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namedSheetViews/namedSheetView1.xml" ContentType="application/vnd.ms-excel.namedsheetviews+xml"/>
  <Override PartName="/xl/tables/table7.xml" ContentType="application/vnd.openxmlformats-officedocument.spreadsheetml.table+xml"/>
  <Override PartName="/xl/namedSheetViews/namedSheetView2.xml" ContentType="application/vnd.ms-excel.namedsheetviews+xml"/>
  <Override PartName="/xl/tables/table8.xml" ContentType="application/vnd.openxmlformats-officedocument.spreadsheetml.table+xml"/>
  <Override PartName="/xl/namedSheetViews/namedSheetView3.xml" ContentType="application/vnd.ms-excel.namedsheetviews+xml"/>
  <Override PartName="/xl/tables/table9.xml" ContentType="application/vnd.openxmlformats-officedocument.spreadsheetml.table+xml"/>
  <Override PartName="/xl/namedSheetViews/namedSheetView4.xml" ContentType="application/vnd.ms-excel.namedsheetview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namedSheetViews/namedSheetView5.xml" ContentType="application/vnd.ms-excel.namedsheetviews+xml"/>
  <Override PartName="/xl/tables/table19.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4"/>
  <workbookPr codeName="ThisWorkbook"/>
  <mc:AlternateContent xmlns:mc="http://schemas.openxmlformats.org/markup-compatibility/2006">
    <mc:Choice Requires="x15">
      <x15ac:absPath xmlns:x15ac="http://schemas.microsoft.com/office/spreadsheetml/2010/11/ac" url="https://americanbearlogistics.sharepoint.com/sites/ABL-Ocean/Shared Documents/General/Shipment Tracing/"/>
    </mc:Choice>
  </mc:AlternateContent>
  <xr:revisionPtr revIDLastSave="32113" documentId="1_{FEBF5DD7-6064-4475-AD9F-F9F8E3E32EED}" xr6:coauthVersionLast="47" xr6:coauthVersionMax="47" xr10:uidLastSave="{05A74099-C097-4774-BC28-AE5E4E8D5466}"/>
  <bookViews>
    <workbookView xWindow="-120" yWindow="-120" windowWidth="29040" windowHeight="15720" firstSheet="14" activeTab="14" xr2:uid="{53035A6B-E236-4B9D-8BCB-D7EB1FD4AE69}"/>
  </bookViews>
  <sheets>
    <sheet name="JUN 2023" sheetId="63" r:id="rId1"/>
    <sheet name="JUL 2023" sheetId="64" r:id="rId2"/>
    <sheet name="AUG 2023" sheetId="65" r:id="rId3"/>
    <sheet name="SEP 2023" sheetId="66" r:id="rId4"/>
    <sheet name="Sheet1" sheetId="81" state="hidden" r:id="rId5"/>
    <sheet name="OCT 2023" sheetId="67" r:id="rId6"/>
    <sheet name="NOV 2023" sheetId="68" r:id="rId7"/>
    <sheet name="DEC 2023" sheetId="69" r:id="rId8"/>
    <sheet name="JAN 2024" sheetId="70" r:id="rId9"/>
    <sheet name="FEB 2024" sheetId="71" r:id="rId10"/>
    <sheet name="MAR 2024" sheetId="72" r:id="rId11"/>
    <sheet name="APR 2024" sheetId="73" r:id="rId12"/>
    <sheet name="MAY 2024" sheetId="74" r:id="rId13"/>
    <sheet name="JUN 2024" sheetId="75" r:id="rId14"/>
    <sheet name="JUL 2024" sheetId="76" r:id="rId15"/>
    <sheet name="AUG 2024" sheetId="77" r:id="rId16"/>
    <sheet name="SEP 2024" sheetId="78" r:id="rId17"/>
    <sheet name="Sheet2" sheetId="82" state="hidden" r:id="rId18"/>
    <sheet name="OCT 2024" sheetId="79" r:id="rId19"/>
    <sheet name="NOV 2024" sheetId="80" r:id="rId20"/>
    <sheet name="SA DRIVERS" sheetId="37" r:id="rId21"/>
    <sheet name="SA UNION" sheetId="39" r:id="rId22"/>
    <sheet name="SA UNION 2023" sheetId="57" r:id="rId23"/>
    <sheet name="CJ EXPRESS" sheetId="41" r:id="rId24"/>
    <sheet name="功能页" sheetId="18" r:id="rId25"/>
    <sheet name="Cancel" sheetId="42" r:id="rId26"/>
  </sheets>
  <externalReferences>
    <externalReference r:id="rId27"/>
  </externalReferences>
  <definedNames>
    <definedName name="_xlnm._FilterDatabase" localSheetId="11" hidden="1">'APR 2024'!$A$1:$Z$184</definedName>
    <definedName name="_xlnm._FilterDatabase" localSheetId="25" hidden="1">Cancel!$A$1:$T$231</definedName>
    <definedName name="_xlnm._FilterDatabase" localSheetId="23" hidden="1">'CJ EXPRESS'!$A$1:$W$169</definedName>
    <definedName name="_xlnm._FilterDatabase" localSheetId="7" hidden="1">'DEC 2023'!$B$267:$B$267</definedName>
    <definedName name="_xlnm._FilterDatabase" localSheetId="9" hidden="1">'FEB 2024'!$N$218:$N$218</definedName>
    <definedName name="_xlnm._FilterDatabase" localSheetId="8" hidden="1">'JAN 2024'!$B$161:$B$161</definedName>
    <definedName name="_xlnm._FilterDatabase" localSheetId="0" hidden="1">'JUN 2023'!$A$1:$Z$9</definedName>
    <definedName name="_xlnm._FilterDatabase" localSheetId="13" hidden="1">'MAY 2024'!$A$1:$Z$28</definedName>
    <definedName name="_xlnm._FilterDatabase" localSheetId="12" hidden="1">'MAY 2024'!$A$1:$Z$28</definedName>
    <definedName name="_xlnm._FilterDatabase" localSheetId="5" hidden="1">'OCT 2023'!$A$1:$Z$1</definedName>
    <definedName name="_xlnm._FilterDatabase" localSheetId="3" hidden="1">'SEP 2023'!$A$1:$Z$145</definedName>
    <definedName name="_xlnm._FilterDatabase" localSheetId="14" hidden="1">'JUL 2024'!$J$183:$J$183</definedName>
    <definedName name="_xlnm._FilterDatabase" localSheetId="15" hidden="1">'AUG 2024'!$A$1:$Z$175</definedName>
    <definedName name="_xlnm._FilterDatabase" localSheetId="16" hidden="1">'SEP 2024'!$A$1:$Z$128</definedName>
    <definedName name="_xlnm._FilterDatabase" localSheetId="18" hidden="1">'OCT 2024'!$A$1:$Z$140</definedName>
    <definedName name="_xlnm._FilterDatabase" localSheetId="19" hidden="1">'NOV 2024'!$A$1:$Z$1</definedName>
    <definedName name="_xlnm.Criteria" localSheetId="11">'APR 2024'!$A$2:$Z$117</definedName>
  </definedNames>
  <calcPr calcId="191028"/>
  <customWorkbookViews>
    <customWorkbookView name="cntr" guid="{53053441-AA55-48C9-BA46-69A511C3FF32}" includeHiddenRowCol="0" maximized="1" xWindow="-8" yWindow="-8" windowWidth="1936" windowHeight="1056" activeSheetId="24"/>
    <customWorkbookView name="测试" guid="{5D4B0AD0-79E8-4E52-90BE-76E8AB5C6CB5}" xWindow="2212" windowWidth="1628" windowHeight="1040" activeSheetId="21"/>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4" i="80" l="1"/>
  <c r="E55" i="80"/>
  <c r="E66" i="80"/>
  <c r="E87" i="80"/>
  <c r="E88" i="80"/>
  <c r="E97" i="80"/>
  <c r="E102" i="80"/>
  <c r="E121" i="80"/>
  <c r="E160" i="80"/>
  <c r="X29" i="67"/>
  <c r="W29" i="67"/>
  <c r="U133" i="79"/>
  <c r="W133" i="79" s="1"/>
  <c r="X133" i="79" s="1"/>
  <c r="U88" i="79"/>
  <c r="W88" i="79" s="1"/>
  <c r="X88" i="79" s="1"/>
  <c r="U102" i="78"/>
  <c r="W102" i="78" s="1"/>
  <c r="X102" i="78" s="1"/>
  <c r="W112" i="79"/>
  <c r="X112" i="79" s="1"/>
  <c r="U101" i="78" l="1"/>
  <c r="W101" i="78" s="1"/>
  <c r="X101" i="78" s="1"/>
  <c r="W71" i="79"/>
  <c r="X71" i="79" s="1"/>
  <c r="W70" i="79"/>
  <c r="X70" i="79" s="1"/>
  <c r="U69" i="79"/>
  <c r="W69" i="79" s="1"/>
  <c r="X69" i="79" s="1"/>
  <c r="T108" i="79"/>
  <c r="U108" i="79"/>
  <c r="U81" i="79"/>
  <c r="T81" i="79"/>
  <c r="U79" i="79"/>
  <c r="T79" i="79"/>
  <c r="W67" i="79"/>
  <c r="X67" i="79" s="1"/>
  <c r="W79" i="79" l="1"/>
  <c r="X79" i="79" s="1"/>
  <c r="W81" i="79"/>
  <c r="X81" i="79" s="1"/>
  <c r="W108" i="79"/>
  <c r="X108" i="79" s="1"/>
  <c r="U80" i="79"/>
  <c r="T80" i="79"/>
  <c r="W80" i="79" l="1"/>
  <c r="X80" i="79" s="1"/>
  <c r="U35" i="79"/>
  <c r="T35" i="79"/>
  <c r="X98" i="79"/>
  <c r="U39" i="79"/>
  <c r="T39" i="79"/>
  <c r="W39" i="79" l="1"/>
  <c r="X39" i="79" s="1"/>
  <c r="W66" i="79"/>
  <c r="X66" i="79" s="1"/>
  <c r="U4" i="79"/>
  <c r="T4" i="79"/>
  <c r="W84" i="79"/>
  <c r="X84" i="79" s="1"/>
  <c r="W83" i="79"/>
  <c r="X83" i="79" s="1"/>
  <c r="W4" i="79" l="1"/>
  <c r="X4" i="79" s="1"/>
  <c r="L133" i="79"/>
  <c r="W48" i="79" l="1"/>
  <c r="X48" i="79" s="1"/>
  <c r="W17" i="79"/>
  <c r="U6" i="79" l="1"/>
  <c r="T6" i="79"/>
  <c r="W58" i="79"/>
  <c r="X58" i="79" s="1"/>
  <c r="W26" i="79"/>
  <c r="X26" i="79" s="1"/>
  <c r="W25" i="79"/>
  <c r="X25" i="79" s="1"/>
  <c r="W11" i="79"/>
  <c r="X11" i="79" s="1"/>
  <c r="W6" i="79" l="1"/>
  <c r="X6" i="79" s="1"/>
  <c r="U3" i="79"/>
  <c r="T3" i="79"/>
  <c r="U55" i="79"/>
  <c r="W55" i="79" s="1"/>
  <c r="X55" i="79" s="1"/>
  <c r="W42" i="79"/>
  <c r="X42" i="79" s="1"/>
  <c r="W3" i="79" l="1"/>
  <c r="X3" i="79" s="1"/>
  <c r="U107" i="78"/>
  <c r="W107" i="78" s="1"/>
  <c r="X107" i="78" s="1"/>
  <c r="U8" i="79" l="1"/>
  <c r="W8" i="79" s="1"/>
  <c r="X8" i="79" s="1"/>
  <c r="W2" i="79"/>
  <c r="X2" i="79" s="1"/>
  <c r="W37" i="79"/>
  <c r="X37" i="79" s="1"/>
  <c r="W32" i="79"/>
  <c r="X32" i="79" s="1"/>
  <c r="W35" i="79"/>
  <c r="X35" i="79" s="1"/>
  <c r="X17" i="79"/>
  <c r="U34" i="79" l="1"/>
  <c r="W34" i="79" s="1"/>
  <c r="X34" i="79" s="1"/>
  <c r="U18" i="79"/>
  <c r="W18" i="79" s="1"/>
  <c r="X18" i="79" s="1"/>
  <c r="W9" i="79"/>
  <c r="X9" i="79" s="1"/>
  <c r="T20" i="79" l="1"/>
  <c r="U20" i="79"/>
  <c r="U110" i="77"/>
  <c r="W110" i="77" s="1"/>
  <c r="X110" i="77" s="1"/>
  <c r="W83" i="77"/>
  <c r="X83" i="77" s="1"/>
  <c r="U58" i="77"/>
  <c r="T58" i="77"/>
  <c r="U75" i="78"/>
  <c r="D125" i="79"/>
  <c r="T10" i="79"/>
  <c r="U10" i="79"/>
  <c r="W12" i="79"/>
  <c r="X12" i="79" s="1"/>
  <c r="U76" i="78"/>
  <c r="W20" i="79" l="1"/>
  <c r="X20" i="79" s="1"/>
  <c r="W58" i="77"/>
  <c r="X58" i="77" s="1"/>
  <c r="W10" i="79"/>
  <c r="X10" i="79" s="1"/>
  <c r="U99" i="78"/>
  <c r="W99" i="78" s="1"/>
  <c r="X99" i="78" s="1"/>
  <c r="U85" i="78"/>
  <c r="W85" i="78" s="1"/>
  <c r="X85" i="78" s="1"/>
  <c r="U86" i="78"/>
  <c r="W86" i="78" s="1"/>
  <c r="X86" i="78" s="1"/>
  <c r="W106" i="78"/>
  <c r="X106" i="78" s="1"/>
  <c r="W76" i="78"/>
  <c r="X76" i="78" s="1"/>
  <c r="W75" i="78"/>
  <c r="X75" i="78" s="1"/>
  <c r="U81" i="78"/>
  <c r="W81" i="78" s="1"/>
  <c r="X81" i="78" s="1"/>
  <c r="U100" i="78"/>
  <c r="T100" i="78"/>
  <c r="U113" i="78"/>
  <c r="W113" i="78" s="1"/>
  <c r="X113" i="78" s="1"/>
  <c r="T82" i="78"/>
  <c r="W82" i="78" s="1"/>
  <c r="X82" i="78" s="1"/>
  <c r="W100" i="78" l="1"/>
  <c r="X100" i="78" s="1"/>
  <c r="U84" i="78" l="1"/>
  <c r="W84" i="78" s="1"/>
  <c r="X84" i="78" s="1"/>
  <c r="U71" i="78"/>
  <c r="W71" i="78" s="1"/>
  <c r="X71" i="78" s="1"/>
  <c r="U70" i="78"/>
  <c r="W14" i="78" l="1"/>
  <c r="X14" i="78" s="1"/>
  <c r="U36" i="78" l="1"/>
  <c r="W36" i="78" s="1"/>
  <c r="X36" i="78" s="1"/>
  <c r="W57" i="78"/>
  <c r="X57" i="78" s="1"/>
  <c r="U22" i="78"/>
  <c r="W22" i="78" s="1"/>
  <c r="X22" i="78" s="1"/>
  <c r="U43" i="78" l="1"/>
  <c r="W43" i="78" s="1"/>
  <c r="X43" i="78" s="1"/>
  <c r="U21" i="78"/>
  <c r="W21" i="78" s="1"/>
  <c r="X21" i="78" s="1"/>
  <c r="U140" i="77"/>
  <c r="W140" i="77" s="1"/>
  <c r="X140" i="77" s="1"/>
  <c r="U111" i="77"/>
  <c r="W111" i="77" s="1"/>
  <c r="X111" i="77" s="1"/>
  <c r="W20" i="78"/>
  <c r="X20" i="78" s="1"/>
  <c r="U12" i="78"/>
  <c r="W12" i="78" s="1"/>
  <c r="X12" i="78" s="1"/>
  <c r="U10" i="78"/>
  <c r="W10" i="78" s="1"/>
  <c r="X10" i="78" s="1"/>
  <c r="W26" i="78" l="1"/>
  <c r="X26" i="78" s="1"/>
  <c r="W25" i="78"/>
  <c r="X25" i="78" s="1"/>
  <c r="U156" i="77"/>
  <c r="U157" i="77"/>
  <c r="W157" i="77" s="1"/>
  <c r="X157" i="77" s="1"/>
  <c r="W5" i="78"/>
  <c r="X5" i="78" s="1"/>
  <c r="W70" i="78"/>
  <c r="X70" i="78" s="1"/>
  <c r="W9" i="78"/>
  <c r="X9" i="78" s="1"/>
  <c r="W8" i="78"/>
  <c r="X8" i="78" s="1"/>
  <c r="W7" i="78"/>
  <c r="X7" i="78" s="1"/>
  <c r="W6" i="78"/>
  <c r="X6" i="78" s="1"/>
  <c r="W11" i="78"/>
  <c r="X11" i="78" s="1"/>
  <c r="W17" i="78"/>
  <c r="X17" i="78" s="1"/>
  <c r="W18" i="78"/>
  <c r="X18" i="78" s="1"/>
  <c r="U139" i="77" l="1"/>
  <c r="W139" i="77" s="1"/>
  <c r="X139" i="77" s="1"/>
  <c r="U133" i="77"/>
  <c r="W133" i="77" s="1"/>
  <c r="X133" i="77" s="1"/>
  <c r="U132" i="77"/>
  <c r="W132" i="77" s="1"/>
  <c r="X132" i="77" s="1"/>
  <c r="W105" i="77" l="1"/>
  <c r="X105" i="77" s="1"/>
  <c r="W106" i="77"/>
  <c r="X106" i="77" s="1"/>
  <c r="W141" i="77"/>
  <c r="X141" i="77" s="1"/>
  <c r="W114" i="77"/>
  <c r="X114" i="77" s="1"/>
  <c r="W97" i="77"/>
  <c r="X97" i="77" s="1"/>
  <c r="U96" i="77"/>
  <c r="W96" i="77" s="1"/>
  <c r="X96" i="77" s="1"/>
  <c r="U85" i="77"/>
  <c r="W85" i="77" s="1"/>
  <c r="X85" i="77" s="1"/>
  <c r="W154" i="77"/>
  <c r="X154" i="77" s="1"/>
  <c r="W134" i="77"/>
  <c r="X134" i="77" s="1"/>
  <c r="W81" i="77" l="1"/>
  <c r="X81" i="77" s="1"/>
  <c r="U181" i="76" l="1"/>
  <c r="V181" i="76" s="1"/>
  <c r="W181" i="76" s="1"/>
  <c r="W14" i="76"/>
  <c r="X14" i="76" s="1"/>
  <c r="W78" i="77"/>
  <c r="W87" i="77"/>
  <c r="X87" i="77" s="1"/>
  <c r="W86" i="77"/>
  <c r="X86" i="77" s="1"/>
  <c r="W54" i="77"/>
  <c r="W73" i="77"/>
  <c r="X73" i="77" s="1"/>
  <c r="W171" i="76"/>
  <c r="X171" i="76" s="1"/>
  <c r="W42" i="77" l="1"/>
  <c r="X42" i="77" s="1"/>
  <c r="W43" i="77"/>
  <c r="X43" i="77" s="1"/>
  <c r="W48" i="77"/>
  <c r="X48" i="77" s="1"/>
  <c r="U9" i="77" l="1"/>
  <c r="W9" i="77" s="1"/>
  <c r="X9" i="77" s="1"/>
  <c r="U29" i="77"/>
  <c r="W29" i="77" s="1"/>
  <c r="X29" i="77" s="1"/>
  <c r="W28" i="77"/>
  <c r="X28" i="77" s="1"/>
  <c r="W35" i="77"/>
  <c r="X35" i="77" s="1"/>
  <c r="X78" i="77"/>
  <c r="W53" i="77"/>
  <c r="X53" i="77" s="1"/>
  <c r="W23" i="76"/>
  <c r="X23" i="76" s="1"/>
  <c r="D127" i="77"/>
  <c r="D126" i="77"/>
  <c r="D125" i="77"/>
  <c r="D124" i="77"/>
  <c r="D123" i="77"/>
  <c r="D122" i="77"/>
  <c r="D121" i="77"/>
  <c r="D120" i="77" l="1"/>
  <c r="D119" i="77"/>
  <c r="D118" i="77"/>
  <c r="D117" i="77"/>
  <c r="W146" i="76" l="1"/>
  <c r="X146" i="76" s="1"/>
  <c r="U40" i="77"/>
  <c r="W40" i="77" s="1"/>
  <c r="X40" i="77" s="1"/>
  <c r="U223" i="75" l="1"/>
  <c r="U222" i="75"/>
  <c r="W316" i="42"/>
  <c r="X316" i="42"/>
  <c r="W314" i="42"/>
  <c r="X314" i="42"/>
  <c r="W315" i="42"/>
  <c r="X315" i="42"/>
  <c r="U178" i="76"/>
  <c r="T178" i="76"/>
  <c r="W27" i="76"/>
  <c r="X27" i="76" s="1"/>
  <c r="W25" i="76"/>
  <c r="X25" i="76" s="1"/>
  <c r="W178" i="76" l="1"/>
  <c r="X178" i="76" s="1"/>
  <c r="W8" i="77" l="1"/>
  <c r="X8" i="77" s="1"/>
  <c r="W22" i="77"/>
  <c r="X22" i="77" s="1"/>
  <c r="U139" i="76"/>
  <c r="W28" i="76"/>
  <c r="X28" i="76" s="1"/>
  <c r="W19" i="76"/>
  <c r="X19" i="76" s="1"/>
  <c r="W145" i="76"/>
  <c r="X145" i="76" s="1"/>
  <c r="W6" i="77" l="1"/>
  <c r="W5" i="77"/>
  <c r="W131" i="76"/>
  <c r="X131" i="76" s="1"/>
  <c r="W130" i="76"/>
  <c r="X130" i="76" s="1"/>
  <c r="W30" i="77" l="1"/>
  <c r="W21" i="76" l="1"/>
  <c r="X21" i="76" s="1"/>
  <c r="W12" i="76"/>
  <c r="X12" i="76" s="1"/>
  <c r="W11" i="76"/>
  <c r="X11" i="76" s="1"/>
  <c r="W15" i="76"/>
  <c r="X15" i="76" s="1"/>
  <c r="U140" i="76"/>
  <c r="W140" i="76" l="1"/>
  <c r="X140" i="76" s="1"/>
  <c r="W26" i="76"/>
  <c r="X26" i="76" l="1"/>
  <c r="W29" i="76"/>
  <c r="X29" i="76" s="1"/>
  <c r="W13" i="76"/>
  <c r="X13" i="76" s="1"/>
  <c r="U137" i="76"/>
  <c r="W42" i="76"/>
  <c r="E51" i="77" l="1"/>
  <c r="U143" i="76"/>
  <c r="W143" i="76" s="1"/>
  <c r="X143" i="76" s="1"/>
  <c r="W179" i="76"/>
  <c r="X179" i="76" s="1"/>
  <c r="U138" i="76"/>
  <c r="W138" i="76" s="1"/>
  <c r="X138" i="76" s="1"/>
  <c r="U136" i="76"/>
  <c r="W176" i="76"/>
  <c r="X176" i="76" s="1"/>
  <c r="W182" i="76"/>
  <c r="X182" i="76" s="1"/>
  <c r="W142" i="76"/>
  <c r="X142" i="76" s="1"/>
  <c r="U70" i="76"/>
  <c r="W70" i="76" l="1"/>
  <c r="X70" i="76" s="1"/>
  <c r="W17" i="76"/>
  <c r="X17" i="76" s="1"/>
  <c r="W16" i="76"/>
  <c r="X16" i="76" s="1"/>
  <c r="V141" i="76" l="1"/>
  <c r="U2" i="76" l="1"/>
  <c r="W2" i="76" s="1"/>
  <c r="X2" i="76" s="1"/>
  <c r="W5" i="76"/>
  <c r="X5" i="76" s="1"/>
  <c r="W6" i="76"/>
  <c r="X6" i="76" s="1"/>
  <c r="W9" i="76"/>
  <c r="X9" i="76" s="1"/>
  <c r="U180" i="76"/>
  <c r="W73" i="76"/>
  <c r="X73" i="76" s="1"/>
  <c r="W79" i="76"/>
  <c r="X79" i="76" s="1"/>
  <c r="W76" i="76"/>
  <c r="W80" i="76"/>
  <c r="X80" i="76" s="1"/>
  <c r="W162" i="76"/>
  <c r="X162" i="76" s="1"/>
  <c r="W4" i="76"/>
  <c r="X4" i="76" s="1"/>
  <c r="W86" i="76"/>
  <c r="X86" i="76" s="1"/>
  <c r="W78" i="76"/>
  <c r="W77" i="76"/>
  <c r="X77" i="76" s="1"/>
  <c r="W82" i="76"/>
  <c r="X82" i="76" s="1"/>
  <c r="W81" i="76"/>
  <c r="X81" i="76" s="1"/>
  <c r="W92" i="76"/>
  <c r="X92" i="76" s="1"/>
  <c r="W89" i="76"/>
  <c r="X89" i="76" s="1"/>
  <c r="W94" i="76"/>
  <c r="X94" i="76" s="1"/>
  <c r="W91" i="76"/>
  <c r="W155" i="76"/>
  <c r="X155" i="76" s="1"/>
  <c r="W153" i="76"/>
  <c r="X153" i="76" s="1"/>
  <c r="W165" i="76"/>
  <c r="X165" i="76" s="1"/>
  <c r="W74" i="76"/>
  <c r="X74" i="76" s="1"/>
  <c r="W149" i="76"/>
  <c r="W90" i="76"/>
  <c r="X90" i="76" s="1"/>
  <c r="W156" i="76"/>
  <c r="X156" i="76" s="1"/>
  <c r="W154" i="76"/>
  <c r="X154" i="76" s="1"/>
  <c r="W158" i="76"/>
  <c r="W157" i="76"/>
  <c r="X157" i="76" s="1"/>
  <c r="W72" i="76"/>
  <c r="W132" i="76"/>
  <c r="X132" i="76" s="1"/>
  <c r="W3" i="76"/>
  <c r="W151" i="76"/>
  <c r="X151" i="76" s="1"/>
  <c r="W88" i="76"/>
  <c r="W87" i="76"/>
  <c r="X87" i="76" s="1"/>
  <c r="W75" i="76"/>
  <c r="X75" i="76" s="1"/>
  <c r="W147" i="76"/>
  <c r="X147" i="76" s="1"/>
  <c r="W7" i="76"/>
  <c r="X7" i="76" s="1"/>
  <c r="W24" i="76"/>
  <c r="X24" i="76" s="1"/>
  <c r="W217" i="75"/>
  <c r="W214" i="75"/>
  <c r="X214" i="75" s="1"/>
  <c r="W60" i="76"/>
  <c r="X158" i="76" l="1"/>
  <c r="X76" i="76"/>
  <c r="X91" i="76"/>
  <c r="X149" i="76"/>
  <c r="X78" i="76"/>
  <c r="X72" i="76"/>
  <c r="X88" i="76"/>
  <c r="W137" i="76"/>
  <c r="X137" i="76" s="1"/>
  <c r="W136" i="76"/>
  <c r="X136" i="76" s="1"/>
  <c r="U141" i="74"/>
  <c r="U97" i="74"/>
  <c r="W97" i="74" s="1"/>
  <c r="X97" i="74" s="1"/>
  <c r="W93" i="76"/>
  <c r="U145" i="75"/>
  <c r="U87" i="75"/>
  <c r="U62" i="75"/>
  <c r="U193" i="75"/>
  <c r="U163" i="75"/>
  <c r="F310" i="42"/>
  <c r="E174" i="76"/>
  <c r="E120" i="76"/>
  <c r="W287" i="75"/>
  <c r="X287" i="75" s="1"/>
  <c r="W83" i="76"/>
  <c r="W160" i="76"/>
  <c r="W150" i="76"/>
  <c r="W141" i="76"/>
  <c r="W71" i="76"/>
  <c r="W180" i="76"/>
  <c r="W135" i="76"/>
  <c r="X30" i="77" s="1"/>
  <c r="W200" i="75"/>
  <c r="X200" i="75" s="1"/>
  <c r="W152" i="76"/>
  <c r="W144" i="75"/>
  <c r="X144" i="75" s="1"/>
  <c r="W177" i="76" l="1"/>
  <c r="W2" i="75"/>
  <c r="X2" i="75" s="1"/>
  <c r="W12" i="75"/>
  <c r="X12" i="75" s="1"/>
  <c r="W27" i="75"/>
  <c r="X27" i="75" s="1"/>
  <c r="W36" i="75"/>
  <c r="X36" i="75" s="1"/>
  <c r="W39" i="75"/>
  <c r="W37" i="75"/>
  <c r="X37" i="75" s="1"/>
  <c r="W79" i="75"/>
  <c r="W117" i="75"/>
  <c r="W184" i="75"/>
  <c r="X184" i="75" s="1"/>
  <c r="W146" i="75"/>
  <c r="X146" i="75" s="1"/>
  <c r="U61" i="75"/>
  <c r="W283" i="75"/>
  <c r="X283" i="75" s="1"/>
  <c r="E105" i="76"/>
  <c r="U10" i="75"/>
  <c r="U77" i="75"/>
  <c r="X79" i="75" l="1"/>
  <c r="W133" i="76"/>
  <c r="W10" i="76"/>
  <c r="X39" i="75"/>
  <c r="X117" i="75"/>
  <c r="U59" i="75"/>
  <c r="W173" i="76" s="1"/>
  <c r="U41" i="75"/>
  <c r="W44" i="77" s="1"/>
  <c r="W168" i="75"/>
  <c r="X168" i="75" s="1"/>
  <c r="W58" i="76" l="1"/>
  <c r="W148" i="76"/>
  <c r="W11" i="75"/>
  <c r="X11" i="75" s="1"/>
  <c r="W7" i="75"/>
  <c r="X7" i="75" s="1"/>
  <c r="W8" i="75"/>
  <c r="X8" i="75" s="1"/>
  <c r="W16" i="75"/>
  <c r="X16" i="75" s="1"/>
  <c r="W15" i="75"/>
  <c r="X15" i="75" s="1"/>
  <c r="W22" i="75"/>
  <c r="X22" i="75" s="1"/>
  <c r="W9" i="75"/>
  <c r="W4" i="75"/>
  <c r="X4" i="75" s="1"/>
  <c r="W60" i="75"/>
  <c r="X60" i="75" s="1"/>
  <c r="W13" i="75"/>
  <c r="X13" i="75" s="1"/>
  <c r="W5" i="75"/>
  <c r="X5" i="75" s="1"/>
  <c r="W6" i="75"/>
  <c r="X6" i="75" s="1"/>
  <c r="W53" i="75"/>
  <c r="X53" i="75" s="1"/>
  <c r="W54" i="75"/>
  <c r="X54" i="75" s="1"/>
  <c r="W45" i="75"/>
  <c r="X45" i="75" s="1"/>
  <c r="W42" i="75"/>
  <c r="X42" i="75" s="1"/>
  <c r="W55" i="75"/>
  <c r="X55" i="75" s="1"/>
  <c r="W28" i="75"/>
  <c r="X28" i="75" s="1"/>
  <c r="W24" i="75"/>
  <c r="X24" i="75" s="1"/>
  <c r="W35" i="75"/>
  <c r="X35" i="75" s="1"/>
  <c r="W30" i="75"/>
  <c r="W31" i="75"/>
  <c r="W38" i="75"/>
  <c r="X38" i="75" s="1"/>
  <c r="W23" i="75"/>
  <c r="X23" i="75" s="1"/>
  <c r="W29" i="75"/>
  <c r="X29" i="75" s="1"/>
  <c r="W56" i="75"/>
  <c r="X56" i="75" s="1"/>
  <c r="W57" i="75"/>
  <c r="X57" i="75" s="1"/>
  <c r="W100" i="75"/>
  <c r="X100" i="75" s="1"/>
  <c r="W95" i="75"/>
  <c r="X95" i="75" s="1"/>
  <c r="W10" i="75"/>
  <c r="X10" i="75" s="1"/>
  <c r="W44" i="75"/>
  <c r="X44" i="75" s="1"/>
  <c r="W17" i="75"/>
  <c r="X17" i="75" s="1"/>
  <c r="W41" i="75"/>
  <c r="W155" i="75"/>
  <c r="X155" i="75" s="1"/>
  <c r="W34" i="75"/>
  <c r="X34" i="75" s="1"/>
  <c r="W14" i="75"/>
  <c r="X14" i="75" s="1"/>
  <c r="W46" i="75"/>
  <c r="W51" i="75"/>
  <c r="X51" i="75" s="1"/>
  <c r="W48" i="75"/>
  <c r="X48" i="75" s="1"/>
  <c r="W40" i="75"/>
  <c r="W43" i="75"/>
  <c r="W3" i="75"/>
  <c r="X3" i="75" s="1"/>
  <c r="W63" i="75"/>
  <c r="X63" i="75" s="1"/>
  <c r="W68" i="75"/>
  <c r="X68" i="75" s="1"/>
  <c r="W18" i="75"/>
  <c r="X18" i="75" s="1"/>
  <c r="W110" i="75"/>
  <c r="W69" i="75"/>
  <c r="E70" i="75"/>
  <c r="W70" i="75"/>
  <c r="W65" i="75"/>
  <c r="X65" i="75" s="1"/>
  <c r="W52" i="75"/>
  <c r="X52" i="75" s="1"/>
  <c r="W26" i="75"/>
  <c r="X26" i="75" s="1"/>
  <c r="W33" i="75"/>
  <c r="X33" i="75" s="1"/>
  <c r="W147" i="75"/>
  <c r="X147" i="75" s="1"/>
  <c r="W32" i="75"/>
  <c r="W47" i="75"/>
  <c r="W134" i="75"/>
  <c r="X134" i="75" s="1"/>
  <c r="W49" i="75"/>
  <c r="X49" i="75" s="1"/>
  <c r="W107" i="75"/>
  <c r="W118" i="75"/>
  <c r="X118" i="75" s="1"/>
  <c r="W58" i="75"/>
  <c r="X58" i="75" s="1"/>
  <c r="W59" i="75"/>
  <c r="X59" i="75" s="1"/>
  <c r="W66" i="75"/>
  <c r="X66" i="75" s="1"/>
  <c r="W64" i="75"/>
  <c r="X64" i="75" s="1"/>
  <c r="W74" i="75"/>
  <c r="X74" i="75" s="1"/>
  <c r="W75" i="75"/>
  <c r="X75" i="75" s="1"/>
  <c r="W77" i="75"/>
  <c r="X77" i="75" s="1"/>
  <c r="W50" i="75"/>
  <c r="W71" i="75"/>
  <c r="X71" i="75" s="1"/>
  <c r="W72" i="75"/>
  <c r="X72" i="75" s="1"/>
  <c r="W76" i="75"/>
  <c r="X76" i="75" s="1"/>
  <c r="W78" i="75"/>
  <c r="X78" i="75" s="1"/>
  <c r="W96" i="75"/>
  <c r="X96" i="75" s="1"/>
  <c r="W135" i="75"/>
  <c r="X135" i="75" s="1"/>
  <c r="W113" i="75"/>
  <c r="W139" i="75"/>
  <c r="X139" i="75" s="1"/>
  <c r="W97" i="75"/>
  <c r="X97" i="75" s="1"/>
  <c r="W104" i="75"/>
  <c r="X104" i="75" s="1"/>
  <c r="W103" i="75"/>
  <c r="W101" i="75"/>
  <c r="X101" i="75" s="1"/>
  <c r="W102" i="75"/>
  <c r="W81" i="75"/>
  <c r="X81" i="75" s="1"/>
  <c r="W82" i="75"/>
  <c r="X82" i="75" s="1"/>
  <c r="W80" i="75"/>
  <c r="X80" i="75" s="1"/>
  <c r="W121" i="75"/>
  <c r="W151" i="75"/>
  <c r="W152" i="75"/>
  <c r="W153" i="75"/>
  <c r="W154" i="75"/>
  <c r="W19" i="75"/>
  <c r="W114" i="75"/>
  <c r="W115" i="75"/>
  <c r="W116" i="75"/>
  <c r="W167" i="75"/>
  <c r="X167" i="75" s="1"/>
  <c r="W186" i="75"/>
  <c r="X186" i="75" s="1"/>
  <c r="W187" i="75"/>
  <c r="W188" i="75"/>
  <c r="W189" i="75"/>
  <c r="W190" i="75"/>
  <c r="W191" i="75"/>
  <c r="W204" i="75"/>
  <c r="W222" i="75"/>
  <c r="X222" i="75" s="1"/>
  <c r="W223" i="75"/>
  <c r="X223" i="75" s="1"/>
  <c r="W20" i="75"/>
  <c r="W21" i="75"/>
  <c r="W61" i="75"/>
  <c r="X61" i="75" s="1"/>
  <c r="W120" i="75"/>
  <c r="W89" i="75"/>
  <c r="X89" i="75" s="1"/>
  <c r="W88" i="75"/>
  <c r="X88" i="75" s="1"/>
  <c r="W86" i="75"/>
  <c r="X86" i="75" s="1"/>
  <c r="W90" i="75"/>
  <c r="X90" i="75" s="1"/>
  <c r="W91" i="75"/>
  <c r="X91" i="75" s="1"/>
  <c r="W98" i="75"/>
  <c r="X98" i="75" s="1"/>
  <c r="W108" i="75"/>
  <c r="W122" i="75"/>
  <c r="W109" i="75"/>
  <c r="W92" i="75"/>
  <c r="X92" i="75" s="1"/>
  <c r="W93" i="75"/>
  <c r="X93" i="75" s="1"/>
  <c r="W126" i="75"/>
  <c r="X126" i="75" s="1"/>
  <c r="W127" i="75"/>
  <c r="X127" i="75" s="1"/>
  <c r="W73" i="75"/>
  <c r="X73" i="75" s="1"/>
  <c r="W130" i="75"/>
  <c r="X130" i="75" s="1"/>
  <c r="W128" i="75"/>
  <c r="X128" i="75" s="1"/>
  <c r="W87" i="75"/>
  <c r="X87" i="75" s="1"/>
  <c r="W94" i="75"/>
  <c r="X94" i="75" s="1"/>
  <c r="W99" i="75"/>
  <c r="X99" i="75" s="1"/>
  <c r="W105" i="75"/>
  <c r="X105" i="75" s="1"/>
  <c r="W111" i="75"/>
  <c r="W112" i="75"/>
  <c r="W123" i="75"/>
  <c r="X123" i="75" s="1"/>
  <c r="W129" i="75"/>
  <c r="X129" i="75" s="1"/>
  <c r="W119" i="75"/>
  <c r="W148" i="75"/>
  <c r="X148" i="75" s="1"/>
  <c r="W106" i="75"/>
  <c r="X106" i="75" s="1"/>
  <c r="W224" i="75"/>
  <c r="X224" i="75" s="1"/>
  <c r="W225" i="75"/>
  <c r="X225" i="75" s="1"/>
  <c r="W136" i="75"/>
  <c r="X136" i="75" s="1"/>
  <c r="W133" i="75"/>
  <c r="W176" i="75"/>
  <c r="X176" i="75" s="1"/>
  <c r="W182" i="75"/>
  <c r="X182" i="75" s="1"/>
  <c r="W177" i="75"/>
  <c r="X177" i="75" s="1"/>
  <c r="W162" i="75"/>
  <c r="X162" i="75" s="1"/>
  <c r="W199" i="75"/>
  <c r="W124" i="75"/>
  <c r="W140" i="75"/>
  <c r="X140" i="75" s="1"/>
  <c r="W141" i="75"/>
  <c r="X141" i="75" s="1"/>
  <c r="W142" i="75"/>
  <c r="X142" i="75" s="1"/>
  <c r="W143" i="75"/>
  <c r="X143" i="75" s="1"/>
  <c r="W149" i="75"/>
  <c r="X149" i="75" s="1"/>
  <c r="W192" i="75"/>
  <c r="X192" i="75" s="1"/>
  <c r="W160" i="75"/>
  <c r="X160" i="75" s="1"/>
  <c r="W150" i="75"/>
  <c r="X150" i="75" s="1"/>
  <c r="W161" i="75"/>
  <c r="X161" i="75" s="1"/>
  <c r="W156" i="75"/>
  <c r="X156" i="75" s="1"/>
  <c r="W179" i="75"/>
  <c r="X179" i="75" s="1"/>
  <c r="W193" i="75"/>
  <c r="W216" i="75"/>
  <c r="X216" i="75" s="1"/>
  <c r="W170" i="75"/>
  <c r="X170" i="75" s="1"/>
  <c r="W137" i="75"/>
  <c r="X137" i="75" s="1"/>
  <c r="W183" i="75"/>
  <c r="X183" i="75" s="1"/>
  <c r="W164" i="75"/>
  <c r="X164" i="75" s="1"/>
  <c r="W157" i="75"/>
  <c r="X157" i="75" s="1"/>
  <c r="W159" i="75"/>
  <c r="X159" i="75" s="1"/>
  <c r="W205" i="75"/>
  <c r="W138" i="75"/>
  <c r="X138" i="75" s="1"/>
  <c r="W131" i="75"/>
  <c r="X131" i="75" s="1"/>
  <c r="W67" i="75"/>
  <c r="X67" i="75" s="1"/>
  <c r="W83" i="75"/>
  <c r="X83" i="75" s="1"/>
  <c r="W84" i="75"/>
  <c r="X84" i="75" s="1"/>
  <c r="W85" i="75"/>
  <c r="W125" i="75"/>
  <c r="X125" i="75" s="1"/>
  <c r="W219" i="75"/>
  <c r="W165" i="75"/>
  <c r="X165" i="75" s="1"/>
  <c r="W174" i="75"/>
  <c r="X174" i="75" s="1"/>
  <c r="W201" i="75"/>
  <c r="X201" i="75" s="1"/>
  <c r="W221" i="75"/>
  <c r="W211" i="75"/>
  <c r="W163" i="75"/>
  <c r="X163" i="75" s="1"/>
  <c r="W220" i="75"/>
  <c r="X220" i="75" s="1"/>
  <c r="W175" i="75"/>
  <c r="X175" i="75" s="1"/>
  <c r="W202" i="75"/>
  <c r="X202" i="75" s="1"/>
  <c r="W198" i="75"/>
  <c r="X198" i="75" s="1"/>
  <c r="W181" i="75"/>
  <c r="X181" i="75" s="1"/>
  <c r="W209" i="75"/>
  <c r="X209" i="75" s="1"/>
  <c r="W203" i="75"/>
  <c r="W210" i="75"/>
  <c r="X210" i="75" s="1"/>
  <c r="W195" i="75"/>
  <c r="W218" i="75"/>
  <c r="X218" i="75" s="1"/>
  <c r="W132" i="75"/>
  <c r="X132" i="75" s="1"/>
  <c r="W166" i="75"/>
  <c r="X166" i="75" s="1"/>
  <c r="W158" i="75"/>
  <c r="X158" i="75" s="1"/>
  <c r="W208" i="75"/>
  <c r="X208" i="75" s="1"/>
  <c r="W212" i="75"/>
  <c r="W194" i="75"/>
  <c r="X194" i="75" s="1"/>
  <c r="W197" i="75"/>
  <c r="X197" i="75" s="1"/>
  <c r="W215" i="75"/>
  <c r="W173" i="75"/>
  <c r="X173" i="75" s="1"/>
  <c r="W206" i="75"/>
  <c r="W207" i="75"/>
  <c r="W213" i="75"/>
  <c r="W171" i="75"/>
  <c r="X171" i="75" s="1"/>
  <c r="W180" i="75"/>
  <c r="X180" i="75" s="1"/>
  <c r="W169" i="75"/>
  <c r="X169" i="75" s="1"/>
  <c r="W172" i="75"/>
  <c r="X172" i="75" s="1"/>
  <c r="W185" i="75"/>
  <c r="X185" i="75" s="1"/>
  <c r="W196" i="75"/>
  <c r="X196" i="75" s="1"/>
  <c r="W25" i="75"/>
  <c r="X25" i="75" s="1"/>
  <c r="W145" i="75"/>
  <c r="X145" i="75" s="1"/>
  <c r="W62" i="75"/>
  <c r="X62" i="75" s="1"/>
  <c r="X41" i="75" l="1"/>
  <c r="X54" i="77"/>
  <c r="X9" i="75"/>
  <c r="X6" i="77"/>
  <c r="X31" i="75"/>
  <c r="X5" i="77"/>
  <c r="X43" i="75"/>
  <c r="X70" i="75"/>
  <c r="X40" i="75"/>
  <c r="X30" i="75"/>
  <c r="X44" i="77"/>
  <c r="X85" i="75"/>
  <c r="X205" i="75"/>
  <c r="X58" i="76"/>
  <c r="X211" i="75"/>
  <c r="X173" i="76"/>
  <c r="X203" i="75"/>
  <c r="X177" i="76"/>
  <c r="X204" i="75"/>
  <c r="X60" i="76"/>
  <c r="X195" i="75"/>
  <c r="X191" i="75"/>
  <c r="X190" i="75"/>
  <c r="X189" i="75"/>
  <c r="X188" i="75"/>
  <c r="X199" i="75"/>
  <c r="X187" i="75"/>
  <c r="X93" i="76"/>
  <c r="X141" i="76"/>
  <c r="X46" i="75"/>
  <c r="X83" i="76"/>
  <c r="X133" i="75"/>
  <c r="X121" i="75"/>
  <c r="X154" i="75"/>
  <c r="X50" i="75"/>
  <c r="X160" i="76"/>
  <c r="X21" i="75"/>
  <c r="X20" i="75"/>
  <c r="X19" i="75"/>
  <c r="X153" i="75"/>
  <c r="X193" i="75"/>
  <c r="X213" i="75"/>
  <c r="X207" i="75"/>
  <c r="X206" i="75"/>
  <c r="X215" i="75"/>
  <c r="X150" i="76"/>
  <c r="X69" i="75"/>
  <c r="X180" i="76"/>
  <c r="X212" i="75"/>
  <c r="X152" i="75"/>
  <c r="X151" i="75"/>
  <c r="X221" i="75"/>
  <c r="X122" i="75"/>
  <c r="X120" i="75"/>
  <c r="X119" i="75"/>
  <c r="X112" i="75"/>
  <c r="X219" i="75"/>
  <c r="X111" i="75"/>
  <c r="X113" i="75"/>
  <c r="X133" i="76"/>
  <c r="X110" i="75"/>
  <c r="X116" i="75"/>
  <c r="X115" i="75"/>
  <c r="X10" i="76"/>
  <c r="X114" i="75"/>
  <c r="X217" i="75"/>
  <c r="X109" i="75"/>
  <c r="X42" i="76"/>
  <c r="X108" i="75"/>
  <c r="X107" i="75"/>
  <c r="X71" i="76"/>
  <c r="X124" i="75"/>
  <c r="X103" i="75"/>
  <c r="X102" i="75"/>
  <c r="X135" i="76"/>
  <c r="X47" i="75"/>
  <c r="X152" i="76"/>
  <c r="X32" i="75"/>
  <c r="X148" i="76"/>
  <c r="X309" i="42"/>
  <c r="W309" i="42"/>
  <c r="W180" i="74"/>
  <c r="X180" i="74" s="1"/>
  <c r="W241" i="74"/>
  <c r="X241" i="74" s="1"/>
  <c r="W169" i="76"/>
  <c r="U163" i="73" l="1"/>
  <c r="U150" i="73"/>
  <c r="W159" i="74"/>
  <c r="X159" i="74" s="1"/>
  <c r="U220" i="74"/>
  <c r="W220" i="74" s="1"/>
  <c r="X220" i="74" s="1"/>
  <c r="U257" i="71"/>
  <c r="W257" i="71" s="1"/>
  <c r="W193" i="74"/>
  <c r="X193" i="74" s="1"/>
  <c r="W240" i="74"/>
  <c r="X240" i="74" s="1"/>
  <c r="W169" i="74"/>
  <c r="X169" i="74" s="1"/>
  <c r="X169" i="76" l="1"/>
  <c r="W267" i="74"/>
  <c r="X267" i="74" s="1"/>
  <c r="W155" i="74"/>
  <c r="X155" i="74" s="1"/>
  <c r="U199" i="74"/>
  <c r="W199" i="74" s="1"/>
  <c r="X199" i="74" s="1"/>
  <c r="U214" i="74"/>
  <c r="W214" i="74" s="1"/>
  <c r="X214" i="74" s="1"/>
  <c r="U16" i="74" l="1"/>
  <c r="V143" i="74"/>
  <c r="W177" i="73"/>
  <c r="X177" i="73" s="1"/>
  <c r="U145" i="73"/>
  <c r="W145" i="73" s="1"/>
  <c r="X145" i="73" s="1"/>
  <c r="W7" i="73"/>
  <c r="X7" i="73" s="1"/>
  <c r="W8" i="73"/>
  <c r="X8" i="73" s="1"/>
  <c r="W150" i="73"/>
  <c r="X150" i="73" s="1"/>
  <c r="W163" i="73"/>
  <c r="X163" i="73" s="1"/>
  <c r="W170" i="73"/>
  <c r="X170" i="73" s="1"/>
  <c r="U173" i="74"/>
  <c r="W231" i="74"/>
  <c r="X231" i="74" s="1"/>
  <c r="U119" i="74"/>
  <c r="W119" i="74" s="1"/>
  <c r="X119" i="74" s="1"/>
  <c r="U87" i="74"/>
  <c r="W87" i="74" s="1"/>
  <c r="X87" i="74" s="1"/>
  <c r="U86" i="74"/>
  <c r="W86" i="74" s="1"/>
  <c r="X86" i="74" s="1"/>
  <c r="W66" i="74"/>
  <c r="X66" i="74" s="1"/>
  <c r="W89" i="74"/>
  <c r="X89" i="74" s="1"/>
  <c r="U88" i="74" l="1"/>
  <c r="W88" i="74" s="1"/>
  <c r="X88" i="74" s="1"/>
  <c r="W173" i="74" l="1"/>
  <c r="X173" i="74" s="1"/>
  <c r="W74" i="74"/>
  <c r="X74" i="74" s="1"/>
  <c r="W50" i="74"/>
  <c r="X50" i="74" s="1"/>
  <c r="U144" i="73"/>
  <c r="U37" i="74"/>
  <c r="W75" i="74" l="1"/>
  <c r="X75" i="74" s="1"/>
  <c r="W141" i="74"/>
  <c r="X141" i="74" s="1"/>
  <c r="U12" i="74"/>
  <c r="U41" i="74"/>
  <c r="W54" i="74"/>
  <c r="X54" i="74" s="1"/>
  <c r="W251" i="74"/>
  <c r="X251" i="74" s="1"/>
  <c r="W114" i="74" l="1"/>
  <c r="X114" i="74" s="1"/>
  <c r="W44" i="74"/>
  <c r="X44" i="74" s="1"/>
  <c r="W42" i="74"/>
  <c r="X42" i="74" s="1"/>
  <c r="W45" i="74"/>
  <c r="X45" i="74" s="1"/>
  <c r="W43" i="74"/>
  <c r="X43" i="74" s="1"/>
  <c r="W136" i="74"/>
  <c r="X136" i="74" s="1"/>
  <c r="W126" i="74"/>
  <c r="X126" i="74" s="1"/>
  <c r="W93" i="74"/>
  <c r="X93" i="74" s="1"/>
  <c r="W91" i="74"/>
  <c r="X91" i="74" s="1"/>
  <c r="W63" i="74"/>
  <c r="X63" i="74" s="1"/>
  <c r="E188" i="74" l="1"/>
  <c r="W183" i="74"/>
  <c r="X183" i="74" s="1"/>
  <c r="U143" i="73"/>
  <c r="W143" i="73" s="1"/>
  <c r="W175" i="73"/>
  <c r="X175" i="73" s="1"/>
  <c r="W7" i="74"/>
  <c r="X7" i="74" s="1"/>
  <c r="W27" i="74"/>
  <c r="X27" i="74" s="1"/>
  <c r="W2" i="74"/>
  <c r="X2" i="74" s="1"/>
  <c r="W5" i="74"/>
  <c r="X5" i="74" s="1"/>
  <c r="W21" i="74"/>
  <c r="X21" i="74" s="1"/>
  <c r="W46" i="74"/>
  <c r="X46" i="74" s="1"/>
  <c r="W92" i="74"/>
  <c r="X92" i="74" s="1"/>
  <c r="W12" i="74"/>
  <c r="X12" i="74" s="1"/>
  <c r="W41" i="74"/>
  <c r="X41" i="74" s="1"/>
  <c r="E153" i="73"/>
  <c r="W39" i="74"/>
  <c r="X39" i="74" s="1"/>
  <c r="W38" i="74"/>
  <c r="X38" i="74" s="1"/>
  <c r="W146" i="73"/>
  <c r="X146" i="73" s="1"/>
  <c r="W144" i="72"/>
  <c r="X144" i="72" s="1"/>
  <c r="U143" i="72"/>
  <c r="W143" i="72" s="1"/>
  <c r="X143" i="72" s="1"/>
  <c r="U128" i="72"/>
  <c r="W128" i="72" s="1"/>
  <c r="X128" i="72" s="1"/>
  <c r="U190" i="71"/>
  <c r="W190" i="71" s="1"/>
  <c r="X190" i="71" s="1"/>
  <c r="U172" i="73"/>
  <c r="W172" i="73" s="1"/>
  <c r="X172" i="73" s="1"/>
  <c r="W140" i="73"/>
  <c r="X140" i="73" s="1"/>
  <c r="U181" i="73"/>
  <c r="X181" i="73" s="1"/>
  <c r="U139" i="73"/>
  <c r="W139" i="73" s="1"/>
  <c r="X139" i="73" s="1"/>
  <c r="W135" i="73"/>
  <c r="X135" i="73" s="1"/>
  <c r="W138" i="73"/>
  <c r="X138" i="73" s="1"/>
  <c r="W23" i="73"/>
  <c r="X23" i="73" s="1"/>
  <c r="U10" i="73"/>
  <c r="W10" i="73" s="1"/>
  <c r="X10" i="73" s="1"/>
  <c r="W136" i="73"/>
  <c r="X136" i="73" s="1"/>
  <c r="W47" i="73"/>
  <c r="X47" i="73" s="1"/>
  <c r="W45" i="73"/>
  <c r="X45" i="73" s="1"/>
  <c r="E72" i="74"/>
  <c r="W24" i="73"/>
  <c r="X24" i="73" s="1"/>
  <c r="W15" i="73"/>
  <c r="X15" i="73" s="1"/>
  <c r="U142" i="73"/>
  <c r="W176" i="73"/>
  <c r="X176" i="73" s="1"/>
  <c r="W174" i="73"/>
  <c r="U56" i="68"/>
  <c r="W56" i="68" s="1"/>
  <c r="X56" i="70" s="1"/>
  <c r="W179" i="68"/>
  <c r="X179" i="68" s="1"/>
  <c r="W178" i="68"/>
  <c r="X178" i="68" s="1"/>
  <c r="W49" i="68"/>
  <c r="X49" i="72" s="1"/>
  <c r="W177" i="68"/>
  <c r="X173" i="73" s="1"/>
  <c r="U173" i="73"/>
  <c r="W173" i="73" s="1"/>
  <c r="W128" i="68"/>
  <c r="X128" i="70" s="1"/>
  <c r="W122" i="68"/>
  <c r="X122" i="68" s="1"/>
  <c r="W139" i="68"/>
  <c r="X139" i="70" s="1"/>
  <c r="U121" i="68"/>
  <c r="W121" i="68" s="1"/>
  <c r="X121" i="70" s="1"/>
  <c r="W142" i="68"/>
  <c r="X142" i="70" s="1"/>
  <c r="W13" i="73"/>
  <c r="X13" i="73" s="1"/>
  <c r="W12" i="73"/>
  <c r="X12" i="73" s="1"/>
  <c r="W11" i="73"/>
  <c r="X11" i="73" s="1"/>
  <c r="W14" i="73"/>
  <c r="X14" i="73" s="1"/>
  <c r="W6" i="73"/>
  <c r="X6" i="73" s="1"/>
  <c r="W137" i="73"/>
  <c r="X137" i="73" s="1"/>
  <c r="W171" i="73"/>
  <c r="X171" i="73" s="1"/>
  <c r="W149" i="73"/>
  <c r="X149" i="73" s="1"/>
  <c r="W148" i="73"/>
  <c r="X148" i="73" s="1"/>
  <c r="W152" i="72"/>
  <c r="X152" i="72" s="1"/>
  <c r="W169" i="73"/>
  <c r="X169" i="73" s="1"/>
  <c r="W162" i="73"/>
  <c r="X162" i="73" s="1"/>
  <c r="W29" i="73"/>
  <c r="X29" i="73" s="1"/>
  <c r="E49" i="73"/>
  <c r="W84" i="72"/>
  <c r="X84" i="72" s="1"/>
  <c r="W105" i="72"/>
  <c r="X105" i="72" s="1"/>
  <c r="W107" i="72"/>
  <c r="W100" i="72"/>
  <c r="X100" i="72" s="1"/>
  <c r="U127" i="71"/>
  <c r="W127" i="71" s="1"/>
  <c r="X127" i="71" s="1"/>
  <c r="U126" i="71"/>
  <c r="W126" i="71" s="1"/>
  <c r="X126" i="71" s="1"/>
  <c r="W54" i="72"/>
  <c r="X54" i="72" s="1"/>
  <c r="W52" i="72"/>
  <c r="X52" i="72" s="1"/>
  <c r="U83" i="72"/>
  <c r="W83" i="72" s="1"/>
  <c r="U56" i="72"/>
  <c r="W56" i="72" s="1"/>
  <c r="X56" i="72" s="1"/>
  <c r="W180" i="73"/>
  <c r="U42" i="72"/>
  <c r="W42" i="72" s="1"/>
  <c r="X42" i="72" s="1"/>
  <c r="U41" i="72"/>
  <c r="W41" i="72" s="1"/>
  <c r="U72" i="72"/>
  <c r="W72" i="72" s="1"/>
  <c r="X72" i="72" s="1"/>
  <c r="W91" i="68"/>
  <c r="X91" i="68" s="1"/>
  <c r="W90" i="68"/>
  <c r="X90" i="72" s="1"/>
  <c r="W90" i="72"/>
  <c r="W73" i="72"/>
  <c r="U74" i="72"/>
  <c r="W74" i="72" s="1"/>
  <c r="X74" i="72" s="1"/>
  <c r="U96" i="72"/>
  <c r="W96" i="72" s="1"/>
  <c r="X96" i="72" s="1"/>
  <c r="W86" i="72"/>
  <c r="X86" i="72" s="1"/>
  <c r="W13" i="72"/>
  <c r="W50" i="72"/>
  <c r="W81" i="72"/>
  <c r="W60" i="72"/>
  <c r="W55" i="72"/>
  <c r="W43" i="72"/>
  <c r="E48" i="73"/>
  <c r="W64" i="68"/>
  <c r="X64" i="68" s="1"/>
  <c r="W63" i="68"/>
  <c r="X63" i="70" s="1"/>
  <c r="U86" i="68"/>
  <c r="W86" i="68" s="1"/>
  <c r="X86" i="70" s="1"/>
  <c r="W85" i="68"/>
  <c r="X85" i="68" s="1"/>
  <c r="W81" i="68"/>
  <c r="X81" i="72" s="1"/>
  <c r="W80" i="68"/>
  <c r="X80" i="72" s="1"/>
  <c r="W95" i="68"/>
  <c r="X95" i="72" s="1"/>
  <c r="W94" i="68"/>
  <c r="X94" i="68" s="1"/>
  <c r="W60" i="68"/>
  <c r="X60" i="68" s="1"/>
  <c r="W59" i="68"/>
  <c r="X59" i="72" s="1"/>
  <c r="W58" i="68"/>
  <c r="X58" i="72" s="1"/>
  <c r="W61" i="68"/>
  <c r="X61" i="68" s="1"/>
  <c r="W17" i="68"/>
  <c r="X17" i="70" s="1"/>
  <c r="W65" i="68"/>
  <c r="X65" i="68" s="1"/>
  <c r="U87" i="68"/>
  <c r="W87" i="68" s="1"/>
  <c r="X87" i="72" s="1"/>
  <c r="W83" i="68"/>
  <c r="X83" i="68" s="1"/>
  <c r="W143" i="68"/>
  <c r="X143" i="68" s="1"/>
  <c r="W107" i="68"/>
  <c r="X107" i="68" s="1"/>
  <c r="W106" i="68"/>
  <c r="X106" i="68" s="1"/>
  <c r="W62" i="68"/>
  <c r="X62" i="68" s="1"/>
  <c r="U51" i="68"/>
  <c r="W51" i="68" s="1"/>
  <c r="X51" i="70" s="1"/>
  <c r="U50" i="68"/>
  <c r="V50" i="68" s="1"/>
  <c r="X50" i="68" s="1"/>
  <c r="W52" i="68"/>
  <c r="X52" i="68" s="1"/>
  <c r="W66" i="68"/>
  <c r="X66" i="72" s="1"/>
  <c r="W35" i="68"/>
  <c r="X35" i="72" s="1"/>
  <c r="W34" i="68"/>
  <c r="X34" i="70" s="1"/>
  <c r="W33" i="68"/>
  <c r="X33" i="68" s="1"/>
  <c r="W18" i="73"/>
  <c r="W51" i="72"/>
  <c r="U74" i="68"/>
  <c r="W74" i="68" s="1"/>
  <c r="X74" i="70" s="1"/>
  <c r="U73" i="68"/>
  <c r="W73" i="68" s="1"/>
  <c r="X73" i="72" s="1"/>
  <c r="W79" i="68"/>
  <c r="X79" i="72" s="1"/>
  <c r="W84" i="68"/>
  <c r="X84" i="68" s="1"/>
  <c r="W144" i="68"/>
  <c r="X144" i="70" s="1"/>
  <c r="W68" i="68"/>
  <c r="X68" i="72" s="1"/>
  <c r="W67" i="68"/>
  <c r="X67" i="70" s="1"/>
  <c r="W142" i="73"/>
  <c r="W141" i="68"/>
  <c r="X141" i="73" s="1"/>
  <c r="W141" i="73"/>
  <c r="W55" i="68"/>
  <c r="X55" i="72" s="1"/>
  <c r="W57" i="68"/>
  <c r="X57" i="70" s="1"/>
  <c r="W53" i="68"/>
  <c r="X53" i="72" s="1"/>
  <c r="W54" i="68"/>
  <c r="X54" i="68" s="1"/>
  <c r="W13" i="68"/>
  <c r="X13" i="72" s="1"/>
  <c r="W14" i="68"/>
  <c r="X14" i="68" s="1"/>
  <c r="W82" i="68"/>
  <c r="X82" i="70" s="1"/>
  <c r="W105" i="68"/>
  <c r="X105" i="68" s="1"/>
  <c r="W111" i="68"/>
  <c r="X111" i="70" s="1"/>
  <c r="T105" i="70"/>
  <c r="U105" i="70"/>
  <c r="U36" i="72"/>
  <c r="W36" i="72" s="1"/>
  <c r="X36" i="72" s="1"/>
  <c r="W64" i="72"/>
  <c r="X64" i="72" s="1"/>
  <c r="U176" i="68"/>
  <c r="W176" i="68" s="1"/>
  <c r="X176" i="70" s="1"/>
  <c r="W57" i="72"/>
  <c r="X57" i="72" s="1"/>
  <c r="W44" i="72"/>
  <c r="W175" i="68"/>
  <c r="X175" i="70" s="1"/>
  <c r="W14" i="72"/>
  <c r="W15" i="68"/>
  <c r="X15" i="68" s="1"/>
  <c r="W45" i="72"/>
  <c r="X45" i="72" s="1"/>
  <c r="W46" i="72"/>
  <c r="X46" i="72" s="1"/>
  <c r="W147" i="68"/>
  <c r="X147" i="70" s="1"/>
  <c r="W172" i="68"/>
  <c r="X172" i="70" s="1"/>
  <c r="W140" i="68"/>
  <c r="X140" i="70" s="1"/>
  <c r="W138" i="72"/>
  <c r="W47" i="72"/>
  <c r="X47" i="72" s="1"/>
  <c r="W171" i="68"/>
  <c r="X171" i="70" s="1"/>
  <c r="W138" i="68"/>
  <c r="X138" i="70" s="1"/>
  <c r="W137" i="68"/>
  <c r="X137" i="72" s="1"/>
  <c r="W137" i="72"/>
  <c r="W170" i="68"/>
  <c r="X170" i="70" s="1"/>
  <c r="W120" i="72"/>
  <c r="W169" i="68"/>
  <c r="X169" i="68" s="1"/>
  <c r="W136" i="72"/>
  <c r="W168" i="68"/>
  <c r="X168" i="70" s="1"/>
  <c r="W135" i="72"/>
  <c r="W167" i="68"/>
  <c r="X167" i="70" s="1"/>
  <c r="W136" i="68"/>
  <c r="X136" i="68" s="1"/>
  <c r="W135" i="68"/>
  <c r="X135" i="68" s="1"/>
  <c r="W134" i="68"/>
  <c r="X134" i="72" s="1"/>
  <c r="W134" i="72"/>
  <c r="W166" i="68"/>
  <c r="X166" i="68" s="1"/>
  <c r="W164" i="68"/>
  <c r="X164" i="70" s="1"/>
  <c r="W120" i="68"/>
  <c r="X120" i="70" s="1"/>
  <c r="W165" i="68"/>
  <c r="X165" i="70" s="1"/>
  <c r="W96" i="68"/>
  <c r="X96" i="70" s="1"/>
  <c r="W119" i="68"/>
  <c r="X119" i="70" s="1"/>
  <c r="W130" i="68"/>
  <c r="X130" i="68" s="1"/>
  <c r="W163" i="68"/>
  <c r="X163" i="68" s="1"/>
  <c r="W48" i="68"/>
  <c r="X48" i="72" s="1"/>
  <c r="W162" i="68"/>
  <c r="X162" i="70" s="1"/>
  <c r="W44" i="68"/>
  <c r="X44" i="72" s="1"/>
  <c r="W43" i="68"/>
  <c r="X43" i="72" s="1"/>
  <c r="W146" i="68"/>
  <c r="X146" i="70" s="1"/>
  <c r="W155" i="68"/>
  <c r="X155" i="68" s="1"/>
  <c r="W18" i="68"/>
  <c r="X18" i="73" s="1"/>
  <c r="W16" i="68"/>
  <c r="X16" i="68" s="1"/>
  <c r="U240" i="71"/>
  <c r="W240" i="71" s="1"/>
  <c r="X240" i="71" s="1"/>
  <c r="U222" i="71"/>
  <c r="W222" i="71" s="1"/>
  <c r="X222" i="71" s="1"/>
  <c r="U176" i="71"/>
  <c r="W176" i="71" s="1"/>
  <c r="X176" i="71" s="1"/>
  <c r="U175" i="71"/>
  <c r="W175" i="71" s="1"/>
  <c r="X175" i="71" s="1"/>
  <c r="W243" i="71"/>
  <c r="X243" i="71" s="1"/>
  <c r="W245" i="71"/>
  <c r="X245" i="71" s="1"/>
  <c r="W244" i="71"/>
  <c r="X244" i="71" s="1"/>
  <c r="W234" i="71"/>
  <c r="X234" i="71" s="1"/>
  <c r="W223" i="71"/>
  <c r="X223" i="71" s="1"/>
  <c r="W160" i="68"/>
  <c r="X160" i="68" s="1"/>
  <c r="W41" i="68"/>
  <c r="X41" i="72" s="1"/>
  <c r="W40" i="68"/>
  <c r="X40" i="72" s="1"/>
  <c r="W40" i="72"/>
  <c r="W16" i="72"/>
  <c r="X16" i="72" s="1"/>
  <c r="W15" i="72"/>
  <c r="X15" i="72" s="1"/>
  <c r="W221" i="71"/>
  <c r="X221" i="71" s="1"/>
  <c r="W232" i="71"/>
  <c r="X232" i="71" s="1"/>
  <c r="W217" i="71"/>
  <c r="X217" i="71" s="1"/>
  <c r="W78" i="68"/>
  <c r="X78" i="72" s="1"/>
  <c r="W235" i="71"/>
  <c r="W11" i="68"/>
  <c r="X11" i="72" s="1"/>
  <c r="W164" i="73"/>
  <c r="W154" i="68"/>
  <c r="X154" i="70" s="1"/>
  <c r="T133" i="70"/>
  <c r="U133" i="70"/>
  <c r="W153" i="68"/>
  <c r="X153" i="68" s="1"/>
  <c r="W178" i="71"/>
  <c r="X178" i="71" s="1"/>
  <c r="W152" i="68"/>
  <c r="X152" i="70" s="1"/>
  <c r="W133" i="68"/>
  <c r="X133" i="70" s="1"/>
  <c r="W132" i="68"/>
  <c r="X132" i="72" s="1"/>
  <c r="W194" i="71"/>
  <c r="X194" i="71" s="1"/>
  <c r="W151" i="68"/>
  <c r="X151" i="70" s="1"/>
  <c r="U114" i="68"/>
  <c r="W114" i="68" s="1"/>
  <c r="X114" i="68" s="1"/>
  <c r="W112" i="72"/>
  <c r="W150" i="68"/>
  <c r="X150" i="68" s="1"/>
  <c r="U113" i="68"/>
  <c r="W113" i="68" s="1"/>
  <c r="X113" i="72" s="1"/>
  <c r="W111" i="72"/>
  <c r="W177" i="71"/>
  <c r="X177" i="71" s="1"/>
  <c r="W149" i="68"/>
  <c r="X149" i="70" s="1"/>
  <c r="W151" i="72"/>
  <c r="X151" i="72" s="1"/>
  <c r="W150" i="72"/>
  <c r="X150" i="72" s="1"/>
  <c r="W149" i="72"/>
  <c r="X149" i="72" s="1"/>
  <c r="U242" i="71"/>
  <c r="W145" i="68"/>
  <c r="X145" i="70" s="1"/>
  <c r="W46" i="68"/>
  <c r="X46" i="68" s="1"/>
  <c r="W45" i="68"/>
  <c r="X45" i="71" s="1"/>
  <c r="W75" i="68"/>
  <c r="X75" i="68" s="1"/>
  <c r="W48" i="72"/>
  <c r="W116" i="68"/>
  <c r="X116" i="68" s="1"/>
  <c r="W132" i="72"/>
  <c r="W119" i="72"/>
  <c r="W118" i="72"/>
  <c r="W130" i="72"/>
  <c r="W42" i="68"/>
  <c r="X42" i="70" s="1"/>
  <c r="W89" i="68"/>
  <c r="X89" i="72" s="1"/>
  <c r="W88" i="68"/>
  <c r="X88" i="72" s="1"/>
  <c r="W76" i="68"/>
  <c r="X76" i="72" s="1"/>
  <c r="W97" i="68"/>
  <c r="X97" i="70" s="1"/>
  <c r="W118" i="68"/>
  <c r="X118" i="70" s="1"/>
  <c r="W117" i="68"/>
  <c r="X117" i="68" s="1"/>
  <c r="W100" i="68"/>
  <c r="X100" i="70" s="1"/>
  <c r="W99" i="68"/>
  <c r="X99" i="72" s="1"/>
  <c r="W108" i="68"/>
  <c r="X108" i="72" s="1"/>
  <c r="W88" i="72"/>
  <c r="W221" i="68"/>
  <c r="X221" i="70" s="1"/>
  <c r="W220" i="68"/>
  <c r="X220" i="70" s="1"/>
  <c r="W219" i="71"/>
  <c r="W85" i="72"/>
  <c r="W131" i="68"/>
  <c r="X131" i="72" s="1"/>
  <c r="W129" i="68"/>
  <c r="X129" i="72" s="1"/>
  <c r="W129" i="72"/>
  <c r="W95" i="72"/>
  <c r="W109" i="68"/>
  <c r="X109" i="68" s="1"/>
  <c r="W108" i="72"/>
  <c r="W27" i="68"/>
  <c r="X27" i="72" s="1"/>
  <c r="W117" i="72"/>
  <c r="W116" i="72"/>
  <c r="W126" i="68"/>
  <c r="X126" i="68" s="1"/>
  <c r="W125" i="68"/>
  <c r="X125" i="71" s="1"/>
  <c r="W94" i="72"/>
  <c r="W220" i="71"/>
  <c r="X220" i="71" s="1"/>
  <c r="W124" i="68"/>
  <c r="X124" i="70" s="1"/>
  <c r="W127" i="68"/>
  <c r="X127" i="70" s="1"/>
  <c r="W102" i="68"/>
  <c r="X102" i="68" s="1"/>
  <c r="W101" i="68"/>
  <c r="X101" i="72" s="1"/>
  <c r="W101" i="72"/>
  <c r="W106" i="72"/>
  <c r="W123" i="68"/>
  <c r="X123" i="68" s="1"/>
  <c r="W98" i="72"/>
  <c r="W19" i="72"/>
  <c r="W19" i="68"/>
  <c r="X19" i="72" s="1"/>
  <c r="W87" i="72"/>
  <c r="W115" i="68"/>
  <c r="X115" i="72" s="1"/>
  <c r="W115" i="72"/>
  <c r="R89" i="71"/>
  <c r="W218" i="71"/>
  <c r="X218" i="71" s="1"/>
  <c r="T77" i="70"/>
  <c r="U77" i="70"/>
  <c r="W77" i="68"/>
  <c r="X77" i="68" s="1"/>
  <c r="W98" i="68"/>
  <c r="X98" i="70" s="1"/>
  <c r="W97" i="72"/>
  <c r="W193" i="71"/>
  <c r="X193" i="71" s="1"/>
  <c r="W182" i="71"/>
  <c r="X182" i="71" s="1"/>
  <c r="W67" i="72"/>
  <c r="U112" i="68"/>
  <c r="W112" i="68" s="1"/>
  <c r="W11" i="72"/>
  <c r="W20" i="68"/>
  <c r="X20" i="68" s="1"/>
  <c r="W20" i="72"/>
  <c r="W110" i="68"/>
  <c r="X110" i="70" s="1"/>
  <c r="W58" i="72"/>
  <c r="W53" i="72"/>
  <c r="U117" i="71"/>
  <c r="W117" i="71" s="1"/>
  <c r="U118" i="71"/>
  <c r="W118" i="71" s="1"/>
  <c r="W125" i="71"/>
  <c r="W124" i="71"/>
  <c r="W146" i="72"/>
  <c r="W103" i="72"/>
  <c r="W102" i="72"/>
  <c r="W7" i="72"/>
  <c r="U4" i="70"/>
  <c r="W4" i="72" s="1"/>
  <c r="W145" i="72"/>
  <c r="W148" i="72"/>
  <c r="W103" i="68"/>
  <c r="X103" i="68" s="1"/>
  <c r="W104" i="68"/>
  <c r="X104" i="72" s="1"/>
  <c r="W113" i="72"/>
  <c r="W114" i="72"/>
  <c r="W26" i="72"/>
  <c r="W8" i="72"/>
  <c r="W9" i="68"/>
  <c r="X9" i="72" s="1"/>
  <c r="W8" i="68"/>
  <c r="X8" i="72" s="1"/>
  <c r="W47" i="68"/>
  <c r="X47" i="70" s="1"/>
  <c r="W92" i="68"/>
  <c r="X92" i="68" s="1"/>
  <c r="W157" i="68"/>
  <c r="X157" i="70" s="1"/>
  <c r="W147" i="72"/>
  <c r="W80" i="71"/>
  <c r="X80" i="71" s="1"/>
  <c r="W33" i="71"/>
  <c r="X33" i="71" s="1"/>
  <c r="W119" i="71"/>
  <c r="X119" i="71" s="1"/>
  <c r="U61" i="71"/>
  <c r="W61" i="71" s="1"/>
  <c r="X61" i="71" s="1"/>
  <c r="W130" i="71"/>
  <c r="X130" i="71" s="1"/>
  <c r="W5" i="72"/>
  <c r="W3" i="72"/>
  <c r="W6" i="72"/>
  <c r="W93" i="68"/>
  <c r="X93" i="72" s="1"/>
  <c r="W5" i="68"/>
  <c r="X5" i="68" s="1"/>
  <c r="W3" i="68"/>
  <c r="X3" i="72" s="1"/>
  <c r="W6" i="68"/>
  <c r="X6" i="70" s="1"/>
  <c r="W91" i="72"/>
  <c r="W89" i="72"/>
  <c r="W69" i="68"/>
  <c r="X69" i="70" s="1"/>
  <c r="W71" i="68"/>
  <c r="X71" i="70" s="1"/>
  <c r="U72" i="68"/>
  <c r="W72" i="68" s="1"/>
  <c r="W224" i="68"/>
  <c r="X224" i="70" s="1"/>
  <c r="W191" i="68"/>
  <c r="X191" i="70" s="1"/>
  <c r="W190" i="68"/>
  <c r="X190" i="68" s="1"/>
  <c r="W70" i="68"/>
  <c r="X70" i="68" s="1"/>
  <c r="W75" i="72"/>
  <c r="U36" i="71"/>
  <c r="T36" i="71"/>
  <c r="W24" i="68"/>
  <c r="X24" i="72" s="1"/>
  <c r="W10" i="72"/>
  <c r="W23" i="68"/>
  <c r="X23" i="72" s="1"/>
  <c r="W10" i="68"/>
  <c r="X10" i="72" s="1"/>
  <c r="W9" i="72"/>
  <c r="W86" i="71"/>
  <c r="X86" i="71" s="1"/>
  <c r="W75" i="71"/>
  <c r="X75" i="71" s="1"/>
  <c r="W10" i="71"/>
  <c r="W37" i="68"/>
  <c r="X37" i="70" s="1"/>
  <c r="W36" i="68"/>
  <c r="X36" i="70" s="1"/>
  <c r="W39" i="68"/>
  <c r="X39" i="72" s="1"/>
  <c r="W39" i="72"/>
  <c r="W182" i="70"/>
  <c r="X182" i="70" s="1"/>
  <c r="U234" i="70"/>
  <c r="W234" i="70" s="1"/>
  <c r="W25" i="72"/>
  <c r="W110" i="72"/>
  <c r="W85" i="71"/>
  <c r="X85" i="71" s="1"/>
  <c r="W83" i="71"/>
  <c r="X83" i="71" s="1"/>
  <c r="W29" i="71"/>
  <c r="X29" i="71" s="1"/>
  <c r="W68" i="71"/>
  <c r="X68" i="71" s="1"/>
  <c r="W67" i="71"/>
  <c r="X67" i="71" s="1"/>
  <c r="W56" i="71"/>
  <c r="X56" i="71" s="1"/>
  <c r="W45" i="71"/>
  <c r="U241" i="70"/>
  <c r="W241" i="70" s="1"/>
  <c r="U240" i="70"/>
  <c r="W240" i="70" s="1"/>
  <c r="W78" i="72"/>
  <c r="U189" i="70"/>
  <c r="W189" i="70" s="1"/>
  <c r="W189" i="68"/>
  <c r="X189" i="70" s="1"/>
  <c r="W186" i="68"/>
  <c r="X186" i="70" s="1"/>
  <c r="W208" i="68"/>
  <c r="X208" i="68" s="1"/>
  <c r="W217" i="68"/>
  <c r="X217" i="70" s="1"/>
  <c r="W216" i="68"/>
  <c r="X216" i="68" s="1"/>
  <c r="W156" i="68"/>
  <c r="X156" i="68" s="1"/>
  <c r="W194" i="68"/>
  <c r="X194" i="70" s="1"/>
  <c r="W195" i="68"/>
  <c r="X195" i="70" s="1"/>
  <c r="W11" i="71"/>
  <c r="X11" i="71" s="1"/>
  <c r="W219" i="68"/>
  <c r="X219" i="68" s="1"/>
  <c r="W225" i="68"/>
  <c r="X225" i="70" s="1"/>
  <c r="W25" i="71"/>
  <c r="W25" i="68"/>
  <c r="X25" i="71" s="1"/>
  <c r="W80" i="72"/>
  <c r="W79" i="72"/>
  <c r="W32" i="71"/>
  <c r="W32" i="68"/>
  <c r="X32" i="72" s="1"/>
  <c r="U223" i="70"/>
  <c r="W223" i="70" s="1"/>
  <c r="W127" i="72"/>
  <c r="W48" i="71"/>
  <c r="X48" i="71" s="1"/>
  <c r="W34" i="72"/>
  <c r="W49" i="72"/>
  <c r="W37" i="72"/>
  <c r="W27" i="72"/>
  <c r="U188" i="70"/>
  <c r="W188" i="70" s="1"/>
  <c r="W139" i="72"/>
  <c r="W140" i="72"/>
  <c r="W141" i="72"/>
  <c r="W142" i="72"/>
  <c r="W62" i="72"/>
  <c r="W63" i="72"/>
  <c r="W121" i="72"/>
  <c r="W122" i="72"/>
  <c r="W123" i="72"/>
  <c r="W124" i="72"/>
  <c r="W125" i="72"/>
  <c r="W126" i="72"/>
  <c r="W109" i="72"/>
  <c r="W71" i="72"/>
  <c r="W70" i="72"/>
  <c r="W69" i="72"/>
  <c r="W68" i="72"/>
  <c r="W23" i="72"/>
  <c r="W18" i="72"/>
  <c r="W17" i="72"/>
  <c r="W92" i="72"/>
  <c r="W38" i="72"/>
  <c r="W35" i="72"/>
  <c r="W22" i="72"/>
  <c r="W21" i="72"/>
  <c r="W29" i="72"/>
  <c r="W28" i="72"/>
  <c r="W61" i="72"/>
  <c r="W65" i="72"/>
  <c r="E88" i="71"/>
  <c r="E228" i="70"/>
  <c r="E243" i="70"/>
  <c r="W33" i="72"/>
  <c r="W32" i="72"/>
  <c r="W12" i="72"/>
  <c r="W30" i="72"/>
  <c r="E179" i="70"/>
  <c r="E208" i="70"/>
  <c r="U161" i="70"/>
  <c r="W161" i="70" s="1"/>
  <c r="E30" i="71"/>
  <c r="V132" i="66"/>
  <c r="E235" i="70"/>
  <c r="W66" i="72"/>
  <c r="W2" i="68"/>
  <c r="X2" i="72" s="1"/>
  <c r="W2" i="72"/>
  <c r="U246" i="70"/>
  <c r="E212" i="70"/>
  <c r="W143" i="70"/>
  <c r="X143" i="70" s="1"/>
  <c r="W242" i="71"/>
  <c r="W99" i="72"/>
  <c r="W59" i="72"/>
  <c r="W93" i="72"/>
  <c r="W31" i="72"/>
  <c r="W4" i="68"/>
  <c r="X4" i="72" s="1"/>
  <c r="W12" i="68"/>
  <c r="X12" i="72" s="1"/>
  <c r="W7" i="68"/>
  <c r="X7" i="72" s="1"/>
  <c r="W210" i="68"/>
  <c r="X210" i="68" s="1"/>
  <c r="W215" i="68"/>
  <c r="X215" i="70" s="1"/>
  <c r="W218" i="68"/>
  <c r="X218" i="68" s="1"/>
  <c r="W210" i="70"/>
  <c r="X210" i="70" s="1"/>
  <c r="W198" i="70"/>
  <c r="X198" i="70" s="1"/>
  <c r="W198" i="68"/>
  <c r="X198" i="68" s="1"/>
  <c r="W239" i="70"/>
  <c r="W209" i="68"/>
  <c r="X209" i="68" s="1"/>
  <c r="X239" i="70"/>
  <c r="W209" i="70"/>
  <c r="X209" i="70" s="1"/>
  <c r="W222" i="70"/>
  <c r="X222" i="70" s="1"/>
  <c r="W238" i="70"/>
  <c r="X238" i="70"/>
  <c r="W158" i="68"/>
  <c r="X158" i="70" s="1"/>
  <c r="W182" i="68"/>
  <c r="X182" i="68" s="1"/>
  <c r="U192" i="69"/>
  <c r="W212" i="68"/>
  <c r="X212" i="68" s="1"/>
  <c r="W211" i="68"/>
  <c r="X211" i="68" s="1"/>
  <c r="W151" i="70"/>
  <c r="E41" i="71"/>
  <c r="E81" i="71"/>
  <c r="W104" i="70"/>
  <c r="W232" i="70"/>
  <c r="W235" i="68"/>
  <c r="X235" i="70" s="1"/>
  <c r="W232" i="68"/>
  <c r="X232" i="70" s="1"/>
  <c r="W242" i="70"/>
  <c r="X242" i="70"/>
  <c r="W228" i="70"/>
  <c r="W231" i="68"/>
  <c r="X231" i="68" s="1"/>
  <c r="W228" i="68"/>
  <c r="X228" i="70" s="1"/>
  <c r="W227" i="70"/>
  <c r="W230" i="68"/>
  <c r="X230" i="70" s="1"/>
  <c r="W226" i="70"/>
  <c r="W229" i="68"/>
  <c r="X229" i="70" s="1"/>
  <c r="W226" i="68"/>
  <c r="X226" i="70" s="1"/>
  <c r="W47" i="67"/>
  <c r="X47" i="67" s="1"/>
  <c r="X237" i="70"/>
  <c r="X243" i="70"/>
  <c r="X244" i="70"/>
  <c r="W237" i="70"/>
  <c r="W243" i="70"/>
  <c r="W244" i="70"/>
  <c r="W225" i="70"/>
  <c r="W26" i="70"/>
  <c r="X26" i="70" s="1"/>
  <c r="W81" i="70"/>
  <c r="X81" i="70" s="1"/>
  <c r="W132" i="70"/>
  <c r="W9" i="71"/>
  <c r="X9" i="71" s="1"/>
  <c r="W213" i="68"/>
  <c r="X213" i="70" s="1"/>
  <c r="W188" i="68"/>
  <c r="X188" i="70" s="1"/>
  <c r="W65" i="70"/>
  <c r="X65" i="70" s="1"/>
  <c r="W236" i="70"/>
  <c r="W193" i="68"/>
  <c r="X193" i="68" s="1"/>
  <c r="W199" i="68"/>
  <c r="X199" i="70" s="1"/>
  <c r="X236" i="70"/>
  <c r="X301" i="42"/>
  <c r="W301" i="42"/>
  <c r="X300" i="42"/>
  <c r="W300" i="42"/>
  <c r="X299" i="42"/>
  <c r="W299" i="42"/>
  <c r="W298" i="42"/>
  <c r="X298" i="42"/>
  <c r="T246" i="70"/>
  <c r="W90" i="70"/>
  <c r="W137" i="70"/>
  <c r="W158" i="70"/>
  <c r="W92" i="70"/>
  <c r="W234" i="68"/>
  <c r="X234" i="70" s="1"/>
  <c r="W208" i="70"/>
  <c r="U223" i="68"/>
  <c r="W223" i="68" s="1"/>
  <c r="W207" i="70"/>
  <c r="W222" i="68"/>
  <c r="X222" i="68" s="1"/>
  <c r="W207" i="68"/>
  <c r="X207" i="68" s="1"/>
  <c r="W233" i="68"/>
  <c r="X233" i="70" s="1"/>
  <c r="W99" i="70"/>
  <c r="W98" i="70"/>
  <c r="W32" i="70"/>
  <c r="X32" i="70" s="1"/>
  <c r="W60" i="71"/>
  <c r="W97" i="70"/>
  <c r="U203" i="69"/>
  <c r="W229" i="70"/>
  <c r="W227" i="68"/>
  <c r="X227" i="68" s="1"/>
  <c r="W96" i="70"/>
  <c r="W82" i="70"/>
  <c r="W191" i="70"/>
  <c r="W192" i="70"/>
  <c r="W190" i="70"/>
  <c r="W19" i="70"/>
  <c r="W180" i="70"/>
  <c r="W176" i="70"/>
  <c r="W212" i="70"/>
  <c r="W219" i="70"/>
  <c r="W218" i="70"/>
  <c r="W206" i="70"/>
  <c r="E221" i="70"/>
  <c r="W221" i="70"/>
  <c r="W217" i="70"/>
  <c r="W214" i="70"/>
  <c r="W216" i="70"/>
  <c r="W224" i="70"/>
  <c r="E197" i="70"/>
  <c r="W187" i="68"/>
  <c r="X187" i="70" s="1"/>
  <c r="W187" i="70"/>
  <c r="W230" i="70"/>
  <c r="W179" i="70"/>
  <c r="U218" i="69"/>
  <c r="W75" i="70"/>
  <c r="W213" i="70"/>
  <c r="W205" i="68"/>
  <c r="X205" i="68" s="1"/>
  <c r="U180" i="69"/>
  <c r="U202" i="69"/>
  <c r="T202" i="69"/>
  <c r="W22" i="68"/>
  <c r="X22" i="68" s="1"/>
  <c r="W28" i="68"/>
  <c r="X28" i="70" s="1"/>
  <c r="W30" i="68"/>
  <c r="X30" i="72" s="1"/>
  <c r="W29" i="68"/>
  <c r="X29" i="72" s="1"/>
  <c r="W21" i="68"/>
  <c r="X21" i="72" s="1"/>
  <c r="W204" i="68"/>
  <c r="X204" i="70" s="1"/>
  <c r="W154" i="70"/>
  <c r="W203" i="68"/>
  <c r="X203" i="68" s="1"/>
  <c r="W170" i="70"/>
  <c r="W123" i="69"/>
  <c r="X123" i="69" s="1"/>
  <c r="W202" i="68"/>
  <c r="X202" i="68" s="1"/>
  <c r="W196" i="68"/>
  <c r="X196" i="70" s="1"/>
  <c r="W220" i="70"/>
  <c r="W201" i="68"/>
  <c r="X201" i="68" s="1"/>
  <c r="W183" i="68"/>
  <c r="X183" i="70" s="1"/>
  <c r="W183" i="70"/>
  <c r="W200" i="68"/>
  <c r="X200" i="70" s="1"/>
  <c r="W114" i="70"/>
  <c r="W115" i="70"/>
  <c r="W113" i="70"/>
  <c r="W197" i="68"/>
  <c r="X197" i="68" s="1"/>
  <c r="W85" i="70"/>
  <c r="W79" i="70"/>
  <c r="W80" i="70"/>
  <c r="W196" i="70"/>
  <c r="W74" i="70"/>
  <c r="W145" i="70"/>
  <c r="W192" i="68"/>
  <c r="X192" i="68" s="1"/>
  <c r="W181" i="68"/>
  <c r="X181" i="70" s="1"/>
  <c r="W163" i="70"/>
  <c r="X245" i="70"/>
  <c r="W245" i="70"/>
  <c r="W180" i="68"/>
  <c r="X180" i="68" s="1"/>
  <c r="W178" i="70"/>
  <c r="W200" i="70"/>
  <c r="W231" i="70"/>
  <c r="W205" i="70"/>
  <c r="W206" i="68"/>
  <c r="X206" i="70" s="1"/>
  <c r="W184" i="68"/>
  <c r="X184" i="70" s="1"/>
  <c r="W204" i="70"/>
  <c r="W203" i="70"/>
  <c r="W210" i="69"/>
  <c r="X210" i="69" s="1"/>
  <c r="W209" i="69"/>
  <c r="X209" i="69" s="1"/>
  <c r="W208" i="69"/>
  <c r="X208" i="69" s="1"/>
  <c r="W207" i="69"/>
  <c r="X207" i="69" s="1"/>
  <c r="W143" i="69"/>
  <c r="X143" i="69" s="1"/>
  <c r="W183" i="69"/>
  <c r="X183" i="69" s="1"/>
  <c r="W193" i="70"/>
  <c r="W211" i="70"/>
  <c r="W152" i="70"/>
  <c r="W168" i="70"/>
  <c r="W167" i="70"/>
  <c r="W150" i="70"/>
  <c r="W172" i="70"/>
  <c r="W174" i="68"/>
  <c r="W62" i="70"/>
  <c r="W38" i="68"/>
  <c r="X38" i="72" s="1"/>
  <c r="W37" i="70"/>
  <c r="W124" i="70"/>
  <c r="W162" i="70"/>
  <c r="W38" i="70"/>
  <c r="W186" i="70"/>
  <c r="X185" i="70"/>
  <c r="W185" i="70"/>
  <c r="W144" i="70"/>
  <c r="W199" i="70"/>
  <c r="W184" i="70"/>
  <c r="W235" i="70"/>
  <c r="W139" i="70"/>
  <c r="W181" i="70"/>
  <c r="W161" i="68"/>
  <c r="X161" i="68" s="1"/>
  <c r="W31" i="68"/>
  <c r="X31" i="68" s="1"/>
  <c r="W197" i="70"/>
  <c r="W214" i="68"/>
  <c r="X214" i="68" s="1"/>
  <c r="U140" i="69"/>
  <c r="U139" i="69"/>
  <c r="W159" i="68"/>
  <c r="X159" i="70" s="1"/>
  <c r="E61" i="70"/>
  <c r="W181" i="69"/>
  <c r="X181" i="69" s="1"/>
  <c r="W141" i="69"/>
  <c r="X141" i="69" s="1"/>
  <c r="U36" i="69"/>
  <c r="W172" i="69"/>
  <c r="X172" i="69" s="1"/>
  <c r="W99" i="69"/>
  <c r="X99" i="69" s="1"/>
  <c r="W87" i="69"/>
  <c r="X87" i="69" s="1"/>
  <c r="W60" i="70"/>
  <c r="W136" i="70"/>
  <c r="W34" i="70"/>
  <c r="W215" i="70"/>
  <c r="W48" i="70"/>
  <c r="W69" i="70"/>
  <c r="W61" i="70"/>
  <c r="W140" i="70"/>
  <c r="W141" i="70"/>
  <c r="W171" i="70"/>
  <c r="W138" i="70"/>
  <c r="W142" i="70"/>
  <c r="W175" i="70"/>
  <c r="W128" i="70"/>
  <c r="W47" i="70"/>
  <c r="W49" i="70"/>
  <c r="W50" i="70"/>
  <c r="W164" i="69"/>
  <c r="X164" i="69" s="1"/>
  <c r="W88" i="69"/>
  <c r="X88" i="69" s="1"/>
  <c r="W45" i="69"/>
  <c r="X45" i="69" s="1"/>
  <c r="W9" i="70"/>
  <c r="W17" i="70"/>
  <c r="W182" i="69"/>
  <c r="X182" i="69" s="1"/>
  <c r="W53" i="69"/>
  <c r="X53" i="69" s="1"/>
  <c r="W226" i="69"/>
  <c r="W40" i="70"/>
  <c r="W44" i="70"/>
  <c r="W45" i="70"/>
  <c r="W46" i="70"/>
  <c r="W29" i="70"/>
  <c r="W30" i="70"/>
  <c r="W31" i="70"/>
  <c r="W13" i="70"/>
  <c r="W24" i="70"/>
  <c r="W11" i="70"/>
  <c r="W41" i="70"/>
  <c r="W87" i="70"/>
  <c r="W52" i="70"/>
  <c r="W106" i="70"/>
  <c r="W94" i="70"/>
  <c r="W2" i="70"/>
  <c r="W173" i="70"/>
  <c r="W3" i="70"/>
  <c r="W7" i="70"/>
  <c r="W5" i="70"/>
  <c r="W6" i="70"/>
  <c r="W8" i="70"/>
  <c r="W10" i="70"/>
  <c r="W12" i="70"/>
  <c r="W15" i="70"/>
  <c r="W14" i="70"/>
  <c r="W18" i="70"/>
  <c r="W20" i="70"/>
  <c r="W21" i="70"/>
  <c r="W22" i="70"/>
  <c r="W27" i="70"/>
  <c r="W23" i="70"/>
  <c r="W33" i="70"/>
  <c r="W16" i="70"/>
  <c r="W72" i="70"/>
  <c r="W25" i="70"/>
  <c r="W28" i="70"/>
  <c r="W35" i="70"/>
  <c r="W56" i="70"/>
  <c r="W36" i="70"/>
  <c r="W39" i="70"/>
  <c r="W70" i="70"/>
  <c r="W53" i="70"/>
  <c r="W71" i="70"/>
  <c r="W42" i="70"/>
  <c r="W43" i="70"/>
  <c r="W93" i="70"/>
  <c r="W174" i="70"/>
  <c r="W51" i="70"/>
  <c r="W57" i="70"/>
  <c r="W58" i="70"/>
  <c r="X58" i="70" s="1"/>
  <c r="W63" i="70"/>
  <c r="W59" i="70"/>
  <c r="X59" i="70" s="1"/>
  <c r="W54" i="70"/>
  <c r="X54" i="70" s="1"/>
  <c r="W66" i="70"/>
  <c r="W101" i="70"/>
  <c r="W102" i="70"/>
  <c r="W116" i="70"/>
  <c r="W55" i="70"/>
  <c r="X55" i="70" s="1"/>
  <c r="W67" i="70"/>
  <c r="W109" i="70"/>
  <c r="W83" i="70"/>
  <c r="W68" i="70"/>
  <c r="W64" i="70"/>
  <c r="X64" i="70" s="1"/>
  <c r="W131" i="70"/>
  <c r="W73" i="70"/>
  <c r="W78" i="70"/>
  <c r="W84" i="70"/>
  <c r="W177" i="70"/>
  <c r="X177" i="70" s="1"/>
  <c r="W123" i="70"/>
  <c r="W86" i="70"/>
  <c r="W155" i="70"/>
  <c r="X155" i="70" s="1"/>
  <c r="W156" i="70"/>
  <c r="W122" i="70"/>
  <c r="W157" i="70"/>
  <c r="W195" i="70"/>
  <c r="W159" i="70"/>
  <c r="W134" i="70"/>
  <c r="W88" i="70"/>
  <c r="W89" i="70"/>
  <c r="W194" i="70"/>
  <c r="W129" i="70"/>
  <c r="W130" i="70"/>
  <c r="W117" i="70"/>
  <c r="W95" i="70"/>
  <c r="W149" i="70"/>
  <c r="W126" i="70"/>
  <c r="W118" i="70"/>
  <c r="W100" i="70"/>
  <c r="W164" i="70"/>
  <c r="W119" i="70"/>
  <c r="W146" i="70"/>
  <c r="W103" i="70"/>
  <c r="W147" i="70"/>
  <c r="W120" i="70"/>
  <c r="W108" i="70"/>
  <c r="W148" i="70"/>
  <c r="W111" i="70"/>
  <c r="W165" i="70"/>
  <c r="W121" i="70"/>
  <c r="W112" i="70"/>
  <c r="W127" i="70"/>
  <c r="W135" i="70"/>
  <c r="W160" i="70"/>
  <c r="W110" i="70"/>
  <c r="W125" i="70"/>
  <c r="W107" i="70"/>
  <c r="W91" i="70"/>
  <c r="W169" i="70"/>
  <c r="W166" i="70"/>
  <c r="W153" i="70"/>
  <c r="W233" i="70"/>
  <c r="X240" i="70"/>
  <c r="X241" i="70"/>
  <c r="W148" i="68"/>
  <c r="X148" i="68" s="1"/>
  <c r="U79" i="69"/>
  <c r="W79" i="69" s="1"/>
  <c r="X79" i="69" s="1"/>
  <c r="W63" i="69"/>
  <c r="X63" i="69" s="1"/>
  <c r="W59" i="69"/>
  <c r="X59" i="69" s="1"/>
  <c r="W58" i="69"/>
  <c r="X58" i="69" s="1"/>
  <c r="W57" i="69"/>
  <c r="X57" i="69" s="1"/>
  <c r="W56" i="69"/>
  <c r="X56" i="69" s="1"/>
  <c r="W55" i="69"/>
  <c r="X55" i="69" s="1"/>
  <c r="W54" i="69"/>
  <c r="X54" i="69" s="1"/>
  <c r="W34" i="69"/>
  <c r="X34" i="69" s="1"/>
  <c r="W27" i="69"/>
  <c r="X27" i="69" s="1"/>
  <c r="W155" i="69"/>
  <c r="X155" i="69" s="1"/>
  <c r="W166" i="69"/>
  <c r="X166" i="69" s="1"/>
  <c r="W131" i="69"/>
  <c r="X131" i="69" s="1"/>
  <c r="W130" i="69"/>
  <c r="X130" i="69" s="1"/>
  <c r="W129" i="69"/>
  <c r="X129" i="69" s="1"/>
  <c r="W51" i="69"/>
  <c r="X51" i="69" s="1"/>
  <c r="W50" i="69"/>
  <c r="X50" i="69" s="1"/>
  <c r="W52" i="69"/>
  <c r="X52" i="69" s="1"/>
  <c r="W31" i="69"/>
  <c r="X31" i="69" s="1"/>
  <c r="W25" i="69"/>
  <c r="X25" i="69" s="1"/>
  <c r="W142" i="69"/>
  <c r="X142" i="69" s="1"/>
  <c r="W44" i="69"/>
  <c r="X44" i="69" s="1"/>
  <c r="W26" i="69"/>
  <c r="X26" i="69" s="1"/>
  <c r="X204" i="64"/>
  <c r="W204" i="64"/>
  <c r="W205" i="67"/>
  <c r="X205" i="67" s="1"/>
  <c r="W204" i="67"/>
  <c r="X204" i="67" s="1"/>
  <c r="W83" i="69"/>
  <c r="X83" i="69" s="1"/>
  <c r="U24" i="69"/>
  <c r="W24" i="69" s="1"/>
  <c r="X24" i="69" s="1"/>
  <c r="U78" i="69"/>
  <c r="W78" i="69" s="1"/>
  <c r="W26" i="68"/>
  <c r="X26" i="72" s="1"/>
  <c r="U107" i="69"/>
  <c r="W107" i="69" s="1"/>
  <c r="X107" i="69" s="1"/>
  <c r="T159" i="69"/>
  <c r="U159" i="69"/>
  <c r="U109" i="69"/>
  <c r="W109" i="69" s="1"/>
  <c r="X109" i="69" s="1"/>
  <c r="T128" i="69"/>
  <c r="U128" i="69"/>
  <c r="U108" i="69"/>
  <c r="W108" i="69" s="1"/>
  <c r="X108" i="69" s="1"/>
  <c r="U112" i="69"/>
  <c r="W112" i="69" s="1"/>
  <c r="X112" i="69" s="1"/>
  <c r="U14" i="69"/>
  <c r="W14" i="69" s="1"/>
  <c r="X14" i="69" s="1"/>
  <c r="W111" i="69"/>
  <c r="X111" i="69" s="1"/>
  <c r="W72" i="69"/>
  <c r="X72" i="69" s="1"/>
  <c r="W48" i="69"/>
  <c r="X48" i="69" s="1"/>
  <c r="W35" i="69"/>
  <c r="X35" i="69" s="1"/>
  <c r="W81" i="69"/>
  <c r="X81" i="69" s="1"/>
  <c r="W80" i="69"/>
  <c r="X80" i="69" s="1"/>
  <c r="W110" i="69"/>
  <c r="X110" i="69" s="1"/>
  <c r="X246" i="70"/>
  <c r="X173" i="70"/>
  <c r="W23" i="69"/>
  <c r="X23" i="69" s="1"/>
  <c r="T62" i="69"/>
  <c r="U62" i="69"/>
  <c r="U47" i="69"/>
  <c r="W47" i="69" s="1"/>
  <c r="X47" i="69" s="1"/>
  <c r="U46" i="69"/>
  <c r="W46" i="69" s="1"/>
  <c r="X46" i="69" s="1"/>
  <c r="W21" i="69"/>
  <c r="X21" i="69" s="1"/>
  <c r="U42" i="69"/>
  <c r="E231" i="69"/>
  <c r="W16" i="69"/>
  <c r="X16" i="69" s="1"/>
  <c r="W13" i="69"/>
  <c r="X13" i="69" s="1"/>
  <c r="W15" i="69"/>
  <c r="X15" i="69" s="1"/>
  <c r="U167" i="67"/>
  <c r="W167" i="67" s="1"/>
  <c r="X167" i="67" s="1"/>
  <c r="U166" i="67"/>
  <c r="W166" i="67" s="1"/>
  <c r="X166" i="67" s="1"/>
  <c r="U177" i="67"/>
  <c r="W177" i="67" s="1"/>
  <c r="X177" i="67" s="1"/>
  <c r="U168" i="67"/>
  <c r="W168" i="67" s="1"/>
  <c r="X168" i="67" s="1"/>
  <c r="U23" i="67"/>
  <c r="W23" i="67" s="1"/>
  <c r="X23" i="67" s="1"/>
  <c r="T102" i="66"/>
  <c r="T101" i="66"/>
  <c r="U101" i="66"/>
  <c r="X296" i="42"/>
  <c r="W296" i="42"/>
  <c r="U181" i="67"/>
  <c r="W181" i="67" s="1"/>
  <c r="U199" i="67"/>
  <c r="W199" i="67" s="1"/>
  <c r="X199" i="67" s="1"/>
  <c r="U115" i="67"/>
  <c r="W115" i="67" s="1"/>
  <c r="X115" i="67" s="1"/>
  <c r="W96" i="67"/>
  <c r="X96" i="67" s="1"/>
  <c r="W63" i="67"/>
  <c r="X63" i="67" s="1"/>
  <c r="U108" i="67"/>
  <c r="W108" i="67" s="1"/>
  <c r="X108" i="67" s="1"/>
  <c r="X295" i="42"/>
  <c r="W295" i="42"/>
  <c r="U114" i="67"/>
  <c r="W114" i="67" s="1"/>
  <c r="X114" i="67" s="1"/>
  <c r="X185" i="68"/>
  <c r="W102" i="67"/>
  <c r="X102" i="67" s="1"/>
  <c r="E234" i="68"/>
  <c r="E69" i="68"/>
  <c r="E227" i="68"/>
  <c r="E184" i="68"/>
  <c r="E124" i="68"/>
  <c r="W51" i="67"/>
  <c r="X51" i="67" s="1"/>
  <c r="W148" i="67"/>
  <c r="X148" i="67" s="1"/>
  <c r="U75" i="67"/>
  <c r="W75" i="67" s="1"/>
  <c r="X75" i="67" s="1"/>
  <c r="U116" i="67"/>
  <c r="W116" i="67" s="1"/>
  <c r="X116" i="67" s="1"/>
  <c r="W74" i="67"/>
  <c r="X74" i="67" s="1"/>
  <c r="U14" i="67"/>
  <c r="V14" i="67" s="1"/>
  <c r="U102" i="66"/>
  <c r="U145" i="66"/>
  <c r="W145" i="66" s="1"/>
  <c r="X145" i="66" s="1"/>
  <c r="U100" i="66"/>
  <c r="W100" i="66" s="1"/>
  <c r="X100" i="66" s="1"/>
  <c r="U12" i="67"/>
  <c r="W12" i="67" s="1"/>
  <c r="X12" i="67" s="1"/>
  <c r="W71" i="67"/>
  <c r="X71" i="67" s="1"/>
  <c r="W69" i="67"/>
  <c r="X69" i="67" s="1"/>
  <c r="W77" i="67"/>
  <c r="X77" i="67" s="1"/>
  <c r="X293" i="42"/>
  <c r="W293" i="42"/>
  <c r="U154" i="67"/>
  <c r="W154" i="67" s="1"/>
  <c r="X154" i="67" s="1"/>
  <c r="W42" i="67"/>
  <c r="X42" i="67" s="1"/>
  <c r="W43" i="67"/>
  <c r="X43" i="67" s="1"/>
  <c r="W41" i="67"/>
  <c r="X41" i="67" s="1"/>
  <c r="W44" i="67"/>
  <c r="X44" i="67" s="1"/>
  <c r="V78" i="67"/>
  <c r="X78" i="67" s="1"/>
  <c r="W13" i="67"/>
  <c r="W157" i="67"/>
  <c r="X157" i="67" s="1"/>
  <c r="W188" i="67"/>
  <c r="X188" i="67" s="1"/>
  <c r="W158" i="67"/>
  <c r="X158" i="67" s="1"/>
  <c r="U89" i="66"/>
  <c r="W89" i="66" s="1"/>
  <c r="X89" i="66" s="1"/>
  <c r="U88" i="66"/>
  <c r="W88" i="66" s="1"/>
  <c r="X88" i="66" s="1"/>
  <c r="W91" i="67"/>
  <c r="X91" i="67" s="1"/>
  <c r="X288" i="42"/>
  <c r="W288" i="42"/>
  <c r="X287" i="42"/>
  <c r="W287" i="42"/>
  <c r="X286" i="42"/>
  <c r="W286" i="42"/>
  <c r="X285" i="42"/>
  <c r="W285" i="42"/>
  <c r="W142" i="67"/>
  <c r="X142" i="67" s="1"/>
  <c r="U131" i="66"/>
  <c r="W131" i="66" s="1"/>
  <c r="X131" i="66" s="1"/>
  <c r="X284" i="42"/>
  <c r="W284" i="42"/>
  <c r="W59" i="67"/>
  <c r="X59" i="67" s="1"/>
  <c r="W87" i="67"/>
  <c r="X87" i="67" s="1"/>
  <c r="W180" i="67"/>
  <c r="X180" i="67" s="1"/>
  <c r="U87" i="66"/>
  <c r="W87" i="66" s="1"/>
  <c r="X87" i="66" s="1"/>
  <c r="U85" i="66"/>
  <c r="W85" i="66" s="1"/>
  <c r="X85" i="66" s="1"/>
  <c r="W147" i="67"/>
  <c r="X147" i="67" s="1"/>
  <c r="U99" i="66"/>
  <c r="W99" i="66" s="1"/>
  <c r="X99" i="66" s="1"/>
  <c r="W156" i="67"/>
  <c r="X156" i="67" s="1"/>
  <c r="W153" i="67"/>
  <c r="X153" i="67" s="1"/>
  <c r="W189" i="67"/>
  <c r="X189" i="67" s="1"/>
  <c r="W104" i="67"/>
  <c r="X104" i="67" s="1"/>
  <c r="W123" i="67"/>
  <c r="X123" i="67" s="1"/>
  <c r="W120" i="67"/>
  <c r="X120" i="67" s="1"/>
  <c r="W134" i="67"/>
  <c r="X134" i="67" s="1"/>
  <c r="W135" i="67"/>
  <c r="X135" i="67" s="1"/>
  <c r="W110" i="67"/>
  <c r="X110" i="67" s="1"/>
  <c r="W136" i="67"/>
  <c r="X136" i="67" s="1"/>
  <c r="W117" i="67"/>
  <c r="X117" i="67" s="1"/>
  <c r="W118" i="67"/>
  <c r="X118" i="67" s="1"/>
  <c r="W119" i="67"/>
  <c r="X119" i="67" s="1"/>
  <c r="U97" i="66"/>
  <c r="W97" i="66" s="1"/>
  <c r="X97" i="66" s="1"/>
  <c r="W128" i="67"/>
  <c r="X128" i="67" s="1"/>
  <c r="W127" i="67"/>
  <c r="X127" i="67" s="1"/>
  <c r="W86" i="67"/>
  <c r="X86" i="67" s="1"/>
  <c r="W40" i="67"/>
  <c r="X40" i="67" s="1"/>
  <c r="W39" i="67"/>
  <c r="X39" i="67" s="1"/>
  <c r="W143" i="67"/>
  <c r="X143" i="67" s="1"/>
  <c r="W106" i="67"/>
  <c r="X106" i="67" s="1"/>
  <c r="W140" i="67"/>
  <c r="X140" i="67" s="1"/>
  <c r="W111" i="67"/>
  <c r="X111" i="67" s="1"/>
  <c r="W187" i="67"/>
  <c r="X187" i="67" s="1"/>
  <c r="W70" i="67"/>
  <c r="X70" i="67" s="1"/>
  <c r="W79" i="67"/>
  <c r="X79" i="67" s="1"/>
  <c r="U98" i="66"/>
  <c r="W98" i="66" s="1"/>
  <c r="X98" i="66" s="1"/>
  <c r="X281" i="42"/>
  <c r="W281" i="42"/>
  <c r="W129" i="67"/>
  <c r="X129" i="67" s="1"/>
  <c r="W97" i="67"/>
  <c r="X97" i="67" s="1"/>
  <c r="W141" i="67"/>
  <c r="X141" i="67" s="1"/>
  <c r="W173" i="67"/>
  <c r="X173" i="67" s="1"/>
  <c r="W60" i="67"/>
  <c r="X60" i="67" s="1"/>
  <c r="W198" i="67"/>
  <c r="X198" i="67" s="1"/>
  <c r="W139" i="67"/>
  <c r="X139" i="67" s="1"/>
  <c r="W200" i="67"/>
  <c r="X200" i="67" s="1"/>
  <c r="W76" i="67"/>
  <c r="X76" i="67" s="1"/>
  <c r="W66" i="67"/>
  <c r="X66" i="67" s="1"/>
  <c r="W151" i="67"/>
  <c r="X151" i="67" s="1"/>
  <c r="W101" i="67"/>
  <c r="X101" i="67" s="1"/>
  <c r="W100" i="67"/>
  <c r="X100" i="67" s="1"/>
  <c r="W49" i="67"/>
  <c r="X49" i="67" s="1"/>
  <c r="W201" i="67"/>
  <c r="X201" i="67" s="1"/>
  <c r="W195" i="67"/>
  <c r="X195" i="67" s="1"/>
  <c r="W197" i="67"/>
  <c r="X197" i="67" s="1"/>
  <c r="W149" i="67"/>
  <c r="X149" i="67" s="1"/>
  <c r="W121" i="67"/>
  <c r="X121" i="67" s="1"/>
  <c r="W150" i="67"/>
  <c r="X150" i="67" s="1"/>
  <c r="W190" i="67"/>
  <c r="X190" i="67" s="1"/>
  <c r="W191" i="67"/>
  <c r="X191" i="67" s="1"/>
  <c r="W130" i="67"/>
  <c r="X130" i="67" s="1"/>
  <c r="W131" i="67"/>
  <c r="X131" i="67" s="1"/>
  <c r="W89" i="67"/>
  <c r="X89" i="67" s="1"/>
  <c r="W175" i="67"/>
  <c r="X175" i="67" s="1"/>
  <c r="W65" i="67"/>
  <c r="X65" i="67" s="1"/>
  <c r="W138" i="67"/>
  <c r="X138" i="67" s="1"/>
  <c r="W113" i="67"/>
  <c r="X113" i="67" s="1"/>
  <c r="W184" i="67"/>
  <c r="W145" i="67"/>
  <c r="X145" i="67" s="1"/>
  <c r="W30" i="67"/>
  <c r="X30" i="67" s="1"/>
  <c r="W7" i="67"/>
  <c r="X7" i="67" s="1"/>
  <c r="W35" i="67"/>
  <c r="X35" i="67" s="1"/>
  <c r="W124" i="67"/>
  <c r="X124" i="67" s="1"/>
  <c r="W137" i="67"/>
  <c r="X137" i="67" s="1"/>
  <c r="W99" i="67"/>
  <c r="X99" i="67" s="1"/>
  <c r="W61" i="67"/>
  <c r="X61" i="67" s="1"/>
  <c r="W192" i="67"/>
  <c r="X192" i="67" s="1"/>
  <c r="W193" i="67"/>
  <c r="X193" i="67" s="1"/>
  <c r="W194" i="67"/>
  <c r="X194" i="67" s="1"/>
  <c r="W126" i="67"/>
  <c r="X126" i="67" s="1"/>
  <c r="W55" i="67"/>
  <c r="X55" i="67" s="1"/>
  <c r="W54" i="67"/>
  <c r="X54" i="67" s="1"/>
  <c r="W53" i="67"/>
  <c r="X53" i="67" s="1"/>
  <c r="W48" i="67"/>
  <c r="X48" i="67" s="1"/>
  <c r="W176" i="67"/>
  <c r="X176" i="67" s="1"/>
  <c r="W185" i="67"/>
  <c r="X185" i="67" s="1"/>
  <c r="W105" i="67"/>
  <c r="X105" i="67" s="1"/>
  <c r="W15" i="67"/>
  <c r="X15" i="67" s="1"/>
  <c r="W38" i="67"/>
  <c r="X38" i="67" s="1"/>
  <c r="W56" i="67"/>
  <c r="X56" i="67" s="1"/>
  <c r="W88" i="67"/>
  <c r="X88" i="67" s="1"/>
  <c r="W105" i="66"/>
  <c r="X105" i="66" s="1"/>
  <c r="W2" i="66"/>
  <c r="X2" i="66" s="1"/>
  <c r="W106" i="66"/>
  <c r="X106" i="66" s="1"/>
  <c r="W110" i="66"/>
  <c r="X110" i="66" s="1"/>
  <c r="W111" i="66"/>
  <c r="X111" i="66" s="1"/>
  <c r="W112" i="66"/>
  <c r="X112" i="66" s="1"/>
  <c r="W107" i="66"/>
  <c r="X107" i="66" s="1"/>
  <c r="W113" i="66"/>
  <c r="X113" i="66" s="1"/>
  <c r="W8" i="66"/>
  <c r="X8" i="66" s="1"/>
  <c r="W9" i="66"/>
  <c r="X9" i="66" s="1"/>
  <c r="W10" i="66"/>
  <c r="X10" i="66" s="1"/>
  <c r="W11" i="66"/>
  <c r="X11" i="66" s="1"/>
  <c r="W12" i="66"/>
  <c r="X12" i="66" s="1"/>
  <c r="W3" i="66"/>
  <c r="X3" i="66" s="1"/>
  <c r="W4" i="66"/>
  <c r="X4" i="66" s="1"/>
  <c r="W5" i="66"/>
  <c r="X5" i="66" s="1"/>
  <c r="W6" i="66"/>
  <c r="X6" i="66" s="1"/>
  <c r="W7" i="66"/>
  <c r="X7" i="66" s="1"/>
  <c r="W13" i="66"/>
  <c r="X13" i="66" s="1"/>
  <c r="W14" i="66"/>
  <c r="X14" i="66" s="1"/>
  <c r="W20" i="66"/>
  <c r="X20" i="66" s="1"/>
  <c r="W15" i="66"/>
  <c r="X15" i="66" s="1"/>
  <c r="W63" i="66"/>
  <c r="X63" i="66" s="1"/>
  <c r="W23" i="66"/>
  <c r="X23" i="66" s="1"/>
  <c r="W24" i="66"/>
  <c r="X24" i="66" s="1"/>
  <c r="W16" i="66"/>
  <c r="X16" i="66" s="1"/>
  <c r="W17" i="66"/>
  <c r="X17" i="66" s="1"/>
  <c r="W18" i="66"/>
  <c r="X18" i="66" s="1"/>
  <c r="W19" i="66"/>
  <c r="X19" i="66" s="1"/>
  <c r="W21" i="66"/>
  <c r="X21" i="66" s="1"/>
  <c r="W22" i="66"/>
  <c r="X22" i="66" s="1"/>
  <c r="W25" i="66"/>
  <c r="X25" i="66" s="1"/>
  <c r="W26" i="66"/>
  <c r="X26" i="66" s="1"/>
  <c r="W27" i="66"/>
  <c r="X27" i="66" s="1"/>
  <c r="W28" i="66"/>
  <c r="X28" i="66" s="1"/>
  <c r="W29" i="66"/>
  <c r="X29" i="66" s="1"/>
  <c r="W30" i="66"/>
  <c r="X30" i="66" s="1"/>
  <c r="W35" i="66"/>
  <c r="X35" i="66" s="1"/>
  <c r="W36" i="66"/>
  <c r="X36" i="66" s="1"/>
  <c r="W37" i="66"/>
  <c r="X37" i="66" s="1"/>
  <c r="W38" i="66"/>
  <c r="X38" i="66" s="1"/>
  <c r="W76" i="66"/>
  <c r="X76" i="66" s="1"/>
  <c r="W32" i="66"/>
  <c r="X32" i="66" s="1"/>
  <c r="W114" i="66"/>
  <c r="X114" i="66" s="1"/>
  <c r="W115" i="66"/>
  <c r="X115" i="66" s="1"/>
  <c r="W116" i="66"/>
  <c r="X116" i="66" s="1"/>
  <c r="W103" i="66"/>
  <c r="X103" i="66" s="1"/>
  <c r="W104" i="66"/>
  <c r="X104" i="66" s="1"/>
  <c r="W96" i="66"/>
  <c r="X96" i="66" s="1"/>
  <c r="W33" i="66"/>
  <c r="X33" i="66" s="1"/>
  <c r="W118" i="66"/>
  <c r="X118" i="66" s="1"/>
  <c r="W119" i="66"/>
  <c r="X119" i="66" s="1"/>
  <c r="W48" i="66"/>
  <c r="X48" i="66" s="1"/>
  <c r="W120" i="66"/>
  <c r="X120" i="66" s="1"/>
  <c r="W34" i="66"/>
  <c r="X34" i="66" s="1"/>
  <c r="W51" i="66"/>
  <c r="X51" i="66" s="1"/>
  <c r="W123" i="66"/>
  <c r="X123" i="66" s="1"/>
  <c r="W124" i="66"/>
  <c r="X124" i="66" s="1"/>
  <c r="W125" i="66"/>
  <c r="X125" i="66" s="1"/>
  <c r="W126" i="66"/>
  <c r="X126" i="66" s="1"/>
  <c r="W127" i="66"/>
  <c r="X127" i="66" s="1"/>
  <c r="W39" i="66"/>
  <c r="X39" i="66" s="1"/>
  <c r="W58" i="66"/>
  <c r="X58" i="66" s="1"/>
  <c r="W108" i="66"/>
  <c r="X108" i="66" s="1"/>
  <c r="W121" i="66"/>
  <c r="X121" i="66" s="1"/>
  <c r="W122" i="66"/>
  <c r="X122" i="66" s="1"/>
  <c r="W60" i="66"/>
  <c r="X60" i="66" s="1"/>
  <c r="W95" i="66"/>
  <c r="X95" i="66" s="1"/>
  <c r="W83" i="66"/>
  <c r="X83" i="66" s="1"/>
  <c r="W61" i="66"/>
  <c r="X61" i="66" s="1"/>
  <c r="W62" i="66"/>
  <c r="X62" i="66" s="1"/>
  <c r="W109" i="66"/>
  <c r="X109" i="66" s="1"/>
  <c r="W40" i="66"/>
  <c r="X40" i="66" s="1"/>
  <c r="W31" i="66"/>
  <c r="X31" i="66" s="1"/>
  <c r="W41" i="66"/>
  <c r="X41" i="66" s="1"/>
  <c r="W42" i="66"/>
  <c r="X42" i="66" s="1"/>
  <c r="W139" i="66"/>
  <c r="X139" i="66" s="1"/>
  <c r="W140" i="66"/>
  <c r="X140" i="66" s="1"/>
  <c r="W141" i="66"/>
  <c r="X141" i="66" s="1"/>
  <c r="W142" i="66"/>
  <c r="X142" i="66" s="1"/>
  <c r="W74" i="66"/>
  <c r="X74" i="66" s="1"/>
  <c r="W77" i="66"/>
  <c r="X77" i="66" s="1"/>
  <c r="W79" i="66"/>
  <c r="X79" i="66" s="1"/>
  <c r="W78" i="66"/>
  <c r="X78" i="66" s="1"/>
  <c r="W71" i="66"/>
  <c r="X71" i="66" s="1"/>
  <c r="W43" i="66"/>
  <c r="X43" i="66" s="1"/>
  <c r="W72" i="66"/>
  <c r="X72" i="66" s="1"/>
  <c r="W44" i="66"/>
  <c r="X44" i="66" s="1"/>
  <c r="W45" i="66"/>
  <c r="X45" i="66" s="1"/>
  <c r="W129" i="66"/>
  <c r="X129" i="66" s="1"/>
  <c r="W130" i="66"/>
  <c r="X130" i="66" s="1"/>
  <c r="W75" i="66"/>
  <c r="X75" i="66" s="1"/>
  <c r="W80" i="66"/>
  <c r="X80" i="66" s="1"/>
  <c r="W81" i="66"/>
  <c r="X81" i="66" s="1"/>
  <c r="W82" i="66"/>
  <c r="X82" i="66" s="1"/>
  <c r="W66" i="66"/>
  <c r="X66" i="66" s="1"/>
  <c r="W46" i="66"/>
  <c r="X46" i="66" s="1"/>
  <c r="W69" i="66"/>
  <c r="X69" i="66" s="1"/>
  <c r="W84" i="66"/>
  <c r="X84" i="66" s="1"/>
  <c r="W47" i="66"/>
  <c r="X47" i="66" s="1"/>
  <c r="W49" i="66"/>
  <c r="X49" i="66" s="1"/>
  <c r="W136" i="66"/>
  <c r="X136" i="66" s="1"/>
  <c r="W50" i="66"/>
  <c r="X50" i="66" s="1"/>
  <c r="W137" i="66"/>
  <c r="X137" i="66" s="1"/>
  <c r="W138" i="66"/>
  <c r="X138" i="66" s="1"/>
  <c r="W117" i="66"/>
  <c r="X117" i="66" s="1"/>
  <c r="W128" i="66"/>
  <c r="X128" i="66" s="1"/>
  <c r="W52" i="66"/>
  <c r="X52" i="66" s="1"/>
  <c r="W53" i="66"/>
  <c r="X53" i="66" s="1"/>
  <c r="W70" i="66"/>
  <c r="X70" i="66" s="1"/>
  <c r="W73" i="66"/>
  <c r="X73" i="66" s="1"/>
  <c r="W86" i="66"/>
  <c r="X86" i="66" s="1"/>
  <c r="W132" i="66"/>
  <c r="X132" i="66" s="1"/>
  <c r="W133" i="66"/>
  <c r="X133" i="66" s="1"/>
  <c r="W134" i="66"/>
  <c r="X134" i="66" s="1"/>
  <c r="W135" i="66"/>
  <c r="X135" i="66" s="1"/>
  <c r="W143" i="66"/>
  <c r="X143" i="66" s="1"/>
  <c r="W54" i="66"/>
  <c r="X54" i="66" s="1"/>
  <c r="W55" i="66"/>
  <c r="X55" i="66" s="1"/>
  <c r="W56" i="66"/>
  <c r="X56" i="66" s="1"/>
  <c r="W144" i="66"/>
  <c r="X144" i="66" s="1"/>
  <c r="W57" i="66"/>
  <c r="X57" i="66" s="1"/>
  <c r="W59" i="66"/>
  <c r="X59" i="66" s="1"/>
  <c r="W67" i="66"/>
  <c r="X67" i="66" s="1"/>
  <c r="W68" i="66"/>
  <c r="X68" i="66" s="1"/>
  <c r="W90" i="66"/>
  <c r="X90" i="66" s="1"/>
  <c r="W91" i="66"/>
  <c r="X91" i="66" s="1"/>
  <c r="W92" i="66"/>
  <c r="X92" i="66" s="1"/>
  <c r="W93" i="66"/>
  <c r="X93" i="66" s="1"/>
  <c r="W94" i="66"/>
  <c r="X94" i="66" s="1"/>
  <c r="W159" i="67"/>
  <c r="X159" i="67" s="1"/>
  <c r="W85" i="67"/>
  <c r="X85" i="67" s="1"/>
  <c r="W202" i="67"/>
  <c r="X202" i="67" s="1"/>
  <c r="U201" i="65"/>
  <c r="W201" i="65" s="1"/>
  <c r="X201" i="65" s="1"/>
  <c r="U65" i="66"/>
  <c r="W65" i="66" s="1"/>
  <c r="X65" i="66" s="1"/>
  <c r="W162" i="67"/>
  <c r="X162" i="67" s="1"/>
  <c r="U117" i="65"/>
  <c r="W117" i="65" s="1"/>
  <c r="X117" i="65" s="1"/>
  <c r="W2" i="67"/>
  <c r="X2" i="67" s="1"/>
  <c r="W67" i="67"/>
  <c r="X67" i="67" s="1"/>
  <c r="W10" i="67"/>
  <c r="X10" i="67" s="1"/>
  <c r="W122" i="67"/>
  <c r="X122" i="67" s="1"/>
  <c r="W112" i="67"/>
  <c r="X112" i="67" s="1"/>
  <c r="W3" i="67"/>
  <c r="X3" i="67" s="1"/>
  <c r="W4" i="67"/>
  <c r="X4" i="67" s="1"/>
  <c r="W164" i="67"/>
  <c r="X164" i="67" s="1"/>
  <c r="W31" i="67"/>
  <c r="X31" i="67" s="1"/>
  <c r="W5" i="67"/>
  <c r="X5" i="67" s="1"/>
  <c r="W73" i="67"/>
  <c r="X73" i="67" s="1"/>
  <c r="W80" i="67"/>
  <c r="X80" i="67" s="1"/>
  <c r="W161" i="67"/>
  <c r="X161" i="67" s="1"/>
  <c r="W174" i="67"/>
  <c r="X174" i="67" s="1"/>
  <c r="W72" i="67"/>
  <c r="X72" i="67" s="1"/>
  <c r="W144" i="67"/>
  <c r="X144" i="67" s="1"/>
  <c r="W37" i="67"/>
  <c r="X37" i="67" s="1"/>
  <c r="W169" i="67"/>
  <c r="X169" i="67" s="1"/>
  <c r="W170" i="67"/>
  <c r="X170" i="67" s="1"/>
  <c r="W146" i="67"/>
  <c r="X146" i="67" s="1"/>
  <c r="W203" i="67"/>
  <c r="X203" i="67" s="1"/>
  <c r="W107" i="67"/>
  <c r="X107" i="67" s="1"/>
  <c r="W92" i="67"/>
  <c r="X92" i="67" s="1"/>
  <c r="W46" i="67"/>
  <c r="X46" i="67" s="1"/>
  <c r="W50" i="67"/>
  <c r="X50" i="67" s="1"/>
  <c r="W52" i="67"/>
  <c r="X52" i="67" s="1"/>
  <c r="W172" i="67"/>
  <c r="X172" i="67" s="1"/>
  <c r="W81" i="67"/>
  <c r="X81" i="67" s="1"/>
  <c r="W125" i="67"/>
  <c r="W82" i="67"/>
  <c r="X82" i="67" s="1"/>
  <c r="W179" i="67"/>
  <c r="X179" i="67" s="1"/>
  <c r="W83" i="67"/>
  <c r="X83" i="67" s="1"/>
  <c r="W196" i="67"/>
  <c r="X196" i="67" s="1"/>
  <c r="W178" i="67"/>
  <c r="X178" i="67" s="1"/>
  <c r="W109" i="67"/>
  <c r="X109" i="67" s="1"/>
  <c r="W93" i="67"/>
  <c r="X93" i="67" s="1"/>
  <c r="W90" i="67"/>
  <c r="X90" i="67" s="1"/>
  <c r="W133" i="67"/>
  <c r="X133" i="67" s="1"/>
  <c r="W94" i="67"/>
  <c r="X94" i="67" s="1"/>
  <c r="W95" i="67"/>
  <c r="X95" i="67" s="1"/>
  <c r="W165" i="67"/>
  <c r="X165" i="67" s="1"/>
  <c r="W155" i="67"/>
  <c r="X155" i="67" s="1"/>
  <c r="W163" i="67"/>
  <c r="X163" i="67" s="1"/>
  <c r="W58" i="67"/>
  <c r="X58" i="67" s="1"/>
  <c r="W98" i="67"/>
  <c r="X98" i="67" s="1"/>
  <c r="W152" i="67"/>
  <c r="X152" i="67" s="1"/>
  <c r="W32" i="67"/>
  <c r="X32" i="67" s="1"/>
  <c r="W6" i="67"/>
  <c r="X6" i="67" s="1"/>
  <c r="W132" i="67"/>
  <c r="X132" i="67" s="1"/>
  <c r="W33" i="67"/>
  <c r="X33" i="67" s="1"/>
  <c r="W27" i="67"/>
  <c r="X27" i="67" s="1"/>
  <c r="W28" i="67"/>
  <c r="X28" i="67" s="1"/>
  <c r="W34" i="67"/>
  <c r="X34" i="67" s="1"/>
  <c r="W8" i="67"/>
  <c r="X8" i="67" s="1"/>
  <c r="W16" i="67"/>
  <c r="X16" i="67" s="1"/>
  <c r="W9" i="67"/>
  <c r="X9" i="67" s="1"/>
  <c r="W24" i="67"/>
  <c r="X24" i="67" s="1"/>
  <c r="W25" i="67"/>
  <c r="X25" i="67" s="1"/>
  <c r="W26" i="67"/>
  <c r="X26" i="67" s="1"/>
  <c r="W18" i="67"/>
  <c r="X18" i="67" s="1"/>
  <c r="W19" i="67"/>
  <c r="X19" i="67" s="1"/>
  <c r="W20" i="67"/>
  <c r="X20" i="67" s="1"/>
  <c r="W21" i="67"/>
  <c r="X21" i="67" s="1"/>
  <c r="W17" i="67"/>
  <c r="X17" i="67" s="1"/>
  <c r="W22" i="67"/>
  <c r="X22" i="67" s="1"/>
  <c r="W62" i="67"/>
  <c r="X62" i="67" s="1"/>
  <c r="W57" i="67"/>
  <c r="X57" i="67" s="1"/>
  <c r="W103" i="67"/>
  <c r="X103" i="67" s="1"/>
  <c r="W68" i="67"/>
  <c r="X68" i="67" s="1"/>
  <c r="W64" i="67"/>
  <c r="X64" i="67" s="1"/>
  <c r="W84" i="67"/>
  <c r="X84" i="67" s="1"/>
  <c r="W11" i="67"/>
  <c r="X11" i="67" s="1"/>
  <c r="W36" i="67"/>
  <c r="X36" i="67" s="1"/>
  <c r="W45" i="67"/>
  <c r="X45" i="67" s="1"/>
  <c r="W160" i="67"/>
  <c r="X160" i="67" s="1"/>
  <c r="W171" i="67"/>
  <c r="X171" i="67" s="1"/>
  <c r="U199" i="65"/>
  <c r="W199" i="65" s="1"/>
  <c r="X199" i="65" s="1"/>
  <c r="E83" i="67"/>
  <c r="E82" i="67"/>
  <c r="E81" i="67"/>
  <c r="U156" i="65"/>
  <c r="W156" i="65" s="1"/>
  <c r="X156" i="65" s="1"/>
  <c r="U155" i="65"/>
  <c r="W155" i="65" s="1"/>
  <c r="X155" i="65" s="1"/>
  <c r="U154" i="65"/>
  <c r="W154" i="65" s="1"/>
  <c r="X154" i="65" s="1"/>
  <c r="U153" i="65"/>
  <c r="W153" i="65" s="1"/>
  <c r="X153" i="65" s="1"/>
  <c r="U158" i="65"/>
  <c r="W158" i="65" s="1"/>
  <c r="X158" i="65" s="1"/>
  <c r="U145" i="65"/>
  <c r="W145" i="65" s="1"/>
  <c r="X145" i="65" s="1"/>
  <c r="U137" i="65"/>
  <c r="W137" i="65" s="1"/>
  <c r="X137" i="65" s="1"/>
  <c r="U136" i="65"/>
  <c r="W136" i="65" s="1"/>
  <c r="X136" i="65" s="1"/>
  <c r="U135" i="65"/>
  <c r="W135" i="65" s="1"/>
  <c r="X135" i="65" s="1"/>
  <c r="U64" i="66"/>
  <c r="W64" i="66" s="1"/>
  <c r="X64" i="66" s="1"/>
  <c r="X279" i="42"/>
  <c r="W279" i="42"/>
  <c r="W278" i="42"/>
  <c r="X278" i="42"/>
  <c r="U130" i="65"/>
  <c r="W130" i="65" s="1"/>
  <c r="X130" i="65" s="1"/>
  <c r="U119" i="65"/>
  <c r="W119" i="65" s="1"/>
  <c r="X119" i="65" s="1"/>
  <c r="U60" i="65"/>
  <c r="W60" i="65" s="1"/>
  <c r="X60" i="65" s="1"/>
  <c r="U142" i="65"/>
  <c r="W142" i="65" s="1"/>
  <c r="X142" i="65" s="1"/>
  <c r="U106" i="65"/>
  <c r="W106" i="65" s="1"/>
  <c r="X106" i="65" s="1"/>
  <c r="U105" i="65"/>
  <c r="W105" i="65" s="1"/>
  <c r="X105" i="65" s="1"/>
  <c r="U82" i="65"/>
  <c r="W82" i="65" s="1"/>
  <c r="X82" i="65" s="1"/>
  <c r="U85" i="65"/>
  <c r="W85" i="65" s="1"/>
  <c r="X85" i="65" s="1"/>
  <c r="U131" i="65"/>
  <c r="W131" i="65" s="1"/>
  <c r="X131" i="65" s="1"/>
  <c r="U84" i="65"/>
  <c r="W84" i="65" s="1"/>
  <c r="X84" i="65" s="1"/>
  <c r="U83" i="65"/>
  <c r="W83" i="65" s="1"/>
  <c r="X83" i="65" s="1"/>
  <c r="U126" i="65"/>
  <c r="W126" i="65" s="1"/>
  <c r="X126" i="65" s="1"/>
  <c r="U114" i="65"/>
  <c r="W114" i="65" s="1"/>
  <c r="X114" i="65" s="1"/>
  <c r="U164" i="65"/>
  <c r="W164" i="65" s="1"/>
  <c r="X164" i="65" s="1"/>
  <c r="W3" i="65"/>
  <c r="X3" i="65" s="1"/>
  <c r="W5" i="65"/>
  <c r="X5" i="65" s="1"/>
  <c r="W6" i="65"/>
  <c r="X6" i="65" s="1"/>
  <c r="W7" i="65"/>
  <c r="X7" i="65" s="1"/>
  <c r="W8" i="65"/>
  <c r="X8" i="65" s="1"/>
  <c r="W9" i="65"/>
  <c r="X9" i="65" s="1"/>
  <c r="W10" i="65"/>
  <c r="X10" i="65" s="1"/>
  <c r="W11" i="65"/>
  <c r="X11" i="65" s="1"/>
  <c r="W18" i="65"/>
  <c r="X18" i="65" s="1"/>
  <c r="W13" i="65"/>
  <c r="X13" i="65" s="1"/>
  <c r="W19" i="65"/>
  <c r="X19" i="65" s="1"/>
  <c r="W12" i="65"/>
  <c r="X12" i="65" s="1"/>
  <c r="W16" i="65"/>
  <c r="X16" i="65" s="1"/>
  <c r="W17" i="65"/>
  <c r="X17" i="65" s="1"/>
  <c r="W14" i="65"/>
  <c r="X14" i="65" s="1"/>
  <c r="W15" i="65"/>
  <c r="X15" i="65" s="1"/>
  <c r="W20" i="65"/>
  <c r="X20" i="65" s="1"/>
  <c r="W21" i="65"/>
  <c r="X21" i="65" s="1"/>
  <c r="W33" i="65"/>
  <c r="X33" i="65" s="1"/>
  <c r="W23" i="65"/>
  <c r="X23" i="65" s="1"/>
  <c r="W24" i="65"/>
  <c r="X24" i="65" s="1"/>
  <c r="W22" i="65"/>
  <c r="X22" i="65" s="1"/>
  <c r="W26" i="65"/>
  <c r="X26" i="65" s="1"/>
  <c r="W27" i="65"/>
  <c r="X27" i="65" s="1"/>
  <c r="W28" i="65"/>
  <c r="X28" i="65" s="1"/>
  <c r="W34" i="65"/>
  <c r="X34" i="65" s="1"/>
  <c r="W29" i="65"/>
  <c r="X29" i="65" s="1"/>
  <c r="W30" i="65"/>
  <c r="X30" i="65" s="1"/>
  <c r="W31" i="65"/>
  <c r="X31" i="65" s="1"/>
  <c r="W32" i="65"/>
  <c r="X32" i="65" s="1"/>
  <c r="W35" i="65"/>
  <c r="X35" i="65" s="1"/>
  <c r="W36" i="65"/>
  <c r="X36" i="65" s="1"/>
  <c r="W37" i="65"/>
  <c r="X37" i="65" s="1"/>
  <c r="W38" i="65"/>
  <c r="X38" i="65" s="1"/>
  <c r="W39" i="65"/>
  <c r="X39" i="65" s="1"/>
  <c r="W40" i="65"/>
  <c r="X40" i="65" s="1"/>
  <c r="W44" i="65"/>
  <c r="X44" i="65" s="1"/>
  <c r="W46" i="65"/>
  <c r="X46" i="65" s="1"/>
  <c r="W47" i="65"/>
  <c r="X47" i="65" s="1"/>
  <c r="W49" i="65"/>
  <c r="X49" i="65" s="1"/>
  <c r="W50" i="65"/>
  <c r="X50" i="65" s="1"/>
  <c r="W51" i="65"/>
  <c r="X51" i="65" s="1"/>
  <c r="W52" i="65"/>
  <c r="X52" i="65" s="1"/>
  <c r="W53" i="65"/>
  <c r="X53" i="65" s="1"/>
  <c r="W54" i="65"/>
  <c r="X54" i="65" s="1"/>
  <c r="W59" i="65"/>
  <c r="X59" i="65" s="1"/>
  <c r="W56" i="65"/>
  <c r="X56" i="65" s="1"/>
  <c r="W58" i="65"/>
  <c r="X58" i="65" s="1"/>
  <c r="W55" i="65"/>
  <c r="X55" i="65" s="1"/>
  <c r="W61" i="65"/>
  <c r="X61" i="65" s="1"/>
  <c r="W65" i="65"/>
  <c r="X65" i="65" s="1"/>
  <c r="W66" i="65"/>
  <c r="X66" i="65" s="1"/>
  <c r="W67" i="65"/>
  <c r="X67" i="65" s="1"/>
  <c r="W68" i="65"/>
  <c r="X68" i="65" s="1"/>
  <c r="W74" i="65"/>
  <c r="X74" i="65" s="1"/>
  <c r="W76" i="65"/>
  <c r="X76" i="65" s="1"/>
  <c r="W79" i="65"/>
  <c r="X79" i="65" s="1"/>
  <c r="W80" i="65"/>
  <c r="X80" i="65" s="1"/>
  <c r="W81" i="65"/>
  <c r="X81" i="65" s="1"/>
  <c r="W132" i="65"/>
  <c r="X132" i="65" s="1"/>
  <c r="W150" i="65"/>
  <c r="X150" i="65" s="1"/>
  <c r="W151" i="65"/>
  <c r="X151" i="65" s="1"/>
  <c r="W173" i="65"/>
  <c r="X173" i="65" s="1"/>
  <c r="W176" i="65"/>
  <c r="X176" i="65" s="1"/>
  <c r="W177" i="65"/>
  <c r="X177" i="65" s="1"/>
  <c r="W178" i="65"/>
  <c r="X178" i="65" s="1"/>
  <c r="W179" i="65"/>
  <c r="X179" i="65" s="1"/>
  <c r="W181" i="65"/>
  <c r="X181" i="65" s="1"/>
  <c r="W183" i="65"/>
  <c r="X183" i="65" s="1"/>
  <c r="W184" i="65"/>
  <c r="X184" i="65" s="1"/>
  <c r="W185" i="65"/>
  <c r="X185" i="65" s="1"/>
  <c r="W2" i="65"/>
  <c r="X2" i="65" s="1"/>
  <c r="W4" i="65"/>
  <c r="X4" i="65" s="1"/>
  <c r="W25" i="65"/>
  <c r="X25" i="65" s="1"/>
  <c r="W186" i="65"/>
  <c r="X186" i="65" s="1"/>
  <c r="W187" i="65"/>
  <c r="X187" i="65" s="1"/>
  <c r="W188" i="65"/>
  <c r="X188" i="65" s="1"/>
  <c r="W189" i="65"/>
  <c r="X189" i="65" s="1"/>
  <c r="W190" i="65"/>
  <c r="X190" i="65" s="1"/>
  <c r="W191" i="65"/>
  <c r="X191" i="65" s="1"/>
  <c r="W192" i="65"/>
  <c r="X192" i="65" s="1"/>
  <c r="W107" i="65"/>
  <c r="X107" i="65" s="1"/>
  <c r="W193" i="65"/>
  <c r="X193" i="65" s="1"/>
  <c r="W57" i="65"/>
  <c r="X57" i="65" s="1"/>
  <c r="W194" i="65"/>
  <c r="X194" i="65" s="1"/>
  <c r="W62" i="65"/>
  <c r="X62" i="65" s="1"/>
  <c r="W63" i="65"/>
  <c r="X63" i="65" s="1"/>
  <c r="W64" i="65"/>
  <c r="X64" i="65" s="1"/>
  <c r="W69" i="65"/>
  <c r="X69" i="65" s="1"/>
  <c r="W73" i="65"/>
  <c r="X73" i="65" s="1"/>
  <c r="W89" i="65"/>
  <c r="X89" i="65" s="1"/>
  <c r="W100" i="65"/>
  <c r="X100" i="65" s="1"/>
  <c r="W101" i="65"/>
  <c r="X101" i="65" s="1"/>
  <c r="W115" i="65"/>
  <c r="X115" i="65" s="1"/>
  <c r="W77" i="65"/>
  <c r="X77" i="65" s="1"/>
  <c r="W78" i="65"/>
  <c r="X78" i="65" s="1"/>
  <c r="W88" i="65"/>
  <c r="X88" i="65" s="1"/>
  <c r="W116" i="65"/>
  <c r="X116" i="65" s="1"/>
  <c r="W118" i="65"/>
  <c r="X118" i="65" s="1"/>
  <c r="W120" i="65"/>
  <c r="X120" i="65" s="1"/>
  <c r="W86" i="65"/>
  <c r="X86" i="65" s="1"/>
  <c r="W87" i="65"/>
  <c r="X87" i="65" s="1"/>
  <c r="W90" i="65"/>
  <c r="X90" i="65" s="1"/>
  <c r="W91" i="65"/>
  <c r="X91" i="65" s="1"/>
  <c r="W92" i="65"/>
  <c r="X92" i="65" s="1"/>
  <c r="W121" i="65"/>
  <c r="X121" i="65" s="1"/>
  <c r="W93" i="65"/>
  <c r="X93" i="65" s="1"/>
  <c r="W195" i="65"/>
  <c r="X195" i="65" s="1"/>
  <c r="W96" i="65"/>
  <c r="X96" i="65" s="1"/>
  <c r="W94" i="65"/>
  <c r="X94" i="65" s="1"/>
  <c r="W165" i="65"/>
  <c r="X165" i="65" s="1"/>
  <c r="W108" i="65"/>
  <c r="X108" i="65" s="1"/>
  <c r="W97" i="65"/>
  <c r="X97" i="65" s="1"/>
  <c r="W128" i="65"/>
  <c r="X128" i="65" s="1"/>
  <c r="W129" i="65"/>
  <c r="X129" i="65" s="1"/>
  <c r="W109" i="65"/>
  <c r="X109" i="65" s="1"/>
  <c r="W70" i="65"/>
  <c r="X70" i="65" s="1"/>
  <c r="W71" i="65"/>
  <c r="X71" i="65" s="1"/>
  <c r="W72" i="65"/>
  <c r="X72" i="65" s="1"/>
  <c r="W102" i="65"/>
  <c r="X102" i="65" s="1"/>
  <c r="W75" i="65"/>
  <c r="X75" i="65" s="1"/>
  <c r="W110" i="65"/>
  <c r="X110" i="65" s="1"/>
  <c r="W95" i="65"/>
  <c r="X95" i="65" s="1"/>
  <c r="W103" i="65"/>
  <c r="X103" i="65" s="1"/>
  <c r="W197" i="65"/>
  <c r="X197" i="65" s="1"/>
  <c r="W198" i="65"/>
  <c r="X198" i="65" s="1"/>
  <c r="W205" i="65"/>
  <c r="X205" i="65" s="1"/>
  <c r="W98" i="65"/>
  <c r="X98" i="65" s="1"/>
  <c r="W99" i="65"/>
  <c r="X99" i="65" s="1"/>
  <c r="W104" i="65"/>
  <c r="X104" i="65" s="1"/>
  <c r="W196" i="65"/>
  <c r="X196" i="65" s="1"/>
  <c r="W111" i="65"/>
  <c r="X111" i="65" s="1"/>
  <c r="W122" i="65"/>
  <c r="X122" i="65" s="1"/>
  <c r="W133" i="65"/>
  <c r="X133" i="65" s="1"/>
  <c r="W112" i="65"/>
  <c r="X112" i="65" s="1"/>
  <c r="W146" i="65"/>
  <c r="X146" i="65" s="1"/>
  <c r="W206" i="65"/>
  <c r="X206" i="65" s="1"/>
  <c r="W113" i="65"/>
  <c r="X113" i="65" s="1"/>
  <c r="W123" i="65"/>
  <c r="X123" i="65" s="1"/>
  <c r="W138" i="65"/>
  <c r="X138" i="65" s="1"/>
  <c r="W139" i="65"/>
  <c r="X139" i="65" s="1"/>
  <c r="W125" i="65"/>
  <c r="X125" i="65" s="1"/>
  <c r="W147" i="65"/>
  <c r="X147" i="65" s="1"/>
  <c r="W134" i="65"/>
  <c r="X134" i="65" s="1"/>
  <c r="W207" i="65"/>
  <c r="X207" i="65" s="1"/>
  <c r="W148" i="65"/>
  <c r="X148" i="65" s="1"/>
  <c r="W200" i="65"/>
  <c r="X200" i="65" s="1"/>
  <c r="W124" i="65"/>
  <c r="X124" i="65" s="1"/>
  <c r="W141" i="65"/>
  <c r="X141" i="65" s="1"/>
  <c r="W149" i="65"/>
  <c r="X149" i="65" s="1"/>
  <c r="W166" i="65"/>
  <c r="X166" i="65" s="1"/>
  <c r="W162" i="65"/>
  <c r="X162" i="65" s="1"/>
  <c r="W157" i="65"/>
  <c r="X157" i="65" s="1"/>
  <c r="W163" i="65"/>
  <c r="X163" i="65" s="1"/>
  <c r="W167" i="65"/>
  <c r="X167" i="65" s="1"/>
  <c r="W174" i="65"/>
  <c r="X174" i="65" s="1"/>
  <c r="W203" i="65"/>
  <c r="X203" i="65" s="1"/>
  <c r="W144" i="65"/>
  <c r="X144" i="65" s="1"/>
  <c r="W175" i="65"/>
  <c r="X175" i="65" s="1"/>
  <c r="W169" i="65"/>
  <c r="X169" i="65" s="1"/>
  <c r="W168" i="65"/>
  <c r="X168" i="65" s="1"/>
  <c r="W143" i="65"/>
  <c r="X143" i="65" s="1"/>
  <c r="W159" i="65"/>
  <c r="X159" i="65" s="1"/>
  <c r="W170" i="65"/>
  <c r="X170" i="65" s="1"/>
  <c r="W152" i="65"/>
  <c r="X152" i="65" s="1"/>
  <c r="W160" i="65"/>
  <c r="X160" i="65" s="1"/>
  <c r="W161" i="65"/>
  <c r="X161" i="65" s="1"/>
  <c r="W202" i="65"/>
  <c r="X202" i="65" s="1"/>
  <c r="W204" i="65"/>
  <c r="X204" i="65" s="1"/>
  <c r="W140" i="65"/>
  <c r="X140" i="65" s="1"/>
  <c r="U171" i="65"/>
  <c r="W171" i="65" s="1"/>
  <c r="X171" i="65" s="1"/>
  <c r="U172" i="65"/>
  <c r="W172" i="65" s="1"/>
  <c r="X172" i="65" s="1"/>
  <c r="U41" i="65"/>
  <c r="W41" i="65" s="1"/>
  <c r="X41" i="65" s="1"/>
  <c r="U42" i="65"/>
  <c r="W42" i="65" s="1"/>
  <c r="X42" i="65" s="1"/>
  <c r="U182" i="65"/>
  <c r="W182" i="65" s="1"/>
  <c r="X182" i="65" s="1"/>
  <c r="U180" i="65"/>
  <c r="W180" i="65" s="1"/>
  <c r="X180" i="65" s="1"/>
  <c r="U127" i="65"/>
  <c r="W127" i="65" s="1"/>
  <c r="X127" i="65" s="1"/>
  <c r="W276" i="42"/>
  <c r="X276" i="42"/>
  <c r="U43" i="65"/>
  <c r="W43" i="65" s="1"/>
  <c r="X43" i="65" s="1"/>
  <c r="U45" i="65"/>
  <c r="W45" i="65" s="1"/>
  <c r="X45" i="65" s="1"/>
  <c r="U199" i="64"/>
  <c r="W199" i="64" s="1"/>
  <c r="U198" i="64"/>
  <c r="X198" i="64" s="1"/>
  <c r="X275" i="42"/>
  <c r="W275" i="42"/>
  <c r="U146" i="64"/>
  <c r="W146" i="64" s="1"/>
  <c r="W139" i="64"/>
  <c r="W98" i="64"/>
  <c r="E200" i="65"/>
  <c r="X203" i="63"/>
  <c r="X204" i="63"/>
  <c r="W203" i="63"/>
  <c r="W204" i="63"/>
  <c r="U114" i="64"/>
  <c r="X114" i="64" s="1"/>
  <c r="U113" i="64"/>
  <c r="X113" i="64" s="1"/>
  <c r="U202" i="63"/>
  <c r="W202" i="63" s="1"/>
  <c r="X48" i="65"/>
  <c r="E192" i="65"/>
  <c r="U197" i="64"/>
  <c r="X197" i="64" s="1"/>
  <c r="U38" i="64"/>
  <c r="X38" i="64" s="1"/>
  <c r="U54" i="64"/>
  <c r="W54" i="64" s="1"/>
  <c r="U190" i="64"/>
  <c r="W190" i="64" s="1"/>
  <c r="U183" i="64"/>
  <c r="W183" i="64" s="1"/>
  <c r="U184" i="64"/>
  <c r="X184" i="64" s="1"/>
  <c r="U185" i="64"/>
  <c r="W185" i="64" s="1"/>
  <c r="U191" i="64"/>
  <c r="W191" i="64" s="1"/>
  <c r="U195" i="64"/>
  <c r="W195" i="64" s="1"/>
  <c r="U194" i="64"/>
  <c r="X194" i="64" s="1"/>
  <c r="X167" i="64"/>
  <c r="W167" i="64"/>
  <c r="W158" i="64"/>
  <c r="X158" i="64"/>
  <c r="U193" i="64"/>
  <c r="X193" i="64" s="1"/>
  <c r="X126" i="64"/>
  <c r="W126" i="64"/>
  <c r="X196" i="64"/>
  <c r="W196" i="64"/>
  <c r="U180" i="63"/>
  <c r="X180" i="63" s="1"/>
  <c r="W192" i="64"/>
  <c r="X192" i="64"/>
  <c r="X76" i="64"/>
  <c r="W76" i="64"/>
  <c r="X175" i="64"/>
  <c r="W175" i="64"/>
  <c r="X79" i="64"/>
  <c r="X80" i="64"/>
  <c r="W79" i="64"/>
  <c r="W80" i="64"/>
  <c r="X201" i="64"/>
  <c r="W201" i="64"/>
  <c r="X75" i="64"/>
  <c r="W75" i="64"/>
  <c r="E8" i="65"/>
  <c r="W90" i="64"/>
  <c r="X90" i="64"/>
  <c r="X200" i="64"/>
  <c r="W200" i="64"/>
  <c r="X164" i="64"/>
  <c r="W164" i="64"/>
  <c r="X174" i="64"/>
  <c r="W174" i="64"/>
  <c r="X179" i="64"/>
  <c r="W179" i="64"/>
  <c r="W203" i="64"/>
  <c r="X203" i="64"/>
  <c r="W202" i="64"/>
  <c r="X202" i="64"/>
  <c r="W160" i="64"/>
  <c r="X160" i="64"/>
  <c r="W137" i="64"/>
  <c r="X137" i="64"/>
  <c r="W136" i="64"/>
  <c r="X136" i="64"/>
  <c r="W153" i="64"/>
  <c r="X153" i="64"/>
  <c r="W159" i="64"/>
  <c r="X159" i="64"/>
  <c r="W135" i="64"/>
  <c r="X135" i="64"/>
  <c r="W134" i="64"/>
  <c r="X134" i="64"/>
  <c r="W157" i="64"/>
  <c r="X157" i="64"/>
  <c r="W152" i="64"/>
  <c r="X152" i="64"/>
  <c r="W151" i="64"/>
  <c r="X151" i="64"/>
  <c r="W133" i="64"/>
  <c r="X133" i="64"/>
  <c r="W150" i="64"/>
  <c r="X150" i="64"/>
  <c r="W132" i="64"/>
  <c r="X132" i="64"/>
  <c r="W156" i="64"/>
  <c r="X156" i="64"/>
  <c r="X186" i="64"/>
  <c r="W186" i="64"/>
  <c r="X163" i="64"/>
  <c r="W163" i="64"/>
  <c r="W161" i="64"/>
  <c r="X161" i="64"/>
  <c r="U174" i="63"/>
  <c r="W174" i="63" s="1"/>
  <c r="X181" i="64"/>
  <c r="W181" i="64"/>
  <c r="X128" i="64"/>
  <c r="W128" i="64"/>
  <c r="X127" i="64"/>
  <c r="W127" i="64"/>
  <c r="E7" i="65"/>
  <c r="W88" i="64"/>
  <c r="X88" i="64"/>
  <c r="X104" i="64"/>
  <c r="X71" i="64"/>
  <c r="W104" i="64"/>
  <c r="W71" i="64"/>
  <c r="X103" i="64"/>
  <c r="W103" i="64"/>
  <c r="X172" i="64"/>
  <c r="W172" i="64"/>
  <c r="U185" i="63"/>
  <c r="X185" i="63" s="1"/>
  <c r="W2" i="64"/>
  <c r="U62" i="63"/>
  <c r="W62" i="63" s="1"/>
  <c r="U61" i="63"/>
  <c r="W61" i="63" s="1"/>
  <c r="E70" i="64"/>
  <c r="X138" i="64"/>
  <c r="W138" i="64"/>
  <c r="W117" i="64"/>
  <c r="W67" i="64"/>
  <c r="X117" i="64"/>
  <c r="X67" i="64"/>
  <c r="X101" i="64"/>
  <c r="W101" i="64"/>
  <c r="X100" i="64"/>
  <c r="W100" i="64"/>
  <c r="W94" i="64"/>
  <c r="W99" i="64"/>
  <c r="W95" i="64"/>
  <c r="X94" i="64"/>
  <c r="X99" i="64"/>
  <c r="X95" i="64"/>
  <c r="W93" i="64"/>
  <c r="X93" i="64"/>
  <c r="X139" i="64"/>
  <c r="X98" i="64"/>
  <c r="E97" i="64"/>
  <c r="X97" i="64"/>
  <c r="W97" i="64"/>
  <c r="X131" i="64"/>
  <c r="W131" i="64"/>
  <c r="X115" i="64"/>
  <c r="W115" i="64"/>
  <c r="W169" i="64"/>
  <c r="X169" i="64"/>
  <c r="W168" i="64"/>
  <c r="X168" i="64"/>
  <c r="W92" i="64"/>
  <c r="X92" i="64"/>
  <c r="X125" i="64"/>
  <c r="W125" i="64"/>
  <c r="W8" i="64"/>
  <c r="X8" i="64"/>
  <c r="X69" i="64"/>
  <c r="W69" i="64"/>
  <c r="X91" i="64"/>
  <c r="W91" i="64"/>
  <c r="X108" i="64"/>
  <c r="W108" i="64"/>
  <c r="X11" i="64"/>
  <c r="W11" i="64"/>
  <c r="X87" i="64"/>
  <c r="W87" i="64"/>
  <c r="X15" i="64"/>
  <c r="W15" i="64"/>
  <c r="X72" i="64"/>
  <c r="W72" i="64"/>
  <c r="X74" i="64"/>
  <c r="W74" i="64"/>
  <c r="X122" i="64"/>
  <c r="W122" i="64"/>
  <c r="X112" i="64"/>
  <c r="W112" i="64"/>
  <c r="X85" i="64"/>
  <c r="W85" i="64"/>
  <c r="X111" i="64"/>
  <c r="W111" i="64"/>
  <c r="X84" i="64"/>
  <c r="W84" i="64"/>
  <c r="X102" i="64"/>
  <c r="W102" i="64"/>
  <c r="X110" i="64"/>
  <c r="W110" i="64"/>
  <c r="X109" i="64"/>
  <c r="W109" i="64"/>
  <c r="X107" i="64"/>
  <c r="W107" i="64"/>
  <c r="X106" i="64"/>
  <c r="W106" i="64"/>
  <c r="X105" i="64"/>
  <c r="W105" i="64"/>
  <c r="U182" i="63"/>
  <c r="W182" i="63" s="1"/>
  <c r="U183" i="63"/>
  <c r="X183" i="63" s="1"/>
  <c r="U181" i="63"/>
  <c r="X181" i="63" s="1"/>
  <c r="U178" i="63"/>
  <c r="W178" i="63" s="1"/>
  <c r="U177" i="63"/>
  <c r="W177" i="63" s="1"/>
  <c r="U176" i="63"/>
  <c r="W176" i="63" s="1"/>
  <c r="U175" i="63"/>
  <c r="X175" i="63" s="1"/>
  <c r="U89" i="63"/>
  <c r="W89" i="63" s="1"/>
  <c r="X43" i="64"/>
  <c r="X44" i="64"/>
  <c r="X45" i="64"/>
  <c r="W43" i="64"/>
  <c r="W44" i="64"/>
  <c r="W45" i="64"/>
  <c r="X42" i="64"/>
  <c r="W42" i="64"/>
  <c r="X140" i="64"/>
  <c r="W140" i="64"/>
  <c r="X52" i="64"/>
  <c r="W52" i="64"/>
  <c r="W12" i="64"/>
  <c r="X12" i="64"/>
  <c r="X182" i="64"/>
  <c r="W182" i="64"/>
  <c r="X160" i="63"/>
  <c r="W160" i="63"/>
  <c r="W180" i="64"/>
  <c r="X180" i="64"/>
  <c r="W130" i="64"/>
  <c r="X130" i="64"/>
  <c r="X77" i="64"/>
  <c r="W77" i="64"/>
  <c r="X187" i="64"/>
  <c r="W187" i="64"/>
  <c r="X178" i="64"/>
  <c r="W178" i="64"/>
  <c r="W59" i="64"/>
  <c r="X59" i="64"/>
  <c r="W58" i="64"/>
  <c r="X58" i="64"/>
  <c r="W55" i="64"/>
  <c r="X55" i="64"/>
  <c r="W63" i="64"/>
  <c r="X63" i="64"/>
  <c r="X66" i="64"/>
  <c r="W66" i="64"/>
  <c r="X62" i="64"/>
  <c r="W62" i="64"/>
  <c r="X65" i="64"/>
  <c r="W65" i="64"/>
  <c r="X96" i="64"/>
  <c r="W96" i="64"/>
  <c r="X61" i="64"/>
  <c r="W61" i="64"/>
  <c r="X60" i="64"/>
  <c r="W60" i="64"/>
  <c r="W149" i="64"/>
  <c r="X149" i="64"/>
  <c r="X129" i="64"/>
  <c r="W129" i="64"/>
  <c r="X116" i="64"/>
  <c r="W116" i="64"/>
  <c r="W78" i="64"/>
  <c r="X78" i="64"/>
  <c r="X57" i="64"/>
  <c r="W57" i="64"/>
  <c r="W82" i="64"/>
  <c r="X82" i="64"/>
  <c r="W166" i="64"/>
  <c r="X166" i="64"/>
  <c r="X86" i="64"/>
  <c r="W86" i="64"/>
  <c r="X155" i="64"/>
  <c r="W155" i="64"/>
  <c r="W119" i="64"/>
  <c r="W120" i="64"/>
  <c r="W121" i="64"/>
  <c r="X119" i="64"/>
  <c r="X120" i="64"/>
  <c r="X121" i="64"/>
  <c r="X2" i="64"/>
  <c r="X18" i="64"/>
  <c r="X16" i="64"/>
  <c r="X17" i="64"/>
  <c r="X25" i="64"/>
  <c r="X3" i="64"/>
  <c r="X20" i="64"/>
  <c r="X4" i="64"/>
  <c r="X5" i="64"/>
  <c r="X7" i="64"/>
  <c r="X6" i="64"/>
  <c r="X14" i="64"/>
  <c r="X9" i="64"/>
  <c r="X10" i="64"/>
  <c r="X13" i="64"/>
  <c r="X29" i="64"/>
  <c r="X31" i="64"/>
  <c r="X50" i="64"/>
  <c r="X64" i="64"/>
  <c r="X53" i="64"/>
  <c r="X68" i="64"/>
  <c r="X165" i="64"/>
  <c r="X46" i="64"/>
  <c r="X47" i="64"/>
  <c r="X34" i="64"/>
  <c r="X35" i="64"/>
  <c r="X41" i="64"/>
  <c r="X49" i="64"/>
  <c r="X19" i="64"/>
  <c r="X32" i="64"/>
  <c r="X36" i="64"/>
  <c r="X28" i="64"/>
  <c r="X37" i="64"/>
  <c r="X26" i="64"/>
  <c r="X24" i="64"/>
  <c r="X27" i="64"/>
  <c r="X83" i="64"/>
  <c r="X51" i="64"/>
  <c r="X21" i="64"/>
  <c r="X22" i="64"/>
  <c r="X23" i="64"/>
  <c r="X33" i="64"/>
  <c r="X30" i="64"/>
  <c r="X48" i="64"/>
  <c r="X56" i="64"/>
  <c r="X73" i="64"/>
  <c r="X142" i="64"/>
  <c r="X147" i="64"/>
  <c r="X70" i="64"/>
  <c r="X40" i="64"/>
  <c r="X81" i="64"/>
  <c r="X123" i="64"/>
  <c r="X148" i="64"/>
  <c r="X141" i="64"/>
  <c r="X89" i="64"/>
  <c r="X171" i="64"/>
  <c r="X154" i="64"/>
  <c r="X173" i="64"/>
  <c r="X189" i="64"/>
  <c r="X188" i="64"/>
  <c r="X143" i="64"/>
  <c r="X144" i="64"/>
  <c r="X145" i="64"/>
  <c r="X176" i="64"/>
  <c r="X177" i="64"/>
  <c r="X124" i="64"/>
  <c r="X39" i="64"/>
  <c r="X170" i="64"/>
  <c r="X162" i="64"/>
  <c r="X118" i="64"/>
  <c r="W18" i="64"/>
  <c r="W16" i="64"/>
  <c r="W17" i="64"/>
  <c r="W25" i="64"/>
  <c r="W3" i="64"/>
  <c r="W20" i="64"/>
  <c r="W4" i="64"/>
  <c r="W5" i="64"/>
  <c r="W7" i="64"/>
  <c r="W6" i="64"/>
  <c r="W14" i="64"/>
  <c r="W9" i="64"/>
  <c r="W10" i="64"/>
  <c r="W13" i="64"/>
  <c r="W29" i="64"/>
  <c r="W31" i="64"/>
  <c r="W50" i="64"/>
  <c r="W64" i="64"/>
  <c r="W53" i="64"/>
  <c r="W68" i="64"/>
  <c r="W165" i="64"/>
  <c r="W46" i="64"/>
  <c r="W47" i="64"/>
  <c r="W34" i="64"/>
  <c r="W35" i="64"/>
  <c r="W41" i="64"/>
  <c r="W49" i="64"/>
  <c r="W19" i="64"/>
  <c r="W32" i="64"/>
  <c r="W36" i="64"/>
  <c r="W28" i="64"/>
  <c r="W37" i="64"/>
  <c r="W26" i="64"/>
  <c r="W24" i="64"/>
  <c r="W27" i="64"/>
  <c r="W83" i="64"/>
  <c r="W51" i="64"/>
  <c r="W21" i="64"/>
  <c r="W22" i="64"/>
  <c r="W23" i="64"/>
  <c r="W33" i="64"/>
  <c r="W30" i="64"/>
  <c r="W48" i="64"/>
  <c r="W56" i="64"/>
  <c r="W73" i="64"/>
  <c r="W142" i="64"/>
  <c r="W147" i="64"/>
  <c r="W70" i="64"/>
  <c r="W40" i="64"/>
  <c r="W81" i="64"/>
  <c r="W123" i="64"/>
  <c r="W148" i="64"/>
  <c r="W141" i="64"/>
  <c r="W89" i="64"/>
  <c r="W171" i="64"/>
  <c r="W154" i="64"/>
  <c r="W173" i="64"/>
  <c r="W189" i="64"/>
  <c r="W188" i="64"/>
  <c r="W143" i="64"/>
  <c r="W144" i="64"/>
  <c r="W145" i="64"/>
  <c r="W176" i="64"/>
  <c r="W177" i="64"/>
  <c r="W124" i="64"/>
  <c r="W39" i="64"/>
  <c r="W170" i="64"/>
  <c r="W162" i="64"/>
  <c r="W118" i="64"/>
  <c r="X206" i="63"/>
  <c r="W206" i="63"/>
  <c r="X205" i="63"/>
  <c r="W205" i="63"/>
  <c r="U26" i="63"/>
  <c r="X26" i="63" s="1"/>
  <c r="W269" i="42"/>
  <c r="X269" i="42"/>
  <c r="U173" i="63"/>
  <c r="X173" i="63" s="1"/>
  <c r="U172" i="63"/>
  <c r="X172" i="63" s="1"/>
  <c r="X155" i="63"/>
  <c r="W155" i="63"/>
  <c r="X215" i="63"/>
  <c r="W215" i="63"/>
  <c r="X86" i="63"/>
  <c r="W86" i="63"/>
  <c r="X208" i="63"/>
  <c r="W208" i="63"/>
  <c r="X171" i="63"/>
  <c r="W171" i="63"/>
  <c r="X84" i="63"/>
  <c r="W84" i="63"/>
  <c r="X146" i="63"/>
  <c r="W146" i="63"/>
  <c r="W199" i="63"/>
  <c r="X199" i="63"/>
  <c r="X85" i="63"/>
  <c r="X73" i="63"/>
  <c r="W85" i="63"/>
  <c r="W73" i="63"/>
  <c r="X201" i="63"/>
  <c r="W201" i="63"/>
  <c r="X122" i="63"/>
  <c r="W122" i="63"/>
  <c r="X118" i="63"/>
  <c r="W118" i="63"/>
  <c r="X69" i="63"/>
  <c r="W69" i="63"/>
  <c r="W143" i="63"/>
  <c r="X143" i="63"/>
  <c r="W117" i="63"/>
  <c r="X117" i="63"/>
  <c r="X159" i="63"/>
  <c r="W159" i="63"/>
  <c r="X196" i="63"/>
  <c r="W196" i="63"/>
  <c r="X214" i="63"/>
  <c r="W214" i="63"/>
  <c r="X167" i="63"/>
  <c r="W167" i="63"/>
  <c r="W9" i="63"/>
  <c r="W184" i="63"/>
  <c r="X184" i="63"/>
  <c r="X138" i="63"/>
  <c r="W138" i="63"/>
  <c r="X99" i="63"/>
  <c r="W99" i="63"/>
  <c r="X109" i="63"/>
  <c r="X113" i="63"/>
  <c r="X124" i="63"/>
  <c r="X110" i="63"/>
  <c r="W109" i="63"/>
  <c r="W113" i="63"/>
  <c r="W124" i="63"/>
  <c r="W110" i="63"/>
  <c r="X90" i="63"/>
  <c r="W90" i="63"/>
  <c r="W149" i="63"/>
  <c r="X149" i="63"/>
  <c r="W147" i="63"/>
  <c r="X147" i="63"/>
  <c r="X127" i="63"/>
  <c r="W127" i="63"/>
  <c r="X144" i="63"/>
  <c r="W144" i="63"/>
  <c r="X75" i="63"/>
  <c r="W75" i="63"/>
  <c r="X131" i="63"/>
  <c r="W131" i="63"/>
  <c r="X130" i="63"/>
  <c r="W130" i="63"/>
  <c r="X169" i="63"/>
  <c r="W169" i="63"/>
  <c r="X194" i="63"/>
  <c r="W194" i="63"/>
  <c r="X210" i="63"/>
  <c r="W210" i="63"/>
  <c r="X211" i="63"/>
  <c r="W211" i="63"/>
  <c r="X95" i="63"/>
  <c r="W95" i="63"/>
  <c r="X92" i="63"/>
  <c r="W92" i="63"/>
  <c r="X112" i="63"/>
  <c r="W112" i="63"/>
  <c r="X96" i="63"/>
  <c r="W96" i="63"/>
  <c r="X192" i="63"/>
  <c r="W192" i="63"/>
  <c r="X198" i="63"/>
  <c r="W198" i="63"/>
  <c r="X197" i="63"/>
  <c r="X108" i="63"/>
  <c r="W197" i="63"/>
  <c r="W108" i="63"/>
  <c r="W107" i="63"/>
  <c r="X107" i="63"/>
  <c r="W193" i="63"/>
  <c r="X193" i="63"/>
  <c r="X33" i="63"/>
  <c r="W33" i="63"/>
  <c r="X120" i="63"/>
  <c r="X121" i="63"/>
  <c r="W120" i="63"/>
  <c r="W121" i="63"/>
  <c r="X162" i="63"/>
  <c r="W162" i="63"/>
  <c r="X209" i="63"/>
  <c r="W209" i="63"/>
  <c r="X195" i="63"/>
  <c r="W195" i="63"/>
  <c r="X212" i="63"/>
  <c r="W212" i="63"/>
  <c r="E213" i="63"/>
  <c r="X64" i="63"/>
  <c r="W64" i="63"/>
  <c r="X88" i="63"/>
  <c r="W88" i="63"/>
  <c r="X213" i="63"/>
  <c r="W213" i="63"/>
  <c r="X148" i="63"/>
  <c r="X83" i="63"/>
  <c r="W148" i="63"/>
  <c r="W83" i="63"/>
  <c r="X135" i="63"/>
  <c r="W135" i="63"/>
  <c r="X187" i="63"/>
  <c r="W187" i="63"/>
  <c r="X123" i="63"/>
  <c r="W123" i="63"/>
  <c r="X179" i="63"/>
  <c r="W179" i="63"/>
  <c r="X140" i="63"/>
  <c r="W140" i="63"/>
  <c r="X163" i="63"/>
  <c r="W163" i="63"/>
  <c r="W200" i="63"/>
  <c r="X200" i="63"/>
  <c r="X125" i="63"/>
  <c r="W125" i="63"/>
  <c r="X58" i="63"/>
  <c r="W58" i="63"/>
  <c r="W91" i="63"/>
  <c r="X91" i="63"/>
  <c r="W54" i="63"/>
  <c r="X54" i="63"/>
  <c r="X63" i="63"/>
  <c r="W63" i="63"/>
  <c r="X81" i="63"/>
  <c r="W81" i="63"/>
  <c r="W80" i="63"/>
  <c r="X80" i="63"/>
  <c r="X79" i="63"/>
  <c r="W79" i="63"/>
  <c r="W82" i="63"/>
  <c r="X82" i="63"/>
  <c r="W114" i="63"/>
  <c r="X114" i="63"/>
  <c r="X191" i="63"/>
  <c r="W191" i="63"/>
  <c r="W71" i="63"/>
  <c r="X71" i="63"/>
  <c r="W66" i="63"/>
  <c r="X66" i="63"/>
  <c r="X28" i="63"/>
  <c r="W28" i="63"/>
  <c r="X50" i="63"/>
  <c r="W50" i="63"/>
  <c r="X111" i="63"/>
  <c r="W111" i="63"/>
  <c r="X168" i="63"/>
  <c r="W168" i="63"/>
  <c r="X70" i="63"/>
  <c r="W70" i="63"/>
  <c r="X94" i="63"/>
  <c r="W94" i="63"/>
  <c r="X134" i="63"/>
  <c r="W134" i="63"/>
  <c r="X137" i="63"/>
  <c r="W137" i="63"/>
  <c r="X98" i="63"/>
  <c r="W98" i="63"/>
  <c r="X170" i="63"/>
  <c r="W170" i="63"/>
  <c r="X47" i="63"/>
  <c r="W47" i="63"/>
  <c r="X189" i="63"/>
  <c r="W189" i="63"/>
  <c r="X139" i="63"/>
  <c r="W139" i="63"/>
  <c r="X145" i="63"/>
  <c r="W145" i="63"/>
  <c r="X190" i="63"/>
  <c r="W190" i="63"/>
  <c r="X59" i="63"/>
  <c r="W59" i="63"/>
  <c r="X87" i="63"/>
  <c r="W87" i="63"/>
  <c r="X34" i="63"/>
  <c r="W34" i="63"/>
  <c r="X48" i="63"/>
  <c r="W48" i="63"/>
  <c r="X101" i="63"/>
  <c r="W101" i="63"/>
  <c r="X100" i="63"/>
  <c r="W100" i="63"/>
  <c r="X141" i="63"/>
  <c r="W141" i="63"/>
  <c r="X13" i="63"/>
  <c r="W13" i="63"/>
  <c r="X103" i="63"/>
  <c r="X104" i="63"/>
  <c r="X105" i="63"/>
  <c r="W103" i="63"/>
  <c r="W104" i="63"/>
  <c r="W105" i="63"/>
  <c r="X102" i="63"/>
  <c r="W102" i="63"/>
  <c r="X116" i="63"/>
  <c r="W116" i="63"/>
  <c r="X115" i="63"/>
  <c r="W115" i="63"/>
  <c r="X45" i="63"/>
  <c r="W45" i="63"/>
  <c r="X44" i="63"/>
  <c r="W44" i="63"/>
  <c r="X43" i="63"/>
  <c r="W43" i="63"/>
  <c r="X42" i="63"/>
  <c r="W42" i="63"/>
  <c r="X41" i="63"/>
  <c r="W41" i="63"/>
  <c r="X40" i="63"/>
  <c r="W40" i="63"/>
  <c r="X39" i="63"/>
  <c r="W39" i="63"/>
  <c r="X38" i="63"/>
  <c r="W38" i="63"/>
  <c r="X37" i="63"/>
  <c r="W37" i="63"/>
  <c r="X36" i="63"/>
  <c r="W36" i="63"/>
  <c r="X35" i="63"/>
  <c r="W35" i="63"/>
  <c r="X132" i="63"/>
  <c r="W132" i="63"/>
  <c r="X133" i="63"/>
  <c r="W133" i="63"/>
  <c r="X142" i="63"/>
  <c r="W142" i="63"/>
  <c r="X119" i="63"/>
  <c r="W119" i="63"/>
  <c r="X67" i="63"/>
  <c r="W67" i="63"/>
  <c r="X65" i="63"/>
  <c r="W65" i="63"/>
  <c r="X77" i="63"/>
  <c r="W77" i="63"/>
  <c r="X76" i="63"/>
  <c r="W76" i="63"/>
  <c r="X57" i="63"/>
  <c r="W57" i="63"/>
  <c r="X156" i="63"/>
  <c r="W156" i="63"/>
  <c r="X106" i="63"/>
  <c r="W106" i="63"/>
  <c r="X29" i="63"/>
  <c r="W29" i="63"/>
  <c r="X51" i="63"/>
  <c r="W51" i="63"/>
  <c r="X186" i="63"/>
  <c r="W186" i="63"/>
  <c r="X53" i="63"/>
  <c r="W53" i="63"/>
  <c r="W55" i="63"/>
  <c r="X55" i="63"/>
  <c r="X27" i="63"/>
  <c r="W27" i="63"/>
  <c r="W72" i="63"/>
  <c r="X72" i="63"/>
  <c r="X21" i="63"/>
  <c r="X22" i="63"/>
  <c r="X23" i="63"/>
  <c r="X24" i="63"/>
  <c r="X25" i="63"/>
  <c r="W21" i="63"/>
  <c r="W22" i="63"/>
  <c r="W23" i="63"/>
  <c r="W24" i="63"/>
  <c r="W25" i="63"/>
  <c r="X20" i="63"/>
  <c r="W20" i="63"/>
  <c r="X19" i="63"/>
  <c r="W19" i="63"/>
  <c r="X17" i="63"/>
  <c r="W17" i="63"/>
  <c r="X16" i="63"/>
  <c r="W16" i="63"/>
  <c r="X15" i="63"/>
  <c r="W15" i="63"/>
  <c r="X49" i="63"/>
  <c r="W49" i="63"/>
  <c r="X97" i="63"/>
  <c r="W97" i="63"/>
  <c r="X264" i="42"/>
  <c r="W264" i="42"/>
  <c r="X263" i="42"/>
  <c r="W263" i="42"/>
  <c r="X262" i="42"/>
  <c r="W262" i="42"/>
  <c r="X161" i="63"/>
  <c r="W161" i="63"/>
  <c r="W126" i="63"/>
  <c r="X126" i="63"/>
  <c r="X12" i="63"/>
  <c r="W12" i="63"/>
  <c r="X150" i="63"/>
  <c r="W150" i="63"/>
  <c r="X153" i="63"/>
  <c r="W153" i="63"/>
  <c r="X154" i="63"/>
  <c r="W154" i="63"/>
  <c r="X151" i="63"/>
  <c r="W151" i="63"/>
  <c r="X152" i="63"/>
  <c r="W152" i="63"/>
  <c r="X165" i="63"/>
  <c r="W165" i="63"/>
  <c r="W8" i="63"/>
  <c r="X8" i="63"/>
  <c r="X188" i="63"/>
  <c r="W188" i="63"/>
  <c r="X32" i="63"/>
  <c r="W32" i="63"/>
  <c r="X164" i="63"/>
  <c r="W164" i="63"/>
  <c r="X166" i="63"/>
  <c r="W166" i="63"/>
  <c r="X4" i="63"/>
  <c r="X2" i="63"/>
  <c r="X6" i="63"/>
  <c r="W4" i="63"/>
  <c r="W2" i="63"/>
  <c r="W6" i="63"/>
  <c r="X3" i="63"/>
  <c r="W3" i="63"/>
  <c r="W10" i="63"/>
  <c r="X10" i="63"/>
  <c r="W60" i="63"/>
  <c r="W93" i="63"/>
  <c r="W157" i="63"/>
  <c r="W158" i="63"/>
  <c r="W11" i="63"/>
  <c r="W46" i="63"/>
  <c r="W18" i="63"/>
  <c r="W128" i="63"/>
  <c r="W31" i="63"/>
  <c r="W129" i="63"/>
  <c r="W5" i="63"/>
  <c r="W56" i="63"/>
  <c r="W216" i="63"/>
  <c r="W68" i="63"/>
  <c r="W7" i="63"/>
  <c r="W78" i="63"/>
  <c r="W30" i="63"/>
  <c r="W52" i="63"/>
  <c r="W14" i="63"/>
  <c r="W74" i="63"/>
  <c r="X60" i="63"/>
  <c r="X93" i="63"/>
  <c r="X157" i="63"/>
  <c r="X158" i="63"/>
  <c r="X11" i="63"/>
  <c r="X9" i="63"/>
  <c r="X46" i="63"/>
  <c r="X18" i="63"/>
  <c r="X128" i="63"/>
  <c r="X31" i="63"/>
  <c r="X129" i="63"/>
  <c r="X5" i="63"/>
  <c r="X56" i="63"/>
  <c r="X216" i="63"/>
  <c r="X68" i="63"/>
  <c r="X7" i="63"/>
  <c r="X78" i="63"/>
  <c r="X30" i="63"/>
  <c r="X52" i="63"/>
  <c r="X14" i="63"/>
  <c r="X74" i="63"/>
  <c r="E5" i="63"/>
  <c r="AA12" i="57"/>
  <c r="W19" i="57"/>
  <c r="AA11" i="57"/>
  <c r="P19" i="57"/>
  <c r="W17" i="57"/>
  <c r="W16" i="57"/>
  <c r="W15" i="57"/>
  <c r="W14" i="57"/>
  <c r="W13" i="57"/>
  <c r="P93" i="57"/>
  <c r="P2" i="57"/>
  <c r="P3" i="57"/>
  <c r="P4" i="57"/>
  <c r="P5" i="57"/>
  <c r="P6" i="57"/>
  <c r="P7" i="57"/>
  <c r="P8" i="57"/>
  <c r="P9" i="57"/>
  <c r="P10" i="57"/>
  <c r="P11" i="57"/>
  <c r="P12" i="57"/>
  <c r="P13" i="57"/>
  <c r="P14" i="57"/>
  <c r="P15" i="57"/>
  <c r="P16" i="57"/>
  <c r="P17" i="57"/>
  <c r="P18" i="57"/>
  <c r="P20" i="57"/>
  <c r="P21" i="57"/>
  <c r="P22" i="57"/>
  <c r="P23" i="57"/>
  <c r="P24" i="57"/>
  <c r="P25" i="57"/>
  <c r="P26" i="57"/>
  <c r="P27" i="57"/>
  <c r="P28" i="57"/>
  <c r="P29" i="57"/>
  <c r="P30" i="57"/>
  <c r="P31" i="57"/>
  <c r="P32" i="57"/>
  <c r="P33" i="57"/>
  <c r="P34" i="57"/>
  <c r="P35" i="57"/>
  <c r="P36" i="57"/>
  <c r="P37" i="57"/>
  <c r="P38" i="57"/>
  <c r="P39" i="57"/>
  <c r="P40" i="57"/>
  <c r="P41" i="57"/>
  <c r="P42" i="57"/>
  <c r="P43" i="57"/>
  <c r="P44" i="57"/>
  <c r="P45" i="57"/>
  <c r="P46" i="57"/>
  <c r="P47" i="57"/>
  <c r="P48" i="57"/>
  <c r="P49" i="57"/>
  <c r="P50" i="57"/>
  <c r="P51" i="57"/>
  <c r="P52" i="57"/>
  <c r="P53" i="57"/>
  <c r="P54" i="57"/>
  <c r="P55" i="57"/>
  <c r="P56" i="57"/>
  <c r="P57" i="57"/>
  <c r="P58" i="57"/>
  <c r="P59" i="57"/>
  <c r="P60" i="57"/>
  <c r="P61" i="57"/>
  <c r="P62" i="57"/>
  <c r="P63" i="57"/>
  <c r="P64" i="57"/>
  <c r="P65" i="57"/>
  <c r="P66" i="57"/>
  <c r="P67" i="57"/>
  <c r="P68" i="57"/>
  <c r="P69" i="57"/>
  <c r="P70" i="57"/>
  <c r="P71" i="57"/>
  <c r="P72" i="57"/>
  <c r="P73" i="57"/>
  <c r="P74" i="57"/>
  <c r="P75" i="57"/>
  <c r="P76" i="57"/>
  <c r="P77" i="57"/>
  <c r="P78" i="57"/>
  <c r="P79" i="57"/>
  <c r="P80" i="57"/>
  <c r="P81" i="57"/>
  <c r="P82" i="57"/>
  <c r="P83" i="57"/>
  <c r="P84" i="57"/>
  <c r="P85" i="57"/>
  <c r="P86" i="57"/>
  <c r="P87" i="57"/>
  <c r="P88" i="57"/>
  <c r="P89" i="57"/>
  <c r="P90" i="57"/>
  <c r="P91" i="57"/>
  <c r="P92" i="57"/>
  <c r="P94" i="57"/>
  <c r="P95" i="57"/>
  <c r="P96" i="57"/>
  <c r="P97" i="57"/>
  <c r="P98" i="57"/>
  <c r="P99" i="57"/>
  <c r="P100" i="57"/>
  <c r="P101" i="57"/>
  <c r="M9" i="57"/>
  <c r="M78" i="57"/>
  <c r="M16" i="57"/>
  <c r="M90" i="57"/>
  <c r="M97" i="57"/>
  <c r="M7" i="57"/>
  <c r="M35" i="57"/>
  <c r="M56" i="57"/>
  <c r="M10" i="57"/>
  <c r="M11" i="57"/>
  <c r="M49" i="57"/>
  <c r="M76" i="57"/>
  <c r="M71" i="57"/>
  <c r="M28" i="57"/>
  <c r="M12" i="57"/>
  <c r="M17" i="57"/>
  <c r="M18" i="57"/>
  <c r="M19" i="57"/>
  <c r="M3" i="57"/>
  <c r="M30" i="57"/>
  <c r="M22" i="57"/>
  <c r="M31" i="57"/>
  <c r="M5" i="57"/>
  <c r="M51" i="57"/>
  <c r="M26" i="57"/>
  <c r="M96" i="57"/>
  <c r="M39" i="57"/>
  <c r="M29" i="57"/>
  <c r="M32" i="57"/>
  <c r="M36" i="57"/>
  <c r="M6" i="57"/>
  <c r="M25" i="57"/>
  <c r="M75" i="57"/>
  <c r="M68" i="57"/>
  <c r="M41" i="57"/>
  <c r="M37" i="57"/>
  <c r="M33" i="57"/>
  <c r="M94" i="57"/>
  <c r="M40" i="57"/>
  <c r="M43" i="57"/>
  <c r="M42" i="57"/>
  <c r="M101" i="57"/>
  <c r="M44" i="57"/>
  <c r="M69" i="57"/>
  <c r="M46" i="57"/>
  <c r="M47" i="57"/>
  <c r="M34" i="57"/>
  <c r="M54" i="57"/>
  <c r="M50" i="57"/>
  <c r="M92" i="57"/>
  <c r="M45" i="57"/>
  <c r="M93" i="57"/>
  <c r="M81" i="57"/>
  <c r="M67" i="57"/>
  <c r="M98" i="57"/>
  <c r="M2" i="57"/>
  <c r="M58" i="57"/>
  <c r="M99" i="57"/>
  <c r="M60" i="57"/>
  <c r="M57" i="57"/>
  <c r="M62" i="57"/>
  <c r="M63" i="57"/>
  <c r="M64" i="57"/>
  <c r="M65" i="57"/>
  <c r="M73" i="57"/>
  <c r="M48" i="57"/>
  <c r="M27" i="57"/>
  <c r="M8" i="57"/>
  <c r="M13" i="57"/>
  <c r="M4" i="57"/>
  <c r="M70" i="57"/>
  <c r="M77" i="57"/>
  <c r="M80" i="57"/>
  <c r="M89" i="57"/>
  <c r="M72" i="57"/>
  <c r="M100" i="57"/>
  <c r="M79" i="57"/>
  <c r="M88" i="57"/>
  <c r="M74" i="57"/>
  <c r="M15" i="57"/>
  <c r="M82" i="57"/>
  <c r="M83" i="57"/>
  <c r="M84" i="57"/>
  <c r="M85" i="57"/>
  <c r="M86" i="57"/>
  <c r="M87" i="57"/>
  <c r="M20" i="57"/>
  <c r="M66" i="57"/>
  <c r="M21" i="57"/>
  <c r="M91" i="57"/>
  <c r="M38" i="57"/>
  <c r="M61" i="57"/>
  <c r="M14" i="57"/>
  <c r="M95" i="57"/>
  <c r="M52" i="57"/>
  <c r="M23" i="57"/>
  <c r="M24" i="57"/>
  <c r="M53" i="57"/>
  <c r="M55" i="57"/>
  <c r="M59" i="57"/>
  <c r="J83" i="41"/>
  <c r="J91" i="41"/>
  <c r="J89" i="41"/>
  <c r="J92" i="41"/>
  <c r="J94" i="41"/>
  <c r="J84" i="41"/>
  <c r="J85" i="41"/>
  <c r="J88" i="41"/>
  <c r="S276" i="39"/>
  <c r="S266" i="39"/>
  <c r="K22" i="18"/>
  <c r="M12" i="18"/>
  <c r="M2" i="18"/>
  <c r="X242" i="71"/>
  <c r="W76" i="72"/>
  <c r="W131" i="72"/>
  <c r="W104" i="72"/>
  <c r="X180" i="73"/>
  <c r="K29" i="18"/>
  <c r="X138" i="72" l="1"/>
  <c r="X79" i="70"/>
  <c r="X96" i="68"/>
  <c r="X35" i="68"/>
  <c r="X109" i="72"/>
  <c r="X109" i="70"/>
  <c r="X39" i="68"/>
  <c r="X3" i="68"/>
  <c r="X36" i="68"/>
  <c r="X79" i="68"/>
  <c r="X151" i="68"/>
  <c r="X191" i="68"/>
  <c r="X83" i="70"/>
  <c r="X84" i="70"/>
  <c r="X60" i="71"/>
  <c r="X114" i="70"/>
  <c r="X60" i="70"/>
  <c r="X60" i="72"/>
  <c r="X166" i="70"/>
  <c r="X9" i="68"/>
  <c r="X82" i="68"/>
  <c r="X68" i="70"/>
  <c r="X75" i="70"/>
  <c r="X41" i="70"/>
  <c r="X139" i="72"/>
  <c r="X120" i="72"/>
  <c r="W113" i="64"/>
  <c r="X195" i="64"/>
  <c r="X61" i="63"/>
  <c r="X8" i="70"/>
  <c r="X114" i="72"/>
  <c r="W26" i="63"/>
  <c r="X124" i="68"/>
  <c r="X8" i="68"/>
  <c r="X192" i="70"/>
  <c r="X124" i="72"/>
  <c r="X230" i="68"/>
  <c r="X76" i="68"/>
  <c r="X9" i="70"/>
  <c r="W50" i="68"/>
  <c r="X50" i="72" s="1"/>
  <c r="X45" i="70"/>
  <c r="X144" i="68"/>
  <c r="X113" i="68"/>
  <c r="X216" i="70"/>
  <c r="X97" i="68"/>
  <c r="W198" i="64"/>
  <c r="X89" i="63"/>
  <c r="X59" i="68"/>
  <c r="X29" i="68"/>
  <c r="X75" i="72"/>
  <c r="X202" i="63"/>
  <c r="X91" i="70"/>
  <c r="X52" i="70"/>
  <c r="X49" i="68"/>
  <c r="X68" i="68"/>
  <c r="X93" i="68"/>
  <c r="X18" i="70"/>
  <c r="X91" i="72"/>
  <c r="X150" i="70"/>
  <c r="X93" i="70"/>
  <c r="X20" i="72"/>
  <c r="X156" i="70"/>
  <c r="X18" i="72"/>
  <c r="X197" i="70"/>
  <c r="X51" i="68"/>
  <c r="X131" i="68"/>
  <c r="X51" i="72"/>
  <c r="X40" i="68"/>
  <c r="X61" i="72"/>
  <c r="X11" i="70"/>
  <c r="X85" i="72"/>
  <c r="X152" i="68"/>
  <c r="X133" i="68"/>
  <c r="X14" i="72"/>
  <c r="X137" i="70"/>
  <c r="X110" i="68"/>
  <c r="X14" i="70"/>
  <c r="X134" i="70"/>
  <c r="X88" i="68"/>
  <c r="X175" i="68"/>
  <c r="X29" i="70"/>
  <c r="X86" i="68"/>
  <c r="X180" i="70"/>
  <c r="X140" i="68"/>
  <c r="X122" i="72"/>
  <c r="X27" i="68"/>
  <c r="X38" i="70"/>
  <c r="X33" i="70"/>
  <c r="X228" i="68"/>
  <c r="X22" i="72"/>
  <c r="X224" i="68"/>
  <c r="X187" i="68"/>
  <c r="X22" i="70"/>
  <c r="X185" i="64"/>
  <c r="X88" i="70"/>
  <c r="X28" i="68"/>
  <c r="X206" i="68"/>
  <c r="X211" i="70"/>
  <c r="X89" i="70"/>
  <c r="X145" i="68"/>
  <c r="W128" i="69"/>
  <c r="X128" i="69" s="1"/>
  <c r="W175" i="63"/>
  <c r="X191" i="64"/>
  <c r="X104" i="70"/>
  <c r="X62" i="63"/>
  <c r="X13" i="68"/>
  <c r="X11" i="68"/>
  <c r="X145" i="72"/>
  <c r="X43" i="68"/>
  <c r="X131" i="70"/>
  <c r="X43" i="70"/>
  <c r="X115" i="68"/>
  <c r="X146" i="68"/>
  <c r="X46" i="70"/>
  <c r="X199" i="64"/>
  <c r="X217" i="68"/>
  <c r="X208" i="70"/>
  <c r="X115" i="70"/>
  <c r="X146" i="72"/>
  <c r="X121" i="68"/>
  <c r="W181" i="63"/>
  <c r="X218" i="70"/>
  <c r="X137" i="68"/>
  <c r="X13" i="70"/>
  <c r="X28" i="72"/>
  <c r="X158" i="68"/>
  <c r="W183" i="63"/>
  <c r="X99" i="68"/>
  <c r="X141" i="70"/>
  <c r="X168" i="68"/>
  <c r="X12" i="70"/>
  <c r="X21" i="68"/>
  <c r="X47" i="68"/>
  <c r="X20" i="70"/>
  <c r="X214" i="70"/>
  <c r="X101" i="70"/>
  <c r="X54" i="64"/>
  <c r="X123" i="72"/>
  <c r="X225" i="68"/>
  <c r="X123" i="70"/>
  <c r="X215" i="68"/>
  <c r="X163" i="70"/>
  <c r="X136" i="72"/>
  <c r="X182" i="63"/>
  <c r="X55" i="68"/>
  <c r="X85" i="70"/>
  <c r="X98" i="72"/>
  <c r="X69" i="72"/>
  <c r="X83" i="72"/>
  <c r="X203" i="70"/>
  <c r="X78" i="69"/>
  <c r="X104" i="68"/>
  <c r="X139" i="68"/>
  <c r="X98" i="68"/>
  <c r="X57" i="68"/>
  <c r="X121" i="72"/>
  <c r="W181" i="73"/>
  <c r="X48" i="68"/>
  <c r="X23" i="70"/>
  <c r="X69" i="68"/>
  <c r="X136" i="70"/>
  <c r="X31" i="70"/>
  <c r="W102" i="66"/>
  <c r="X102" i="66" s="1"/>
  <c r="W246" i="70"/>
  <c r="X176" i="63"/>
  <c r="X226" i="68"/>
  <c r="X130" i="72"/>
  <c r="W77" i="70"/>
  <c r="X77" i="70" s="1"/>
  <c r="W105" i="70"/>
  <c r="X105" i="70" s="1"/>
  <c r="X87" i="70"/>
  <c r="X87" i="68"/>
  <c r="W38" i="64"/>
  <c r="X219" i="70"/>
  <c r="X207" i="70"/>
  <c r="X122" i="70"/>
  <c r="X188" i="68"/>
  <c r="X33" i="72"/>
  <c r="X232" i="68"/>
  <c r="X205" i="70"/>
  <c r="X148" i="70"/>
  <c r="X153" i="70"/>
  <c r="X7" i="70"/>
  <c r="X63" i="68"/>
  <c r="W78" i="67"/>
  <c r="X119" i="68"/>
  <c r="X35" i="70"/>
  <c r="X100" i="68"/>
  <c r="X101" i="68"/>
  <c r="X147" i="72"/>
  <c r="X6" i="68"/>
  <c r="X116" i="70"/>
  <c r="X119" i="72"/>
  <c r="X141" i="72"/>
  <c r="X34" i="72"/>
  <c r="X204" i="68"/>
  <c r="X63" i="72"/>
  <c r="X34" i="68"/>
  <c r="X6" i="72"/>
  <c r="X3" i="70"/>
  <c r="X147" i="68"/>
  <c r="X157" i="68"/>
  <c r="X189" i="68"/>
  <c r="X172" i="68"/>
  <c r="X227" i="70"/>
  <c r="X107" i="72"/>
  <c r="X65" i="72"/>
  <c r="X2" i="70"/>
  <c r="X128" i="68"/>
  <c r="X195" i="68"/>
  <c r="X17" i="72"/>
  <c r="X10" i="68"/>
  <c r="X110" i="72"/>
  <c r="X171" i="68"/>
  <c r="X39" i="70"/>
  <c r="X7" i="68"/>
  <c r="X12" i="68"/>
  <c r="X16" i="70"/>
  <c r="X169" i="70"/>
  <c r="X111" i="72"/>
  <c r="X165" i="68"/>
  <c r="X67" i="68"/>
  <c r="X61" i="70"/>
  <c r="X21" i="70"/>
  <c r="X113" i="70"/>
  <c r="X181" i="68"/>
  <c r="W4" i="70"/>
  <c r="X102" i="72"/>
  <c r="X90" i="68"/>
  <c r="X177" i="68"/>
  <c r="X159" i="68"/>
  <c r="X120" i="68"/>
  <c r="X18" i="68"/>
  <c r="X37" i="68"/>
  <c r="X229" i="68"/>
  <c r="X178" i="63"/>
  <c r="X66" i="70"/>
  <c r="X118" i="72"/>
  <c r="X118" i="68"/>
  <c r="X234" i="68"/>
  <c r="X154" i="68"/>
  <c r="X40" i="70"/>
  <c r="W185" i="63"/>
  <c r="X90" i="70"/>
  <c r="X5" i="72"/>
  <c r="X41" i="68"/>
  <c r="X66" i="68"/>
  <c r="X200" i="68"/>
  <c r="W180" i="63"/>
  <c r="X58" i="68"/>
  <c r="X177" i="63"/>
  <c r="X129" i="70"/>
  <c r="X49" i="70"/>
  <c r="X164" i="68"/>
  <c r="X15" i="70"/>
  <c r="X135" i="72"/>
  <c r="X78" i="68"/>
  <c r="X196" i="68"/>
  <c r="X95" i="70"/>
  <c r="X31" i="72"/>
  <c r="X161" i="70"/>
  <c r="X44" i="68"/>
  <c r="X10" i="71"/>
  <c r="X89" i="68"/>
  <c r="X126" i="70"/>
  <c r="X135" i="70"/>
  <c r="X106" i="72"/>
  <c r="X25" i="68"/>
  <c r="X162" i="68"/>
  <c r="X25" i="70"/>
  <c r="X19" i="68"/>
  <c r="X42" i="68"/>
  <c r="X174" i="63"/>
  <c r="X133" i="72"/>
  <c r="X190" i="64"/>
  <c r="X220" i="68"/>
  <c r="X10" i="70"/>
  <c r="X231" i="70"/>
  <c r="X56" i="68"/>
  <c r="X78" i="70"/>
  <c r="X221" i="68"/>
  <c r="X125" i="70"/>
  <c r="X138" i="68"/>
  <c r="X125" i="68"/>
  <c r="X183" i="64"/>
  <c r="X199" i="68"/>
  <c r="X126" i="72"/>
  <c r="X125" i="72"/>
  <c r="X106" i="70"/>
  <c r="X95" i="68"/>
  <c r="X71" i="72"/>
  <c r="X53" i="70"/>
  <c r="X19" i="70"/>
  <c r="X212" i="70"/>
  <c r="X23" i="68"/>
  <c r="X134" i="68"/>
  <c r="X74" i="68"/>
  <c r="X48" i="70"/>
  <c r="X53" i="68"/>
  <c r="X80" i="68"/>
  <c r="X107" i="70"/>
  <c r="X71" i="68"/>
  <c r="X80" i="70"/>
  <c r="X44" i="70"/>
  <c r="W173" i="63"/>
  <c r="X124" i="71"/>
  <c r="X190" i="70"/>
  <c r="X32" i="71"/>
  <c r="X160" i="70"/>
  <c r="X45" i="68"/>
  <c r="W114" i="64"/>
  <c r="X26" i="68"/>
  <c r="X97" i="72"/>
  <c r="X183" i="68"/>
  <c r="X32" i="68"/>
  <c r="X129" i="68"/>
  <c r="X30" i="70"/>
  <c r="X170" i="68"/>
  <c r="X130" i="70"/>
  <c r="X164" i="73"/>
  <c r="X174" i="73"/>
  <c r="X108" i="70"/>
  <c r="X226" i="69"/>
  <c r="X24" i="70"/>
  <c r="X174" i="70"/>
  <c r="X81" i="68"/>
  <c r="X219" i="71"/>
  <c r="X2" i="68"/>
  <c r="X149" i="68"/>
  <c r="X142" i="72"/>
  <c r="X27" i="70"/>
  <c r="W184" i="64"/>
  <c r="X174" i="68"/>
  <c r="X142" i="68"/>
  <c r="X24" i="68"/>
  <c r="X213" i="68"/>
  <c r="X103" i="72"/>
  <c r="X103" i="70"/>
  <c r="X235" i="68"/>
  <c r="X143" i="73"/>
  <c r="X108" i="68"/>
  <c r="X99" i="70"/>
  <c r="W172" i="63"/>
  <c r="W62" i="69"/>
  <c r="W159" i="69"/>
  <c r="X159" i="69" s="1"/>
  <c r="W101" i="66"/>
  <c r="X101" i="66" s="1"/>
  <c r="W133" i="72"/>
  <c r="W193" i="64"/>
  <c r="X176" i="68"/>
  <c r="W197" i="64"/>
  <c r="X62" i="70"/>
  <c r="X132" i="70"/>
  <c r="X146" i="64"/>
  <c r="X92" i="70"/>
  <c r="X94" i="72"/>
  <c r="X17" i="68"/>
  <c r="X140" i="72"/>
  <c r="X62" i="72"/>
  <c r="X127" i="72"/>
  <c r="X194" i="68"/>
  <c r="X186" i="68"/>
  <c r="X184" i="68"/>
  <c r="X70" i="72"/>
  <c r="X92" i="72"/>
  <c r="X67" i="72"/>
  <c r="X102" i="70"/>
  <c r="X4" i="70"/>
  <c r="X37" i="72"/>
  <c r="X30" i="68"/>
  <c r="X215" i="71"/>
  <c r="X94" i="70"/>
  <c r="X73" i="70"/>
  <c r="X148" i="72"/>
  <c r="X5" i="70"/>
  <c r="X167" i="68"/>
  <c r="X70" i="70"/>
  <c r="X62" i="69"/>
  <c r="X132" i="68"/>
  <c r="X25" i="72"/>
  <c r="X111" i="68"/>
  <c r="X38" i="68"/>
  <c r="X4" i="68"/>
  <c r="X233" i="68"/>
  <c r="X117" i="72"/>
  <c r="X117" i="70"/>
  <c r="X73" i="68"/>
  <c r="X193" i="70"/>
  <c r="X179" i="70"/>
  <c r="W194" i="64"/>
  <c r="X127" i="68"/>
  <c r="W133" i="70"/>
  <c r="X141" i="68"/>
  <c r="X112" i="70"/>
  <c r="X112" i="72"/>
  <c r="X112" i="68"/>
  <c r="W14" i="67"/>
  <c r="X14" i="67"/>
  <c r="X72" i="68"/>
  <c r="X72" i="70"/>
  <c r="X116" i="72"/>
  <c r="X178" i="70"/>
  <c r="X223" i="70"/>
  <c r="X223" i="68"/>
  <c r="X142" i="73"/>
  <c r="X3" i="76"/>
  <c r="X50" i="7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tc={E0181E32-9E9F-4B9D-9520-703D2A5DA0D1}</author>
  </authors>
  <commentList>
    <comment ref="C66" authorId="0" shapeId="0" xr:uid="{E0181E32-9E9F-4B9D-9520-703D2A5DA0D1}">
      <text>
        <t>[Threaded comment]
Your version of Excel allows you to read this threaded comment; however, any edits to it will get removed if the file is opened in a newer version of Excel. Learn more: https://go.microsoft.com/fwlink/?linkid=870924
Comment:
    The only exception is unit #TCLU6023655, as this is on hold for damage. A damage report has already been sent to ZIM for this unit. When one of your drayman receives this unit upon IFF delivery, the driver will be stopped at the gate. We will make sure the driver is aware of this damage, and if the driver agrees to take this unit “as is,” we will then remove the hold and release this flat rack/cargo (TCLU6023655) to the driver.  </t>
      </text>
    </comment>
  </commentList>
</comments>
</file>

<file path=xl/sharedStrings.xml><?xml version="1.0" encoding="utf-8"?>
<sst xmlns="http://schemas.openxmlformats.org/spreadsheetml/2006/main" count="50221" uniqueCount="14955">
  <si>
    <t>CUSTOMER</t>
  </si>
  <si>
    <t>CNTR#</t>
  </si>
  <si>
    <t>SIZE</t>
  </si>
  <si>
    <t>ETA PORT</t>
  </si>
  <si>
    <t>ETA</t>
  </si>
  <si>
    <t>SSL</t>
  </si>
  <si>
    <t>Rail</t>
  </si>
  <si>
    <t>APPT</t>
  </si>
  <si>
    <t>TIME</t>
  </si>
  <si>
    <t>TRUCKER</t>
  </si>
  <si>
    <t>TO</t>
  </si>
  <si>
    <t>PU#</t>
  </si>
  <si>
    <t>LFD</t>
  </si>
  <si>
    <t>OG</t>
  </si>
  <si>
    <t>IG</t>
  </si>
  <si>
    <t>NOTE</t>
  </si>
  <si>
    <t>OP</t>
  </si>
  <si>
    <t>Inv status</t>
  </si>
  <si>
    <t>Dispatch</t>
  </si>
  <si>
    <t>Sales Amount</t>
  </si>
  <si>
    <t>Cost</t>
  </si>
  <si>
    <t>CNTR AMOUNT</t>
  </si>
  <si>
    <t>Profit</t>
  </si>
  <si>
    <t>Profit Ratio</t>
  </si>
  <si>
    <t>EIR</t>
  </si>
  <si>
    <t>Co-loader</t>
  </si>
  <si>
    <t>APEX</t>
  </si>
  <si>
    <t>BMOU5824611</t>
  </si>
  <si>
    <t>40HQ</t>
  </si>
  <si>
    <t>HMM</t>
  </si>
  <si>
    <t>CP</t>
  </si>
  <si>
    <t>1PM</t>
  </si>
  <si>
    <t>WESHIP</t>
  </si>
  <si>
    <t>PORTAGE,IN</t>
  </si>
  <si>
    <t>HDMUSGNM64167900/HCMOE2304006/SOC</t>
  </si>
  <si>
    <t>HP</t>
  </si>
  <si>
    <t>DONE</t>
  </si>
  <si>
    <t>D</t>
  </si>
  <si>
    <t>BMOU5788031</t>
  </si>
  <si>
    <t>CP SHILLER PARK</t>
  </si>
  <si>
    <t>11AM</t>
  </si>
  <si>
    <t>CAIU9232518</t>
  </si>
  <si>
    <t>link trans</t>
  </si>
  <si>
    <t>OOLU8775795</t>
  </si>
  <si>
    <t>40 HQ</t>
  </si>
  <si>
    <t>COSCO</t>
  </si>
  <si>
    <t>BNSF</t>
  </si>
  <si>
    <t>ABL FBA</t>
  </si>
  <si>
    <t>D76AD9</t>
  </si>
  <si>
    <t xml:space="preserve">COSU8037980271  </t>
  </si>
  <si>
    <t>yx</t>
  </si>
  <si>
    <t>done</t>
  </si>
  <si>
    <t>CAIU9394015</t>
  </si>
  <si>
    <t>AGI</t>
  </si>
  <si>
    <t>APHU4633554</t>
  </si>
  <si>
    <t>45HC</t>
  </si>
  <si>
    <t>CMA CGM</t>
  </si>
  <si>
    <t>UP</t>
  </si>
  <si>
    <t>6PM</t>
  </si>
  <si>
    <t>AMZ MDW9</t>
  </si>
  <si>
    <t>CMDUNGP0219212/ISA#118919893</t>
  </si>
  <si>
    <t>TW TOOLS</t>
  </si>
  <si>
    <t>HLBU3100055</t>
  </si>
  <si>
    <t>HAPAG</t>
  </si>
  <si>
    <t>3:30PM</t>
  </si>
  <si>
    <t>MENOMONEE FALLS,WI</t>
  </si>
  <si>
    <t>HLCUNG12304EKPX1/HC $65/AN SENT TO UQI</t>
  </si>
  <si>
    <t>A-Z</t>
  </si>
  <si>
    <t>PENAVICO-SPEY</t>
  </si>
  <si>
    <t>FFAU1343270</t>
  </si>
  <si>
    <t xml:space="preserve">BNSF Kansas City </t>
  </si>
  <si>
    <t>10am live</t>
  </si>
  <si>
    <t>All Points</t>
  </si>
  <si>
    <t>Kansas City, MO 64137</t>
  </si>
  <si>
    <t>COSU6356482140 / Hancock filed ISF, UQI clear customs /  AN SENT / SWB / Delivery Address: 1227 Martha Truman Rd, Kansas City, MO 64137 / Re-route $ 150 &amp; chassis split $135 for return to ITI Edgerton.</t>
  </si>
  <si>
    <t>WC</t>
  </si>
  <si>
    <t xml:space="preserve">DONE#132522 </t>
  </si>
  <si>
    <t>TLLU4405359</t>
  </si>
  <si>
    <t>A4AEEC</t>
  </si>
  <si>
    <t xml:space="preserve">COSU8038089980 </t>
  </si>
  <si>
    <t>CCLU7490160</t>
  </si>
  <si>
    <t>1pm live</t>
  </si>
  <si>
    <t xml:space="preserve">19FB7E </t>
  </si>
  <si>
    <t>COSU6356482140 / Hancock filed ISF, UQI clear customs / AN SENT / SWB / Delivery Address: 1227 Martha Truman Rd, Kansas City, MO 64137/ Re-route $ 150 &amp; chassis split $135 for return to ITI Edgerton.</t>
  </si>
  <si>
    <t>OOCU7561128</t>
  </si>
  <si>
    <t>40HC</t>
  </si>
  <si>
    <t>cosco</t>
  </si>
  <si>
    <t>C6E26F</t>
  </si>
  <si>
    <t>cosu8038089210</t>
  </si>
  <si>
    <t>YX</t>
  </si>
  <si>
    <t>CINCO</t>
  </si>
  <si>
    <t>TCKU9978131</t>
  </si>
  <si>
    <t>45 HQ</t>
  </si>
  <si>
    <t>CMA</t>
  </si>
  <si>
    <t>EA1B49</t>
  </si>
  <si>
    <t xml:space="preserve">SELF-PU/45hq devan450/CMDUCHN0304873/abl arrange delivery- ftl 卖价1200 / </t>
  </si>
  <si>
    <t>FOREST-TESSA</t>
  </si>
  <si>
    <t>MATU2716880</t>
  </si>
  <si>
    <t>MATSON</t>
  </si>
  <si>
    <t>3E6222</t>
  </si>
  <si>
    <t>MATS2058477000/Devan 6.13</t>
  </si>
  <si>
    <t>T</t>
  </si>
  <si>
    <t>TCKU6904747</t>
  </si>
  <si>
    <t>CSX-59TH</t>
  </si>
  <si>
    <t>7AM</t>
  </si>
  <si>
    <t>CMDUSGN1835365/HCMOE2304011</t>
  </si>
  <si>
    <t>SEKU5816602</t>
  </si>
  <si>
    <t>TLLU4964974</t>
  </si>
  <si>
    <t>9AM</t>
  </si>
  <si>
    <t>TGBU4707403</t>
  </si>
  <si>
    <t>11am live</t>
  </si>
  <si>
    <t>5C4584</t>
  </si>
  <si>
    <t>COSU6356482140 / Hancock filed ISF, UQI clear customs /  AN SENT / SWB / Delivery Address: 1227 Martha Truman Rd, Kansas City, MO 64137/ Re-route $ 150 &amp; chassis split $135 for return to ITI Edgerton.</t>
  </si>
  <si>
    <t>TRHU8951371</t>
  </si>
  <si>
    <t>BMOU6618934</t>
  </si>
  <si>
    <t>10AM</t>
  </si>
  <si>
    <t>CMAU6740251</t>
  </si>
  <si>
    <t>CMDUSGN1835364/HCMOE2304010</t>
  </si>
  <si>
    <t>TCLU6718816</t>
  </si>
  <si>
    <t>CMAU4781077</t>
  </si>
  <si>
    <t>CMAU7416340</t>
  </si>
  <si>
    <t>CMAU8567422</t>
  </si>
  <si>
    <t>VAST LOG</t>
  </si>
  <si>
    <t>OOLU8944724</t>
  </si>
  <si>
    <t>LBCT</t>
  </si>
  <si>
    <t>PAQS</t>
  </si>
  <si>
    <t>ABL ONT8</t>
  </si>
  <si>
    <t>COSU6356380440/ ETD 5.22/isf/拆送/6.9左右rld/ctf,pierpass $88/pu from paqs to cinco to ont8/</t>
  </si>
  <si>
    <t>IW</t>
  </si>
  <si>
    <t>FOREST-HADES</t>
  </si>
  <si>
    <t>MATU2805437</t>
  </si>
  <si>
    <t>B9E207</t>
  </si>
  <si>
    <t>MATS2652334000/Devan 6.14</t>
  </si>
  <si>
    <t>ABL CN/KYLIN</t>
  </si>
  <si>
    <t>TRHU6966979</t>
  </si>
  <si>
    <t>EVERGREEN</t>
  </si>
  <si>
    <t>CHARLESTON port</t>
  </si>
  <si>
    <t>BIG RIVER</t>
  </si>
  <si>
    <t>Orangeburg, SC 29115</t>
  </si>
  <si>
    <t>QUA-WUH230414-2</t>
  </si>
  <si>
    <t>MATU2725265</t>
  </si>
  <si>
    <t>2305008569 HOLD</t>
  </si>
  <si>
    <t>19E8F8</t>
  </si>
  <si>
    <t>MATS9125793000/Devan 6.16</t>
  </si>
  <si>
    <t>DONE#134685</t>
  </si>
  <si>
    <t>Link Trans</t>
  </si>
  <si>
    <t xml:space="preserve">CMAU7108223 </t>
  </si>
  <si>
    <t>C8B842</t>
  </si>
  <si>
    <t>CMDUCHN0285868</t>
  </si>
  <si>
    <t>YIWU HANGI</t>
  </si>
  <si>
    <t>FAMU9134560</t>
  </si>
  <si>
    <t>OOCL</t>
  </si>
  <si>
    <t>NS</t>
  </si>
  <si>
    <t>8AM-2PM</t>
  </si>
  <si>
    <t>CENTURY</t>
  </si>
  <si>
    <t>MIAMISBURG,OH,45342</t>
  </si>
  <si>
    <t>OOLU2140482430/Q#YH-0419/AN SENT TO UQI/SOC</t>
  </si>
  <si>
    <t>XIN BANG</t>
  </si>
  <si>
    <t>EGHU9248984</t>
  </si>
  <si>
    <t>Oakland Ben E. Nutter Terminal</t>
  </si>
  <si>
    <t>TNC</t>
  </si>
  <si>
    <t>FBA 整柜直送FAT2</t>
  </si>
  <si>
    <t>N/A</t>
  </si>
  <si>
    <r>
      <rPr>
        <sz val="11"/>
        <rFont val="Calibri"/>
        <family val="2"/>
        <scheme val="minor"/>
      </rPr>
      <t>AMZ APPT# 88340007992, 6-17 @21:00 / EG</t>
    </r>
    <r>
      <rPr>
        <sz val="11"/>
        <color theme="1"/>
        <rFont val="Calibri"/>
        <family val="2"/>
        <scheme val="minor"/>
      </rPr>
      <t>LV140300731015/  可以用 wong james 卡车/ Q# QDXB051223M / QDXB051223M - QDXB051223F</t>
    </r>
  </si>
  <si>
    <t>DONE#132599</t>
  </si>
  <si>
    <t>PG-NETWORK</t>
  </si>
  <si>
    <t>MSDU6406070</t>
  </si>
  <si>
    <t>MSC</t>
  </si>
  <si>
    <t>weship</t>
  </si>
  <si>
    <t>Galesburg, IL 61401</t>
  </si>
  <si>
    <t>MH</t>
  </si>
  <si>
    <t>APEX WH</t>
  </si>
  <si>
    <t>MRKU3639447</t>
  </si>
  <si>
    <t>MAERSK</t>
  </si>
  <si>
    <t>BENSENVILLE,IL,60106</t>
  </si>
  <si>
    <t>511BA1</t>
  </si>
  <si>
    <t>MAEU226792236/SZX23050002A</t>
  </si>
  <si>
    <t>CMAU7528680</t>
  </si>
  <si>
    <t>8AM</t>
  </si>
  <si>
    <t>CMDUSGN1835719/HCMOE2304014/DRY RUN $570</t>
  </si>
  <si>
    <t>CMAU6747739</t>
  </si>
  <si>
    <t>CMDUSGN1835719/HCMOE2304014/DRY RUN $200</t>
  </si>
  <si>
    <t>SEKU5706077</t>
  </si>
  <si>
    <t>CMDUSGN1835719/HCMOE2304014</t>
  </si>
  <si>
    <t>CMAU8507043</t>
  </si>
  <si>
    <t>CMDUSGN1835717/HCMOE2304013</t>
  </si>
  <si>
    <t>BEAU6260830</t>
  </si>
  <si>
    <t>BMOU6735550</t>
  </si>
  <si>
    <t>CMAU7913731</t>
  </si>
  <si>
    <t>APHU7363067</t>
  </si>
  <si>
    <t>CMDUSGN1835718/HCMOE2304012</t>
  </si>
  <si>
    <t>BMOU6579503</t>
  </si>
  <si>
    <t>CMAU4005751</t>
  </si>
  <si>
    <t>TCNU5966332</t>
  </si>
  <si>
    <t>OOCU8938664</t>
  </si>
  <si>
    <t>1B6E9A</t>
  </si>
  <si>
    <t>COSU6356482140 / Hancock filed ISF, UQI clear customs  / AN SENT / SWB / Delivery Address: 1227 Martha Truman Rd, Kansas City, MO 64137/ Re-route $ 150 &amp; chassis split $135 for return to ITI Edgerton.</t>
  </si>
  <si>
    <t>DONE#132522</t>
  </si>
  <si>
    <t xml:space="preserve">APEX </t>
  </si>
  <si>
    <t>MEDU6796840</t>
  </si>
  <si>
    <t>20GP</t>
  </si>
  <si>
    <t>CSX CLEVELAND</t>
  </si>
  <si>
    <t>8AM-5PM</t>
  </si>
  <si>
    <t>FREEDOM 1</t>
  </si>
  <si>
    <t>SOLON,OHIO,44139</t>
  </si>
  <si>
    <t>R00110009553</t>
  </si>
  <si>
    <t>MEDUO8835417/Q#AP-0531</t>
  </si>
  <si>
    <t>MRKU3443618</t>
  </si>
  <si>
    <t>A41400</t>
  </si>
  <si>
    <t>MAEU914923278/SZX23040411A</t>
  </si>
  <si>
    <t>FOREST-NANCY</t>
  </si>
  <si>
    <t>OOCU7255046</t>
  </si>
  <si>
    <t>2PM</t>
  </si>
  <si>
    <t>AMZ MDW6</t>
  </si>
  <si>
    <t>B3D2BC</t>
  </si>
  <si>
    <t xml:space="preserve">OOLU2718575052/Q#ABL FBA SHEET/ISA#110584825
</t>
  </si>
  <si>
    <t>CXDU1158136</t>
  </si>
  <si>
    <t>8727D0</t>
  </si>
  <si>
    <t>OOLU2718575053/ISA#110583825</t>
  </si>
  <si>
    <t>FOREST-YVONNE</t>
  </si>
  <si>
    <t xml:space="preserve">CSNU6458182 </t>
  </si>
  <si>
    <t>BIG BLUE</t>
  </si>
  <si>
    <t>BURNSVILLE,MN,55337</t>
  </si>
  <si>
    <t>545D07</t>
  </si>
  <si>
    <t>COSU6356779200/Q#FR-0530/$200 DROP</t>
  </si>
  <si>
    <t>FSCU8753545</t>
  </si>
  <si>
    <t>9dca45</t>
  </si>
  <si>
    <t>COSU8038263552</t>
  </si>
  <si>
    <t>CSNU6869136</t>
  </si>
  <si>
    <t>9e50c6</t>
  </si>
  <si>
    <t xml:space="preserve">COSU8038241220 </t>
  </si>
  <si>
    <t>MATU2797434</t>
  </si>
  <si>
    <t>8E5EAB</t>
  </si>
  <si>
    <t>MATS2127453000 /Devan 6.21</t>
  </si>
  <si>
    <t>CSNU6147920</t>
  </si>
  <si>
    <t>35DC45</t>
  </si>
  <si>
    <t>COSU6356979362</t>
  </si>
  <si>
    <t>CAIU4602836</t>
  </si>
  <si>
    <t>POD</t>
  </si>
  <si>
    <t>AMZ ICT2</t>
  </si>
  <si>
    <t>26C242</t>
  </si>
  <si>
    <t>6/23 ST</t>
  </si>
  <si>
    <t>MEDURX372085/Q#FR-0328/ISA#83163008995</t>
  </si>
  <si>
    <t>Global Pass-GTS</t>
  </si>
  <si>
    <t>FTAU1604535</t>
  </si>
  <si>
    <t>ONE</t>
  </si>
  <si>
    <t>UP ST LOUIS</t>
  </si>
  <si>
    <t>JUNG</t>
  </si>
  <si>
    <t xml:space="preserve">  Hazelwood, MO 63042</t>
  </si>
  <si>
    <t>6-22 empty ready / Drop fee $240 / 6-7 discharged / ONEYSZPD73831800 / 
Receiver contact: Jonathan Laufer &lt;j.laufer@miniaturemarket.com&gt;; 
Johnathan Adams &lt;j.adams@miniaturemarket.com&gt;; 
Mike Hodde &lt;m.hodde@miniaturemarket.com&gt;; Malachi Owen &lt;m.owen@miniaturemarket.com&gt; T: 618-792-1385.   / / Q# 0515GS0IW</t>
  </si>
  <si>
    <t xml:space="preserve">DONE#132777 </t>
  </si>
  <si>
    <t>MATU2312235</t>
  </si>
  <si>
    <t>01405D</t>
  </si>
  <si>
    <t>MATS1607927000/Devan 6.22</t>
  </si>
  <si>
    <t>SUPER LINKING</t>
  </si>
  <si>
    <t>HPCU4519453</t>
  </si>
  <si>
    <t>UNLIMTED</t>
  </si>
  <si>
    <t>EFFINGHAM,IL,62401</t>
  </si>
  <si>
    <t>CMDUCHN0330090/Q#SP-0530/PO#EB23023/ABL PD</t>
  </si>
  <si>
    <t>ZCSU6115898</t>
  </si>
  <si>
    <t>ZIM</t>
  </si>
  <si>
    <t>4PM</t>
  </si>
  <si>
    <t>ZIMUSHH31030784/ISF 10+2</t>
  </si>
  <si>
    <t>SA UNION</t>
  </si>
  <si>
    <t>EGHU8287564</t>
  </si>
  <si>
    <t>TACOMA</t>
  </si>
  <si>
    <t>ADHOC</t>
  </si>
  <si>
    <t>ROY, WA 98580</t>
  </si>
  <si>
    <t>ETD 5/18/090300092063，PO# 34/35,no duty/cargowise/terminal fee 240/customscleared/PO No：115154 / 115155</t>
  </si>
  <si>
    <t>TCNU3952371</t>
  </si>
  <si>
    <t>Drop</t>
  </si>
  <si>
    <t>ETD 5/18/090300092063，PO# 34/35,no duty/cargowise/customs cleared/PO No：115154 / 115155</t>
  </si>
  <si>
    <t>TCKU3209058</t>
  </si>
  <si>
    <t>CAM CGM</t>
  </si>
  <si>
    <t>879D5A</t>
  </si>
  <si>
    <t>CMDUSHZ5514000</t>
  </si>
  <si>
    <t>MATU2522139</t>
  </si>
  <si>
    <t>D26039</t>
  </si>
  <si>
    <t>MATS5430871000 /Devan 6.28</t>
  </si>
  <si>
    <t>INV RECEIVED</t>
  </si>
  <si>
    <t>MEDU6011520</t>
  </si>
  <si>
    <t>ST LOUIS,MO,63115</t>
  </si>
  <si>
    <t>MEDUP8735920/MY23044598/Q#AP-0203/PO#RCT 14956</t>
  </si>
  <si>
    <t>APEX-LC</t>
  </si>
  <si>
    <t>TEMU8768270</t>
  </si>
  <si>
    <t>YANG MING</t>
  </si>
  <si>
    <t>REMEOVILLE,IL</t>
  </si>
  <si>
    <t>EACA38</t>
  </si>
  <si>
    <t>YMPRW242562081/SHE23043972/PO#32276974/Q#AP-0424</t>
  </si>
  <si>
    <t>CHSU8172996</t>
  </si>
  <si>
    <t>3PM</t>
  </si>
  <si>
    <t>ROADONE</t>
  </si>
  <si>
    <t>9082CB</t>
  </si>
  <si>
    <t>CMDUCHN0296312/Q#SP-0530</t>
  </si>
  <si>
    <t xml:space="preserve">ECMU8148202 </t>
  </si>
  <si>
    <t>CMDUNGP0219134/ISA#119414893</t>
  </si>
  <si>
    <t>OOLU8888981</t>
  </si>
  <si>
    <t>HORIZON</t>
  </si>
  <si>
    <t>ANOKA, MN, 55303</t>
  </si>
  <si>
    <t>OOLU2140782650/Q#AG-0615A/$250 OW+$80 PERMIT</t>
  </si>
  <si>
    <t>OOLU9375936
OOLU8717398
OOCU7814334
OOLU6796232</t>
  </si>
  <si>
    <t>4X40HC</t>
  </si>
  <si>
    <t>BNSF LPC</t>
  </si>
  <si>
    <t>OBL</t>
  </si>
  <si>
    <t>OOLU2719414070 / AN sent / wuh bill to weship.</t>
  </si>
  <si>
    <t>TEMU8789190</t>
  </si>
  <si>
    <t>EC4841</t>
  </si>
  <si>
    <t>YMPRW242562082/SHE23043974/PO#32276963/Q#AP-0424</t>
  </si>
  <si>
    <t>KAI YA</t>
  </si>
  <si>
    <t>CMAU4615707</t>
  </si>
  <si>
    <t>abl fba</t>
  </si>
  <si>
    <t>1ccc39</t>
  </si>
  <si>
    <t>CMDUNGP0252584</t>
  </si>
  <si>
    <t>AF SKY</t>
  </si>
  <si>
    <t xml:space="preserve">BSIU9430421 </t>
  </si>
  <si>
    <t> </t>
  </si>
  <si>
    <t>6/26 drop</t>
  </si>
  <si>
    <t>DARIEN, IL 60561</t>
  </si>
  <si>
    <t>ONEYJKTD26896900</t>
  </si>
  <si>
    <t>VITE / Focus One</t>
  </si>
  <si>
    <t>BEAU6192778</t>
  </si>
  <si>
    <t>NS-Pittsburgh</t>
  </si>
  <si>
    <t>EVANS</t>
  </si>
  <si>
    <t>PITTSBURGH, PA 15203</t>
  </si>
  <si>
    <r>
      <rPr>
        <sz val="11"/>
        <color rgb="FF0000FF"/>
        <rFont val="Calibri"/>
        <family val="2"/>
        <scheme val="minor"/>
      </rPr>
      <t xml:space="preserve">6/26 Evans can pick up on 6/27, they have chassis. </t>
    </r>
    <r>
      <rPr>
        <sz val="11"/>
        <color rgb="FFFF0000"/>
        <rFont val="Calibri"/>
        <family val="2"/>
        <scheme val="minor"/>
      </rPr>
      <t xml:space="preserve">FLIP $250/ Demurrage $400-6.26 +$215-6.27 </t>
    </r>
    <r>
      <rPr>
        <sz val="11"/>
        <color theme="1"/>
        <rFont val="Calibri"/>
        <family val="2"/>
        <scheme val="minor"/>
      </rPr>
      <t>/ COSU6356681230 / CNTR:BEAU6192778/SEAL:25927788/40HQ /  派送地址：
20 South 6th Street, Pittsburgh PA 15203 USA
联系人：Rege Armbruster ,phone number:+14129063971,email: rege@appliancewarehouse.com; cheery@smad.com.cn</t>
    </r>
  </si>
  <si>
    <t>TRHU5674870</t>
  </si>
  <si>
    <t>MARESK</t>
  </si>
  <si>
    <t>3414BC</t>
  </si>
  <si>
    <t>MAEU227007974</t>
  </si>
  <si>
    <t>CHINA INTEROCEAN</t>
  </si>
  <si>
    <t>TRDU8750623</t>
  </si>
  <si>
    <t>LIBERTYVILLE,IL,60048</t>
  </si>
  <si>
    <t>HDMUNBOZ07234700/Q#CI-0512/RE-ROUTE $225</t>
  </si>
  <si>
    <t>TRDU8750644</t>
  </si>
  <si>
    <t>MUNDELEIN,IL</t>
  </si>
  <si>
    <t>HDMUNBOZ07234700/Q#CI-0512/RE-ROUTE $225-WESHIP WILL CHARGE $500 FOR DRAYAGE</t>
  </si>
  <si>
    <t xml:space="preserve">TGBU4801940  </t>
  </si>
  <si>
    <t>OOLU2140721890/Q#YH-0419/AN SENT TO UQI</t>
  </si>
  <si>
    <t>TCNU7494615</t>
  </si>
  <si>
    <t>D39FCF</t>
  </si>
  <si>
    <t>CMDUSHZ5503268</t>
  </si>
  <si>
    <t>CMAU9130360</t>
  </si>
  <si>
    <t>CMDUSHZ5503271</t>
  </si>
  <si>
    <t>CMAU7412215</t>
  </si>
  <si>
    <t>869C3E</t>
  </si>
  <si>
    <t>CMDUSHZ5503384</t>
  </si>
  <si>
    <t>CMAU3360469</t>
  </si>
  <si>
    <t>A34FC5</t>
  </si>
  <si>
    <t>CMDUSHZ5503267</t>
  </si>
  <si>
    <t>MRKU0787348</t>
  </si>
  <si>
    <t xml:space="preserve">BDC1B5 </t>
  </si>
  <si>
    <t>MAEU227234806</t>
  </si>
  <si>
    <t>HYJU1063635</t>
  </si>
  <si>
    <t>AMZ DEN8</t>
  </si>
  <si>
    <t xml:space="preserve">121EF1 </t>
  </si>
  <si>
    <r>
      <rPr>
        <sz val="11"/>
        <color rgb="FF000000"/>
        <rFont val="Calibri"/>
        <family val="2"/>
      </rPr>
      <t>EGLV149302353976/Q#SPLL061923A/</t>
    </r>
    <r>
      <rPr>
        <sz val="11"/>
        <color rgb="FFFF0000"/>
        <rFont val="Calibri"/>
        <family val="2"/>
      </rPr>
      <t>SOC</t>
    </r>
    <r>
      <rPr>
        <sz val="11"/>
        <color rgb="FF000000"/>
        <rFont val="Calibri"/>
        <family val="2"/>
      </rPr>
      <t>/ISA#86654017973</t>
    </r>
  </si>
  <si>
    <t xml:space="preserve">TCNU4344709 </t>
  </si>
  <si>
    <t>6/29 DROP</t>
  </si>
  <si>
    <t>ONEYJKTD26901300</t>
  </si>
  <si>
    <t>TIUS</t>
  </si>
  <si>
    <t>OOLU1738589</t>
  </si>
  <si>
    <t>CN</t>
  </si>
  <si>
    <t>7am-1pm</t>
  </si>
  <si>
    <t>Evans</t>
  </si>
  <si>
    <t xml:space="preserve">HOLLAND,MI 49423 </t>
  </si>
  <si>
    <t>947320  </t>
  </si>
  <si>
    <t xml:space="preserve">COSU6357937180 </t>
  </si>
  <si>
    <t>FOREST-ANGEL</t>
  </si>
  <si>
    <t>TGBU4113715</t>
  </si>
  <si>
    <t>SULLIVAN,IL,61951</t>
  </si>
  <si>
    <t>3F84F1</t>
  </si>
  <si>
    <t>OOLU8894045680/Q#UPDATED-FRST102722S</t>
  </si>
  <si>
    <t>MATU2713710</t>
  </si>
  <si>
    <t>0E5AA9</t>
  </si>
  <si>
    <t>MBL#&amp;SEAL# TBA/Devan 6.30</t>
  </si>
  <si>
    <t>HLBU3166561</t>
  </si>
  <si>
    <t>Morning</t>
  </si>
  <si>
    <t>SKY CITY</t>
  </si>
  <si>
    <t>72862538,po# 33/ ETD 5/12 / HLCUPEN230500108/isf</t>
  </si>
  <si>
    <t>MEIWO</t>
  </si>
  <si>
    <t xml:space="preserve"> CSNU7843711 </t>
  </si>
  <si>
    <t>LAX PORT</t>
  </si>
  <si>
    <t>NA</t>
  </si>
  <si>
    <t>TLX RLS</t>
  </si>
  <si>
    <t>COSU6358399680 / SWB / TLX HBL / AN SENT / HC $50</t>
  </si>
  <si>
    <t xml:space="preserve">DONE# 132481 </t>
  </si>
  <si>
    <t>FOREST-RACHEL</t>
  </si>
  <si>
    <t>OOLU6799740</t>
  </si>
  <si>
    <t>AMZ JVL1 to ABL FBA</t>
  </si>
  <si>
    <t>83FACB</t>
  </si>
  <si>
    <t>OOLU2718429764/ISA#109199003999/REJECTED ON 7-5/Devan 7.6/REJECTION $1200+FROM JVL1 TO ABL $400/PALLETIZING $18 PER PLT/FTL FROM ABL TO JVL1 $800</t>
  </si>
  <si>
    <t>MRKU3472853</t>
  </si>
  <si>
    <t>7EA308</t>
  </si>
  <si>
    <t>MAEU227007979</t>
  </si>
  <si>
    <t xml:space="preserve">TGBU6343189  </t>
  </si>
  <si>
    <t>HDMUNBOZ44188800/ISF 10+2/HC $50</t>
  </si>
  <si>
    <t>EMCU1536417</t>
  </si>
  <si>
    <t>AMZ JVL1</t>
  </si>
  <si>
    <t>EGLV149302150472/ISA#109085003999</t>
  </si>
  <si>
    <t>TCKU7583678</t>
  </si>
  <si>
    <t>3BC2B3</t>
  </si>
  <si>
    <t>MAEU227007970</t>
  </si>
  <si>
    <t>MRKU6462041</t>
  </si>
  <si>
    <t>16A331</t>
  </si>
  <si>
    <t>MAEU227351403</t>
  </si>
  <si>
    <t>BMOU4739942</t>
  </si>
  <si>
    <t>10PM</t>
  </si>
  <si>
    <t>AMZ IND9</t>
  </si>
  <si>
    <t>EGLV49302022775/Q#ABL FBA SHEET/ISA#11019490973</t>
  </si>
  <si>
    <t>LINK TRANS</t>
  </si>
  <si>
    <t>TGBU8663432</t>
  </si>
  <si>
    <t>F4077C</t>
  </si>
  <si>
    <t>COSU6357189461, 1.5 pickup dentention. / IG street turn</t>
  </si>
  <si>
    <t>TCLU2653949</t>
  </si>
  <si>
    <t>DES PLAINES,IL</t>
  </si>
  <si>
    <t>AC1326</t>
  </si>
  <si>
    <t>MEDUP8816837/MY23054701/Q#APEX230328-1</t>
  </si>
  <si>
    <t>PONU8196430</t>
  </si>
  <si>
    <t>D552FD</t>
  </si>
  <si>
    <t>MAEU227004103/SZX23040383A</t>
  </si>
  <si>
    <t>MSKU9441044</t>
  </si>
  <si>
    <t>F87D00</t>
  </si>
  <si>
    <t>MAEU227004102/SZX23040382A</t>
  </si>
  <si>
    <t>sunny wing</t>
  </si>
  <si>
    <t>CCLU7360459</t>
  </si>
  <si>
    <t>2 go 6/29</t>
  </si>
  <si>
    <t>Chicago-IL 60103</t>
  </si>
  <si>
    <t>COSU6357562660</t>
  </si>
  <si>
    <t>CSNU7304936</t>
  </si>
  <si>
    <t>2 go 6/30</t>
  </si>
  <si>
    <t>OOCU6958928</t>
  </si>
  <si>
    <t>CCLU7427819</t>
  </si>
  <si>
    <t>Ningbo Jingda</t>
  </si>
  <si>
    <t xml:space="preserve">EITU0515123 </t>
  </si>
  <si>
    <t xml:space="preserve">NS ATLANTA,GA </t>
  </si>
  <si>
    <t>US1</t>
  </si>
  <si>
    <t>Alpharetta, GA 30004</t>
  </si>
  <si>
    <r>
      <rPr>
        <sz val="11"/>
        <color rgb="FFFF0000"/>
        <rFont val="Calibri"/>
        <family val="2"/>
        <scheme val="minor"/>
      </rPr>
      <t>$200 demurrage fee,</t>
    </r>
    <r>
      <rPr>
        <sz val="11"/>
        <color theme="1"/>
        <rFont val="Calibri"/>
        <family val="2"/>
        <scheme val="minor"/>
      </rPr>
      <t xml:space="preserve"> 6-26 Discharged / EGLV143362525502 / Q# WUHJD230515-1
678-580-1074   预约邮件：david@parisloftinc.com
抄送：stella@parisloftinc.com，inventorysp@parisloftinc.com /jdcustomer1@nbjdgjwl.com  </t>
    </r>
  </si>
  <si>
    <t>DONE#133959</t>
  </si>
  <si>
    <t>FFAU2912392</t>
  </si>
  <si>
    <t>ALL POINTS</t>
  </si>
  <si>
    <t>Memphis, TN 38118</t>
  </si>
  <si>
    <t>11F2BA</t>
  </si>
  <si>
    <t>3.5hrs det,split,PP,MEDUF4156602</t>
  </si>
  <si>
    <t>MSDU5686260</t>
  </si>
  <si>
    <t>9am</t>
  </si>
  <si>
    <t>MEDUF4157493</t>
  </si>
  <si>
    <t>GATU1301923</t>
  </si>
  <si>
    <t>joliet, IL 60435</t>
  </si>
  <si>
    <t>Marty Wu,MEDUF4168474</t>
  </si>
  <si>
    <t>TRLU6374875</t>
  </si>
  <si>
    <t>40GP</t>
  </si>
  <si>
    <t>E20543</t>
  </si>
  <si>
    <t>CAIU6225290</t>
  </si>
  <si>
    <t>AFTER 12PM</t>
  </si>
  <si>
    <t>R00110109771</t>
  </si>
  <si>
    <t>MEDUO8851893/Q#AP-0531</t>
  </si>
  <si>
    <t>MRKU3358795</t>
  </si>
  <si>
    <t>1A8AA9</t>
  </si>
  <si>
    <t>MAEU227007980</t>
  </si>
  <si>
    <t>TCLU2364925</t>
  </si>
  <si>
    <t>E1DDE7</t>
  </si>
  <si>
    <t>FXLU2111191</t>
  </si>
  <si>
    <t>CAPITOL</t>
  </si>
  <si>
    <t>AMZ MEM1</t>
  </si>
  <si>
    <t>61374F</t>
  </si>
  <si>
    <t>7/1 -&gt; 7/15</t>
  </si>
  <si>
    <t>OOLU8893969140/Q#FR-0606A/ISA#539381575</t>
  </si>
  <si>
    <t>ASPEED</t>
  </si>
  <si>
    <t>GESU6916973</t>
  </si>
  <si>
    <t>TAMPA, FL</t>
  </si>
  <si>
    <t>southern</t>
  </si>
  <si>
    <t>Sanford, FL 32771</t>
  </si>
  <si>
    <t>SOC/OW</t>
  </si>
  <si>
    <t>GESU6552871  </t>
  </si>
  <si>
    <t>EGHU9607169</t>
  </si>
  <si>
    <t xml:space="preserve">Min Chen </t>
  </si>
  <si>
    <t>SJC7-TRACY, CA 95377
ISA# 143602783</t>
  </si>
  <si>
    <t>$35 GATE FEE' / Detentilon 8am-1:48pm
SO#140301005687 箱规尺寸：
559件：92*37*26， 78件：95*37*26
shipment ID： FBA176C4PYRM 
地址：SJC7 188 Mountain House Parkway Tracy, CA 95377-8906 US (SJC7) 
预约编号：8E9A37AM</t>
  </si>
  <si>
    <t>DONE#133642</t>
  </si>
  <si>
    <t>EMCU8323115</t>
  </si>
  <si>
    <t>SJC7-TRACY, CA 95377
ISA# 143603783</t>
  </si>
  <si>
    <r>
      <rPr>
        <sz val="11"/>
        <color rgb="FFFF0000"/>
        <rFont val="Calibri"/>
        <family val="2"/>
        <scheme val="minor"/>
      </rPr>
      <t>5 hrs detention--waiting time: 7/11/2023 @17:30- 7/12/2023 @ 00:22 / / $35 Gate Fee</t>
    </r>
    <r>
      <rPr>
        <sz val="11"/>
        <color theme="1"/>
        <rFont val="Calibri"/>
        <family val="2"/>
        <scheme val="minor"/>
      </rPr>
      <t xml:space="preserve">
SO#140301005903
492件：92*37*26， 79件：92*37*29， 83件：95*37*26
shipment ID： FBA176BXRY6C 
地址：SJC7 188 Mountain House Parkway Tracy, CA 95377-8906 US (SJC7) 
预约编号：6J2S8M3X</t>
    </r>
  </si>
  <si>
    <t xml:space="preserve">DONE#133963 </t>
  </si>
  <si>
    <t>TCKU6709756</t>
  </si>
  <si>
    <t>1FAE98</t>
  </si>
  <si>
    <r>
      <rPr>
        <sz val="11"/>
        <color rgb="FFFF0000"/>
        <rFont val="Calibri"/>
        <family val="2"/>
        <scheme val="minor"/>
      </rPr>
      <t>PRE-PULL /  YARD STORAGE / SPLIT X2 / 6-24 discharged /</t>
    </r>
    <r>
      <rPr>
        <sz val="11"/>
        <color rgb="FF000000"/>
        <rFont val="Calibri"/>
        <family val="2"/>
        <scheme val="minor"/>
      </rPr>
      <t xml:space="preserve"> COSU6358108920</t>
    </r>
    <r>
      <rPr>
        <sz val="11"/>
        <color rgb="FFFF0000"/>
        <rFont val="Calibri"/>
        <family val="2"/>
        <scheme val="minor"/>
      </rPr>
      <t>/ customs rls  / Hancock filed ISF, AN need to send to UQI /</t>
    </r>
    <r>
      <rPr>
        <sz val="11"/>
        <color rgb="FF000000"/>
        <rFont val="Calibri"/>
        <family val="2"/>
        <scheme val="minor"/>
      </rPr>
      <t xml:space="preserve"> SWB/ Contact person:Toni Hunt -Office Manager /Email address:toni@bwdst.com /Tel: 816-437-1193</t>
    </r>
  </si>
  <si>
    <t>DONE#133646</t>
  </si>
  <si>
    <t>FCIU4180261</t>
  </si>
  <si>
    <t>BNSF-KS</t>
  </si>
  <si>
    <t>KCI</t>
  </si>
  <si>
    <t>Lenexa, KS 66219 </t>
  </si>
  <si>
    <t>63775E</t>
  </si>
  <si>
    <t xml:space="preserve">soc/CMDUXIA1161386 </t>
  </si>
  <si>
    <t>FCIU4168100</t>
  </si>
  <si>
    <t>1pm</t>
  </si>
  <si>
    <t>81D5F9</t>
  </si>
  <si>
    <t>kai ya</t>
  </si>
  <si>
    <t xml:space="preserve">CMAU7112671 </t>
  </si>
  <si>
    <t>MO 63090</t>
  </si>
  <si>
    <t>F08178</t>
  </si>
  <si>
    <t>CMDUNGP0306266/卖价在one drive/ direct drayage/</t>
  </si>
  <si>
    <t>TCKU2647300 </t>
  </si>
  <si>
    <t>by1pm</t>
  </si>
  <si>
    <t>LIBERTYVILLE, IL 60048</t>
  </si>
  <si>
    <t>B0935A</t>
  </si>
  <si>
    <t>MSDU4613470</t>
  </si>
  <si>
    <t>E82E5F</t>
  </si>
  <si>
    <t>CSNU7719763  </t>
  </si>
  <si>
    <t>NORFOLK-VIG</t>
  </si>
  <si>
    <t>LIGHTNING</t>
  </si>
  <si>
    <t>Middlesex NC 27557</t>
  </si>
  <si>
    <t>COSU6356972060/Norfolk-Virginia International Gateway</t>
  </si>
  <si>
    <t>TLLU4669726</t>
  </si>
  <si>
    <t>OOLU8893960370/Q#YH-0419</t>
  </si>
  <si>
    <t>MSDU2125389</t>
  </si>
  <si>
    <t>R00110306993</t>
  </si>
  <si>
    <t>MEDUF4238640/NBOE23060074/Q#AP-0531/RE-ROUTE$175</t>
  </si>
  <si>
    <t xml:space="preserve">HMMU6356853  </t>
  </si>
  <si>
    <t>HDMUNBOZ66547400/HC $50</t>
  </si>
  <si>
    <t>ZCSU7567383</t>
  </si>
  <si>
    <t>ZIMUSHH31033442</t>
  </si>
  <si>
    <t>TRLU8846097</t>
  </si>
  <si>
    <t>Byron Center, Mi, 49315</t>
  </si>
  <si>
    <t xml:space="preserve">SOC/ONEYXMND35655300 </t>
  </si>
  <si>
    <t>TRLU9103331 </t>
  </si>
  <si>
    <t>BSIU9218367</t>
  </si>
  <si>
    <r>
      <rPr>
        <sz val="11"/>
        <color rgb="FFFF0000"/>
        <rFont val="Calibri"/>
        <family val="2"/>
        <scheme val="minor"/>
      </rPr>
      <t>6-23 discharged /</t>
    </r>
    <r>
      <rPr>
        <sz val="11"/>
        <color rgb="FF000000"/>
        <rFont val="Calibri"/>
        <family val="2"/>
        <scheme val="minor"/>
      </rPr>
      <t>COSU6358108920</t>
    </r>
    <r>
      <rPr>
        <sz val="11"/>
        <color rgb="FFFF0000"/>
        <rFont val="Calibri"/>
        <family val="2"/>
        <scheme val="minor"/>
      </rPr>
      <t>/ customs rls / Hancock filed ISF, AN need to send to UQI /</t>
    </r>
    <r>
      <rPr>
        <sz val="11"/>
        <color rgb="FF000000"/>
        <rFont val="Calibri"/>
        <family val="2"/>
        <scheme val="minor"/>
      </rPr>
      <t xml:space="preserve"> SWB/ Contact person:Toni Hunt -Office Manager /Email address:toni@bwdst.com /Tel: 816-437-1193</t>
    </r>
  </si>
  <si>
    <t>CCLU7611338</t>
  </si>
  <si>
    <r>
      <rPr>
        <sz val="11"/>
        <color rgb="FFFF0000"/>
        <rFont val="Calibri"/>
        <family val="2"/>
        <scheme val="minor"/>
      </rPr>
      <t>6-23 discharged /</t>
    </r>
    <r>
      <rPr>
        <sz val="11"/>
        <color rgb="FF000000"/>
        <rFont val="Calibri"/>
        <family val="2"/>
        <scheme val="minor"/>
      </rPr>
      <t xml:space="preserve"> COSU6358108920</t>
    </r>
    <r>
      <rPr>
        <sz val="11"/>
        <color rgb="FFFF0000"/>
        <rFont val="Calibri"/>
        <family val="2"/>
        <scheme val="minor"/>
      </rPr>
      <t>/ customs rls /  / Hancock filed ISF, AN need to send to UQI /</t>
    </r>
    <r>
      <rPr>
        <sz val="11"/>
        <color rgb="FF000000"/>
        <rFont val="Calibri"/>
        <family val="2"/>
        <scheme val="minor"/>
      </rPr>
      <t xml:space="preserve"> SWB/ Contact person:Toni Hunt -Office Manager /Email address:toni@bwdst.com /Tel: 816-437-1193</t>
    </r>
  </si>
  <si>
    <t>TRHU7259081</t>
  </si>
  <si>
    <t>D539AD</t>
  </si>
  <si>
    <t xml:space="preserve"> </t>
  </si>
  <si>
    <t>COSU6357189460</t>
  </si>
  <si>
    <t xml:space="preserve">done </t>
  </si>
  <si>
    <t>MSMU2727377</t>
  </si>
  <si>
    <t>R00110271702</t>
  </si>
  <si>
    <t>MEDUF4125631/Q#AP-0531</t>
  </si>
  <si>
    <t>FIN WHALE</t>
  </si>
  <si>
    <t>SMLU4611469- cancel</t>
  </si>
  <si>
    <t>CMDUCHN0318603</t>
  </si>
  <si>
    <t>cancel</t>
  </si>
  <si>
    <t>-</t>
  </si>
  <si>
    <t>CSNU8504184</t>
  </si>
  <si>
    <t>COSU6357092500</t>
  </si>
  <si>
    <t xml:space="preserve">BSIU9568010 </t>
  </si>
  <si>
    <t>DF3AC0</t>
  </si>
  <si>
    <t>OOLU8810438250 /Q#UPDATED-FRST102722S</t>
  </si>
  <si>
    <t>FOREST-HELENE</t>
  </si>
  <si>
    <t>CAAU6402834 </t>
  </si>
  <si>
    <t>BALTIMORE PORT</t>
  </si>
  <si>
    <t>LIGHTING</t>
  </si>
  <si>
    <t xml:space="preserve">AMZ XLX1 changed to 300 Cedar LaneSuite B, Edison NJ 08817 </t>
  </si>
  <si>
    <t>EXAM SITE</t>
  </si>
  <si>
    <r>
      <rPr>
        <sz val="11"/>
        <color rgb="FF000000"/>
        <rFont val="Calibri"/>
        <family val="2"/>
      </rPr>
      <t>7-14 OG from CES EXAM SITE / 7-10 OG from port terminal / MAEU227484555/Q#FR-0601/</t>
    </r>
    <r>
      <rPr>
        <sz val="11"/>
        <color rgb="FFFF0000"/>
        <rFont val="Calibri"/>
        <family val="2"/>
      </rPr>
      <t>$200 STOP OFF FEE</t>
    </r>
    <r>
      <rPr>
        <sz val="11"/>
        <color rgb="FF000000"/>
        <rFont val="Calibri"/>
        <family val="2"/>
      </rPr>
      <t>/ISA#80913004982 cancelled/Q#FRST071723A</t>
    </r>
  </si>
  <si>
    <t xml:space="preserve">DONE#134303 </t>
  </si>
  <si>
    <t>MILE</t>
  </si>
  <si>
    <t>FSCU5025232</t>
  </si>
  <si>
    <t>AMZ MQJ1</t>
  </si>
  <si>
    <t>3387AB</t>
  </si>
  <si>
    <t>OOLU2300326350/DEST AGENT:rls@suntrackexpress.com/ISA#294251004970</t>
  </si>
  <si>
    <t>xin yue-dallas</t>
  </si>
  <si>
    <t>BEAU4488539</t>
  </si>
  <si>
    <t>Yangming</t>
  </si>
  <si>
    <t>UPRR DFW</t>
  </si>
  <si>
    <t>sent doc to UQI</t>
  </si>
  <si>
    <t>Dallas joel</t>
  </si>
  <si>
    <t>Dallas warehouse</t>
  </si>
  <si>
    <t>YMPRW236776232/ 帮Dallas做 ISF 和清关。</t>
  </si>
  <si>
    <t>OOCU8474476</t>
  </si>
  <si>
    <t>1C2B34</t>
  </si>
  <si>
    <t>EITU1307021</t>
  </si>
  <si>
    <t>SJC7-TRACY, CA 	95377</t>
  </si>
  <si>
    <r>
      <rPr>
        <sz val="11"/>
        <color rgb="FFFF0000"/>
        <rFont val="Calibri"/>
        <family val="2"/>
        <scheme val="minor"/>
      </rPr>
      <t xml:space="preserve">6 hrs Detention, 7.17 @17:43-7.18 @ 01:34 / ISA# 143863783 </t>
    </r>
    <r>
      <rPr>
        <sz val="11"/>
        <color theme="1"/>
        <rFont val="Calibri"/>
        <family val="2"/>
        <scheme val="minor"/>
      </rPr>
      <t>/ 'SO#140301085796  箱规尺寸：92cm*37cm*26cm
shipment ID：FBA176TMG1BL  
收货地址：SJC7 - 188 Mountain House Parkway 95377-8906 - Tracy, CA - United States
货件追踪编号: 7WDUGDLC， Gate Fee $35</t>
    </r>
  </si>
  <si>
    <t>DONE#134046</t>
  </si>
  <si>
    <t>TRHU7948917</t>
  </si>
  <si>
    <t>1CEEF5</t>
  </si>
  <si>
    <t>MAEU914940583</t>
  </si>
  <si>
    <t>ZCSU7858178</t>
  </si>
  <si>
    <r>
      <t>ZIMUNGB338061/Q#FR-0601/ISA#80800004982 cancelled /</t>
    </r>
    <r>
      <rPr>
        <sz val="11"/>
        <color rgb="FFFF0000"/>
        <rFont val="Calibri"/>
        <family val="2"/>
        <scheme val="minor"/>
      </rPr>
      <t>DRY RUN $650</t>
    </r>
  </si>
  <si>
    <t>DONE#134304</t>
  </si>
  <si>
    <t>TCNU5701668</t>
  </si>
  <si>
    <t>Garden City Terminal</t>
  </si>
  <si>
    <t>6am</t>
  </si>
  <si>
    <t>GROVETOWN,GA 30813</t>
  </si>
  <si>
    <t>OOLU2719236060</t>
  </si>
  <si>
    <t>TGBU9310363</t>
  </si>
  <si>
    <t>LONG BEACH</t>
  </si>
  <si>
    <t>SBD1</t>
  </si>
  <si>
    <t>COSU6358396300/fcl direct delivery/TERMINAL $88</t>
  </si>
  <si>
    <t>TGBU6854194</t>
  </si>
  <si>
    <t>AFF834</t>
  </si>
  <si>
    <t>MAEU227234826</t>
  </si>
  <si>
    <t>MRKU3728945</t>
  </si>
  <si>
    <t>40 GP</t>
  </si>
  <si>
    <t>HOUSTON??</t>
  </si>
  <si>
    <t>ABL DFW</t>
  </si>
  <si>
    <t>MAEU228017620/垫付handling fee $100</t>
  </si>
  <si>
    <t xml:space="preserve">BSIU8262621 </t>
  </si>
  <si>
    <t>MIAMI-SFCT</t>
  </si>
  <si>
    <t>GO FREIGHT</t>
  </si>
  <si>
    <t>Sunrise FL 33325</t>
  </si>
  <si>
    <t>Q# GLPS030823M / MBL# CHN0312987 / THC $55</t>
  </si>
  <si>
    <t>DONE#133965</t>
  </si>
  <si>
    <t xml:space="preserve">BSIU8262663 </t>
  </si>
  <si>
    <t>Before 3pm</t>
  </si>
  <si>
    <t>Empty returned to Tropical Shipping / Q# GLPS030823M / MBL# CHN0312986/ THC $55</t>
  </si>
  <si>
    <t>done#133966</t>
  </si>
  <si>
    <t xml:space="preserve">BSIU8262730 </t>
  </si>
  <si>
    <t>Empty returned to Tropical Shipping /Q# GLPS030823M /  MBL# CHN0312991/ THC $55</t>
  </si>
  <si>
    <t>DONE#133967</t>
  </si>
  <si>
    <t xml:space="preserve">SKYU8167701 </t>
  </si>
  <si>
    <t>7-18 terminal yard closed / 7-17 no available terminal APPT / Demurrage $720+$240= $960-7.18 / Q# GLPS030823M / MBL# CHN0312457 / THC $55</t>
  </si>
  <si>
    <t xml:space="preserve">DONE#134254, DEM INV#134112 </t>
  </si>
  <si>
    <t xml:space="preserve">BSIU8262391 </t>
  </si>
  <si>
    <t>Empty returned to tropicl shippping / Requresting refund for demurrage $240 of 7.19 / 7-18 terminal yard closed / 7-17 no available terminal APPT/ Demurrage $720+$240= $960-7.18 / Q# GLPS030823M / MBL# CHN0312457 / THC $55</t>
  </si>
  <si>
    <t>DONE#134261, DEM INV#134113</t>
  </si>
  <si>
    <t xml:space="preserve">CSNU7861968 </t>
  </si>
  <si>
    <t>8am</t>
  </si>
  <si>
    <t>Plainfield,Indiana 46168（ IND2）</t>
  </si>
  <si>
    <t>BA0A0E</t>
  </si>
  <si>
    <t>COSU6358767260</t>
  </si>
  <si>
    <t>ROHANA</t>
  </si>
  <si>
    <t>OOCU6415279</t>
  </si>
  <si>
    <t>CHICAGO, IL 60609</t>
  </si>
  <si>
    <t>C6E423</t>
  </si>
  <si>
    <t>duty fee/2719933260/CRD6/5-&gt;ETD6/16, MTPE23060057/RATE 4200,COST 3900+50/ISF/rh10</t>
  </si>
  <si>
    <t>MH/IW</t>
  </si>
  <si>
    <t xml:space="preserve">GAOU6225601 </t>
  </si>
  <si>
    <t>HDMUNBOZ54654900/ISF 10+2/HC$65</t>
  </si>
  <si>
    <t xml:space="preserve">KOCU4015392  </t>
  </si>
  <si>
    <t>5PM</t>
  </si>
  <si>
    <t>HDMUNBOZ98213500/ISF 10+2/HC $50</t>
  </si>
  <si>
    <t>WUH- 宁波顺圆</t>
  </si>
  <si>
    <t>TCLU2670191</t>
  </si>
  <si>
    <t>SCHILLER PARK, IL 60176</t>
  </si>
  <si>
    <t>B3F9CB</t>
  </si>
  <si>
    <t>zoe 报价 QUA-WUH2305010-2/ 换单费收 50 美金。 我要发 AN，但不是uqi清关. 我付海运费，bill 客人2580 /我做派送/ MEDUUF070491</t>
  </si>
  <si>
    <t>DONE#134042</t>
  </si>
  <si>
    <t>TITAN</t>
  </si>
  <si>
    <t xml:space="preserve">TCNU7537276 </t>
  </si>
  <si>
    <t>McHENRY, IL 60050</t>
  </si>
  <si>
    <t xml:space="preserve"> CMDUSHZ5575623/LAXSI005832</t>
  </si>
  <si>
    <t xml:space="preserve">CAIU7469959  </t>
  </si>
  <si>
    <t>HDMUNBOZ71744300/HC $50</t>
  </si>
  <si>
    <t>YMLU8621055</t>
  </si>
  <si>
    <t>YMPRW232503108 / 帮Dallas做 ISF 和清关。/ tlx hbl</t>
  </si>
  <si>
    <t>OOLU8882936</t>
  </si>
  <si>
    <t>duty fee/OOLU2720441690/MTPE23060092/cost 3550+50/selling$3900/rh11/isf/customs</t>
  </si>
  <si>
    <t xml:space="preserve">KOCU4052441 </t>
  </si>
  <si>
    <t>12PM</t>
  </si>
  <si>
    <t>HDMUSHAZ40037100 /HC $65</t>
  </si>
  <si>
    <t xml:space="preserve">KOCU4516943 </t>
  </si>
  <si>
    <t>HDMUSHAZ44103600</t>
  </si>
  <si>
    <t xml:space="preserve">KOCU5087139 </t>
  </si>
  <si>
    <t>HDMUSHAZ40071100/HC $65</t>
  </si>
  <si>
    <t>MSCU3330851</t>
  </si>
  <si>
    <t>12PM-3PM</t>
  </si>
  <si>
    <t>R00110484604</t>
  </si>
  <si>
    <t>MEDUF4323228/NBOE23060226/Q#AP-0531/REDELIVERY $175</t>
  </si>
  <si>
    <t>DALA01003400</t>
  </si>
  <si>
    <t>AURORA,IL,60542</t>
  </si>
  <si>
    <t>6/17/2023 @8AM</t>
  </si>
  <si>
    <t>CNTR#HMMU6061981/ERD 6.13/Q#CI-0515</t>
  </si>
  <si>
    <t>E</t>
  </si>
  <si>
    <t>CMAU6981602</t>
  </si>
  <si>
    <t>AE9718</t>
  </si>
  <si>
    <t>CMDUDLN0145595</t>
  </si>
  <si>
    <t>CSNU8275067</t>
  </si>
  <si>
    <t xml:space="preserve">BNSF </t>
  </si>
  <si>
    <t>OOLU2300295610</t>
  </si>
  <si>
    <t xml:space="preserve">CBHU7045312 </t>
  </si>
  <si>
    <t>7am</t>
  </si>
  <si>
    <t>AMX</t>
  </si>
  <si>
    <t>SOLON,OHIO 44139</t>
  </si>
  <si>
    <t xml:space="preserve">SOC/3.5h det,DDP(ABL A/N),COSU6358306820 /XYA230601064 </t>
  </si>
  <si>
    <t>EMAN/BLISTEX</t>
  </si>
  <si>
    <t>Oak Brook, IL 60523</t>
  </si>
  <si>
    <t>C/O 6/5 4PM</t>
  </si>
  <si>
    <t>864008/866226/2X40HQ/FFAU2879442</t>
  </si>
  <si>
    <t>864008/866226/2X40HQ</t>
  </si>
  <si>
    <t>PGL</t>
  </si>
  <si>
    <t>MORTON, IL</t>
  </si>
  <si>
    <t>c/o 6/17</t>
  </si>
  <si>
    <t>6358809490/erd 6/12</t>
  </si>
  <si>
    <t>DALA18248000</t>
  </si>
  <si>
    <t>C/O 6/17 8AM</t>
  </si>
  <si>
    <t>TLLU584602</t>
  </si>
  <si>
    <t>HMMU651171</t>
  </si>
  <si>
    <t>GAOU634465</t>
  </si>
  <si>
    <t>prepull for weship, no charge to customer/KOCU427691</t>
  </si>
  <si>
    <t>OOLU7750869</t>
  </si>
  <si>
    <t>9C2AC1</t>
  </si>
  <si>
    <t>OOLU2300326340 /DEST AGENT:rls@suntrackexpress.com/ISA#294643004970</t>
  </si>
  <si>
    <t>EMAN</t>
  </si>
  <si>
    <t>OIS</t>
  </si>
  <si>
    <t>Cleveland, OH 44135</t>
  </si>
  <si>
    <t>6/25 6PM</t>
  </si>
  <si>
    <t>6359664650, VIA NY,CARGOWISE/TLX RLSD</t>
  </si>
  <si>
    <t>6/29?</t>
  </si>
  <si>
    <t>ERD6/29, C/O 7/4 8AM/OOCU8737783/TLX RLSD</t>
  </si>
  <si>
    <t>ERD6/29, C/O 7/4 8AM/CCLU7427819/TLX RLSD</t>
  </si>
  <si>
    <t>ERD6/29, C/O 7/4 8AM/OOCU6958928/TLX RLSD</t>
  </si>
  <si>
    <t>GCE/Transpacific</t>
  </si>
  <si>
    <t>20 GP</t>
  </si>
  <si>
    <t>SYCAMORE IL 60178</t>
  </si>
  <si>
    <t>C/O 6/19 4PM</t>
  </si>
  <si>
    <t>load on 6-16</t>
  </si>
  <si>
    <t>OG，IG on 6-16</t>
  </si>
  <si>
    <t xml:space="preserve">ERD 6/15/S00011549 / Q# GLBP32423S /收 seal钱10 </t>
  </si>
  <si>
    <t>LITELOGO</t>
  </si>
  <si>
    <t>OOLU0576755</t>
  </si>
  <si>
    <t>PCT-LB</t>
  </si>
  <si>
    <t>ABL LAX</t>
  </si>
  <si>
    <t>8893974810/NIN230459001/NIN230459000/2HBL/isf/an/pier $43/COST1200/anti dumping/ADD NOTEBOOK NOT CLEARED AS GIFT</t>
  </si>
  <si>
    <t>IW/HP</t>
  </si>
  <si>
    <t>TCNU5941170</t>
  </si>
  <si>
    <t>d26d6d</t>
  </si>
  <si>
    <t xml:space="preserve">COSU6357474690 </t>
  </si>
  <si>
    <t xml:space="preserve">CAAU5474737  </t>
  </si>
  <si>
    <t>CSX CHARLOTTE</t>
  </si>
  <si>
    <t>GREER,SC,29651</t>
  </si>
  <si>
    <t>ZIMUNGB1167825/Q#YI-0606</t>
  </si>
  <si>
    <t>TLLU8114731</t>
  </si>
  <si>
    <t>34D065</t>
  </si>
  <si>
    <t>MATS2428719000 /Devan 6.13</t>
  </si>
  <si>
    <t>MRKU2206191 </t>
  </si>
  <si>
    <r>
      <t>MAEU227484555/Q#FR-0601/</t>
    </r>
    <r>
      <rPr>
        <sz val="11"/>
        <color rgb="FFFF0000"/>
        <rFont val="Calibri"/>
        <family val="2"/>
        <scheme val="minor"/>
      </rPr>
      <t>$200 STOP OFF</t>
    </r>
    <r>
      <rPr>
        <sz val="11"/>
        <color theme="1"/>
        <rFont val="Calibri"/>
        <family val="2"/>
        <scheme val="minor"/>
      </rPr>
      <t xml:space="preserve"> FEE/ISA#80914004982 cancelled</t>
    </r>
  </si>
  <si>
    <t xml:space="preserve">DONE#134640 </t>
  </si>
  <si>
    <t xml:space="preserve">MSMU8605870 </t>
  </si>
  <si>
    <t>MEDUF4081578/Q#FR-0601/ISA#80715004982/DRY RUN $650+7.75 DET</t>
  </si>
  <si>
    <t>DONE#134641 ， Pending  trucker inv</t>
  </si>
  <si>
    <t>xin yue</t>
  </si>
  <si>
    <t>MATU2092418</t>
  </si>
  <si>
    <t>matson</t>
  </si>
  <si>
    <t>SHIPPER TRANSPORT ALAMEDA (Z773)</t>
  </si>
  <si>
    <t>jcb</t>
  </si>
  <si>
    <t>CA  93405</t>
  </si>
  <si>
    <t>na</t>
  </si>
  <si>
    <t>MATS2876088000/ 清关 AN/ Q#WUH230531-1 / 收pier pass fee， terminal fee， 在 one drive 里/ 用 SEL 派送4辆 Straight truck with lift gate 和 pallet jack 送到客户门点-每辆车 delivery fee 是 1500 美金</t>
  </si>
  <si>
    <t>CSNU8101933</t>
  </si>
  <si>
    <t>NS-Gest Street</t>
  </si>
  <si>
    <t>Erlanger, KY 41018</t>
  </si>
  <si>
    <t>OOLU2300266976</t>
  </si>
  <si>
    <t>BEAU4231371</t>
  </si>
  <si>
    <t>drop</t>
  </si>
  <si>
    <t>056EE7</t>
  </si>
  <si>
    <t>MEDUF4156594</t>
  </si>
  <si>
    <t>TEMU6807417</t>
  </si>
  <si>
    <t>8F8F81</t>
  </si>
  <si>
    <t>MATS2826584000/ chassis split+reroute/</t>
  </si>
  <si>
    <t>CMAU8901930</t>
  </si>
  <si>
    <t>3368B5</t>
  </si>
  <si>
    <t>CMDUNGP0301102/flip</t>
  </si>
  <si>
    <t xml:space="preserve">OOCU6745115 </t>
  </si>
  <si>
    <t>40 hq</t>
  </si>
  <si>
    <t>059817</t>
  </si>
  <si>
    <t>COSU6358330230 / 7-9 street turn per weship, but COSU says 7-10/</t>
  </si>
  <si>
    <t>CAIU4779462</t>
  </si>
  <si>
    <t>D93B23</t>
  </si>
  <si>
    <t>MEDUF4156610</t>
  </si>
  <si>
    <t>TLLU8789329</t>
  </si>
  <si>
    <t>MEDUF4157501</t>
  </si>
  <si>
    <t>PG NETWORK</t>
  </si>
  <si>
    <t>CAIU4750330</t>
  </si>
  <si>
    <t>7/3 drop</t>
  </si>
  <si>
    <t>KANSAS CITY, KS 66103</t>
  </si>
  <si>
    <t>F47B5F</t>
  </si>
  <si>
    <t>MEDUF4157063</t>
  </si>
  <si>
    <t>CAAU5363420  </t>
  </si>
  <si>
    <t>msc</t>
  </si>
  <si>
    <t>Tampa port - M669</t>
  </si>
  <si>
    <t>amx</t>
  </si>
  <si>
    <t xml:space="preserve">South Daytona, FL 32119 </t>
  </si>
  <si>
    <t xml:space="preserve">Q# 0407LN2IW / MEDUQC283775/收 terminal redelivery fee 150美金/ 和国内客户核实到，尺寸是大概是----重量是1810kg  2.32x1x2.56m </t>
  </si>
  <si>
    <t>EITU1320419</t>
  </si>
  <si>
    <t>8am-4pm</t>
  </si>
  <si>
    <t>Hebron, KY 41048 </t>
  </si>
  <si>
    <t>waiting for the invoice</t>
  </si>
  <si>
    <t>EGLV146300390420</t>
  </si>
  <si>
    <t>done but w/o trucker inv</t>
  </si>
  <si>
    <t>SEKU6617992</t>
  </si>
  <si>
    <t>Zim</t>
  </si>
  <si>
    <t>Miami-TPM Terminal</t>
  </si>
  <si>
    <t>Southern Companies</t>
  </si>
  <si>
    <t>Naples FL 34120</t>
  </si>
  <si>
    <r>
      <rPr>
        <sz val="11"/>
        <color rgb="FFFF0000"/>
        <rFont val="Calibri"/>
        <family val="2"/>
        <scheme val="minor"/>
      </rPr>
      <t xml:space="preserve">卡车免STOP OFF，也不收客人 /  </t>
    </r>
    <r>
      <rPr>
        <sz val="11"/>
        <rFont val="Calibri"/>
        <family val="2"/>
        <scheme val="minor"/>
      </rPr>
      <t>for receiver changinig delivery address when the driver arrived, new deliery address: 435 23 St NW, Naples / ZIMUS</t>
    </r>
    <r>
      <rPr>
        <sz val="11"/>
        <color theme="1"/>
        <rFont val="Calibri"/>
        <family val="2"/>
        <scheme val="minor"/>
      </rPr>
      <t xml:space="preserve">NH86011887 /Q# WUH2305303 / COC / </t>
    </r>
    <r>
      <rPr>
        <sz val="11"/>
        <color rgb="FFFF0000"/>
        <rFont val="Calibri"/>
        <family val="2"/>
        <scheme val="minor"/>
      </rPr>
      <t>THC $91 / FDA Fee / cusmtomes extra line fee</t>
    </r>
  </si>
  <si>
    <t>DONE#134896</t>
  </si>
  <si>
    <t>SUNNY WING</t>
  </si>
  <si>
    <t xml:space="preserve">CCLU7803834 </t>
  </si>
  <si>
    <t>11am</t>
  </si>
  <si>
    <t>SOLON, OHIO 44139</t>
  </si>
  <si>
    <t>COSU6359380750</t>
  </si>
  <si>
    <t xml:space="preserve">CXDU2106230 </t>
  </si>
  <si>
    <t>45HQ</t>
  </si>
  <si>
    <t xml:space="preserve">CXDU2219940 </t>
  </si>
  <si>
    <t xml:space="preserve">OOCU0227459 </t>
  </si>
  <si>
    <t>8/1 drop</t>
  </si>
  <si>
    <t>COSU6359380750.$400drop, $125mount.det2.25hrs</t>
  </si>
  <si>
    <t>KAIYA</t>
  </si>
  <si>
    <t>OOCU8929805</t>
  </si>
  <si>
    <t>CN HARVEY</t>
  </si>
  <si>
    <t xml:space="preserve">ABL  </t>
  </si>
  <si>
    <t>exam</t>
  </si>
  <si>
    <t>OOLU2139636600 /FBA / cbp exam on 5-1  / exam邮箱是 CES@channeldc.com  要自己发邮件去问/ 在5-5 送进 channel exam site / 在6-22拉回ABL。 要收额外drayage钱/</t>
  </si>
  <si>
    <t>done- but with hold cargo for storage</t>
  </si>
  <si>
    <t>IGT</t>
  </si>
  <si>
    <t>HMMU2064880</t>
  </si>
  <si>
    <t>CHICAGO,IL,60638</t>
  </si>
  <si>
    <t>HDMUSELM67753700</t>
  </si>
  <si>
    <t>CANCEL</t>
  </si>
  <si>
    <t>cinco</t>
  </si>
  <si>
    <t>TGBU8859826</t>
  </si>
  <si>
    <t>0894f9</t>
  </si>
  <si>
    <t>OOLU2718751569/ First pickup on 7-7 at 9 am / Total 35 PLTS</t>
  </si>
  <si>
    <t>#134174</t>
  </si>
  <si>
    <t>Link trans</t>
  </si>
  <si>
    <t>OOLU9402311</t>
  </si>
  <si>
    <t>Urgent</t>
  </si>
  <si>
    <t>E120FA</t>
  </si>
  <si>
    <t xml:space="preserve">COSU6357651380  </t>
  </si>
  <si>
    <t>weitu</t>
  </si>
  <si>
    <t>MATU2526290</t>
  </si>
  <si>
    <t>32A0C1</t>
  </si>
  <si>
    <t>MATS5603485000， emtpy to conglobal, reroute $150 + split $135</t>
  </si>
  <si>
    <t xml:space="preserve">CMAU9590896  </t>
  </si>
  <si>
    <t>0EE921</t>
  </si>
  <si>
    <t>CMDUNGP0266766</t>
  </si>
  <si>
    <t>TGBU5079404
OOLU8539784
TGBU8772747
OOLU9203011</t>
  </si>
  <si>
    <t>bnsf</t>
  </si>
  <si>
    <t>PU# sent to WSPO</t>
  </si>
  <si>
    <t>OOLU2719984430 / AN SENT</t>
  </si>
  <si>
    <t>DDDU2033540</t>
  </si>
  <si>
    <t>20 gp</t>
  </si>
  <si>
    <t>up tx</t>
  </si>
  <si>
    <t>Dallas team</t>
  </si>
  <si>
    <t>Midland TX 	79705</t>
  </si>
  <si>
    <t>‘0652105</t>
  </si>
  <si>
    <t>DALLAS EXAM HOLD removed / 我做了 AN， 收 换单费from dallas team还是收客人？ / tlx hbl rcvd / Pier Pass + CTF Fee paid by ABL ORD</t>
  </si>
  <si>
    <t>CIMC</t>
  </si>
  <si>
    <t>erd 6-22</t>
  </si>
  <si>
    <t>C/O 6-26</t>
  </si>
  <si>
    <t>CSNU6869136 / 装箱 6-22</t>
  </si>
  <si>
    <t>CSLU6115150</t>
  </si>
  <si>
    <t>EXAM HOLD</t>
  </si>
  <si>
    <t>539c72</t>
  </si>
  <si>
    <t>COSU6356530570 / exam</t>
  </si>
  <si>
    <t>`</t>
  </si>
  <si>
    <t>PCIU8316090</t>
  </si>
  <si>
    <t>CMDUNGP0311113/Q#SPLL061923A/ISA#86789017973</t>
  </si>
  <si>
    <t xml:space="preserve"> EGHU9629255</t>
  </si>
  <si>
    <t>SAVANNAH PORT</t>
  </si>
  <si>
    <t>SOUTHERN SOMPANIES</t>
  </si>
  <si>
    <t>AMZ-MGE3 / JEFFERSON, GA 30549</t>
  </si>
  <si>
    <r>
      <rPr>
        <sz val="11"/>
        <color rgb="FFFF0000"/>
        <rFont val="Calibri"/>
        <family val="2"/>
        <scheme val="minor"/>
      </rPr>
      <t xml:space="preserve">4 hrs Detention-9:21-15:03 / ISA# 100860881 / 7-8 EXAM HOLD removed  </t>
    </r>
    <r>
      <rPr>
        <sz val="11"/>
        <color theme="1"/>
        <rFont val="Calibri"/>
        <family val="2"/>
        <scheme val="minor"/>
      </rPr>
      <t>/ EGLV149302773886 / SWB/ FBA# FBA1764H47C6
REF# 25PQY8JT /431 ctns/ APPT ID# 100628881</t>
    </r>
  </si>
  <si>
    <t>DONE#133962</t>
  </si>
  <si>
    <t>DIMERCO GUZ</t>
  </si>
  <si>
    <t>EISU8338015</t>
  </si>
  <si>
    <t>LAX Y124</t>
  </si>
  <si>
    <t>JCB</t>
  </si>
  <si>
    <t>PHOENIX, AZ 85043</t>
  </si>
  <si>
    <t>EGLV147300394997</t>
  </si>
  <si>
    <t>HELEN</t>
  </si>
  <si>
    <t>EITU1987232</t>
  </si>
  <si>
    <t>MATU2611766</t>
  </si>
  <si>
    <t>BF2951</t>
  </si>
  <si>
    <t>MATS3441527000/DEVAN 7.7</t>
  </si>
  <si>
    <t xml:space="preserve">MATU2578349 </t>
  </si>
  <si>
    <t>C7AEA8</t>
  </si>
  <si>
    <r>
      <rPr>
        <sz val="11"/>
        <color rgb="FFFF0000"/>
        <rFont val="Calibri"/>
        <family val="2"/>
        <scheme val="minor"/>
      </rPr>
      <t xml:space="preserve">7-31 all delivered </t>
    </r>
    <r>
      <rPr>
        <sz val="11"/>
        <color theme="1"/>
        <rFont val="Calibri"/>
        <family val="2"/>
        <scheme val="minor"/>
      </rPr>
      <t>/ MATS3593398000/DEVAN 7.6</t>
    </r>
  </si>
  <si>
    <t xml:space="preserve">DONE#134646 </t>
  </si>
  <si>
    <t>MSMU5758345</t>
  </si>
  <si>
    <t>CHARLESTON</t>
  </si>
  <si>
    <t>CHARLESTON,SC,29407</t>
  </si>
  <si>
    <t>MEDURX451376/Q#WUH070523A/ABL PD</t>
  </si>
  <si>
    <t>CAAU6462561</t>
  </si>
  <si>
    <t>AED139</t>
  </si>
  <si>
    <t>MAEU227349656</t>
  </si>
  <si>
    <t>FBLU0138029</t>
  </si>
  <si>
    <t>AMZ AKR1</t>
  </si>
  <si>
    <r>
      <rPr>
        <sz val="11"/>
        <color rgb="FF000000"/>
        <rFont val="Calibri"/>
        <family val="2"/>
      </rPr>
      <t>OOLU8810437210/Q#FR-0605/</t>
    </r>
    <r>
      <rPr>
        <sz val="11"/>
        <color rgb="FFFF0000"/>
        <rFont val="Calibri"/>
        <family val="2"/>
      </rPr>
      <t>ISA#64457026978</t>
    </r>
    <r>
      <rPr>
        <sz val="11"/>
        <color rgb="FF000000"/>
        <rFont val="Calibri"/>
        <family val="2"/>
      </rPr>
      <t>/ABL PD</t>
    </r>
  </si>
  <si>
    <t>OOCU8443161</t>
  </si>
  <si>
    <t>26FB26</t>
  </si>
  <si>
    <t xml:space="preserve">COSU6357707712    </t>
  </si>
  <si>
    <t>SMCU1284094</t>
  </si>
  <si>
    <t>SM LINE</t>
  </si>
  <si>
    <t>CN JOLIET</t>
  </si>
  <si>
    <t>MCHENRY, IL 60050</t>
  </si>
  <si>
    <t>SMLMSZP3M6105600</t>
  </si>
  <si>
    <t>FOREST-SHIRLEY</t>
  </si>
  <si>
    <t xml:space="preserve">OOCU8255800 </t>
  </si>
  <si>
    <t>AMZ IGQ2</t>
  </si>
  <si>
    <t>9738C6</t>
  </si>
  <si>
    <t>ST 7/14</t>
  </si>
  <si>
    <t>COSU6358189470/Q#FR-0516/ISA#94397008987</t>
  </si>
  <si>
    <t>COSU6357707712   /7-12 st turn</t>
  </si>
  <si>
    <t>WING OCEAN</t>
  </si>
  <si>
    <t>OOCU6543881</t>
  </si>
  <si>
    <t xml:space="preserve">Seattle Terminal 18 </t>
  </si>
  <si>
    <t>DROP</t>
  </si>
  <si>
    <t xml:space="preserve"> Bellevue WA, 98004</t>
  </si>
  <si>
    <r>
      <t xml:space="preserve">7-24 empyt ready / DROP FEE $175 /  柜号：OOCU6543881  提单号：OOLU2300343390  / Q# WOIL070623A
派送地址：
</t>
    </r>
    <r>
      <rPr>
        <sz val="11"/>
        <color rgb="FFFF0000"/>
        <rFont val="Calibri"/>
        <family val="2"/>
        <scheme val="minor"/>
      </rPr>
      <t>Name:Sid Jatia
Email:Sjatia@hotmail.com
Address:504 98th ave NE, Bellevue WA, 98004 USA
Phone:1-512-696-4865</t>
    </r>
  </si>
  <si>
    <t>DONE#134745</t>
  </si>
  <si>
    <t>HASU4550280</t>
  </si>
  <si>
    <t>896BE7</t>
  </si>
  <si>
    <t>MAEU227351686</t>
  </si>
  <si>
    <t>MRSU5602157</t>
  </si>
  <si>
    <t>79B43E</t>
  </si>
  <si>
    <t>MAEU227351681</t>
  </si>
  <si>
    <t>CMAU5555520</t>
  </si>
  <si>
    <t>95ce9b</t>
  </si>
  <si>
    <t>CMDUCHN0366776</t>
  </si>
  <si>
    <t>MATU2593528</t>
  </si>
  <si>
    <t>40 hQ</t>
  </si>
  <si>
    <t>9FE2C0</t>
  </si>
  <si>
    <t>MATS5802879000</t>
  </si>
  <si>
    <t>FCIU4366451</t>
  </si>
  <si>
    <t>MEDUP8836066/Q#AP-0203</t>
  </si>
  <si>
    <t>OOCU7927990</t>
  </si>
  <si>
    <t>BNSF-Kansas City</t>
  </si>
  <si>
    <t>EFD4A0</t>
  </si>
  <si>
    <r>
      <rPr>
        <sz val="11"/>
        <color rgb="FFFF0000"/>
        <rFont val="Calibri"/>
        <family val="2"/>
        <scheme val="minor"/>
      </rPr>
      <t>Pre-pull and yard storage may apply / Reroute  $150+ chassis split $100 for empty return to ITI Edgerton</t>
    </r>
    <r>
      <rPr>
        <sz val="11"/>
        <color theme="1"/>
        <rFont val="Calibri"/>
        <family val="2"/>
        <scheme val="minor"/>
      </rPr>
      <t xml:space="preserve"> / COSU6358843550 / UQI file ISF/ ISF on file / received docs /</t>
    </r>
    <r>
      <rPr>
        <sz val="11"/>
        <color rgb="FFFF0000"/>
        <rFont val="Calibri"/>
        <family val="2"/>
        <scheme val="minor"/>
      </rPr>
      <t xml:space="preserve"> Customs Rls</t>
    </r>
    <r>
      <rPr>
        <sz val="11"/>
        <color theme="1"/>
        <rFont val="Calibri"/>
        <family val="2"/>
        <scheme val="minor"/>
      </rPr>
      <t xml:space="preserve"> </t>
    </r>
  </si>
  <si>
    <t xml:space="preserve">DONE#134308 </t>
  </si>
  <si>
    <t>TRHU5277044</t>
  </si>
  <si>
    <t>E8E6C5</t>
  </si>
  <si>
    <t>OOLU8749179</t>
  </si>
  <si>
    <t>10am</t>
  </si>
  <si>
    <t>ED4988</t>
  </si>
  <si>
    <t>GLDU2223410</t>
  </si>
  <si>
    <t>OKLAHOMA CITY, OK 73149</t>
  </si>
  <si>
    <t xml:space="preserve">SOC/ONEYXMND40459800 </t>
  </si>
  <si>
    <t>TCKU6968989</t>
  </si>
  <si>
    <t>7DB5B7</t>
  </si>
  <si>
    <t>MAEU227351670</t>
  </si>
  <si>
    <t>ABLCN/LITELOGO</t>
  </si>
  <si>
    <t>NYKU4965150</t>
  </si>
  <si>
    <t>NIT-Norfolk</t>
  </si>
  <si>
    <t>TIME DISPATCH</t>
  </si>
  <si>
    <t>Wyncote, PA 19095</t>
  </si>
  <si>
    <t>need to deliver by 7/18/no isf/agent $70</t>
  </si>
  <si>
    <t>GLDU3169021</t>
  </si>
  <si>
    <t>WEITU</t>
  </si>
  <si>
    <t>MATU2568058</t>
  </si>
  <si>
    <t>6182C6 </t>
  </si>
  <si>
    <t>MATS1936978000</t>
  </si>
  <si>
    <t>ABLCN/RQ</t>
  </si>
  <si>
    <t>BEAU4603490</t>
  </si>
  <si>
    <t>NS-CINCINNATI</t>
  </si>
  <si>
    <t>LEXINGTON</t>
  </si>
  <si>
    <t>CMH3</t>
  </si>
  <si>
    <t>DROP /Demurrage $200-7.17 / ISA# 100565568 / 7-9 Discharged / COSU6357204050/ FBA1750WW9TB--67PPZPLQ / 780 pkgs / Additional Shipper info -RQYFC2305001413</t>
  </si>
  <si>
    <t>DONE# 134231</t>
  </si>
  <si>
    <t>BMOU5737651</t>
  </si>
  <si>
    <t xml:space="preserve">YANG MING </t>
  </si>
  <si>
    <t>GRAFTON,WI,53024</t>
  </si>
  <si>
    <t>48C380</t>
  </si>
  <si>
    <t>YMPRW272035756/HKOE23060209</t>
  </si>
  <si>
    <t>NYKU4771448</t>
  </si>
  <si>
    <t>UP STL</t>
  </si>
  <si>
    <t>10am-2pm DROP</t>
  </si>
  <si>
    <t xml:space="preserve">Hazelwood, MO 63042  </t>
  </si>
  <si>
    <t>7-14@4:05pm empty ready / Q# 0515GS0IW / ONEYSZPD88134300
Receiver contact: Jonathan Laufer &lt;j.laufer@miniaturemarket.com&gt;; 
Johnathan Adams &lt;j.adams@miniaturemarket.com&gt;; 
Mike Hodde &lt;m.hodde@miniaturemarket.com&gt;; Malachi Owen &lt;m.owen@miniaturemarket.com&gt; T: 618-792-1385.   / / Q# 0515GS0IW</t>
  </si>
  <si>
    <t>DONE#134263</t>
  </si>
  <si>
    <t>TLLU7846640</t>
  </si>
  <si>
    <t>COSU6358093190</t>
  </si>
  <si>
    <t>TCKU6197053</t>
  </si>
  <si>
    <t>Bondville , IL，61815</t>
  </si>
  <si>
    <t>f1fd82</t>
  </si>
  <si>
    <t>COSU6358641620 / Q # XMWT031623B</t>
  </si>
  <si>
    <t>TCNU5798100</t>
  </si>
  <si>
    <t>WILINGTON PORT</t>
  </si>
  <si>
    <t>GREENSBORO, NC 27406</t>
  </si>
  <si>
    <t>ONEYNB3BCC219300</t>
  </si>
  <si>
    <t>TLLU4819533</t>
  </si>
  <si>
    <t>Winston Salem NC 27103</t>
  </si>
  <si>
    <t>0.75H DET,7/7 CNEE changes the delivery address/Sale Rate1380, Evans 874*+FSC40%/ONEYNB3BCC218900</t>
  </si>
  <si>
    <t>MATU2794292</t>
  </si>
  <si>
    <t>5D1085 </t>
  </si>
  <si>
    <t>MATS8525277000</t>
  </si>
  <si>
    <t>MATU2688921</t>
  </si>
  <si>
    <t>5950ad</t>
  </si>
  <si>
    <t>MATS8517364000</t>
  </si>
  <si>
    <t>EGHU9493750</t>
  </si>
  <si>
    <t>NY- MAHER</t>
  </si>
  <si>
    <t>SEN MART</t>
  </si>
  <si>
    <t>Transload NY-CMH2</t>
  </si>
  <si>
    <t>7-21 Uber 提货</t>
  </si>
  <si>
    <r>
      <rPr>
        <sz val="11"/>
        <color rgb="FFFF0000"/>
        <rFont val="Calibri"/>
        <family val="2"/>
        <scheme val="minor"/>
      </rPr>
      <t>7-24 uber delivered 25 PLTS / UBER# UF-8534586553, UBER COST $944 / ISA# 158292775</t>
    </r>
    <r>
      <rPr>
        <sz val="11"/>
        <color theme="1"/>
        <rFont val="Calibri"/>
        <family val="2"/>
        <scheme val="minor"/>
      </rPr>
      <t xml:space="preserve"> / Transload  / EGLV140301124422 / 780 ctns / 
Shipment ID: FBA1778VQZDL 
Amazon Reference ID: 176OF1NU 
</t>
    </r>
    <r>
      <rPr>
        <sz val="11"/>
        <color rgb="FFFF0000"/>
        <rFont val="Calibri"/>
        <family val="2"/>
        <scheme val="minor"/>
      </rPr>
      <t xml:space="preserve">SP230606012=FBA1778VQZDL 410CTNS
SP230606011=FBA177917GS1 370CTNS
</t>
    </r>
    <r>
      <rPr>
        <sz val="11"/>
        <color theme="1"/>
        <rFont val="Calibri"/>
        <family val="2"/>
        <scheme val="minor"/>
      </rPr>
      <t>Shipment ID: FBA177917GS1 
Amazon Reference ID: 183KORKP</t>
    </r>
  </si>
  <si>
    <t>DONE#134601</t>
  </si>
  <si>
    <t>TLLU7716610</t>
  </si>
  <si>
    <t>cma</t>
  </si>
  <si>
    <t>‘5693E6’</t>
  </si>
  <si>
    <t>CMDUSHZ5592073/ 要收 flip 钱，reroute 和split 费/</t>
  </si>
  <si>
    <t>APHU7249835</t>
  </si>
  <si>
    <t>40hq</t>
  </si>
  <si>
    <t>E3707B</t>
  </si>
  <si>
    <t xml:space="preserve">CMDUCHN0379351 </t>
  </si>
  <si>
    <t>OOLU7997360</t>
  </si>
  <si>
    <t>2332B8</t>
  </si>
  <si>
    <t>OOLU2300337780 /ISA#296152004970</t>
  </si>
  <si>
    <t xml:space="preserve">DONE#134086 </t>
  </si>
  <si>
    <t>MEDU6823992</t>
  </si>
  <si>
    <t>JOLIET IL 60435</t>
  </si>
  <si>
    <t>MEDUF4756435</t>
  </si>
  <si>
    <t>MSDU4497174</t>
  </si>
  <si>
    <t>7/28 8am</t>
  </si>
  <si>
    <t>MSDU4553051</t>
  </si>
  <si>
    <t>7/26 8am</t>
  </si>
  <si>
    <t xml:space="preserve">TCLU2094558     </t>
  </si>
  <si>
    <t>TRHU6128030</t>
  </si>
  <si>
    <t>8am-3pm live</t>
  </si>
  <si>
    <t>7-10 discharged/ Q# 0515GS0IW / ONEYSZPD98546400 /
Receiver contact: Jonathan Laufer &lt;j.laufer@miniaturemarket.com&gt;; 
Johnathan Adams &lt;j.adams@miniaturemarket.com&gt;; 
Mike Hodde &lt;m.hodde@miniaturemarket.com&gt;; Malachi Owen &lt;m.owen@miniaturemarket.com&gt; T: 618-792-1385.   / / Q# 0515GS0IW</t>
  </si>
  <si>
    <t xml:space="preserve">DONE#134265 </t>
  </si>
  <si>
    <t>TCKU7932764</t>
  </si>
  <si>
    <t>7-10 discharged / Q# 0515GS0IW / ONEYSZPD88692500
Receiver contact: Jonathan Laufer &lt;j.laufer@miniaturemarket.com&gt;; 
Johnathan Adams &lt;j.adams@miniaturemarket.com&gt;; 
Mike Hodde &lt;m.hodde@miniaturemarket.com&gt;; Malachi Owen &lt;m.owen@miniaturemarket.com&gt; T: 618-792-1385.   / / Q# 0515GS0IW</t>
  </si>
  <si>
    <t>DONE#134268</t>
  </si>
  <si>
    <t>CSNU7882791</t>
  </si>
  <si>
    <t>oocl</t>
  </si>
  <si>
    <t>7-30 at 9 pm</t>
  </si>
  <si>
    <t>isa# 11073130973</t>
  </si>
  <si>
    <t>amz IND9</t>
  </si>
  <si>
    <t>c80b0A</t>
  </si>
  <si>
    <t>OOLU2141389850/整柜直送 / 由于acct 被关了，预约没及时更改，产生了double drayage。/ detention 20个小时/</t>
  </si>
  <si>
    <t>OOLU7921684</t>
  </si>
  <si>
    <t>8FC8C3</t>
  </si>
  <si>
    <t>3.5 hrs detention, 11:47-17:08/ OOLU2300337690 /ISA#297306004970</t>
  </si>
  <si>
    <t xml:space="preserve">DONE#134555 </t>
  </si>
  <si>
    <t>GAOU6471539</t>
  </si>
  <si>
    <t>VISION</t>
  </si>
  <si>
    <t>WINCHESTER,IL,62694</t>
  </si>
  <si>
    <t>EGLV146300451747/Q#FRST062623A</t>
  </si>
  <si>
    <t xml:space="preserve">DONE#134774 </t>
  </si>
  <si>
    <t>TGBU4914740</t>
  </si>
  <si>
    <t>99F61B</t>
  </si>
  <si>
    <r>
      <rPr>
        <sz val="11"/>
        <rFont val="Calibri"/>
        <family val="2"/>
        <scheme val="minor"/>
      </rPr>
      <t xml:space="preserve">7-9 discharged / </t>
    </r>
    <r>
      <rPr>
        <sz val="11"/>
        <color rgb="FFFF0000"/>
        <rFont val="Calibri"/>
        <family val="2"/>
        <scheme val="minor"/>
      </rPr>
      <t>Reroute  $150+ chassis split $100 for empty return to ITI Edgerton</t>
    </r>
    <r>
      <rPr>
        <sz val="11"/>
        <color theme="1"/>
        <rFont val="Calibri"/>
        <family val="2"/>
        <scheme val="minor"/>
      </rPr>
      <t xml:space="preserve"> / COSU6358843550 / UQI file ISF/ ISF on file / received docs /</t>
    </r>
    <r>
      <rPr>
        <sz val="11"/>
        <color rgb="FFFF0000"/>
        <rFont val="Calibri"/>
        <family val="2"/>
        <scheme val="minor"/>
      </rPr>
      <t xml:space="preserve"> Customs Rls</t>
    </r>
    <r>
      <rPr>
        <sz val="11"/>
        <color theme="1"/>
        <rFont val="Calibri"/>
        <family val="2"/>
        <scheme val="minor"/>
      </rPr>
      <t xml:space="preserve"> </t>
    </r>
  </si>
  <si>
    <t xml:space="preserve">WESHIP-NTLQP </t>
  </si>
  <si>
    <t>CSNU7427000</t>
  </si>
  <si>
    <t>LGB PORT</t>
  </si>
  <si>
    <t>AN SENT</t>
  </si>
  <si>
    <t>OOLU8810463390,ONLY AN</t>
  </si>
  <si>
    <t>HASU4667826</t>
  </si>
  <si>
    <t>97024F</t>
  </si>
  <si>
    <t>MAEU227351709</t>
  </si>
  <si>
    <t>HLXU8079580</t>
  </si>
  <si>
    <t>70776237 /used to be72152510/PO#036/ETD 6.12/ISF/customs</t>
  </si>
  <si>
    <t>OOLU9616571</t>
  </si>
  <si>
    <t>D950B2</t>
  </si>
  <si>
    <t>OOLU8810457200</t>
  </si>
  <si>
    <t>MSKU9835475</t>
  </si>
  <si>
    <t>A12E98</t>
  </si>
  <si>
    <t>MAEU227808216</t>
  </si>
  <si>
    <t>EVANGEL</t>
  </si>
  <si>
    <t>TCKU2895740</t>
  </si>
  <si>
    <t>BLOOMINGDALE, IL 60108</t>
  </si>
  <si>
    <t>A14EC9</t>
  </si>
  <si>
    <r>
      <rPr>
        <sz val="11"/>
        <color rgb="FFFF0000"/>
        <rFont val="Calibri"/>
        <family val="2"/>
        <scheme val="minor"/>
      </rPr>
      <t xml:space="preserve">SOC return to NLN </t>
    </r>
    <r>
      <rPr>
        <sz val="11"/>
        <color theme="1"/>
        <rFont val="Calibri"/>
        <family val="2"/>
        <scheme val="minor"/>
      </rPr>
      <t>/ 7-12 discharged / CMDUNGP0355347 / SOC reroute $200 + chassis split $135+ ow FEE $200 /</t>
    </r>
    <r>
      <rPr>
        <sz val="11"/>
        <color rgb="FFFF0000"/>
        <rFont val="Calibri"/>
        <family val="2"/>
        <scheme val="minor"/>
      </rPr>
      <t>make appointment on OPENDOC</t>
    </r>
  </si>
  <si>
    <t xml:space="preserve">DONE#134551 </t>
  </si>
  <si>
    <t>MAGU5203406</t>
  </si>
  <si>
    <t>FD88A3</t>
  </si>
  <si>
    <t>OOLU2720559190 / Cancel IT fee $40, billed to Weship</t>
  </si>
  <si>
    <t>DONE, Cancel IT INV# 133609</t>
  </si>
  <si>
    <t>TCLU4898494</t>
  </si>
  <si>
    <t>A6777B</t>
  </si>
  <si>
    <t>OOLU2720559190</t>
  </si>
  <si>
    <t>MSKU8557359</t>
  </si>
  <si>
    <t>C49895</t>
  </si>
  <si>
    <t>MAEU227615780</t>
  </si>
  <si>
    <t>MIEU3070941</t>
  </si>
  <si>
    <t>BD117C</t>
  </si>
  <si>
    <t>MAEU227615740</t>
  </si>
  <si>
    <t>GCXU5672989</t>
  </si>
  <si>
    <t>573BE5</t>
  </si>
  <si>
    <t>MAEU227391066</t>
  </si>
  <si>
    <t>CSNU8482980</t>
  </si>
  <si>
    <t>8FE5C1</t>
  </si>
  <si>
    <t>BSIU8161117</t>
  </si>
  <si>
    <t>COSU6358599430/ 7-26 ST IG/</t>
  </si>
  <si>
    <t>MRSU4137940</t>
  </si>
  <si>
    <t>584D75</t>
  </si>
  <si>
    <t>MAEU227391113</t>
  </si>
  <si>
    <t>MRKU3931675</t>
  </si>
  <si>
    <t>458DC7</t>
  </si>
  <si>
    <t>MAEU227391057</t>
  </si>
  <si>
    <t>MRKU3842520</t>
  </si>
  <si>
    <t>C577B1</t>
  </si>
  <si>
    <t>MAEU227008370</t>
  </si>
  <si>
    <t>OOCU8105360</t>
  </si>
  <si>
    <t>OOLU4119418170 / 在8-1号告知，不直送，改成transload/ weship 在8-2放到ABl</t>
  </si>
  <si>
    <t>fin whale</t>
  </si>
  <si>
    <t>MATU2641755</t>
  </si>
  <si>
    <t>MATS4211496000</t>
  </si>
  <si>
    <t>BEAU6241980</t>
  </si>
  <si>
    <t>Huntingburg, IN 47542</t>
  </si>
  <si>
    <t>COSU6359063930</t>
  </si>
  <si>
    <t>CMAU6124214</t>
  </si>
  <si>
    <t>7FA7B7</t>
  </si>
  <si>
    <t>CMDUSHZ5579365</t>
  </si>
  <si>
    <t xml:space="preserve">EGHU8285371  </t>
  </si>
  <si>
    <r>
      <rPr>
        <sz val="11"/>
        <color rgb="FFFF0000"/>
        <rFont val="Calibri"/>
        <family val="2"/>
        <scheme val="minor"/>
      </rPr>
      <t>1 hr detention, 17:29-20:20/</t>
    </r>
    <r>
      <rPr>
        <sz val="11"/>
        <rFont val="Calibri"/>
        <family val="2"/>
        <scheme val="minor"/>
      </rPr>
      <t xml:space="preserve"> NEW ISA# 110385003999--LLL ACCOUNT/ OLD ISA# 110248003999 / 7-12 discharged / EGLV149303189372 / FBA177PBZPJX--8VNW7INC--650CTNS</t>
    </r>
  </si>
  <si>
    <t xml:space="preserve">DONE#134775 </t>
  </si>
  <si>
    <t>FFAU3138531</t>
  </si>
  <si>
    <t>812E0B</t>
  </si>
  <si>
    <t xml:space="preserve">COSU6358628531 / ig st turn / </t>
  </si>
  <si>
    <t xml:space="preserve">CMAU5379463 </t>
  </si>
  <si>
    <t>NS- LOUISVILLE, KY
APPLIANCE PARK</t>
  </si>
  <si>
    <t xml:space="preserve">Louisville KY 40223 </t>
  </si>
  <si>
    <t xml:space="preserve">pre-pull /  yard storage / 7-13 discharged / 1X40HQ   16583.60 KGS    59.380CBM / /提单号：NGP0331472 /Q# WGCN041823L </t>
  </si>
  <si>
    <t xml:space="preserve">DONE#134757 </t>
  </si>
  <si>
    <t>titan</t>
  </si>
  <si>
    <t>CSNU7124596</t>
  </si>
  <si>
    <t>CMDUSHZ5575623</t>
  </si>
  <si>
    <t xml:space="preserve">FFAU3679222 </t>
  </si>
  <si>
    <t>SPLIT</t>
  </si>
  <si>
    <t>FOREST-HELEN</t>
  </si>
  <si>
    <t xml:space="preserve">MRSU5552760 </t>
  </si>
  <si>
    <t>9AM live</t>
  </si>
  <si>
    <t xml:space="preserve">AMZ XLX1 changed to 300 Cedar Lane Suite B, Edison NJ 08817 </t>
  </si>
  <si>
    <r>
      <rPr>
        <sz val="11"/>
        <color rgb="FFFF0000"/>
        <rFont val="Calibri"/>
        <family val="2"/>
        <scheme val="minor"/>
      </rPr>
      <t>PRE-PULL /  YARD STORAGE /</t>
    </r>
    <r>
      <rPr>
        <sz val="11"/>
        <color theme="1"/>
        <rFont val="Calibri"/>
        <family val="2"/>
        <scheme val="minor"/>
      </rPr>
      <t xml:space="preserve"> MAEU228034546/Q#FR-0601/ ： nj_rec@jwfulfillment.com； njjw.op@jwfulfillment.com  ,sh.doc-03@forestshipping.com
进仓编号：BOAJLSJJ-230724-001  入库单号：Z4EM6G   跟踪号  Ctr#MRSU5552760 / </t>
    </r>
    <r>
      <rPr>
        <sz val="11"/>
        <color rgb="FFFF0000"/>
        <rFont val="Calibri"/>
        <family val="2"/>
        <scheme val="minor"/>
      </rPr>
      <t>预约邮件标题</t>
    </r>
    <r>
      <rPr>
        <sz val="11"/>
        <color theme="1"/>
        <rFont val="Calibri"/>
        <family val="2"/>
        <scheme val="minor"/>
      </rPr>
      <t>： Inbound Delivery request: 柜号+入库单号 +进仓编号 / 正文内容：1. LFD date:/ 2. Port pick up schedule: /3. Estimated delivery date and time: (预约送仓时间) 卡车填
注意事项：Please note all containers delivered after 3:30pm may cause reschedule and dry run.We don’t accept live unload containers.</t>
    </r>
  </si>
  <si>
    <t xml:space="preserve">DONE#134835 </t>
  </si>
  <si>
    <t>ONEU1118904</t>
  </si>
  <si>
    <t>7-13 discharged / ONEYSZPDA1182600 / Q# 0515GS0IW</t>
  </si>
  <si>
    <t xml:space="preserve">DONE#134609 </t>
  </si>
  <si>
    <t>MRSU6409224</t>
  </si>
  <si>
    <t>Baltimore  Port</t>
  </si>
  <si>
    <t>Laurel, MD 20707</t>
  </si>
  <si>
    <t xml:space="preserve">MAEU228337462 </t>
  </si>
  <si>
    <t>SEKU4637367</t>
  </si>
  <si>
    <t>MOAU5830713</t>
  </si>
  <si>
    <t>NEW BERLIN,WI,53151</t>
  </si>
  <si>
    <t>ONEYHKGD51140801/SZOE23061173</t>
  </si>
  <si>
    <t>MATU2662233</t>
  </si>
  <si>
    <t xml:space="preserve">BNSF  </t>
  </si>
  <si>
    <t>f035b3</t>
  </si>
  <si>
    <t>MATS4913732000</t>
  </si>
  <si>
    <t>XTD</t>
  </si>
  <si>
    <t>TEMU8023733</t>
  </si>
  <si>
    <t>AMZ IND2</t>
  </si>
  <si>
    <r>
      <rPr>
        <sz val="11"/>
        <color rgb="FFFF0000"/>
        <rFont val="Calibri"/>
        <family val="2"/>
        <scheme val="minor"/>
      </rPr>
      <t xml:space="preserve">4.25 hrs detention, : 8/7/2023 @ 18:55 EDT - 08/08/2023 01:12 EDT, 2 hours free. / </t>
    </r>
    <r>
      <rPr>
        <sz val="11"/>
        <rFont val="Calibri"/>
        <family val="2"/>
        <scheme val="minor"/>
      </rPr>
      <t>NEW ISA# 912106066-LLL ACCOUNT / OLD ISA# 911977066 / 7-18 discharged / OOLU4119421580/ FBA176WH9HJH====7KPJUU4N / 1110 c</t>
    </r>
    <r>
      <rPr>
        <sz val="11"/>
        <color theme="1"/>
        <rFont val="Calibri"/>
        <family val="2"/>
        <scheme val="minor"/>
      </rPr>
      <t>tns</t>
    </r>
  </si>
  <si>
    <t xml:space="preserve">DONE#135059 </t>
  </si>
  <si>
    <t>CAIU9097110</t>
  </si>
  <si>
    <t>PORTAGE,IN,46368</t>
  </si>
  <si>
    <t>HDMUSGNM46458200/HCMOE2306032</t>
  </si>
  <si>
    <t>HMMU6125469</t>
  </si>
  <si>
    <t>OOLU7871259</t>
  </si>
  <si>
    <t>25885D</t>
  </si>
  <si>
    <r>
      <rPr>
        <sz val="11"/>
        <color rgb="FFFF0000"/>
        <rFont val="Calibri"/>
        <family val="2"/>
        <scheme val="minor"/>
      </rPr>
      <t xml:space="preserve">1.5 HR DETENTION, 10:00-13:29, NEW ISA # 298895004970-LLL ACCOUNT / </t>
    </r>
    <r>
      <rPr>
        <sz val="11"/>
        <rFont val="Calibri"/>
        <family val="2"/>
        <scheme val="minor"/>
      </rPr>
      <t>OLD ISA# 298338004970 / OOLU4119657050  / FBA177FM1C3M--869GX</t>
    </r>
    <r>
      <rPr>
        <sz val="11"/>
        <color theme="1"/>
        <rFont val="Calibri"/>
        <family val="2"/>
        <scheme val="minor"/>
      </rPr>
      <t>GZT--1500</t>
    </r>
  </si>
  <si>
    <t xml:space="preserve">DONE#134599 </t>
  </si>
  <si>
    <t xml:space="preserve">BEAU6062286 </t>
  </si>
  <si>
    <t>LGB PORT- LBCT</t>
  </si>
  <si>
    <t>18:00 PDT</t>
  </si>
  <si>
    <t>PAQS
/  FTL-UBER</t>
  </si>
  <si>
    <t>Transload / AMZ-ONT9-- Redlands, CA 92374</t>
  </si>
  <si>
    <t>8/4 下班前看看uber有没有assign carrier， 没有的话要改APPT</t>
  </si>
  <si>
    <r>
      <rPr>
        <sz val="11"/>
        <color rgb="FFFF0000"/>
        <rFont val="Calibri"/>
        <family val="2"/>
        <scheme val="minor"/>
      </rPr>
      <t xml:space="preserve">8-7 FTL delivered, 28 plts / Uber# UF-6198416146,Carrier name: MARCOS SERRATOS,   Uber cost $371 / </t>
    </r>
    <r>
      <rPr>
        <sz val="11"/>
        <rFont val="Calibri"/>
        <family val="2"/>
        <scheme val="minor"/>
      </rPr>
      <t xml:space="preserve">NEW ISA#194294643-LLL ACCOUNT </t>
    </r>
    <r>
      <rPr>
        <sz val="11"/>
        <color rgb="FFFF0000"/>
        <rFont val="Calibri"/>
        <family val="2"/>
        <scheme val="minor"/>
      </rPr>
      <t xml:space="preserve">/ Pier pass $68.42 &amp; CTF $20 / </t>
    </r>
    <r>
      <rPr>
        <sz val="11"/>
        <rFont val="Calibri"/>
        <family val="2"/>
        <scheme val="minor"/>
      </rPr>
      <t>OLD ISA# 194167643 / Tr</t>
    </r>
    <r>
      <rPr>
        <sz val="11"/>
        <color theme="1"/>
        <rFont val="Calibri"/>
        <family val="2"/>
        <scheme val="minor"/>
      </rPr>
      <t>ansload / COSU6360332110/ Q# 0113AN0-IW /</t>
    </r>
    <r>
      <rPr>
        <sz val="11"/>
        <color rgb="FFFF0000"/>
        <rFont val="Calibri"/>
        <family val="2"/>
        <scheme val="minor"/>
      </rPr>
      <t xml:space="preserve"> Pending PL  / 750 ctns / 10125 KGS</t>
    </r>
    <r>
      <rPr>
        <sz val="11"/>
        <color theme="1"/>
        <rFont val="Calibri"/>
        <family val="2"/>
        <scheme val="minor"/>
      </rPr>
      <t xml:space="preserve">
货件编号：FBA178JY1MY1 
货件追踪编号: 4LBWELQL </t>
    </r>
  </si>
  <si>
    <t>DONE#135098</t>
  </si>
  <si>
    <t>OOLU8760795</t>
  </si>
  <si>
    <t>1B38B0</t>
  </si>
  <si>
    <t>OOLU8810455140, AN ONLY</t>
  </si>
  <si>
    <t>FFAU2823274</t>
  </si>
  <si>
    <t xml:space="preserve">OOLU2720942950/CRD6/29/COSCO SPAIN V.058E/3450COST/3550SELL/MTPE23060116 </t>
  </si>
  <si>
    <t xml:space="preserve">NYKU0833840 </t>
  </si>
  <si>
    <t>Norfolk Port-NIT terminal</t>
  </si>
  <si>
    <t>9AM-3PM</t>
  </si>
  <si>
    <t>Lightning</t>
  </si>
  <si>
    <t>Vinton, VA 24179</t>
  </si>
  <si>
    <t xml:space="preserve">ONEY SZPDA3800500 / Q# GPSS061923A
The Game Steward
865 Industry Circle, Vinton, VA 24179
Contact: Mary Grindstaff, Phone: 512.222.6740
E-mail: Mary@thegamesteward.com </t>
  </si>
  <si>
    <t>DONE#134952, pending trucker's invoice</t>
  </si>
  <si>
    <t xml:space="preserve">DFSU6847505 </t>
  </si>
  <si>
    <t>kansas bnsf- J177</t>
  </si>
  <si>
    <t>08/01/2023 11:00 CDT</t>
  </si>
  <si>
    <t>isa# 88083015985</t>
  </si>
  <si>
    <t>dnj</t>
  </si>
  <si>
    <t>amz STL3</t>
  </si>
  <si>
    <t>COSU6359156551/ Q# LKTN062923KSTL3 /</t>
  </si>
  <si>
    <t>CCLU3942214</t>
  </si>
  <si>
    <t>COSU6359944580 / HC $50 / TLX HBL &amp; SWB MBL
Empty return location: Conglobal Industries, Inc.
1711 Alameda Street
Wilmington, CA 90744
Phone: (310) 518-2850
Redelivery#PPF84611</t>
  </si>
  <si>
    <t xml:space="preserve">DONE#134155 </t>
  </si>
  <si>
    <t>Wise</t>
  </si>
  <si>
    <t>YCCU2024354</t>
  </si>
  <si>
    <t>EAST CHICAGO IN 46312</t>
  </si>
  <si>
    <r>
      <rPr>
        <sz val="11"/>
        <color rgb="FFFF0000"/>
        <rFont val="Calibri"/>
        <family val="2"/>
        <scheme val="minor"/>
      </rPr>
      <t xml:space="preserve">8-8 received SOC return address, pending ref# / yard storage </t>
    </r>
    <r>
      <rPr>
        <sz val="11"/>
        <color theme="1"/>
        <rFont val="Calibri"/>
        <family val="2"/>
        <scheme val="minor"/>
      </rPr>
      <t xml:space="preserve">/7-18 Discharged / </t>
    </r>
    <r>
      <rPr>
        <sz val="11"/>
        <color rgb="FFFF0000"/>
        <rFont val="Calibri"/>
        <family val="2"/>
        <scheme val="minor"/>
      </rPr>
      <t xml:space="preserve">SOC return to Kiswani </t>
    </r>
    <r>
      <rPr>
        <sz val="11"/>
        <color theme="1"/>
        <rFont val="Calibri"/>
        <family val="2"/>
        <scheme val="minor"/>
      </rPr>
      <t>/ ONEYDL2CK0951800 / Q# 0515AN3IW / OW 18930KGS / Delivery S/R is $950/CNTR all-in/ Broker Omni Logistics</t>
    </r>
  </si>
  <si>
    <t xml:space="preserve">DONE#135096 </t>
  </si>
  <si>
    <t>YCCU2022813</t>
  </si>
  <si>
    <r>
      <rPr>
        <sz val="11"/>
        <color rgb="FFFF0000"/>
        <rFont val="Calibri"/>
        <family val="2"/>
        <scheme val="minor"/>
      </rPr>
      <t>8-8 received SOC return address, pending ref# // yard storage /</t>
    </r>
    <r>
      <rPr>
        <sz val="11"/>
        <color theme="1"/>
        <rFont val="Calibri"/>
        <family val="2"/>
        <scheme val="minor"/>
      </rPr>
      <t xml:space="preserve">7-17 Discharged / SOC return to Kiswani /  ONEYDL2CK0926300 / Q# 0515AN3IW/OW 19115KGS </t>
    </r>
    <r>
      <rPr>
        <sz val="11"/>
        <color rgb="FFFF0000"/>
        <rFont val="Calibri"/>
        <family val="2"/>
        <scheme val="minor"/>
      </rPr>
      <t xml:space="preserve"> </t>
    </r>
    <r>
      <rPr>
        <sz val="11"/>
        <color theme="1"/>
        <rFont val="Calibri"/>
        <family val="2"/>
        <scheme val="minor"/>
      </rPr>
      <t>/ Delivery S/R is $950/CNTR all-in/ Broker Omni Logistics</t>
    </r>
  </si>
  <si>
    <t>DONE#135093</t>
  </si>
  <si>
    <t>YCCU2024890</t>
  </si>
  <si>
    <r>
      <rPr>
        <sz val="11"/>
        <color rgb="FFFF0000"/>
        <rFont val="Calibri"/>
        <family val="2"/>
        <scheme val="minor"/>
      </rPr>
      <t>8-8 received SOC return address, pending ref# // yard storage /</t>
    </r>
    <r>
      <rPr>
        <sz val="11"/>
        <color theme="1"/>
        <rFont val="Calibri"/>
        <family val="2"/>
        <scheme val="minor"/>
      </rPr>
      <t xml:space="preserve">7-18 Discharged / SOC return to Kiswani / ONEYDL2CK0926300 / Q# 0515AN3IW/OW 19115KGS / </t>
    </r>
    <r>
      <rPr>
        <sz val="11"/>
        <color rgb="FFFF0000"/>
        <rFont val="Calibri"/>
        <family val="2"/>
        <scheme val="minor"/>
      </rPr>
      <t xml:space="preserve"> </t>
    </r>
    <r>
      <rPr>
        <sz val="11"/>
        <color theme="1"/>
        <rFont val="Calibri"/>
        <family val="2"/>
        <scheme val="minor"/>
      </rPr>
      <t>Delivery S/R is $950/CNTR all-in/ Broker Omni Logistics</t>
    </r>
  </si>
  <si>
    <t>MRSU4504881</t>
  </si>
  <si>
    <t>EA1827</t>
  </si>
  <si>
    <t>MAEU227615749</t>
  </si>
  <si>
    <t>MATU2557346</t>
  </si>
  <si>
    <t>77DF13</t>
  </si>
  <si>
    <t>MATS1602592000</t>
  </si>
  <si>
    <t>YCCU2022808</t>
  </si>
  <si>
    <r>
      <rPr>
        <sz val="11"/>
        <color rgb="FFFF0000"/>
        <rFont val="Calibri"/>
        <family val="2"/>
        <scheme val="minor"/>
      </rPr>
      <t>8-8 received SOC return address, pending ref# // yard storage /</t>
    </r>
    <r>
      <rPr>
        <sz val="11"/>
        <color theme="1"/>
        <rFont val="Calibri"/>
        <family val="2"/>
        <scheme val="minor"/>
      </rPr>
      <t>7-18 Discharged / SOC return to Kiswani /  ONEYDL2CK0951800 / Q# 0515AN3IW / OW 18930KGS / Delivery S/R is $950/CNTR all-in/ Broker Omni Logistics</t>
    </r>
  </si>
  <si>
    <t>YCCU4701921</t>
  </si>
  <si>
    <t>12pm</t>
  </si>
  <si>
    <r>
      <rPr>
        <sz val="11"/>
        <color rgb="FFFF0000"/>
        <rFont val="Calibri"/>
        <family val="2"/>
        <scheme val="minor"/>
      </rPr>
      <t>8-8 received SOC return address, pending ref# /</t>
    </r>
    <r>
      <rPr>
        <sz val="11"/>
        <color theme="1"/>
        <rFont val="Calibri"/>
        <family val="2"/>
        <scheme val="minor"/>
      </rPr>
      <t xml:space="preserve">7-18 Discharged / SOC return to Kiswani /  ONEYDL2CK0926300 / Q# 0515AN3IW/OW 19115KGS / </t>
    </r>
    <r>
      <rPr>
        <sz val="11"/>
        <color rgb="FFFF0000"/>
        <rFont val="Calibri"/>
        <family val="2"/>
        <scheme val="minor"/>
      </rPr>
      <t xml:space="preserve"> </t>
    </r>
    <r>
      <rPr>
        <sz val="11"/>
        <color theme="1"/>
        <rFont val="Calibri"/>
        <family val="2"/>
        <scheme val="minor"/>
      </rPr>
      <t>Delivery S/R is $950/CNTR all-in/ Broker Omni Logistics</t>
    </r>
  </si>
  <si>
    <t>TDRU0677272</t>
  </si>
  <si>
    <t xml:space="preserve">ow/soc/ONEYXMND42812300  </t>
  </si>
  <si>
    <t>TCLU6984312 </t>
  </si>
  <si>
    <t>CAIU7528630</t>
  </si>
  <si>
    <t>6AM</t>
  </si>
  <si>
    <t>APHU7388234</t>
  </si>
  <si>
    <t>9D5BFF</t>
  </si>
  <si>
    <t>CMDUSHZ5579367</t>
  </si>
  <si>
    <t>CMAU8642737</t>
  </si>
  <si>
    <t>C7279B</t>
  </si>
  <si>
    <t>CMDUSHZ5579366</t>
  </si>
  <si>
    <t>CAIU7349260</t>
  </si>
  <si>
    <t>HDMUSGNM67528500/HCMOE2306031</t>
  </si>
  <si>
    <t>KOCU4512418</t>
  </si>
  <si>
    <t>HMMU6099713</t>
  </si>
  <si>
    <t>CMAU7884274</t>
  </si>
  <si>
    <t>4f8b57</t>
  </si>
  <si>
    <t xml:space="preserve">CMDUCHN0370749 </t>
  </si>
  <si>
    <t>KOCU4706460</t>
  </si>
  <si>
    <t>HMMU6155606</t>
  </si>
  <si>
    <t>SEGU6020132</t>
  </si>
  <si>
    <t>KOCU4304923</t>
  </si>
  <si>
    <t>CAIU7483999</t>
  </si>
  <si>
    <t>HDMUPENM91918600/PO # 040 &amp; 041/ETD 6.16/no need to do customs/PO41</t>
  </si>
  <si>
    <t>KOCU4780998</t>
  </si>
  <si>
    <t xml:space="preserve">Great FALLS,MT 59405 </t>
  </si>
  <si>
    <t>HDMUPENM91918600/PO # 040 &amp; 041/ETD 6.16/no need to do customs/PO40/dlv 1.5h deten/per diem 160</t>
  </si>
  <si>
    <t>MATU2661751</t>
  </si>
  <si>
    <t>A2ACF6 </t>
  </si>
  <si>
    <t>MATS7783207000</t>
  </si>
  <si>
    <t>OOCU7858369</t>
  </si>
  <si>
    <t>2f28d1</t>
  </si>
  <si>
    <t>COSU6359624420 / iG st 8-2/</t>
  </si>
  <si>
    <t>HASU4427229</t>
  </si>
  <si>
    <t>45F866</t>
  </si>
  <si>
    <t>MAEU227615737</t>
  </si>
  <si>
    <t>FFAU3535930</t>
  </si>
  <si>
    <t>1705 Kansas Ave, Kansas City, KS 66105.</t>
  </si>
  <si>
    <t>EC840C</t>
  </si>
  <si>
    <r>
      <t>7-21 discharged /COSU6359852330/isf on file / AN SENT / R</t>
    </r>
    <r>
      <rPr>
        <sz val="11"/>
        <color rgb="FFFF0000"/>
        <rFont val="Calibri"/>
        <family val="2"/>
        <scheme val="minor"/>
      </rPr>
      <t>e-route &amp; chassis split for empty return to ITI Edgerton</t>
    </r>
  </si>
  <si>
    <t>DONE#134645 , Pending Trucker invoice</t>
  </si>
  <si>
    <t>TGBU4903556</t>
  </si>
  <si>
    <t>ED97E7</t>
  </si>
  <si>
    <t>OOCU6974894</t>
  </si>
  <si>
    <t>ECD4F4</t>
  </si>
  <si>
    <r>
      <t>7-18 discharged /COSU6359852330/isf on file / AN SENT / R</t>
    </r>
    <r>
      <rPr>
        <sz val="11"/>
        <color rgb="FFFF0000"/>
        <rFont val="Calibri"/>
        <family val="2"/>
        <scheme val="minor"/>
      </rPr>
      <t>e-route &amp; chassis split for empty return to ITI Edgerton</t>
    </r>
  </si>
  <si>
    <t>CSNU6217333</t>
  </si>
  <si>
    <t>EC7E65</t>
  </si>
  <si>
    <r>
      <t>7-20 discharged /COSU6359852330/isf on file / AN SENT / R</t>
    </r>
    <r>
      <rPr>
        <sz val="11"/>
        <color rgb="FFFF0000"/>
        <rFont val="Calibri"/>
        <family val="2"/>
        <scheme val="minor"/>
      </rPr>
      <t>e-route &amp; chassis split for empty return to ITI Edgerton</t>
    </r>
  </si>
  <si>
    <t>CMAU7960498</t>
  </si>
  <si>
    <t xml:space="preserve">7-18 discharged / 1X40HQ   / Q# WGCN041823L /  14098.00 KGS    45.770CBM / 提单号：NGP0352695 / Q# WGCN041823L </t>
  </si>
  <si>
    <t>DONE#134892</t>
  </si>
  <si>
    <t>TGHU6079421</t>
  </si>
  <si>
    <t>HKOE23060363/MEDUDJ520623/EBKG05931876/isf/selling4130</t>
  </si>
  <si>
    <t>MATU2546830</t>
  </si>
  <si>
    <t>E7C162 </t>
  </si>
  <si>
    <t>MATS8515764000</t>
  </si>
  <si>
    <t>XIN YUE</t>
  </si>
  <si>
    <t>CMAU9483012</t>
  </si>
  <si>
    <t>08/04/2023 12:00 CDT</t>
  </si>
  <si>
    <t>isa# 120834893</t>
  </si>
  <si>
    <t>整柜直送 mdw9</t>
  </si>
  <si>
    <t>‘350e60</t>
  </si>
  <si>
    <t xml:space="preserve">CMDUCHN0419611  </t>
  </si>
  <si>
    <t>ABL CN/LITELOGO</t>
  </si>
  <si>
    <t>HMMU5423197</t>
  </si>
  <si>
    <t>40H NOR</t>
  </si>
  <si>
    <t>LAX TRACPAC</t>
  </si>
  <si>
    <t>07:15AM</t>
  </si>
  <si>
    <t xml:space="preserve"> JCB</t>
  </si>
  <si>
    <t>IRVINE,CA,92606</t>
  </si>
  <si>
    <t>HDMUSZPM38825400/Q#LTLG062923L/HC$85-PO#9280474/CLEAN TRUCK $20+PIER PASS $68.42</t>
  </si>
  <si>
    <t>D+CUSTOM</t>
  </si>
  <si>
    <t>Fin whale</t>
  </si>
  <si>
    <t>TLLU4801236</t>
  </si>
  <si>
    <t>d9bc74</t>
  </si>
  <si>
    <t>CMDUCHN0408414 / ig DELONG</t>
  </si>
  <si>
    <t>CMAU6129411</t>
  </si>
  <si>
    <t>9f5c06</t>
  </si>
  <si>
    <t>CMDUCHN0402473</t>
  </si>
  <si>
    <t>SEKU4653856</t>
  </si>
  <si>
    <t>d43bc2</t>
  </si>
  <si>
    <t>COSU6359533180</t>
  </si>
  <si>
    <t xml:space="preserve">YX </t>
  </si>
  <si>
    <t>CSNU7215546</t>
  </si>
  <si>
    <t>91D778</t>
  </si>
  <si>
    <t>COSU6359156562</t>
  </si>
  <si>
    <t>SEKU4051930</t>
  </si>
  <si>
    <t>A21CD3</t>
  </si>
  <si>
    <t xml:space="preserve">COSU6359156561 </t>
  </si>
  <si>
    <t>KOCU5106183</t>
  </si>
  <si>
    <t>HDMUSGNM76650200/HCMOE2306040</t>
  </si>
  <si>
    <t>KOCU4394085</t>
  </si>
  <si>
    <t>HDMUSGNM27383800/HCMOE2306044</t>
  </si>
  <si>
    <t>KOCU5050715</t>
  </si>
  <si>
    <t>HDMUSGNM81179400/HCMOE2306045</t>
  </si>
  <si>
    <t>KOCU4347993</t>
  </si>
  <si>
    <t>HMMU6286674</t>
  </si>
  <si>
    <t>HDMUSGNM65009100/HCMOE2306038</t>
  </si>
  <si>
    <t>HMMU6060291</t>
  </si>
  <si>
    <t>HDMU2858264</t>
  </si>
  <si>
    <t>2747756</t>
  </si>
  <si>
    <t xml:space="preserve">7-18 Discharged  / HDMUTSNM29107200 /  Q# 0515AN3IW/ OW 19146KGS// Broker Omni Logistics / COC / </t>
  </si>
  <si>
    <t xml:space="preserve">DONE#135094 </t>
  </si>
  <si>
    <t>YCCU4720351</t>
  </si>
  <si>
    <r>
      <rPr>
        <sz val="11"/>
        <color rgb="FFFF0000"/>
        <rFont val="Calibri"/>
        <family val="2"/>
        <scheme val="minor"/>
      </rPr>
      <t>8-8 received SOC return address, pending ref# / yard storage /</t>
    </r>
    <r>
      <rPr>
        <sz val="11"/>
        <color theme="1"/>
        <rFont val="Calibri"/>
        <family val="2"/>
        <scheme val="minor"/>
      </rPr>
      <t>7-19 Discharged / SOC return to Kiswani /  ONEYDL2CK0951800 / Q# 0515AN3IW / OW 18930KGS</t>
    </r>
    <r>
      <rPr>
        <sz val="11"/>
        <color rgb="FFFF0000"/>
        <rFont val="Calibri"/>
        <family val="2"/>
        <scheme val="minor"/>
      </rPr>
      <t xml:space="preserve"> </t>
    </r>
    <r>
      <rPr>
        <sz val="11"/>
        <color theme="1"/>
        <rFont val="Calibri"/>
        <family val="2"/>
        <scheme val="minor"/>
      </rPr>
      <t>/ Delivery S/R is $950/CNTR all-in/ Broker Omni Logistics</t>
    </r>
  </si>
  <si>
    <t>TGBU4119288</t>
  </si>
  <si>
    <t>C78D28</t>
  </si>
  <si>
    <t>OOLU8810463410,ONLY AN</t>
  </si>
  <si>
    <t>CSNU7830360</t>
  </si>
  <si>
    <t>76D0B0</t>
  </si>
  <si>
    <t>TLLU4069465</t>
  </si>
  <si>
    <t>10:00 CDT</t>
  </si>
  <si>
    <r>
      <rPr>
        <sz val="11"/>
        <color rgb="FFFF0000"/>
        <rFont val="Calibri"/>
        <family val="2"/>
        <scheme val="minor"/>
      </rPr>
      <t>1.75 hrs detention, 9:44-15:28 / ISA# 112073825 /</t>
    </r>
    <r>
      <rPr>
        <sz val="11"/>
        <color theme="1"/>
        <rFont val="Calibri"/>
        <family val="2"/>
        <scheme val="minor"/>
      </rPr>
      <t xml:space="preserve"> COSU6359016000</t>
    </r>
  </si>
  <si>
    <t>wc</t>
  </si>
  <si>
    <t xml:space="preserve">DONE#135061 </t>
  </si>
  <si>
    <t>EGO BIKE-DAP-LEQUMOD</t>
  </si>
  <si>
    <t>ZCSU8810965</t>
  </si>
  <si>
    <t>Baltimore - Seagirt Terminal C324</t>
  </si>
  <si>
    <t>New Castle, DE 19720</t>
  </si>
  <si>
    <t>ZIMUSNH7517456 / UQI filed ISF /   客人的报关行清关送货</t>
  </si>
  <si>
    <t xml:space="preserve">DONE#134355 </t>
  </si>
  <si>
    <t>TURN OVER</t>
  </si>
  <si>
    <t>TCNU4411828</t>
  </si>
  <si>
    <t>ZIMUSNH7517457 / UQI filed ISF /   客人的报关行清关送货</t>
  </si>
  <si>
    <t>DONE#134359</t>
  </si>
  <si>
    <t>ZCSU8816500</t>
  </si>
  <si>
    <t>ZIMUSNH7517458 / UQI filed ISF /   客人的报关行清关送货</t>
  </si>
  <si>
    <t xml:space="preserve">DONE##134361 </t>
  </si>
  <si>
    <t>TGBU7934144</t>
  </si>
  <si>
    <t>NS Pittsburgh,PA</t>
  </si>
  <si>
    <t>8/15 for 2 truckloads</t>
  </si>
  <si>
    <t>CUSTOMER SELF PU</t>
  </si>
  <si>
    <t>AIR GROUND XPRESS</t>
  </si>
  <si>
    <t>ABL-AMZ PIT2- Imperial, PA 15126</t>
  </si>
  <si>
    <r>
      <rPr>
        <sz val="11"/>
        <color rgb="FFFF0000"/>
        <rFont val="Calibri"/>
        <family val="2"/>
      </rPr>
      <t xml:space="preserve">8-15 Customer self picked up  / Wh storage 34 plts x$10/day from 8.15 / demurrage $200, flip $250  / 8-10 devanned, 34 plts / </t>
    </r>
    <r>
      <rPr>
        <sz val="11"/>
        <color theme="1"/>
        <rFont val="Calibri"/>
        <family val="2"/>
      </rPr>
      <t xml:space="preserve">FBA17717691X -23 SKIDS 1416 PIECES (OVERDIMENSIONAL)
FBA17118Y6D4 - 11 SKIDS 570 PIECES
</t>
    </r>
    <r>
      <rPr>
        <sz val="11"/>
        <color rgb="FFFF0000"/>
        <rFont val="Calibri"/>
        <family val="2"/>
      </rPr>
      <t xml:space="preserve">TOTAL: 34 SKIDS 1986 PIECES
23 SKIDS/ OVERSIZED CAN FIT 1 TRAILER
WILL ANOTHER FOR THE 11 OTHER SKIDS
</t>
    </r>
    <r>
      <rPr>
        <sz val="11"/>
        <color theme="1"/>
        <rFont val="Calibri"/>
        <family val="2"/>
      </rPr>
      <t>8-10 Customer decided to arrange self pu for all cargoes. Cancelled FTL APPT FOR ISA# 6726492980-LLL ACOUNT / FBA177T7691X--4M7WNFOK--1416 CTNS / Demurrage $200-8.7 / Flip fee $250 / Transload  /</t>
    </r>
    <r>
      <rPr>
        <sz val="11"/>
        <color rgb="FFFF0000"/>
        <rFont val="Calibri"/>
        <family val="2"/>
      </rPr>
      <t>COSU6359193550</t>
    </r>
    <r>
      <rPr>
        <sz val="11"/>
        <color theme="1"/>
        <rFont val="Calibri"/>
        <family val="2"/>
      </rPr>
      <t xml:space="preserve">/Q#FR-0616
FBA1711BY6D4--8TPAXRAI--570 CTNS / PO invalid
FBA177T7691X--4M7WNFOK--1416 CTNS
7.21 PO# 8TPAXRAI is not valid. </t>
    </r>
  </si>
  <si>
    <t xml:space="preserve">DONE#135108 </t>
  </si>
  <si>
    <t>OOCU7799029</t>
  </si>
  <si>
    <t>COSU6359196350  / hold on7-13/ HR on 8-3/ 开箱贴标总费用 6000 美金卖价/</t>
  </si>
  <si>
    <t>TDRU3530618</t>
  </si>
  <si>
    <t>AIS</t>
  </si>
  <si>
    <t>ATLANTA,GA,30336</t>
  </si>
  <si>
    <t>YMLUE228092711/Q#SP-0508</t>
  </si>
  <si>
    <t>CBHU9121031</t>
  </si>
  <si>
    <t>A8CDC6</t>
  </si>
  <si>
    <t>COSU6359156560</t>
  </si>
  <si>
    <t>KOCU4515443</t>
  </si>
  <si>
    <t>KOCU4232588</t>
  </si>
  <si>
    <t>ST 8-7</t>
  </si>
  <si>
    <t>KOCU4201885</t>
  </si>
  <si>
    <t>HMMU6338470</t>
  </si>
  <si>
    <t>KOCU5033976</t>
  </si>
  <si>
    <t>UP G4</t>
  </si>
  <si>
    <t>TPEM59084300 /MTPE23060093CRD6/26,ETD7/22 /cost 3375,selling 3650/rh12/isf</t>
  </si>
  <si>
    <t>DRYU9614213</t>
  </si>
  <si>
    <t>KUMI</t>
  </si>
  <si>
    <t>4AE543</t>
  </si>
  <si>
    <t>CMDUNGP0363846/Q#CI-0512</t>
  </si>
  <si>
    <t>OCGU8053436</t>
  </si>
  <si>
    <t>YML</t>
  </si>
  <si>
    <t>D065BF</t>
  </si>
  <si>
    <t>YMPRW272035974/Q#AP-0412/DEMURRAGE COVERED BY WESHIP</t>
  </si>
  <si>
    <t>KOCU4502430</t>
  </si>
  <si>
    <t>MSCU6822990</t>
  </si>
  <si>
    <t>E Chicago In 46312</t>
  </si>
  <si>
    <t>DE5E46</t>
  </si>
  <si>
    <t>PP, MEDUE0301113</t>
  </si>
  <si>
    <t>HMMU6194270</t>
  </si>
  <si>
    <t>TEMU7052784</t>
  </si>
  <si>
    <t>HDMUSGNM65009100/HCMOE2306038-ORIGINAL APPT 8/8:ASK WESHIP TO WAIVE PREPULL&amp;EXTRA CHARGES</t>
  </si>
  <si>
    <t>TGBU8867987</t>
  </si>
  <si>
    <t>MUNDELEIN,IL,60060</t>
  </si>
  <si>
    <t>COSU6358920020/Q#CI-0512</t>
  </si>
  <si>
    <t>speedtruck</t>
  </si>
  <si>
    <t>FANU1757510</t>
  </si>
  <si>
    <t>40hc</t>
  </si>
  <si>
    <t>HPL</t>
  </si>
  <si>
    <t>BRADLEY,IL 60915</t>
  </si>
  <si>
    <t>return to ITW(REROUTE$150,SPLIT)split/HLCUCA4230653693</t>
  </si>
  <si>
    <t>TEMU6398031</t>
  </si>
  <si>
    <t>EGLV146300498752  / Q# AS061623G</t>
  </si>
  <si>
    <t xml:space="preserve">DONE#135653 </t>
  </si>
  <si>
    <t>MATU2339133</t>
  </si>
  <si>
    <r>
      <rPr>
        <sz val="11"/>
        <color rgb="FFFF0000"/>
        <rFont val="Calibri"/>
        <family val="2"/>
      </rPr>
      <t xml:space="preserve">8.10 Devanned, 29 PLTS </t>
    </r>
    <r>
      <rPr>
        <sz val="11"/>
        <color rgb="FF000000"/>
        <rFont val="Calibri"/>
        <family val="2"/>
      </rPr>
      <t>/ transloading.no labeling / MATS6055728000
JVL1 / FBA178SFL70F--13ICKIXW--800 CTNS-7060.4KGS
MDW2 / FBA178RJ4NGX--3TS78N2Y--50CTNS-1590.3KGS</t>
    </r>
  </si>
  <si>
    <t>CBHU7080740</t>
  </si>
  <si>
    <t>18:00 EDT</t>
  </si>
  <si>
    <t>AMZ CMH3</t>
  </si>
  <si>
    <r>
      <rPr>
        <sz val="11"/>
        <color rgb="FFFF0000"/>
        <rFont val="Calibri"/>
        <family val="2"/>
        <scheme val="minor"/>
      </rPr>
      <t xml:space="preserve">chassis split / 0.75 detention-18:28 -20:11 / ISA# 102393568-LLL ACCOUNT/ </t>
    </r>
    <r>
      <rPr>
        <sz val="11"/>
        <rFont val="Calibri"/>
        <family val="2"/>
        <scheme val="minor"/>
      </rPr>
      <t>8-4 PO# became valid / 8-2 Invalid PO# 5821QQFI / 8-2 EXAM HOLD removed /7-7 Discharged / COSU6357237430 / FBA17514L1YT	5821</t>
    </r>
    <r>
      <rPr>
        <sz val="11"/>
        <color theme="1"/>
        <rFont val="Calibri"/>
        <family val="2"/>
        <scheme val="minor"/>
      </rPr>
      <t>QQFI / 780 pkgs / ADDITIONAL SHIPPER INFO-RQYFC2305001412</t>
    </r>
  </si>
  <si>
    <t>DONE# 135221, Pending trucker inv</t>
  </si>
  <si>
    <t>TGBU8720574</t>
  </si>
  <si>
    <t>COSU6359914680/no isf / 发了 AN/</t>
  </si>
  <si>
    <t>TEMU5885713</t>
  </si>
  <si>
    <t>19:00EDT</t>
  </si>
  <si>
    <t>87D937</t>
  </si>
  <si>
    <r>
      <rPr>
        <sz val="11"/>
        <color rgb="FFFF0000"/>
        <rFont val="Calibri"/>
        <family val="2"/>
      </rPr>
      <t xml:space="preserve">2.75 hrs detention-6:45pm -11:30pm / ISA# 11101500973-LLL </t>
    </r>
    <r>
      <rPr>
        <sz val="11"/>
        <color rgb="FF000000"/>
        <rFont val="Calibri"/>
        <family val="2"/>
      </rPr>
      <t>/ MATS1659017000 / 改直送亚马逊，更新D/O 已发，sale rate: $1550</t>
    </r>
  </si>
  <si>
    <t>DONE#135364</t>
  </si>
  <si>
    <t xml:space="preserve">BSIU8164651 </t>
  </si>
  <si>
    <t>18:00  DROP</t>
  </si>
  <si>
    <t>AMZ CMH3-OH 45050</t>
  </si>
  <si>
    <r>
      <rPr>
        <sz val="11"/>
        <color rgb="FFFF0000"/>
        <rFont val="Calibri"/>
        <family val="2"/>
        <scheme val="minor"/>
      </rPr>
      <t>8-16 ST / ISA# 102259568-LLL ACCOUNT /</t>
    </r>
    <r>
      <rPr>
        <sz val="11"/>
        <color theme="1"/>
        <rFont val="Calibri"/>
        <family val="2"/>
        <scheme val="minor"/>
      </rPr>
      <t xml:space="preserve"> 7-28 discharged / DROP / OOLU8810461830 /</t>
    </r>
    <r>
      <rPr>
        <sz val="11"/>
        <color rgb="FFFF0000"/>
        <rFont val="Calibri"/>
        <family val="2"/>
        <scheme val="minor"/>
      </rPr>
      <t xml:space="preserve"> </t>
    </r>
    <r>
      <rPr>
        <sz val="11"/>
        <rFont val="Calibri"/>
        <family val="2"/>
        <scheme val="minor"/>
      </rPr>
      <t>FBA1787QB9ZW--58GMVBVQ / 431 CTNS /8986.35 KGS/ BSIU8164651 431CTNS 75X32X65</t>
    </r>
  </si>
  <si>
    <t xml:space="preserve">DONE#136586 </t>
  </si>
  <si>
    <t>SEKU4026882</t>
  </si>
  <si>
    <t>19:00  DROP</t>
  </si>
  <si>
    <r>
      <rPr>
        <sz val="11"/>
        <color rgb="FFFF0000"/>
        <rFont val="Calibri"/>
        <family val="2"/>
        <scheme val="minor"/>
      </rPr>
      <t>ISA# 102260568-LLL ACCOUNT</t>
    </r>
    <r>
      <rPr>
        <sz val="11"/>
        <color theme="1"/>
        <rFont val="Calibri"/>
        <family val="2"/>
        <scheme val="minor"/>
      </rPr>
      <t xml:space="preserve"> / 7-28 discharged / DROP / OOLU8810461380 / </t>
    </r>
    <r>
      <rPr>
        <sz val="11"/>
        <color rgb="FFFF0000"/>
        <rFont val="Calibri"/>
        <family val="2"/>
        <scheme val="minor"/>
      </rPr>
      <t>FBA1787QB9ZW--58GMVBVQ / 431 CTNS /8986.35 KGS</t>
    </r>
    <r>
      <rPr>
        <sz val="11"/>
        <color theme="1"/>
        <rFont val="Calibri"/>
        <family val="2"/>
        <scheme val="minor"/>
      </rPr>
      <t xml:space="preserve"> / CNTR:SEKU4026882  431CTNS 尺寸：75X32X65</t>
    </r>
  </si>
  <si>
    <t xml:space="preserve">DONE#136588 </t>
  </si>
  <si>
    <t>OOCU6528146</t>
  </si>
  <si>
    <t>BB6010</t>
  </si>
  <si>
    <t>OOLU2721575060/MTPE23070033/3800sell/3700cost/isf/customs</t>
  </si>
  <si>
    <t>TRHU6901026</t>
  </si>
  <si>
    <t>TACOMA/PCT</t>
  </si>
  <si>
    <t>090300122647/PO#38/ISF HANCOCK/ever 120/exam 550/dmg 330+165</t>
  </si>
  <si>
    <t>MAGU5469757</t>
  </si>
  <si>
    <t>479FF0  </t>
  </si>
  <si>
    <t xml:space="preserve">HDMU6701756 </t>
  </si>
  <si>
    <t>DES PLAINES, IL 60018</t>
  </si>
  <si>
    <r>
      <t>8-2 discharged / HDMUSHAZ88634400 / ISF 5 on file /  / UQI filed ISF /   客人的报关行清关送货 /</t>
    </r>
    <r>
      <rPr>
        <sz val="11"/>
        <color rgb="FFFF0000"/>
        <rFont val="Calibri"/>
        <family val="2"/>
        <scheme val="minor"/>
      </rPr>
      <t xml:space="preserve"> V3742640708-CPRS232080494685</t>
    </r>
  </si>
  <si>
    <t xml:space="preserve">DONE#134365 </t>
  </si>
  <si>
    <t>FSCU8353512</t>
  </si>
  <si>
    <t>4669B7</t>
  </si>
  <si>
    <t>8-4 still on vessel / OOLU8810469490, AN ONLY</t>
  </si>
  <si>
    <t>HPCU2430243  </t>
  </si>
  <si>
    <r>
      <rPr>
        <sz val="11"/>
        <color rgb="FF000000"/>
        <rFont val="Calibri"/>
        <family val="2"/>
      </rPr>
      <t xml:space="preserve">SOC OW/ONEYXMND48000500   / </t>
    </r>
    <r>
      <rPr>
        <sz val="11"/>
        <color rgb="FFFF0000"/>
        <rFont val="Calibri"/>
        <family val="2"/>
      </rPr>
      <t xml:space="preserve">$10 photos sent </t>
    </r>
  </si>
  <si>
    <t>YMLU8911310</t>
  </si>
  <si>
    <t>18:00 CDT</t>
  </si>
  <si>
    <t>AMZ ORD2</t>
  </si>
  <si>
    <t>A3A215</t>
  </si>
  <si>
    <r>
      <rPr>
        <sz val="11"/>
        <color rgb="FFFF0000"/>
        <rFont val="Calibri"/>
        <family val="2"/>
        <scheme val="minor"/>
      </rPr>
      <t>0.25 hr detention-17:10-21:36, 4 hrs free / ISA# 101586004973 -LLL</t>
    </r>
    <r>
      <rPr>
        <sz val="11"/>
        <color theme="1"/>
        <rFont val="Calibri"/>
        <family val="2"/>
        <scheme val="minor"/>
      </rPr>
      <t>/ YMPRW232504980/ETD 7.9/isf / CUSTOMS RLS</t>
    </r>
  </si>
  <si>
    <t>DONE#135367</t>
  </si>
  <si>
    <t>YMLU8984370</t>
  </si>
  <si>
    <t xml:space="preserve">15:00 CDT	</t>
  </si>
  <si>
    <t>ACAE7F</t>
  </si>
  <si>
    <r>
      <rPr>
        <sz val="11"/>
        <color rgb="FFFF0000"/>
        <rFont val="Calibri"/>
        <family val="2"/>
        <scheme val="minor"/>
      </rPr>
      <t>no detention / ISA# 101588004973/</t>
    </r>
    <r>
      <rPr>
        <sz val="11"/>
        <color rgb="FF000000"/>
        <rFont val="Calibri"/>
        <family val="2"/>
        <scheme val="minor"/>
      </rPr>
      <t xml:space="preserve"> YMPRW232504981/isf</t>
    </r>
    <r>
      <rPr>
        <sz val="11"/>
        <color theme="1"/>
        <rFont val="Calibri"/>
        <family val="2"/>
        <scheme val="minor"/>
      </rPr>
      <t xml:space="preserve"> / CUSTOMS RLS</t>
    </r>
  </si>
  <si>
    <t xml:space="preserve">DONE#135369 </t>
  </si>
  <si>
    <t>APEX LC</t>
  </si>
  <si>
    <t>SEGU6742813</t>
  </si>
  <si>
    <t>MADISON,WI,53718</t>
  </si>
  <si>
    <t>YMPRW242562215/SHE23053956</t>
  </si>
  <si>
    <t>OOCU8421671</t>
  </si>
  <si>
    <t>26D60D</t>
  </si>
  <si>
    <t>8-1 discahrged /OOLU8810469490, AN ONLY</t>
  </si>
  <si>
    <t>FFAU2700834</t>
  </si>
  <si>
    <t>431345</t>
  </si>
  <si>
    <r>
      <rPr>
        <sz val="11"/>
        <color rgb="FFFF0000"/>
        <rFont val="Calibri"/>
        <family val="2"/>
        <scheme val="minor"/>
      </rPr>
      <t>1.5 hrs detention-17:24-22:48, 4 hrs free / 8-21 ST / ISA# 112456825-LLL</t>
    </r>
    <r>
      <rPr>
        <sz val="11"/>
        <color theme="1"/>
        <rFont val="Calibri"/>
        <family val="2"/>
        <scheme val="minor"/>
      </rPr>
      <t xml:space="preserve"> / 8-3 discharged / COSU6359938970 /</t>
    </r>
  </si>
  <si>
    <t xml:space="preserve">DONE#135468 </t>
  </si>
  <si>
    <t>7/21 3PM</t>
  </si>
  <si>
    <t>1X20GP/OOLU0525207/TLX</t>
  </si>
  <si>
    <t>TGBU8782160</t>
  </si>
  <si>
    <t>CHICAGO,IL,60609</t>
  </si>
  <si>
    <t>E1DBB6</t>
  </si>
  <si>
    <t>COSU6360748030/MTPE23070065/3850,3750+50/</t>
  </si>
  <si>
    <t>OAKBROOK, IL 60523</t>
  </si>
  <si>
    <t>7/10 3PM</t>
  </si>
  <si>
    <t>4X40HQ/DFSU749884</t>
  </si>
  <si>
    <t>4X40HQ/TGBU8663432</t>
  </si>
  <si>
    <t>4X40HQ/OOCU6745115</t>
  </si>
  <si>
    <t>ONEU0321394</t>
  </si>
  <si>
    <t>NS-COLUMBUS</t>
  </si>
  <si>
    <t>Hebron, KY 41048</t>
  </si>
  <si>
    <t>3126</t>
  </si>
  <si>
    <t>8-29 empty ready / ONEYXMND43788900  /COC
HOLLOWAY SPORTSWEAR INC
600 NORTH STOLLE DRIVE SIDNEY, OH 45365
联系人邮址/电话:
Chris Kerg email address:  chris.kerg@hollowayusa.com (937-494-2660)
Tracy Tipton email address:  tracy.tipton@hollowayusa.com (937-494-2655)
抄送：op1_sxjd@aspeed.cn
         sales2_sxjd@aspeed.cn</t>
  </si>
  <si>
    <t xml:space="preserve">DONE#135864 </t>
  </si>
  <si>
    <t>TCLU3165419</t>
  </si>
  <si>
    <t>LENOIR,NC,2645</t>
  </si>
  <si>
    <t>ONEYWU3MF0078900/Q#SPLL070623B</t>
  </si>
  <si>
    <t>KOCU4629596</t>
  </si>
  <si>
    <r>
      <t xml:space="preserve">8-2 discharged / HDMUSHAZ38613500 / ISF 5 on file/  / UQI filed ISF /   客人的报关行清关送货/ </t>
    </r>
    <r>
      <rPr>
        <sz val="11"/>
        <color rgb="FFFF0000"/>
        <rFont val="Calibri"/>
        <family val="2"/>
        <scheme val="minor"/>
      </rPr>
      <t>V3742640716--CPRS232080494686</t>
    </r>
  </si>
  <si>
    <t xml:space="preserve">DONE#134370 </t>
  </si>
  <si>
    <t xml:space="preserve">TLLU5775912 </t>
  </si>
  <si>
    <t>191528</t>
  </si>
  <si>
    <r>
      <t>8-2 discharged / HDMUSHAZ68260300 / ISF 5 on file/  / UQI filed ISF /   客人的报关行清关送货 /</t>
    </r>
    <r>
      <rPr>
        <sz val="11"/>
        <color rgb="FFFF0000"/>
        <rFont val="Calibri"/>
        <family val="2"/>
        <scheme val="minor"/>
      </rPr>
      <t xml:space="preserve"> V3742640633--CPRS232080494678</t>
    </r>
  </si>
  <si>
    <t xml:space="preserve">DONE#134369 </t>
  </si>
  <si>
    <t>7/17 9PM</t>
  </si>
  <si>
    <t>6361291230/OOCU8255800</t>
  </si>
  <si>
    <t>4X40HQ/TGBU8556460/split to 6360589881</t>
  </si>
  <si>
    <t>NINGBO JINGDA</t>
  </si>
  <si>
    <t>3X40HQ</t>
  </si>
  <si>
    <t>CUSTOMER SELFPU</t>
  </si>
  <si>
    <t>8/8 4pm</t>
  </si>
  <si>
    <t>2x40HQ,customer pu/of fee 500</t>
  </si>
  <si>
    <t>PGL EXPORT</t>
  </si>
  <si>
    <t>CK</t>
  </si>
  <si>
    <t>Port Wentworth, GA 31407</t>
  </si>
  <si>
    <t>7/27 4PM</t>
  </si>
  <si>
    <t>OW/CSNU7047817</t>
  </si>
  <si>
    <t>Bloomingdale GA 31302</t>
  </si>
  <si>
    <t>OOLU8909180</t>
  </si>
  <si>
    <t xml:space="preserve">SMCU1298673 </t>
  </si>
  <si>
    <t>SM</t>
  </si>
  <si>
    <t>MCHENRY,IL,60050</t>
  </si>
  <si>
    <t>SMLMSZP3M7082400</t>
  </si>
  <si>
    <t>TCKU6197053/TCKU6197053</t>
  </si>
  <si>
    <t>SAVANNAH, GA 31407</t>
  </si>
  <si>
    <t>8/4 4PM</t>
  </si>
  <si>
    <t>2X40HQ/aes updated/CCLU7731225</t>
  </si>
  <si>
    <t>2X40HQ/aes updated/TGCU5059530</t>
  </si>
  <si>
    <t>ZCSU7789082</t>
  </si>
  <si>
    <t>SEAGIRT MARINE TERM</t>
  </si>
  <si>
    <t>Baltimore MD 21230</t>
  </si>
  <si>
    <t>ZIMUNGB20179040</t>
  </si>
  <si>
    <t>LINKW</t>
  </si>
  <si>
    <t>CULU6304202</t>
  </si>
  <si>
    <t>ABL MDW2</t>
  </si>
  <si>
    <t>DELIVERED BY CUSTOMER/sorting x2/picture</t>
  </si>
  <si>
    <t>SUNPOWER</t>
  </si>
  <si>
    <t>Vernon Hills, IL 60061</t>
  </si>
  <si>
    <t>7/24 3PM</t>
  </si>
  <si>
    <t>0.5hrs det, redelivery$125, storage$50 per day//FFAU244822//erd 7/24</t>
  </si>
  <si>
    <t>2.5H DET/40HQ/erd 7/24/CSNU636276</t>
  </si>
  <si>
    <t>mile</t>
  </si>
  <si>
    <t>trhu8435436 - ftl</t>
  </si>
  <si>
    <t>ftl</t>
  </si>
  <si>
    <t>AMERICAN NEW</t>
  </si>
  <si>
    <t>OOCU7401182</t>
  </si>
  <si>
    <t>OOLU8894092820/Q#ANLI071723B+ANLI090523A/STOP OFF $370+$275 DROP OFF</t>
  </si>
  <si>
    <t>OOCU6932121 </t>
  </si>
  <si>
    <t>ABL Transload, customer self pick up</t>
  </si>
  <si>
    <t>DD0A19</t>
  </si>
  <si>
    <r>
      <rPr>
        <sz val="11"/>
        <color rgb="FFFF0000"/>
        <rFont val="Calibri"/>
        <family val="2"/>
        <scheme val="minor"/>
      </rPr>
      <t xml:space="preserve">8-7 CUSTOMER SELF PU 6 PLTS/ 8-3 CUSTOMER SELF PU 28 PLTS / TOTAL 34 PLTS </t>
    </r>
    <r>
      <rPr>
        <sz val="11"/>
        <color theme="1"/>
        <rFont val="Calibri"/>
        <family val="2"/>
        <scheme val="minor"/>
      </rPr>
      <t>/ 7-21 discharged / OOLU2720854694 / Transload / customer self pick up</t>
    </r>
  </si>
  <si>
    <t xml:space="preserve">DONE#134894 </t>
  </si>
  <si>
    <t xml:space="preserve">OOCU7804948 </t>
  </si>
  <si>
    <t>40'HQ</t>
  </si>
  <si>
    <t>LBCT terminal -WCA8</t>
  </si>
  <si>
    <t>3pm</t>
  </si>
  <si>
    <t>United Logistic Services Group, Inc.</t>
  </si>
  <si>
    <t>PRICE TRANSFER, INC. (YARD ENTRANCE)</t>
  </si>
  <si>
    <t xml:space="preserve"> EXAM HOLD</t>
  </si>
  <si>
    <t>OOLU4119648870   / ABL 只做从码头提到Exam site这部分</t>
  </si>
  <si>
    <t>DONE#135983</t>
  </si>
  <si>
    <t xml:space="preserve">SEKU5757217 </t>
  </si>
  <si>
    <t>315b08</t>
  </si>
  <si>
    <t>CMDUCHN0370740 / IG delong</t>
  </si>
  <si>
    <t>DRYU9180631</t>
  </si>
  <si>
    <t>HDMUSGNM60706900/HCMOE2306039</t>
  </si>
  <si>
    <t xml:space="preserve">SEKU5728184   </t>
  </si>
  <si>
    <t>evans</t>
  </si>
  <si>
    <t xml:space="preserve">IN 46268 </t>
  </si>
  <si>
    <t>A342C3</t>
  </si>
  <si>
    <t xml:space="preserve">cmduNGP0386982    </t>
  </si>
  <si>
    <t xml:space="preserve">CMAU9464012 </t>
  </si>
  <si>
    <t>2e4fe9</t>
  </si>
  <si>
    <t>cmduNGP0377466</t>
  </si>
  <si>
    <t>XIN BANG鑫邦</t>
  </si>
  <si>
    <t>FFAU2571399</t>
  </si>
  <si>
    <t>8am-12pm</t>
  </si>
  <si>
    <t>GREEN BAY, WI 54302</t>
  </si>
  <si>
    <t>E4F7F7</t>
  </si>
  <si>
    <t xml:space="preserve">pre-pull / yard storage / Q# QDMYH230628-1 / MBL# MEDUQC683859
收货地址：1367 Reber Street, Green Bay, WI 54302 USA. 
电话： 920-609-2799 
邮箱：mike@konokogs.com </t>
  </si>
  <si>
    <t xml:space="preserve">DONE#134951 </t>
  </si>
  <si>
    <t>CMAU4485100</t>
  </si>
  <si>
    <t xml:space="preserve">6C885C  </t>
  </si>
  <si>
    <t>CMDUSHZ5597541</t>
  </si>
  <si>
    <t>CAIU7227718</t>
  </si>
  <si>
    <t>MSKU8709976</t>
  </si>
  <si>
    <t>692F7E</t>
  </si>
  <si>
    <t>MAEU228186766</t>
  </si>
  <si>
    <t>MRSU4523201</t>
  </si>
  <si>
    <t>4A4AA1</t>
  </si>
  <si>
    <t>MAEU228193389</t>
  </si>
  <si>
    <t>KOCU4243140</t>
  </si>
  <si>
    <t>KOCU4903372</t>
  </si>
  <si>
    <t>WISER BRIDGE</t>
  </si>
  <si>
    <t>UACU3567356</t>
  </si>
  <si>
    <t>SEATTLE PORT(TERMINAL 30)</t>
  </si>
  <si>
    <t>8/10 10AM-12PM</t>
  </si>
  <si>
    <t>LONGROAD</t>
  </si>
  <si>
    <t>POST FALLS,ID,83854</t>
  </si>
  <si>
    <t>SOC</t>
  </si>
  <si>
    <t>SMLMTAYH3G327100/Q#WUH072423B</t>
  </si>
  <si>
    <t>TGBU5074613</t>
  </si>
  <si>
    <t xml:space="preserve">NS </t>
  </si>
  <si>
    <t>EXAM SITE(DETROIT,MI,48216)</t>
  </si>
  <si>
    <t>CMDUCHN0394509/Q#ANLI080923A+ANLI091523A</t>
  </si>
  <si>
    <t>TLLU5357701</t>
  </si>
  <si>
    <t>5EC114</t>
  </si>
  <si>
    <t>MAEU228193405</t>
  </si>
  <si>
    <t>MRSU4276924</t>
  </si>
  <si>
    <t>F68D0F</t>
  </si>
  <si>
    <t>MAEU228193392</t>
  </si>
  <si>
    <t>APHU6855041</t>
  </si>
  <si>
    <t>CMDUCHN0391534</t>
  </si>
  <si>
    <t>TCNU5821283</t>
  </si>
  <si>
    <t xml:space="preserve">Q# GPSS061923A / ONEYSZPDA3799800
The Game Steward
865 Industry Circle, Vinton, VA 24179
Contact: Mary Grindstaff, Phone: 512.222.6740
E-mail: Mary@thegamesteward.com </t>
  </si>
  <si>
    <t xml:space="preserve">DONE#135106 </t>
  </si>
  <si>
    <t>TCKU4634494</t>
  </si>
  <si>
    <t>AURORA,IL,60504</t>
  </si>
  <si>
    <t>ONEYTPED39308400/Q#AP-0512</t>
  </si>
  <si>
    <t>OOLU9407036</t>
  </si>
  <si>
    <t>TAMPA,FL</t>
  </si>
  <si>
    <t>8/10 drop</t>
  </si>
  <si>
    <t>Lakeland, FL 33805</t>
  </si>
  <si>
    <r>
      <t xml:space="preserve">COSU6359319360/ </t>
    </r>
    <r>
      <rPr>
        <sz val="11"/>
        <color rgb="FFFF0000"/>
        <rFont val="Calibri"/>
        <family val="2"/>
        <scheme val="minor"/>
      </rPr>
      <t>收货人要keep柜子一段时间，</t>
    </r>
    <r>
      <rPr>
        <sz val="11"/>
        <color theme="1"/>
        <rFont val="Calibri"/>
        <family val="2"/>
        <scheme val="minor"/>
      </rPr>
      <t>POD sent
SEPG--7080 Haverty's Way, Lakeland, FL 33805(客户给的33801）</t>
    </r>
  </si>
  <si>
    <t xml:space="preserve">DONE#135473 </t>
  </si>
  <si>
    <t>OOLU4311420</t>
  </si>
  <si>
    <t>20:00EDT</t>
  </si>
  <si>
    <t>AMZ MQJ1-GREENFIELD, IN 46140- 整柜直送</t>
  </si>
  <si>
    <t>E49643</t>
  </si>
  <si>
    <r>
      <rPr>
        <sz val="11"/>
        <color rgb="FFFF0000"/>
        <rFont val="Calibri"/>
        <family val="2"/>
        <scheme val="minor"/>
      </rPr>
      <t xml:space="preserve">6.5 hrs detention- 8.11 @ 7:40pm-8.12 @ 4:15am / ISA# 300862004970, NEW ABL ACCOUNT  / </t>
    </r>
    <r>
      <rPr>
        <sz val="11"/>
        <rFont val="Calibri"/>
        <family val="2"/>
        <scheme val="minor"/>
      </rPr>
      <t>Cancelled-ISA# 300023004970-LLL ACCOUNT / 7-30 discharged / OOLU4119657270/ 
FBA178SRX370--2OOBDO</t>
    </r>
    <r>
      <rPr>
        <sz val="11"/>
        <color theme="1"/>
        <rFont val="Calibri"/>
        <family val="2"/>
        <scheme val="minor"/>
      </rPr>
      <t>3W--315 /
FBA17844QML8--67RMLMPZ--1240</t>
    </r>
  </si>
  <si>
    <t>DONE# 135225</t>
  </si>
  <si>
    <t>SEKU4329322</t>
  </si>
  <si>
    <t>CMDUCHN0391535</t>
  </si>
  <si>
    <t xml:space="preserve">HNKU6170582 </t>
  </si>
  <si>
    <t>CSX 59TH</t>
  </si>
  <si>
    <t>CMDUSGN1872550/HCMOE2306086</t>
  </si>
  <si>
    <t>HNKU6207655</t>
  </si>
  <si>
    <t>CMDUSGN1870933/HCMOE2306082</t>
  </si>
  <si>
    <t>HNKU6227646</t>
  </si>
  <si>
    <t>WIKU5226779</t>
  </si>
  <si>
    <t>CMDUSGN1870932/HCMOE2306081</t>
  </si>
  <si>
    <t>HNKU6144285</t>
  </si>
  <si>
    <t>HNKU6130532</t>
  </si>
  <si>
    <t>HNKU6263730</t>
  </si>
  <si>
    <t>HNKU6095914</t>
  </si>
  <si>
    <t>WIKU5260963</t>
  </si>
  <si>
    <t>CMDUSGN1870933/HCMOE2306082-DAMAGED BY WESHIP/REJECTED AT SOC DEPOT</t>
  </si>
  <si>
    <t>GAOU2343099</t>
  </si>
  <si>
    <t>70B8EC</t>
  </si>
  <si>
    <r>
      <t xml:space="preserve">CMDUNGP0402512 / SOC return to Conglobal Forest View / </t>
    </r>
    <r>
      <rPr>
        <sz val="11"/>
        <color rgb="FFFF0000"/>
        <rFont val="Calibri"/>
        <family val="2"/>
        <scheme val="minor"/>
      </rPr>
      <t>reroute $200 + chassis split $135+ ow FEE $200</t>
    </r>
    <r>
      <rPr>
        <sz val="11"/>
        <color theme="1"/>
        <rFont val="Calibri"/>
        <family val="2"/>
        <scheme val="minor"/>
      </rPr>
      <t xml:space="preserve"> /</t>
    </r>
    <r>
      <rPr>
        <sz val="11"/>
        <rFont val="Calibri"/>
        <family val="2"/>
        <scheme val="minor"/>
      </rPr>
      <t xml:space="preserve"> Need to make APPT on OpenDock</t>
    </r>
    <r>
      <rPr>
        <sz val="11"/>
        <color theme="1"/>
        <rFont val="Calibri"/>
        <family val="2"/>
        <scheme val="minor"/>
      </rPr>
      <t xml:space="preserve"> / </t>
    </r>
    <r>
      <rPr>
        <sz val="11"/>
        <rFont val="Calibri"/>
        <family val="2"/>
        <scheme val="minor"/>
      </rPr>
      <t>Need to bring COA when delivery.</t>
    </r>
  </si>
  <si>
    <t xml:space="preserve">DONE#135107 </t>
  </si>
  <si>
    <t>MATU2097488</t>
  </si>
  <si>
    <t>3faa75</t>
  </si>
  <si>
    <t>MATS4445262000</t>
  </si>
  <si>
    <t>FOREST-NORA</t>
  </si>
  <si>
    <t>WBPU7043863</t>
  </si>
  <si>
    <t xml:space="preserve">19:00 CDT	</t>
  </si>
  <si>
    <t>AMZ MDW2</t>
  </si>
  <si>
    <t>24EFA1</t>
  </si>
  <si>
    <r>
      <rPr>
        <sz val="11"/>
        <color rgb="FF0000CC"/>
        <rFont val="Calibri"/>
        <family val="2"/>
        <scheme val="minor"/>
      </rPr>
      <t>No detention 18:28-22:31, 4 hours free /  pre-pull/ yard storage</t>
    </r>
    <r>
      <rPr>
        <sz val="11"/>
        <color rgb="FFFF0000"/>
        <rFont val="Calibri"/>
        <family val="2"/>
        <scheme val="minor"/>
      </rPr>
      <t xml:space="preserve"> / ISA# 802732703-LLL ACCOUNT</t>
    </r>
    <r>
      <rPr>
        <sz val="11"/>
        <color theme="1"/>
        <rFont val="Calibri"/>
        <family val="2"/>
        <scheme val="minor"/>
      </rPr>
      <t xml:space="preserve"> / 8-1 discharged / OOLU4119655680 / FBA178RK1NXV--39RZWGKF / 543 CTNS</t>
    </r>
  </si>
  <si>
    <t>DONE#135278</t>
  </si>
  <si>
    <t>TLLU5517796</t>
  </si>
  <si>
    <r>
      <t xml:space="preserve">Q# GPSS061923A </t>
    </r>
    <r>
      <rPr>
        <sz val="11"/>
        <rFont val="Calibri"/>
        <family val="2"/>
        <scheme val="minor"/>
      </rPr>
      <t>/ ONEYSZPDA7898500</t>
    </r>
    <r>
      <rPr>
        <sz val="11"/>
        <color theme="1"/>
        <rFont val="Calibri"/>
        <family val="2"/>
        <scheme val="minor"/>
      </rPr>
      <t xml:space="preserve">
The Game Steward
865 Industry Circle, Vinton, VA 24179
Contact: Mary Grindstaff, Phone: 512.222.6740
E-mail: Mary@thegamesteward.com </t>
    </r>
  </si>
  <si>
    <t xml:space="preserve">DONE#135640 </t>
  </si>
  <si>
    <t>CSNU7957925</t>
  </si>
  <si>
    <t>1c518f</t>
  </si>
  <si>
    <t>COSU6359593115 / IG 8-15 /</t>
  </si>
  <si>
    <t>MAGU5394982</t>
  </si>
  <si>
    <t>OAKLAND PORT</t>
  </si>
  <si>
    <t>8PM</t>
  </si>
  <si>
    <t>TC TRANSPORT</t>
  </si>
  <si>
    <t>AMZ FAT2</t>
  </si>
  <si>
    <t>EGLV143350610470/Q#SPLL070723A/ISA#89995007992</t>
  </si>
  <si>
    <t>EMCU1607465</t>
  </si>
  <si>
    <t>19:00 PDT</t>
  </si>
  <si>
    <t>PAQS/ FTL -UBER</t>
  </si>
  <si>
    <t>ABL-XLX7</t>
  </si>
  <si>
    <t>n/a</t>
  </si>
  <si>
    <r>
      <rPr>
        <sz val="11"/>
        <color rgb="FFFF0000"/>
        <rFont val="Calibri"/>
        <family val="2"/>
        <scheme val="minor"/>
      </rPr>
      <t xml:space="preserve">25 PLTS / Pier pass $68.42 /  CTF $20 </t>
    </r>
    <r>
      <rPr>
        <sz val="11"/>
        <color theme="1"/>
        <rFont val="Calibri"/>
        <family val="2"/>
        <scheme val="minor"/>
      </rPr>
      <t>/ ISA# 71738034980 -LLL /  EGLV142301600689 / Uber# UF-7416067629. Uber cost $415 + detention $37.5=$452.5</t>
    </r>
  </si>
  <si>
    <t>DONE#135641</t>
  </si>
  <si>
    <t>EMCU9803042</t>
  </si>
  <si>
    <r>
      <t xml:space="preserve">27 PLTS / ISA# 71648034980 / Uber# UF-8121698047 / Uber cost$401 / EGLV142301600701  / TRANSLOAD / </t>
    </r>
    <r>
      <rPr>
        <sz val="11"/>
        <color rgb="FFFF0000"/>
        <rFont val="Calibri"/>
        <family val="2"/>
        <scheme val="minor"/>
      </rPr>
      <t xml:space="preserve">Pier pass $68.42 /  CTF $20 </t>
    </r>
  </si>
  <si>
    <t>DONE#135643</t>
  </si>
  <si>
    <t>OOCU7975220</t>
  </si>
  <si>
    <t>8/17?</t>
  </si>
  <si>
    <t>ABL SBD1</t>
  </si>
  <si>
    <t>COSU6360591730/isf/ctf 88</t>
  </si>
  <si>
    <t xml:space="preserve">NYKU4992942    </t>
  </si>
  <si>
    <t>15:00CDT</t>
  </si>
  <si>
    <t>AMZ STL4</t>
  </si>
  <si>
    <t>4687039</t>
  </si>
  <si>
    <r>
      <rPr>
        <sz val="11"/>
        <color rgb="FFFF0000"/>
        <rFont val="Calibri"/>
        <family val="2"/>
        <scheme val="minor"/>
      </rPr>
      <t>1.5 hrs detention-13:36-16:57,  2 hrs free</t>
    </r>
    <r>
      <rPr>
        <sz val="11"/>
        <color theme="1"/>
        <rFont val="Calibri"/>
        <family val="2"/>
        <scheme val="minor"/>
      </rPr>
      <t>/ ISA# 131386785 / ONEYNB3BEA601500</t>
    </r>
  </si>
  <si>
    <t xml:space="preserve">DONE#135308 </t>
  </si>
  <si>
    <t>GVTU5506566</t>
  </si>
  <si>
    <t>Miami-SFCT</t>
  </si>
  <si>
    <t>by 4pm</t>
  </si>
  <si>
    <t>PLR</t>
  </si>
  <si>
    <t>Naples, FL 34104</t>
  </si>
  <si>
    <r>
      <rPr>
        <sz val="11"/>
        <color rgb="FFFF0000"/>
        <rFont val="Calibri"/>
        <family val="2"/>
        <charset val="134"/>
        <scheme val="minor"/>
      </rPr>
      <t xml:space="preserve">THC $55 /US PACIFIC SHIPPING's charge$43.85 /  Customs RLS / TLX HBL </t>
    </r>
    <r>
      <rPr>
        <sz val="11"/>
        <color theme="1"/>
        <rFont val="Calibri"/>
        <family val="2"/>
        <charset val="134"/>
        <scheme val="minor"/>
      </rPr>
      <t>/ CMDUCHN0378167 / SOC return to GOLD COAST  Hialeah FL 33018 / ISF on file / Q# WUH061523D
还箱地址GOLD COAST / GOLD COAST ACCT
13850 NW 105 AVENUE HIALEAH, FLORIDA 33018 /Phone No: 305-825-2063 / REF# GVR08-8062</t>
    </r>
  </si>
  <si>
    <t xml:space="preserve">DONE#135311 </t>
  </si>
  <si>
    <t xml:space="preserve">1,453.85
 </t>
  </si>
  <si>
    <t>TGBU8606659</t>
  </si>
  <si>
    <t>OOLU2141411950/Q#CI-0512</t>
  </si>
  <si>
    <t>FFAU3378759</t>
  </si>
  <si>
    <t>OOLU2141411930/Q#CI-0512</t>
  </si>
  <si>
    <t xml:space="preserve">EISU9224085 </t>
  </si>
  <si>
    <t>Evergreen</t>
  </si>
  <si>
    <t>NS ATL</t>
  </si>
  <si>
    <t>TMX</t>
  </si>
  <si>
    <t>Norcross, GA 30093</t>
  </si>
  <si>
    <t>8-10 discharged / EGLV149303479362/Q# LNKT062123AN
The delivery address is as follows：
联系人:TT Nail Supplies ABC Corp 
联系方式:1 (404) 717-7222 地址:5555 Oakbrook Parkway, Suite #200 Norcross, GA 30093 USA. 
邮箱:cs@cje56.com</t>
  </si>
  <si>
    <t>DONE#135217 , disputing chassis fee</t>
  </si>
  <si>
    <t>.</t>
  </si>
  <si>
    <t xml:space="preserve">CBHU9582959  </t>
  </si>
  <si>
    <t>cn i092</t>
  </si>
  <si>
    <t xml:space="preserve">COSU6359766120 / ig street turn 8-17/ </t>
  </si>
  <si>
    <t xml:space="preserve">SEGU4934421 </t>
  </si>
  <si>
    <t>10:30am drop</t>
  </si>
  <si>
    <r>
      <t>8-24 empty ready / 8-14 discharged / COSU6359494520/</t>
    </r>
    <r>
      <rPr>
        <sz val="11"/>
        <color rgb="FFFF0000"/>
        <rFont val="Calibri"/>
        <family val="2"/>
        <scheme val="minor"/>
      </rPr>
      <t xml:space="preserve">收货人要keep柜子4周 </t>
    </r>
    <r>
      <rPr>
        <sz val="11"/>
        <color theme="1"/>
        <rFont val="Calibri"/>
        <family val="2"/>
        <scheme val="minor"/>
      </rPr>
      <t>/ SEPG
7080 Haverty's Way, Lakeland, FL 33801
Email:  Chris Chase &lt;chris.chase@sepapergroup.com&gt;
CC：jenniej@sovel.cn；zhangjian@sovel.cn；info@pg-network.com</t>
    </r>
  </si>
  <si>
    <t>DONE# 135996</t>
  </si>
  <si>
    <t>ONEU0160999</t>
  </si>
  <si>
    <t>CICERO,IL,60804</t>
  </si>
  <si>
    <t>ONEYSGND95654500/HCMOE2307308/Q#APXL070523A/DROP $300</t>
  </si>
  <si>
    <t>TLLU4001697</t>
  </si>
  <si>
    <t>TCNU4811948</t>
  </si>
  <si>
    <t>TCNU6750482</t>
  </si>
  <si>
    <t>ONEYSGND95661300/HCMOE2307307/Q#APXL070523A/DROP $300</t>
  </si>
  <si>
    <t>YMLU8962236</t>
  </si>
  <si>
    <t>58DDDE</t>
  </si>
  <si>
    <t>YMPRW272035996/HKOE23070120</t>
  </si>
  <si>
    <t>SZLU9636130</t>
  </si>
  <si>
    <t>NEW YORK PORT(GCT)</t>
  </si>
  <si>
    <t>EGG HARBOR TOWNSHIP,NJ,08234</t>
  </si>
  <si>
    <t>ONEYNB3JD3628700</t>
  </si>
  <si>
    <t>CSNU7689397</t>
  </si>
  <si>
    <t>41702F</t>
  </si>
  <si>
    <t>OOLU2141620640 / IG ST 8-17</t>
  </si>
  <si>
    <t>OOCU7545195</t>
  </si>
  <si>
    <t>10819C</t>
  </si>
  <si>
    <t xml:space="preserve">8-8 discharged / OOLU8810468700 </t>
  </si>
  <si>
    <t>FFAU2898669</t>
  </si>
  <si>
    <t>TCKU7545852</t>
  </si>
  <si>
    <t>NS Cincinnati,OH</t>
  </si>
  <si>
    <r>
      <rPr>
        <sz val="11"/>
        <color rgb="FF0000FF"/>
        <rFont val="Calibri"/>
        <family val="2"/>
        <scheme val="minor"/>
      </rPr>
      <t>9/7</t>
    </r>
    <r>
      <rPr>
        <sz val="11"/>
        <color rgb="FFFF0000"/>
        <rFont val="Calibri"/>
        <family val="2"/>
        <scheme val="minor"/>
      </rPr>
      <t xml:space="preserve">
9/8</t>
    </r>
  </si>
  <si>
    <r>
      <rPr>
        <sz val="11"/>
        <color rgb="FF0000FF"/>
        <rFont val="Calibri"/>
        <family val="2"/>
        <scheme val="minor"/>
      </rPr>
      <t>02:00 EDT-26 PLTS-ISA#11167450973</t>
    </r>
    <r>
      <rPr>
        <sz val="11"/>
        <color rgb="FFFF0000"/>
        <rFont val="Calibri"/>
        <family val="2"/>
        <scheme val="minor"/>
      </rPr>
      <t xml:space="preserve">
21:00 EDT--14 PLTS-ISA# 11180310973</t>
    </r>
  </si>
  <si>
    <t xml:space="preserve">Dray-US1
Transload-IEX
FTL-PINK
</t>
  </si>
  <si>
    <t>AMZ IND9-Greenwood, IN 46143</t>
  </si>
  <si>
    <t>2224</t>
  </si>
  <si>
    <r>
      <rPr>
        <sz val="11"/>
        <color rgb="FFFF0000"/>
        <rFont val="Calibri"/>
        <family val="2"/>
        <scheme val="minor"/>
      </rPr>
      <t xml:space="preserve">1 CTN-FEDEX 9.5 Delivered / NEW FTL ISA# 11167450973-26 PLTS-LLL  &amp; ISA 11180310973-14 PLT-LLL / 9 .1 Devanned-40 plts / </t>
    </r>
    <r>
      <rPr>
        <sz val="11"/>
        <rFont val="Calibri"/>
        <family val="2"/>
        <scheme val="minor"/>
      </rPr>
      <t xml:space="preserve">ISA# 11149490973-LLL Deleted /  </t>
    </r>
    <r>
      <rPr>
        <sz val="11"/>
        <color rgb="FFFF0000"/>
        <rFont val="Calibri"/>
        <family val="2"/>
        <scheme val="minor"/>
      </rPr>
      <t xml:space="preserve">Demurrage $200-8.21 / pre-pull &amp; yard storage， 8/29 dropped at IEX warehouse / </t>
    </r>
    <r>
      <rPr>
        <sz val="11"/>
        <color theme="1"/>
        <rFont val="Calibri"/>
        <family val="2"/>
        <scheme val="minor"/>
      </rPr>
      <t>OOLU2141755130 
收纳袋： 633 箱： FBA178QCCXS9、 1439S9XZ 
               21 箱： FBA1790DTFLJ ,   8693C8NT  
牙刷：  15 箱：  FBA178DWRR0N，  3L8K7WYK 
             25 箱：   FBA178DWRZ85，   531DSUJT -</t>
    </r>
    <r>
      <rPr>
        <sz val="11"/>
        <color rgb="FF0000CC"/>
        <rFont val="Calibri"/>
        <family val="2"/>
        <scheme val="minor"/>
      </rPr>
      <t xml:space="preserve"> 1箱用FEDEX 9/1寄出， est 9/5 送到。FEDEX TRACKING# 773283668227 / </t>
    </r>
    <r>
      <rPr>
        <sz val="11"/>
        <color theme="1"/>
        <rFont val="Calibri"/>
        <family val="2"/>
        <scheme val="minor"/>
      </rPr>
      <t xml:space="preserve">
             10 箱：  FBA178SRC7XD，   3IJZ41LW   </t>
    </r>
  </si>
  <si>
    <t>DONE#136708, pending us1 invoice</t>
  </si>
  <si>
    <t>TGHU6876451</t>
  </si>
  <si>
    <t>DA2386</t>
  </si>
  <si>
    <t xml:space="preserve">8-9 discharged / OOLU8810468700 </t>
  </si>
  <si>
    <t>TEMU7994436</t>
  </si>
  <si>
    <t xml:space="preserve">18:00 CDT	</t>
  </si>
  <si>
    <t>010BCB</t>
  </si>
  <si>
    <r>
      <rPr>
        <sz val="11"/>
        <color rgb="FFFF0000"/>
        <rFont val="Calibri"/>
        <family val="2"/>
        <scheme val="minor"/>
      </rPr>
      <t>8-26 st / No detention-18:21 -22:11 / ISA# 121284893-LLL</t>
    </r>
    <r>
      <rPr>
        <sz val="11"/>
        <color theme="1"/>
        <rFont val="Calibri"/>
        <family val="2"/>
        <scheme val="minor"/>
      </rPr>
      <t xml:space="preserve">  /8-8 discharged / COSU6360010411/
FBA178TTN1SZ--18KIILHM--597 ctns--9,360.96kgs
FBA178TWS99P--2B85YD8W--274 ctns--4,296.32 kgs</t>
    </r>
  </si>
  <si>
    <t xml:space="preserve">DONE#135656 </t>
  </si>
  <si>
    <t>SEKU4022629</t>
  </si>
  <si>
    <t xml:space="preserve">bnsf  </t>
  </si>
  <si>
    <t>EF26EE</t>
  </si>
  <si>
    <t>COSU6360010413</t>
  </si>
  <si>
    <t>TCNU2199160</t>
  </si>
  <si>
    <t>ECB364</t>
  </si>
  <si>
    <t xml:space="preserve">CMDUCHN0410699 </t>
  </si>
  <si>
    <t>MEDU6270963</t>
  </si>
  <si>
    <t>Alsip， IL 60803</t>
  </si>
  <si>
    <t>9EB6FC</t>
  </si>
  <si>
    <r>
      <rPr>
        <sz val="11"/>
        <color rgb="FFFF0000"/>
        <rFont val="Calibri"/>
        <family val="2"/>
        <scheme val="minor"/>
      </rPr>
      <t>pre-pull/ yard storage</t>
    </r>
    <r>
      <rPr>
        <sz val="11"/>
        <color theme="1"/>
        <rFont val="Calibri"/>
        <family val="2"/>
        <scheme val="minor"/>
      </rPr>
      <t xml:space="preserve"> / MEDUQC756895,Truck House LLC3843 W 128th P1Alsip， IL 60803/  Marty Wu     630-857-8964 / marty.wu@chinadianbo.com                 
Daniel 31-520-3610</t>
    </r>
  </si>
  <si>
    <t>DONE# 135557</t>
  </si>
  <si>
    <t>Grand Freight 鹏远</t>
  </si>
  <si>
    <t>DRYU4552464</t>
  </si>
  <si>
    <t>45HG</t>
  </si>
  <si>
    <t>18：00 EDT</t>
  </si>
  <si>
    <t>AMZ IND5-PLAINFIELD IN 46168</t>
  </si>
  <si>
    <t>‘865153</t>
  </si>
  <si>
    <r>
      <rPr>
        <sz val="11"/>
        <color rgb="FFFF0000"/>
        <rFont val="Calibri"/>
        <family val="2"/>
        <scheme val="minor"/>
      </rPr>
      <t>6 hrs detention-08.22 @ 17:18-08.23 @ 01:24 ( 2 hours free) / pre-pull, yard storage / ISA# 733514152-LLL</t>
    </r>
    <r>
      <rPr>
        <sz val="11"/>
        <color theme="1"/>
        <rFont val="Calibri"/>
        <family val="2"/>
        <scheme val="minor"/>
      </rPr>
      <t xml:space="preserve">/ COSU6360325750 / FBA178CD7KKP- 2Z7IN8PA/ Order# 5NLK680677 /  1100 CTNS </t>
    </r>
  </si>
  <si>
    <t>DONE# 135672</t>
  </si>
  <si>
    <t>OOCU4955771</t>
  </si>
  <si>
    <t>0:00EDT</t>
  </si>
  <si>
    <t>8B231B</t>
  </si>
  <si>
    <r>
      <rPr>
        <sz val="11"/>
        <color rgb="FFFF0000"/>
        <rFont val="Calibri"/>
        <family val="2"/>
        <scheme val="minor"/>
      </rPr>
      <t>2 hrs detention 08/23 @ 23:20- 08/24 @ 04:25 ( 2 hours free) /ISA# 302437004970 -LLL</t>
    </r>
    <r>
      <rPr>
        <sz val="11"/>
        <color theme="1"/>
        <rFont val="Calibri"/>
        <family val="2"/>
        <scheme val="minor"/>
      </rPr>
      <t>/ 8-12 discharged / OOLU4119772430 / FBA178PGX8R1---2155H7VE---1520pcs</t>
    </r>
  </si>
  <si>
    <t xml:space="preserve">DONE#135670 </t>
  </si>
  <si>
    <t>FSCU9732151</t>
  </si>
  <si>
    <t>OOCU7363122</t>
  </si>
  <si>
    <t>18:00CDT</t>
  </si>
  <si>
    <t>AMZ JVL1-,WI,53511</t>
  </si>
  <si>
    <t>816BD3</t>
  </si>
  <si>
    <r>
      <rPr>
        <sz val="11"/>
        <color rgb="FFFF0000"/>
        <rFont val="Calibri"/>
        <family val="2"/>
        <scheme val="minor"/>
      </rPr>
      <t>3 hrs detention-17:27 - 22:32 -2 hrs free/ 8-9 discharged / ISA# 110826003999-LLC</t>
    </r>
    <r>
      <rPr>
        <sz val="11"/>
        <color theme="1"/>
        <rFont val="Calibri"/>
        <family val="2"/>
        <scheme val="minor"/>
      </rPr>
      <t xml:space="preserve"> / OOLU2722315440 / Main Job NO. 2307006899 / FBA1794C2FJ8--5N668Z2P / 2606 CTNS</t>
    </r>
  </si>
  <si>
    <t xml:space="preserve">DONE#135631 </t>
  </si>
  <si>
    <t>FFAU1838808</t>
  </si>
  <si>
    <t xml:space="preserve">LAX- WBCT </t>
  </si>
  <si>
    <t xml:space="preserve"> 客户从JCB yard 自提</t>
  </si>
  <si>
    <t>9/6 Customer self picked up</t>
  </si>
  <si>
    <t>第二轴超重，玻璃易碎品，客户不同意transload， /ONEYXMND51853800 / pier pass $68.42 / CTF $20 / Q# AS070523A</t>
  </si>
  <si>
    <t>DONE#136589</t>
  </si>
  <si>
    <t>TCNU4979593</t>
  </si>
  <si>
    <t>客户从JCB yard 自提</t>
  </si>
  <si>
    <t>9/5 Cusomer self picked up</t>
  </si>
  <si>
    <t>TCNU4917170  </t>
  </si>
  <si>
    <t>第二轴超重，玻璃易碎品，客户不同意transload， /ONEYXMND51853800 / pier pass $68.42  / CTF $20 / Q# AS070523A</t>
  </si>
  <si>
    <t>TGBU8072532</t>
  </si>
  <si>
    <t>exam hold at lax</t>
  </si>
  <si>
    <t>7D2013</t>
  </si>
  <si>
    <t xml:space="preserve">COSU6360010410 </t>
  </si>
  <si>
    <t xml:space="preserve">MATU2301518 </t>
  </si>
  <si>
    <t>MASTON</t>
  </si>
  <si>
    <t>20:00CDT</t>
  </si>
  <si>
    <t>85A220</t>
  </si>
  <si>
    <r>
      <rPr>
        <sz val="11"/>
        <color rgb="FFFF0000"/>
        <rFont val="Calibri"/>
        <family val="2"/>
        <scheme val="minor"/>
      </rPr>
      <t xml:space="preserve">2 hrs detention-08.22 @ 19:30 - 08.23 @ 01:36 ( 4 hours free). / 8-14 discharged/ ISA# 802078703-LLC ACCOUNT </t>
    </r>
    <r>
      <rPr>
        <sz val="11"/>
        <color theme="1"/>
        <rFont val="Calibri"/>
        <family val="2"/>
        <scheme val="minor"/>
      </rPr>
      <t xml:space="preserve">/ MATS1166878000/ 9783KGS / 30 FBA#S / broker UCSNYC会发DO </t>
    </r>
  </si>
  <si>
    <t xml:space="preserve">DONE#135630 </t>
  </si>
  <si>
    <t>MATU2727421</t>
  </si>
  <si>
    <t>8-22 ABL
8-25 MQJ1 17 PLTS
8-24 IND9 5 PLTS
8-24 MDW2 4 PLTS
UPS  10 PLTS</t>
  </si>
  <si>
    <t>350C17</t>
  </si>
  <si>
    <r>
      <rPr>
        <sz val="11"/>
        <color rgb="FFFF0000"/>
        <rFont val="Calibri"/>
        <family val="2"/>
        <scheme val="minor"/>
      </rPr>
      <t>8-23 devanning finished, 36 PLTS</t>
    </r>
    <r>
      <rPr>
        <sz val="11"/>
        <color theme="1"/>
        <rFont val="Calibri"/>
        <family val="2"/>
        <scheme val="minor"/>
      </rPr>
      <t xml:space="preserve"> / 8-22 arrived at ABL, DOCK# 14 / 8-8discharged / MATS6526428000 /transloading to amazon</t>
    </r>
  </si>
  <si>
    <t>DONE# 135865</t>
  </si>
  <si>
    <t>CMAU7165476</t>
  </si>
  <si>
    <t xml:space="preserve">20:00 EDT	</t>
  </si>
  <si>
    <t>ABL-FBA-50ctns 
AMZ MQJ1-GREENFIELD, IN 46140- 整柜直送</t>
  </si>
  <si>
    <t>1531D6</t>
  </si>
  <si>
    <r>
      <rPr>
        <sz val="11"/>
        <color rgb="FF0000CC"/>
        <rFont val="Calibri"/>
        <family val="2"/>
        <scheme val="minor"/>
      </rPr>
      <t>2 PLTS SELF PU BY CUSTOMER ON 8.23</t>
    </r>
    <r>
      <rPr>
        <sz val="11"/>
        <color rgb="FFFF0000"/>
        <rFont val="Calibri"/>
        <family val="2"/>
        <scheme val="minor"/>
      </rPr>
      <t xml:space="preserve"> / IG TO CCIS / FCL - MQJ1- 2 hrs detention-8.23 @ 20:09- 8.24 @ 00:18 ( 2 hours free) / 客户预计8.23自提2托 / 掏出50箱， 打2托，4 lables/plt*2plts=8 labels/ 直送ISA# 303085004970-LLL </t>
    </r>
    <r>
      <rPr>
        <sz val="11"/>
        <color theme="1"/>
        <rFont val="Calibri"/>
        <family val="2"/>
        <scheme val="minor"/>
      </rPr>
      <t xml:space="preserve">/ 8-9 discharged / CMDUCHN0410650 / 726 CTNS / FBA编码如下：
</t>
    </r>
    <r>
      <rPr>
        <sz val="11"/>
        <color rgb="FFFF0000"/>
        <rFont val="Calibri"/>
        <family val="2"/>
        <scheme val="minor"/>
      </rPr>
      <t xml:space="preserve">FBA1792ZYJGF=296SITMY=482件
FBA179CCMW60==25II65YX=127件
FBA179C1H9HF=8MYUAGHS=67件
</t>
    </r>
    <r>
      <rPr>
        <sz val="11"/>
        <color rgb="FF0000CC"/>
        <rFont val="Calibri"/>
        <family val="2"/>
        <scheme val="minor"/>
      </rPr>
      <t xml:space="preserve">FBA179C389PQ=6D33YHEN=50件 </t>
    </r>
    <r>
      <rPr>
        <sz val="11"/>
        <color rgb="FF0000FF"/>
        <rFont val="Calibri"/>
        <family val="2"/>
        <scheme val="minor"/>
      </rPr>
      <t>（掏货50件）
掏货50箱后， 直送MQJ1</t>
    </r>
  </si>
  <si>
    <t xml:space="preserve">DONE#136375 </t>
  </si>
  <si>
    <t>BMOU4626530</t>
  </si>
  <si>
    <t>Cosco</t>
  </si>
  <si>
    <t>00ea82</t>
  </si>
  <si>
    <t>COSU6361043950/ ISF ON FILE / SWB / IG ST 8-22/</t>
  </si>
  <si>
    <t>MATU2542670</t>
  </si>
  <si>
    <t>D217D0 </t>
  </si>
  <si>
    <t>MATS6400406000</t>
  </si>
  <si>
    <t>NYKU3898206</t>
  </si>
  <si>
    <t>12-2PM</t>
  </si>
  <si>
    <t>ONEYNB3BEB029301/NBOE23070755//Q#AP-0531</t>
  </si>
  <si>
    <t>MEDU6225558</t>
  </si>
  <si>
    <t>MEDUP8935215/SLSTL070019/Q#AP-0203</t>
  </si>
  <si>
    <t>SPEEDMARK</t>
  </si>
  <si>
    <t>YMLU5716882</t>
  </si>
  <si>
    <t>ABL WH/NASHVILLE TN</t>
  </si>
  <si>
    <t>31AAFA</t>
  </si>
  <si>
    <t>YMLUW228230141/Q#SPMK080723T/DEVAN 8.21</t>
  </si>
  <si>
    <t>CCLU7608606</t>
  </si>
  <si>
    <t>0420DE</t>
  </si>
  <si>
    <t>8-12 discharged /  COSU6361355420/ ISF ON FILE / SWB / AN SENT</t>
  </si>
  <si>
    <t xml:space="preserve">DONE #136303 , Pending POD </t>
  </si>
  <si>
    <t>TGCU5063910</t>
  </si>
  <si>
    <t>C5D96B</t>
  </si>
  <si>
    <t xml:space="preserve">8-16 discharged / COSU6361260540/ ISF ON FILE/ AN SENT,  </t>
  </si>
  <si>
    <t xml:space="preserve">DONE#136304 </t>
  </si>
  <si>
    <t>TGCU0039892</t>
  </si>
  <si>
    <t>98BA47</t>
  </si>
  <si>
    <t>TGCU0001449</t>
  </si>
  <si>
    <t>B9E779</t>
  </si>
  <si>
    <t>MAGU5273023</t>
  </si>
  <si>
    <t>OOLU2721487820</t>
  </si>
  <si>
    <t>FCIU5048882</t>
  </si>
  <si>
    <t>SOUTH FLORIDA TERMINAL(N775)</t>
  </si>
  <si>
    <t>8:30AM</t>
  </si>
  <si>
    <t>TRITON</t>
  </si>
  <si>
    <t>DORAL,FL,33172</t>
  </si>
  <si>
    <t>OOLU4119647390/$55 THC+$375 CLEANING FEE/Q#ANLI081623B/DROP/EMPTY 8.30</t>
  </si>
  <si>
    <t>OOCU8765888</t>
  </si>
  <si>
    <t>597CB5   </t>
  </si>
  <si>
    <t>OOLU2141486500</t>
  </si>
  <si>
    <t>MSKU0276632</t>
  </si>
  <si>
    <t>MSK</t>
  </si>
  <si>
    <t xml:space="preserve">Manteno IL 60950 </t>
  </si>
  <si>
    <t>CFA1C1</t>
  </si>
  <si>
    <t>1.25 hr detention-10:15AM-12:36PM ( 1 hrs free) / Re-route $200, Yard storage, Chassis split and Re-delivery charge $100 / 8-17 discharged / Q#XBNG21423M / B/L:MAEU229336425；MSK
收货地址：Bing Decor LLC 240 Juniper St Manteno IL 60950 
TEL:+ (1)8156083111</t>
  </si>
  <si>
    <t>DONE#135659</t>
  </si>
  <si>
    <t>MEDU3479076</t>
  </si>
  <si>
    <t>DES PLAINES,IL,60018</t>
  </si>
  <si>
    <t>628AE7</t>
  </si>
  <si>
    <t>MEDUP8891764/MY23064828</t>
  </si>
  <si>
    <t>MEDU1870219</t>
  </si>
  <si>
    <t>61C095</t>
  </si>
  <si>
    <t>TRHU4695796</t>
  </si>
  <si>
    <t>52FDED</t>
  </si>
  <si>
    <t xml:space="preserve">COSU6360901600 </t>
  </si>
  <si>
    <t>BSIU9190779</t>
  </si>
  <si>
    <t>HDMUNKGZ32984100/SHE23063742</t>
  </si>
  <si>
    <t>TGBU5541889</t>
  </si>
  <si>
    <t>YMPRW242562216/SHE23053957</t>
  </si>
  <si>
    <t>HMCU9169666</t>
  </si>
  <si>
    <t xml:space="preserve">LAX Berth 233, Terminal Island </t>
  </si>
  <si>
    <t xml:space="preserve">19:00 PDT	</t>
  </si>
  <si>
    <t>customs rls</t>
  </si>
  <si>
    <r>
      <rPr>
        <sz val="11"/>
        <color rgb="FFFF0000"/>
        <rFont val="Calibri"/>
        <family val="2"/>
        <scheme val="minor"/>
      </rPr>
      <t xml:space="preserve"> 1.75 hrs detention -19:00-21:49, 1 hr free / 26 PLTS / UBER# UF-4209670072 / ISA# 72680034980-LLL</t>
    </r>
    <r>
      <rPr>
        <sz val="11"/>
        <color rgb="FF000000"/>
        <rFont val="Calibri"/>
        <family val="2"/>
        <scheme val="minor"/>
      </rPr>
      <t xml:space="preserve"> / 8-26 discharged / Transload / EGLV142301688772  / Pier pass-68.42, CTF $20 /
FBA17968YMR9--3WTGHCUW--690 ctns --19370kgs</t>
    </r>
  </si>
  <si>
    <t xml:space="preserve">DONE#136302 </t>
  </si>
  <si>
    <t>CGMU5627070</t>
  </si>
  <si>
    <t>7ffad9</t>
  </si>
  <si>
    <t>CMDUCHN0436048</t>
  </si>
  <si>
    <t>MRKU1069140</t>
  </si>
  <si>
    <t>FORT WAYNE,IN,46803</t>
  </si>
  <si>
    <t>MAEU229383666/Q#UPDATED-ANLI080723A-DG</t>
  </si>
  <si>
    <t>TRHU7754634 </t>
  </si>
  <si>
    <t>A2AF46</t>
  </si>
  <si>
    <t>MAEU228918766 / ISF on file</t>
  </si>
  <si>
    <t>DONE# 135055</t>
  </si>
  <si>
    <t xml:space="preserve">TCKU7483703 </t>
  </si>
  <si>
    <t>D8AF6C</t>
  </si>
  <si>
    <t>MAEU228918769  / ISF on file</t>
  </si>
  <si>
    <t>DONE# 135057</t>
  </si>
  <si>
    <t>MSDU7284784</t>
  </si>
  <si>
    <t>Everglades FL port</t>
  </si>
  <si>
    <r>
      <t xml:space="preserve">SO：177PCHCHS002415 / THC $92.84 / </t>
    </r>
    <r>
      <rPr>
        <sz val="11"/>
        <color rgb="FFFF0000"/>
        <rFont val="Calibri"/>
        <family val="2"/>
        <scheme val="minor"/>
      </rPr>
      <t>Private chassis with chassis fee &amp; chassis split</t>
    </r>
  </si>
  <si>
    <t xml:space="preserve">DONE#136382 </t>
  </si>
  <si>
    <t>MSDU8659798</t>
  </si>
  <si>
    <t xml:space="preserve">SO：177PCHCHS002416 / CUSTOMS RLS/ THC $92.84 / private chassis </t>
  </si>
  <si>
    <t xml:space="preserve">DONE#136384 </t>
  </si>
  <si>
    <t>CAIU4444670</t>
  </si>
  <si>
    <t>SMLMSZP3M8458500</t>
  </si>
  <si>
    <t>BMOU4390151</t>
  </si>
  <si>
    <t>A5977E</t>
  </si>
  <si>
    <t>COSU6361547190/ISF/ETD7/27/4250(COST 4150+50)/flip fee</t>
  </si>
  <si>
    <t>TLLU5055430</t>
  </si>
  <si>
    <t>Demurrage付到9.8 / SO：177PCHCHS002414/ THC $92.84 / private chassis</t>
  </si>
  <si>
    <t>DONE#136385, Demurrage inv# 135997</t>
  </si>
  <si>
    <t>CSNU8499806</t>
  </si>
  <si>
    <t>BBDE80</t>
  </si>
  <si>
    <t>8-12 discharged / COSU6361355420/ ISF ON FILE / SWB / AN SENT/ Return to ITI</t>
  </si>
  <si>
    <t>DONE #136303 , Pending POD</t>
  </si>
  <si>
    <t>FCIU9624733</t>
  </si>
  <si>
    <t xml:space="preserve">05F3EC </t>
  </si>
  <si>
    <t>8-12 discharged / COSU6361355420/ ISF ON FILE / SWB / AN SENT / Return to ITI</t>
  </si>
  <si>
    <t>YMMU6006718</t>
  </si>
  <si>
    <t>2494F3</t>
  </si>
  <si>
    <t>YMPRW242562298/SHE23063373</t>
  </si>
  <si>
    <t>ZCSU7187212</t>
  </si>
  <si>
    <t xml:space="preserve">11:00 CDT	</t>
  </si>
  <si>
    <t>AMZ RFD4 60142</t>
  </si>
  <si>
    <r>
      <rPr>
        <sz val="11"/>
        <color rgb="FFFF0000"/>
        <rFont val="Calibri"/>
        <family val="2"/>
        <scheme val="minor"/>
      </rPr>
      <t xml:space="preserve">No detention-11:12 -12:29 ( 2 hours free) /ISA# 68964027987-LLL </t>
    </r>
    <r>
      <rPr>
        <sz val="11"/>
        <color theme="1"/>
        <rFont val="Calibri"/>
        <family val="2"/>
        <scheme val="minor"/>
      </rPr>
      <t xml:space="preserve">/ 8-25 discharged / ZIMUNGB20194085 /  S/R $850 for delivery
</t>
    </r>
    <r>
      <rPr>
        <sz val="11"/>
        <color rgb="FFFF0000"/>
        <rFont val="Calibri"/>
        <family val="2"/>
        <scheme val="minor"/>
      </rPr>
      <t>FBA178D4MKR0--2W6PJ1SF / 32 CTNS / 4270 KGS</t>
    </r>
  </si>
  <si>
    <t xml:space="preserve">DONE#135940 </t>
  </si>
  <si>
    <t>ZCSU7742439</t>
  </si>
  <si>
    <t xml:space="preserve">09:00 CDT	</t>
  </si>
  <si>
    <r>
      <rPr>
        <sz val="11"/>
        <color rgb="FFFF0000"/>
        <rFont val="Calibri"/>
        <family val="2"/>
        <scheme val="minor"/>
      </rPr>
      <t>No detention-08:51-10:08, 2 hours free / ISA# 68965027987 -LLL</t>
    </r>
    <r>
      <rPr>
        <sz val="11"/>
        <color theme="1"/>
        <rFont val="Calibri"/>
        <family val="2"/>
        <scheme val="minor"/>
      </rPr>
      <t xml:space="preserve"> / 8-25 discharged / ZIMUNGB20194086/  S/R $850 for delivery
</t>
    </r>
    <r>
      <rPr>
        <sz val="11"/>
        <color rgb="FFFF0000"/>
        <rFont val="Calibri"/>
        <family val="2"/>
        <scheme val="minor"/>
      </rPr>
      <t>FBA178D4NWV6--1KCBXDXT-29CTNS--4309KGS</t>
    </r>
  </si>
  <si>
    <t xml:space="preserve">DONE#135941 </t>
  </si>
  <si>
    <t>CXDU1090530</t>
  </si>
  <si>
    <t>58464D</t>
  </si>
  <si>
    <r>
      <rPr>
        <sz val="11"/>
        <color rgb="FF000000"/>
        <rFont val="Calibri"/>
        <family val="2"/>
      </rPr>
      <t>MAEU229383666/Q#UPDATED-ANLI080723A-DG/</t>
    </r>
    <r>
      <rPr>
        <sz val="11"/>
        <color rgb="FFFF0000"/>
        <rFont val="Calibri"/>
        <family val="2"/>
      </rPr>
      <t>Pull on LFD and deliver with PONU1663071/ABL PD</t>
    </r>
  </si>
  <si>
    <t>TRHU5383745</t>
  </si>
  <si>
    <t>27FE6F</t>
  </si>
  <si>
    <t>OOLU8810478850 / discharged / customs rls</t>
  </si>
  <si>
    <t>TGBU9286586</t>
  </si>
  <si>
    <t>912CD7</t>
  </si>
  <si>
    <t>OOLU8810485270/ discharged</t>
  </si>
  <si>
    <t>TXGU6081883</t>
  </si>
  <si>
    <t>PAQS / UBER</t>
  </si>
  <si>
    <r>
      <rPr>
        <sz val="11"/>
        <color rgb="FFFF0000"/>
        <rFont val="Calibri"/>
        <family val="2"/>
        <scheme val="minor"/>
      </rPr>
      <t xml:space="preserve"> 0.5 hr detention-18:35-20:12 ( 1 hour free) / TOTAL 22 PLTS / Uber# UF-2940332183, uber cost $425 / ISA-73068034980-Helen account</t>
    </r>
    <r>
      <rPr>
        <sz val="11"/>
        <color theme="1"/>
        <rFont val="Calibri"/>
        <family val="2"/>
        <scheme val="minor"/>
      </rPr>
      <t xml:space="preserve"> / Transload / EGLV142301656502 / /</t>
    </r>
    <r>
      <rPr>
        <sz val="11"/>
        <color rgb="FFFF0000"/>
        <rFont val="Calibri"/>
        <family val="2"/>
        <scheme val="minor"/>
      </rPr>
      <t xml:space="preserve"> Pier pass-68.42, CTF $20 /</t>
    </r>
    <r>
      <rPr>
        <sz val="11"/>
        <color theme="1"/>
        <rFont val="Calibri"/>
        <family val="2"/>
        <scheme val="minor"/>
      </rPr>
      <t>FBA17BG8C6XJ / 83W6WRCM /425CTNS / 10678.5 KGS</t>
    </r>
  </si>
  <si>
    <t xml:space="preserve">DONE#136300 </t>
  </si>
  <si>
    <t>HLBU1647887</t>
  </si>
  <si>
    <t>LONG ROAD</t>
  </si>
  <si>
    <t>72264025/HLCUPEN230700192/ETD 7/14/PO# 37/Customer PO No. 115157</t>
  </si>
  <si>
    <t>MEDU5907131</t>
  </si>
  <si>
    <t>54EC24</t>
  </si>
  <si>
    <t>OW/MEDUXN160544</t>
  </si>
  <si>
    <t xml:space="preserve">DONE# 136387 </t>
  </si>
  <si>
    <t>KOCU5170243</t>
  </si>
  <si>
    <t>HDMUNKGZ02807900/SHE23063880</t>
  </si>
  <si>
    <t>EITU1889637</t>
  </si>
  <si>
    <t>LAX APM TERMINAL</t>
  </si>
  <si>
    <t xml:space="preserve">9/13 @ 11AM
9/25 @7PM </t>
  </si>
  <si>
    <t>17 PLTS
14 PLTS</t>
  </si>
  <si>
    <r>
      <rPr>
        <sz val="11"/>
        <color rgb="FF0000CC"/>
        <rFont val="Calibri"/>
        <family val="2"/>
        <scheme val="minor"/>
      </rPr>
      <t>重新打托14托 和DRYU9287450的10托一车FTL走 ISA# 74180034980-Helen Account /UBER# UF-2960381235</t>
    </r>
    <r>
      <rPr>
        <sz val="11"/>
        <color rgb="FFFF0000"/>
        <rFont val="Calibri"/>
        <family val="2"/>
        <scheme val="minor"/>
      </rPr>
      <t xml:space="preserve">  / 9托超高亚马逊拒收， 要修复后重新预约送AMAZON / 1.5 hr detention 11:01-13:24 PDT ( 1 hr free) </t>
    </r>
    <r>
      <rPr>
        <sz val="11"/>
        <color theme="1"/>
        <rFont val="Calibri"/>
        <family val="2"/>
        <scheme val="minor"/>
      </rPr>
      <t xml:space="preserve">/ UBER# UF-2733389934 /ISA# 73446034980-Helen Account / Transload / EGLV142301688977 / </t>
    </r>
    <r>
      <rPr>
        <sz val="11"/>
        <color rgb="FFFF0000"/>
        <rFont val="Calibri"/>
        <family val="2"/>
        <scheme val="minor"/>
      </rPr>
      <t>Pier pass-68.42, CTF $20</t>
    </r>
    <r>
      <rPr>
        <sz val="11"/>
        <color theme="1"/>
        <rFont val="Calibri"/>
        <family val="2"/>
        <scheme val="minor"/>
      </rPr>
      <t xml:space="preserve"> /
FBA17B06ZG76/ 3ATZVYKL / 510 CTNS
FBA17B08CX6Z/ 3WFSFJ6X / 60 CTNS</t>
    </r>
  </si>
  <si>
    <t xml:space="preserve">DONE#137380 </t>
  </si>
  <si>
    <t>HMMU6345463</t>
  </si>
  <si>
    <t>HDMUNKGZ40065100/SHE23063881</t>
  </si>
  <si>
    <t>CSNU6244473</t>
  </si>
  <si>
    <t>ARVIN,CA 93203</t>
  </si>
  <si>
    <r>
      <rPr>
        <sz val="11"/>
        <color rgb="FFFF0000"/>
        <rFont val="Calibri"/>
        <family val="2"/>
        <scheme val="minor"/>
      </rPr>
      <t xml:space="preserve">1 hr detention, 9:15am-10:57am / Pre-pull, yard storage </t>
    </r>
    <r>
      <rPr>
        <sz val="11"/>
        <color theme="1"/>
        <rFont val="Calibri"/>
        <family val="2"/>
        <scheme val="minor"/>
      </rPr>
      <t>/ OOLU8810511861 / ABL Handle delivery</t>
    </r>
  </si>
  <si>
    <t>DONE# 136711</t>
  </si>
  <si>
    <t>CAIU4383260</t>
  </si>
  <si>
    <t>HDMUNKGZ37674200/SHE23064058</t>
  </si>
  <si>
    <t>PONU1663071</t>
  </si>
  <si>
    <t>3EB275</t>
  </si>
  <si>
    <r>
      <rPr>
        <sz val="11"/>
        <color rgb="FF000000"/>
        <rFont val="Calibri"/>
        <family val="2"/>
        <scheme val="minor"/>
      </rPr>
      <t>MAEU229383666/Q#UPDATED-ANLI080723A-DG/</t>
    </r>
    <r>
      <rPr>
        <sz val="11"/>
        <color rgb="FFFF0000"/>
        <rFont val="Calibri"/>
        <family val="2"/>
        <scheme val="minor"/>
      </rPr>
      <t xml:space="preserve">Deliver with CXDU1090530 </t>
    </r>
  </si>
  <si>
    <t xml:space="preserve">TCNU5444889 </t>
  </si>
  <si>
    <t>OOLU8810478850 / discharged/ customs rls</t>
  </si>
  <si>
    <t>MATU2750817</t>
  </si>
  <si>
    <t xml:space="preserve">ABL-9/5
UPS shipped 14 PLTS
9/7 Delivered 17 PLTS
9/13 Delivered 5 PLTS </t>
  </si>
  <si>
    <t>7F0C19</t>
  </si>
  <si>
    <t>9-6 Devanned-36 plts / 8-23 discharged / MATS7068930000 / To multiple address</t>
  </si>
  <si>
    <t>YIWU HANGJI</t>
  </si>
  <si>
    <t xml:space="preserve">TEMU6350573 </t>
  </si>
  <si>
    <t>WAUKEGAN,IL,60085</t>
  </si>
  <si>
    <t xml:space="preserve">7A2CE8 </t>
  </si>
  <si>
    <t>MATS8529132000/Q#YWHJ081823A/DROP $530</t>
  </si>
  <si>
    <t>CSLU6044987</t>
  </si>
  <si>
    <t>GYR3</t>
  </si>
  <si>
    <t>COSU6362038510/ISF/agent 75/pier pass88</t>
  </si>
  <si>
    <t>EMCU8601807</t>
  </si>
  <si>
    <t>OAKLAND INTERNATIONAL</t>
  </si>
  <si>
    <t>TC TRANS</t>
  </si>
  <si>
    <t>APTOS, CA 95003</t>
  </si>
  <si>
    <t>090300142672/po#42/ETD 7.19/isf/pl/TC WILL WAIVE PREPULL</t>
  </si>
  <si>
    <t>CUSTOMER PU</t>
  </si>
  <si>
    <t>8/11 4PM</t>
  </si>
  <si>
    <t>2X40HQ-&gt;3x40hq,split 6362679869 1X40 Customer pu/#027/amend fee 90</t>
  </si>
  <si>
    <t>BMOU6323131</t>
  </si>
  <si>
    <t>1968F4</t>
  </si>
  <si>
    <t>YMPRW242562454/SHE23073702</t>
  </si>
  <si>
    <t>BMOU6273724</t>
  </si>
  <si>
    <t>5193EB</t>
  </si>
  <si>
    <t>YMPRW242562452/SHE23073700</t>
  </si>
  <si>
    <t>BMOU4667056</t>
  </si>
  <si>
    <t>Miami-Pomtoc Terminal</t>
  </si>
  <si>
    <t>SOUTHERN</t>
  </si>
  <si>
    <t>AMZ PBI2 33478</t>
  </si>
  <si>
    <r>
      <rPr>
        <sz val="11"/>
        <color rgb="FF0000CC"/>
        <rFont val="Calibri"/>
        <family val="2"/>
        <scheme val="minor"/>
      </rPr>
      <t>THC $ 91</t>
    </r>
    <r>
      <rPr>
        <sz val="11"/>
        <color rgb="FFFF0000"/>
        <rFont val="Calibri"/>
        <family val="2"/>
        <scheme val="minor"/>
      </rPr>
      <t xml:space="preserve">- ISA# 79151008978-LLL </t>
    </r>
    <r>
      <rPr>
        <sz val="11"/>
        <color theme="1"/>
        <rFont val="Calibri"/>
        <family val="2"/>
        <scheme val="minor"/>
      </rPr>
      <t xml:space="preserve">/ MEDUGB244788/ detentioN $85/hour，1 hours free/ </t>
    </r>
    <r>
      <rPr>
        <sz val="11"/>
        <color rgb="FFFF0000"/>
        <rFont val="Calibri"/>
        <family val="2"/>
        <scheme val="minor"/>
      </rPr>
      <t>FBA178TW45F1-- 8EQH8NUV-22 CTNS--4111 KGS</t>
    </r>
  </si>
  <si>
    <t>DONE#136734</t>
  </si>
  <si>
    <t>TGCU5062473</t>
  </si>
  <si>
    <t>F74871</t>
  </si>
  <si>
    <t>2x40hq</t>
  </si>
  <si>
    <t>8/8 4PM</t>
  </si>
  <si>
    <t>2X40HQ/#028/amendment fee 90</t>
  </si>
  <si>
    <t xml:space="preserve">CCLU7965521 </t>
  </si>
  <si>
    <t>6C0611</t>
  </si>
  <si>
    <t>TGHU9111785</t>
  </si>
  <si>
    <t>8-26 Discharged/ONEYSZPDC8018600</t>
  </si>
  <si>
    <t>CSNU6627385</t>
  </si>
  <si>
    <t>9EEE74</t>
  </si>
  <si>
    <r>
      <t>8-29 discharged/ COSU6362286020/ ISF ON FILE / AN SENT / SWB /</t>
    </r>
    <r>
      <rPr>
        <sz val="11"/>
        <color rgb="FFFF0000"/>
        <rFont val="Calibri"/>
        <family val="2"/>
        <scheme val="minor"/>
      </rPr>
      <t xml:space="preserve"> Empty return to ITI Edgerton</t>
    </r>
  </si>
  <si>
    <t xml:space="preserve">DONE#137059 </t>
  </si>
  <si>
    <t>OOLU8774947</t>
  </si>
  <si>
    <t>82E030</t>
  </si>
  <si>
    <t>CBHU9512210</t>
  </si>
  <si>
    <t>A068BD</t>
  </si>
  <si>
    <t>MRKU3867895</t>
  </si>
  <si>
    <t>TTSI</t>
  </si>
  <si>
    <t>WATERTOWN, WI 53094</t>
  </si>
  <si>
    <t>EF7379</t>
  </si>
  <si>
    <t>8-28 discharge / MAEU229376616 / Q# WUH071823B
Email: julian@grillrescue.com
CC: sheena@grillrescue.com；info@pg-network.com; jenniej@sovel.cn；zhangjian@sovel.cn
Julian Velez +1 9545164846
Sheena Miranda +1 9545070262</t>
  </si>
  <si>
    <t>DONE#13644</t>
  </si>
  <si>
    <t>MRKU3002588</t>
  </si>
  <si>
    <t>EBCE71</t>
  </si>
  <si>
    <t>8-27 discharged / MAEU229376602 / Q# WUH071823B
Email: julian@grillrescue.com
CC: sheena@grillrescue.com；info@pg-network.com; jenniej@sovel.cn；zhangjian@sovel.cn
Julian Velez +1 9545164846
Sheena Miranda +1 9545070262</t>
  </si>
  <si>
    <t>DONE#136456</t>
  </si>
  <si>
    <t>WESHIP/BWG</t>
  </si>
  <si>
    <t>UACU5361298</t>
  </si>
  <si>
    <t>IND CN</t>
  </si>
  <si>
    <t>IND9</t>
  </si>
  <si>
    <t>11108790973 9/13 appt/drop cost 250/SELLING 300</t>
  </si>
  <si>
    <t>MSMU7186819</t>
  </si>
  <si>
    <t>SAVANNAH-GARDEN CITY TERMINAL (L737)</t>
  </si>
  <si>
    <t>AMZ XLX6 28134</t>
  </si>
  <si>
    <r>
      <rPr>
        <sz val="11"/>
        <color rgb="FFFF0000"/>
        <rFont val="Calibri"/>
        <family val="2"/>
        <scheme val="minor"/>
      </rPr>
      <t>0.5 hr detention-20:22-22:02,  1 hour free /</t>
    </r>
    <r>
      <rPr>
        <sz val="11"/>
        <color theme="1"/>
        <rFont val="Calibri"/>
        <family val="2"/>
        <scheme val="minor"/>
      </rPr>
      <t xml:space="preserve"> ISA# 66662034979-LLL / MEDUGB498491 / Savannah到XLX6的detention $85/hour，2 hours free/ </t>
    </r>
    <r>
      <rPr>
        <sz val="11"/>
        <color rgb="FFFF0000"/>
        <rFont val="Calibri"/>
        <family val="2"/>
        <scheme val="minor"/>
      </rPr>
      <t>FBA1799NTXWH--5NZ8GUTI--22CTNS --3894 KGS</t>
    </r>
  </si>
  <si>
    <t>DONE#136735</t>
  </si>
  <si>
    <t>EMCU8946959</t>
  </si>
  <si>
    <t>090300142681/PO#39/ETD 8.7/evergreen $120/Customer PO No. 115159 / 57773</t>
  </si>
  <si>
    <t>FCIU5893858</t>
  </si>
  <si>
    <t>Joliet, IL 60435</t>
  </si>
  <si>
    <t>01024A</t>
  </si>
  <si>
    <t>MEDUGB591949 / 20GP / OW 19,875.94KGS / 只做delivery</t>
  </si>
  <si>
    <t>DONE#136729</t>
  </si>
  <si>
    <t>CAIU3138572</t>
  </si>
  <si>
    <t>BNSF MINNEAPOLIS</t>
  </si>
  <si>
    <t xml:space="preserve"> WAUSAU, WI, 54403</t>
  </si>
  <si>
    <t>2302AA</t>
  </si>
  <si>
    <t>8-31 discharged / ONEYTA3RF0358700 / Quotation# LNKT072023WA / pre-pull +2 days yard storage
联系人：BAUMANN FARMS LLP 联系电话：715-571-1346  BAUMANN FARMS LLP6813 N 25TH STWAUSAU, WI, 54403 TEL:715-571-1346  FAX:715-675-9298</t>
  </si>
  <si>
    <t>DONE#136596, Disputing chassis split to Horizon</t>
  </si>
  <si>
    <t>TGBU4079755</t>
  </si>
  <si>
    <t>81A640</t>
  </si>
  <si>
    <t>GAOU2343041</t>
  </si>
  <si>
    <t>5pm</t>
  </si>
  <si>
    <r>
      <rPr>
        <sz val="11"/>
        <color rgb="FFFF0000"/>
        <rFont val="Calibri"/>
        <family val="2"/>
        <scheme val="minor"/>
      </rPr>
      <t xml:space="preserve">9-14 per wechat cofirmation, Evangel would like to deliver it today 9-14 @5pm, if any dry run, Evangel will pay for it. </t>
    </r>
    <r>
      <rPr>
        <sz val="11"/>
        <color theme="1"/>
        <rFont val="Calibri"/>
        <family val="2"/>
        <scheme val="minor"/>
      </rPr>
      <t xml:space="preserve">/ 8-22 discharged/ HDMUNBOZ87960600 /SOC return to Conglobal Forest View / </t>
    </r>
    <r>
      <rPr>
        <sz val="11"/>
        <color rgb="FFFF0000"/>
        <rFont val="Calibri"/>
        <family val="2"/>
        <scheme val="minor"/>
      </rPr>
      <t xml:space="preserve">reroute $200 + chassis split $135+ ow FEE $300 </t>
    </r>
    <r>
      <rPr>
        <sz val="11"/>
        <color theme="1"/>
        <rFont val="Calibri"/>
        <family val="2"/>
        <scheme val="minor"/>
      </rPr>
      <t xml:space="preserve">/ </t>
    </r>
    <r>
      <rPr>
        <sz val="11"/>
        <color rgb="FF0000CC"/>
        <rFont val="Calibri"/>
        <family val="2"/>
        <scheme val="minor"/>
      </rPr>
      <t xml:space="preserve">Need to make APPT on OpenDock </t>
    </r>
  </si>
  <si>
    <t xml:space="preserve">DONE#136725 </t>
  </si>
  <si>
    <t>FOREST-Yvonne</t>
  </si>
  <si>
    <t>OOCU7708190</t>
  </si>
  <si>
    <t>8C8356</t>
  </si>
  <si>
    <r>
      <rPr>
        <sz val="11"/>
        <color rgb="FFFF0000"/>
        <rFont val="Calibri"/>
        <family val="2"/>
        <scheme val="minor"/>
      </rPr>
      <t>1.5 hrs detention-17:14-20:52, 2 hours free. /</t>
    </r>
    <r>
      <rPr>
        <sz val="11"/>
        <color theme="1"/>
        <rFont val="Calibri"/>
        <family val="2"/>
        <scheme val="minor"/>
      </rPr>
      <t>ISA# 112304003999-HELEN Account / 8-25 discharged /OOLU8810500040 /
FBA179MSB10B--55RJONTM--1655 ctns-6620 kgs</t>
    </r>
  </si>
  <si>
    <t>DONE# 136629</t>
  </si>
  <si>
    <t>OOLU8688638</t>
  </si>
  <si>
    <t>6am changed to drop</t>
  </si>
  <si>
    <r>
      <rPr>
        <sz val="11"/>
        <color rgb="FFFF0000"/>
        <rFont val="Calibri"/>
        <family val="2"/>
        <scheme val="minor"/>
      </rPr>
      <t>9-15 empty ready / 9-14 wayfair asked to drop, double drayage will apply / Detentinon since 6am / pre-pull &amp; yard storage</t>
    </r>
    <r>
      <rPr>
        <sz val="11"/>
        <color theme="1"/>
        <rFont val="Calibri"/>
        <family val="2"/>
        <scheme val="minor"/>
      </rPr>
      <t xml:space="preserve"> / 8-23 discharged / OOLU2723125850/ 预约方式：https://www.c3reservations.com/wayfair/app/view/20/39
账号：portal 密码：portal
用REFERENCE ID预约</t>
    </r>
  </si>
  <si>
    <t>DONE#136736</t>
  </si>
  <si>
    <t>FANU3138828</t>
  </si>
  <si>
    <t xml:space="preserve">HAPAG </t>
  </si>
  <si>
    <t>HLCUNG12307CZQG8/HC $35</t>
  </si>
  <si>
    <t>DALA80375300</t>
  </si>
  <si>
    <t>8:15AM</t>
  </si>
  <si>
    <t>ERD#8.6/CNTR#DALA80375300</t>
  </si>
  <si>
    <t>DALA83267000</t>
  </si>
  <si>
    <t>7:15AM</t>
  </si>
  <si>
    <t>ERD#8.6/CNTR#HMMU6338470</t>
  </si>
  <si>
    <t>NINGBO</t>
  </si>
  <si>
    <t>6363271910分单</t>
  </si>
  <si>
    <t>CBHU9098918</t>
  </si>
  <si>
    <t>670E1A</t>
  </si>
  <si>
    <r>
      <rPr>
        <sz val="11"/>
        <color rgb="FFFF0000"/>
        <rFont val="Calibri"/>
        <family val="2"/>
        <scheme val="minor"/>
      </rPr>
      <t>overweight $150</t>
    </r>
    <r>
      <rPr>
        <sz val="11"/>
        <color theme="1"/>
        <rFont val="Calibri"/>
        <family val="2"/>
        <scheme val="minor"/>
      </rPr>
      <t xml:space="preserve"> for overweighted on 2nd Axle/ 8-25 discharged/ COSU6362235860  / ISF ON FILE / </t>
    </r>
    <r>
      <rPr>
        <sz val="11"/>
        <color rgb="FFFF0000"/>
        <rFont val="Calibri"/>
        <family val="2"/>
        <scheme val="minor"/>
      </rPr>
      <t>Return to ITI Edgerton</t>
    </r>
  </si>
  <si>
    <t xml:space="preserve">DONE#137060 </t>
  </si>
  <si>
    <t>BSIU8172071</t>
  </si>
  <si>
    <t>649EAD</t>
  </si>
  <si>
    <r>
      <t xml:space="preserve">8-25 discharged/ COSU6362235860  / ISF ON FILE / </t>
    </r>
    <r>
      <rPr>
        <sz val="11"/>
        <color rgb="FFFF0000"/>
        <rFont val="Calibri"/>
        <family val="2"/>
        <scheme val="minor"/>
      </rPr>
      <t>Return to ITI Edgerton</t>
    </r>
  </si>
  <si>
    <t>OOLU6793803</t>
  </si>
  <si>
    <t>A52405</t>
  </si>
  <si>
    <r>
      <rPr>
        <sz val="11"/>
        <color rgb="FFFF0000"/>
        <rFont val="Calibri"/>
        <family val="2"/>
        <scheme val="minor"/>
      </rPr>
      <t>overweight $150 for overweighted on 2nd Axle</t>
    </r>
    <r>
      <rPr>
        <sz val="11"/>
        <color theme="1"/>
        <rFont val="Calibri"/>
        <family val="2"/>
        <scheme val="minor"/>
      </rPr>
      <t xml:space="preserve">/ 8-25 discharged/ COSU6362235860  / ISF ON FILE / </t>
    </r>
    <r>
      <rPr>
        <sz val="11"/>
        <color rgb="FFFF0000"/>
        <rFont val="Calibri"/>
        <family val="2"/>
        <scheme val="minor"/>
      </rPr>
      <t>Return to ITI Edgerton</t>
    </r>
  </si>
  <si>
    <t>FFAU3626460</t>
  </si>
  <si>
    <t>8B82AD</t>
  </si>
  <si>
    <t>CCLU7914479</t>
  </si>
  <si>
    <t>EDFEE0</t>
  </si>
  <si>
    <t>OOLU2723116950</t>
  </si>
  <si>
    <t>CSNU8107628</t>
  </si>
  <si>
    <t>849B58</t>
  </si>
  <si>
    <t>MSCU5710085</t>
  </si>
  <si>
    <t>149472</t>
  </si>
  <si>
    <t>MEDUGB591949 / 只做delivery</t>
  </si>
  <si>
    <t>HPCU2441628</t>
  </si>
  <si>
    <t>MASON, OH 45040 </t>
  </si>
  <si>
    <r>
      <t>8-30 still on vessel / ONEYXMND49689800/</t>
    </r>
    <r>
      <rPr>
        <sz val="11"/>
        <color rgb="FFFF0000"/>
        <rFont val="Calibri"/>
        <family val="2"/>
        <scheme val="minor"/>
      </rPr>
      <t>SOC return to ITS Conglobal Cincinnati</t>
    </r>
    <r>
      <rPr>
        <sz val="11"/>
        <color theme="1"/>
        <rFont val="Calibri"/>
        <family val="2"/>
        <scheme val="minor"/>
      </rPr>
      <t xml:space="preserve"> / re-route $125 and chassis split / TLX RLS</t>
    </r>
  </si>
  <si>
    <t xml:space="preserve">DONE#136632 </t>
  </si>
  <si>
    <t>HPCU2441607</t>
  </si>
  <si>
    <t>11:30am</t>
  </si>
  <si>
    <t>CBHU9093372</t>
  </si>
  <si>
    <t>BDFCD9</t>
  </si>
  <si>
    <t>OOCU8481500</t>
  </si>
  <si>
    <t>2398DC</t>
  </si>
  <si>
    <t>MORTON, IL 61550</t>
  </si>
  <si>
    <t>8/3 4PM</t>
  </si>
  <si>
    <t>1X40FLEX/CNTR#CCLU747032</t>
  </si>
  <si>
    <t>BMOU2647370</t>
  </si>
  <si>
    <t>285AEC</t>
  </si>
  <si>
    <t>MEDUFA127119/QINGDAO TO CHICAGO/isf/3600</t>
  </si>
  <si>
    <t xml:space="preserve">CSNU8440156 </t>
  </si>
  <si>
    <t>59E74B</t>
  </si>
  <si>
    <t>OOLU2300407702</t>
  </si>
  <si>
    <t>OOLU6927991</t>
  </si>
  <si>
    <t>65226A</t>
  </si>
  <si>
    <t>GLDU5408573</t>
  </si>
  <si>
    <t>MEDUGB591949 / 20GP / OW 19,920.60KGS / 只做delivery</t>
  </si>
  <si>
    <t>TXGU5697107</t>
  </si>
  <si>
    <t>UP Minneapolis</t>
  </si>
  <si>
    <t>BIG BLUE BOX</t>
  </si>
  <si>
    <t>Brooklyn Park, MN 55445</t>
  </si>
  <si>
    <t>9-18 empty ready /EGLV142353560157 / Q# WUH062123B / Drop fee double drayage
delivery to: 9501 Louisiana Ave Suite 200 Brooklyn Park, MN 55445
仓库代码：MN-200
BESTERGO INC.
邮箱：phil.carlson@bestergo.com
CC：info@pg-network.com；hailey.he@sovel.cn 
Contact: Phil Carlson
Tel: 763 203 4250</t>
  </si>
  <si>
    <t>DONE#136724</t>
  </si>
  <si>
    <t>MSCU4903726</t>
  </si>
  <si>
    <t>F4BC5E</t>
  </si>
  <si>
    <t>1X40HQ</t>
  </si>
  <si>
    <t>LAX-NINGBO</t>
  </si>
  <si>
    <t>6363661190/6363745500 in the same order</t>
  </si>
  <si>
    <t>2X40HQ</t>
  </si>
  <si>
    <t>869544-8/22
872670-8/23</t>
  </si>
  <si>
    <t>OAKBROOK,IL,60523</t>
  </si>
  <si>
    <t>8/23 @3PM</t>
  </si>
  <si>
    <t>869544-8/21
872670-8/22</t>
  </si>
  <si>
    <t xml:space="preserve">ERD 8.19/CNTR#FFAU2700834&amp;/REF#869544&amp;872670 </t>
  </si>
  <si>
    <t>OOLU9263704</t>
  </si>
  <si>
    <t>A3D7F0</t>
  </si>
  <si>
    <t>OOLU8810511860</t>
  </si>
  <si>
    <t>TLLU4056724</t>
  </si>
  <si>
    <t>EGLV003301665996/MTPE23080046/4300,4200</t>
  </si>
  <si>
    <t>4*40HQ</t>
  </si>
  <si>
    <t>4 CNTR- 8/4</t>
  </si>
  <si>
    <t>MVK</t>
  </si>
  <si>
    <t>8/7 @3PM</t>
  </si>
  <si>
    <t>ERD 8-3/CNTR#BEAU6008135&amp;OOLU8955734&amp;TLLU5730266&amp;TRHU7256729/Q#EMBL080223A</t>
  </si>
  <si>
    <t>DALA13849600</t>
  </si>
  <si>
    <t>8-25 @8AM</t>
  </si>
  <si>
    <t>ERD 8-21 @6AM/CNTR#CAIU435323</t>
  </si>
  <si>
    <t>DALA25068100</t>
  </si>
  <si>
    <t>ERD 8-21 @6AM/CNTR#</t>
  </si>
  <si>
    <t>MORTON,IL,61550</t>
  </si>
  <si>
    <t>8/10 @4PM</t>
  </si>
  <si>
    <t>ERD 8.6/CNTR#CSNU7215546/REF#SPGLSED00002079 -ORD359700/dry run 225</t>
  </si>
  <si>
    <t>PORT WENTWORTH, GA 31407</t>
  </si>
  <si>
    <t>8/18 4PM</t>
  </si>
  <si>
    <t>FSCU8638650</t>
  </si>
  <si>
    <t>DALA97700000</t>
  </si>
  <si>
    <t>8-25 @6PM</t>
  </si>
  <si>
    <t>8/9 4PM</t>
  </si>
  <si>
    <t>1X40 HQ/#029/TGBU9256998</t>
  </si>
  <si>
    <t xml:space="preserve">ERD/CNTR#TGBU8782160/REF#ORD359701 </t>
  </si>
  <si>
    <t>8/24 @4PM</t>
  </si>
  <si>
    <t xml:space="preserve">ERD/CNTR#SEKU4022629/REF#ORD359702 </t>
  </si>
  <si>
    <t>872759-8/24
872760-8/24</t>
  </si>
  <si>
    <t>8/26 @4PM</t>
  </si>
  <si>
    <t>ERD 8-22/CNTR#/REF#872759&amp;872760</t>
  </si>
  <si>
    <t>CMAU6134742</t>
  </si>
  <si>
    <t>e7f012</t>
  </si>
  <si>
    <t>CMDUCHN0420244 / 去exam site 的drayage 额外收300美金/ 8-15 送去exam site channel, 然后8-21号送去正确的exam site at Global CFS/ exam 在9-27号完成/</t>
  </si>
  <si>
    <t xml:space="preserve">done  </t>
  </si>
  <si>
    <t>QINGDAO ZHEXIN</t>
  </si>
  <si>
    <t>TCNU1950913</t>
  </si>
  <si>
    <t xml:space="preserve">MONON, IL </t>
  </si>
  <si>
    <t>YMLUW240315767, $1200 ALL IN</t>
  </si>
  <si>
    <t>MATU2683426</t>
  </si>
  <si>
    <t>0D901C</t>
  </si>
  <si>
    <t>MATS6114379000</t>
  </si>
  <si>
    <t>SEGU4769543</t>
  </si>
  <si>
    <t>7236b4</t>
  </si>
  <si>
    <t xml:space="preserve">CMDUCHN0408136 </t>
  </si>
  <si>
    <t>CMAU7797009</t>
  </si>
  <si>
    <t>18e0f2</t>
  </si>
  <si>
    <t>CMDUCHN0408138</t>
  </si>
  <si>
    <t>MATU2662444</t>
  </si>
  <si>
    <t>ec977b</t>
  </si>
  <si>
    <t xml:space="preserve">MATS1836545000 </t>
  </si>
  <si>
    <t>wei tu</t>
  </si>
  <si>
    <t>MATU2632959</t>
  </si>
  <si>
    <t>A8FF80</t>
  </si>
  <si>
    <t>MATS6993081000</t>
  </si>
  <si>
    <t>TIIU4296087</t>
  </si>
  <si>
    <t>55399C</t>
  </si>
  <si>
    <t xml:space="preserve">CMDUCHN0391548 </t>
  </si>
  <si>
    <t>CAIU9391905</t>
  </si>
  <si>
    <t>b2bb05</t>
  </si>
  <si>
    <t>CMDUCHN0429204</t>
  </si>
  <si>
    <t>TCNU2386900</t>
  </si>
  <si>
    <t>8/29-EXAM
9/30 @10PM-AMZ IND9</t>
  </si>
  <si>
    <t>EXAM SITE/AMZ IND9</t>
  </si>
  <si>
    <t>640ECA</t>
  </si>
  <si>
    <t>CMDUSHZ5645573/Q#ANLI081523A/ABL PD/ISA#11198940973/PICK UP FROM EXAM SITE 9.26</t>
  </si>
  <si>
    <t>TGHU9781180</t>
  </si>
  <si>
    <t>ABL-9/1
MQJ1-9/2-30 PLTS
MQJ1-9/19 6 PLTS
MQJ1-9/22-5PLTS</t>
  </si>
  <si>
    <t>ABL 180CTNS/ 5 PLTS
8:00EDT-30 PLTS</t>
  </si>
  <si>
    <t>AMZ ABL -MQJ1</t>
  </si>
  <si>
    <t>057AD4</t>
  </si>
  <si>
    <r>
      <rPr>
        <sz val="11"/>
        <color rgb="FF0000CC"/>
        <rFont val="Calibri"/>
        <family val="2"/>
        <scheme val="minor"/>
      </rPr>
      <t xml:space="preserve">Total 36 plts( 走了30 托， 余6托)+5 plts ( 180ctns) / 9-1客户决定transload / pre-pull, yard storage/ pre-pull/ yard storage </t>
    </r>
    <r>
      <rPr>
        <sz val="11"/>
        <color rgb="FFFF0000"/>
        <rFont val="Calibri"/>
        <family val="2"/>
        <scheme val="minor"/>
      </rPr>
      <t xml:space="preserve">/ Error on Error on shipment 6: PO 5F2HBCMG &amp; shipment1: PO 2155H7VE has been used too many times </t>
    </r>
    <r>
      <rPr>
        <sz val="11"/>
        <color theme="1"/>
        <rFont val="Calibri"/>
        <family val="2"/>
        <scheme val="minor"/>
      </rPr>
      <t>/ 8-18 discharged / OOLU4119773760 / Pending customer DO /
FBA178PGX8R1--2155H7VE--180
FBA178JRDS55--3DF7FXPM--1070
FBA178YCK07P--4XJ3DQIW--25
FBA179GBPLKG--8ZON4J9D--4
FBA179NZDHFG--5APCZO8Y--3
FBA179QDPKQB--5F2HBCMG--15</t>
    </r>
  </si>
  <si>
    <t>TCNU4547244</t>
  </si>
  <si>
    <t>MATS8188959000</t>
  </si>
  <si>
    <t>SEKU6209964</t>
  </si>
  <si>
    <t>3da3eb</t>
  </si>
  <si>
    <t>CMDUCHN0447430</t>
  </si>
  <si>
    <t>HLBU1566569</t>
  </si>
  <si>
    <t>LA/YUSEN TERMINAL</t>
  </si>
  <si>
    <t>Ramona CA 92065</t>
  </si>
  <si>
    <t>70502702 / PO#043/ISF/HLCUPEN230800018/$7 terminal fee/terminal $88</t>
  </si>
  <si>
    <t>TCLU8170505</t>
  </si>
  <si>
    <t>C14377</t>
  </si>
  <si>
    <t>MATS8648667000</t>
  </si>
  <si>
    <t>FCIU9974860</t>
  </si>
  <si>
    <t>LAX</t>
  </si>
  <si>
    <t>COSU6361904930 /isf/ terminal $88/dmg$174</t>
  </si>
  <si>
    <t>EISU8346031</t>
  </si>
  <si>
    <t>EGLV003301659929/MTPE23080075/4300,4200</t>
  </si>
  <si>
    <t>BEAU5770296</t>
  </si>
  <si>
    <t>CB00EC</t>
  </si>
  <si>
    <t>OOLU8810511860 / customs rls</t>
  </si>
  <si>
    <t>HASU4974817</t>
  </si>
  <si>
    <t>1E02D7</t>
  </si>
  <si>
    <t>MEDU230227032/ISF</t>
  </si>
  <si>
    <t>8dt</t>
  </si>
  <si>
    <t>EMCU8340869</t>
  </si>
  <si>
    <t>up</t>
  </si>
  <si>
    <t xml:space="preserve">EGLV142301746845 </t>
  </si>
  <si>
    <t>GLDU5502810</t>
  </si>
  <si>
    <t>CAAU5570854</t>
  </si>
  <si>
    <t>C60D53</t>
  </si>
  <si>
    <t>MEDUP8944407/SLCHI070043/PO#RCT 15213</t>
  </si>
  <si>
    <t>CZZU3795730</t>
  </si>
  <si>
    <t>10:30AM</t>
  </si>
  <si>
    <t>C6D395</t>
  </si>
  <si>
    <t>FCIU6375447</t>
  </si>
  <si>
    <t>DES PLAINS,IL,60018</t>
  </si>
  <si>
    <t>317C19</t>
  </si>
  <si>
    <t>MBL#MEDUP8948978/HBL#SLCHI070033/PO#PO00134509</t>
  </si>
  <si>
    <t>MSMU1402823</t>
  </si>
  <si>
    <t>4245D0</t>
  </si>
  <si>
    <t>SEGU2684827</t>
  </si>
  <si>
    <t>2339ED</t>
  </si>
  <si>
    <t>YMPRW272036347/HKOE23080159</t>
  </si>
  <si>
    <t>SMCU1068520</t>
  </si>
  <si>
    <t>SML</t>
  </si>
  <si>
    <t xml:space="preserve">abl fba </t>
  </si>
  <si>
    <t>6566432</t>
  </si>
  <si>
    <r>
      <rPr>
        <sz val="11"/>
        <color rgb="FFFF0000"/>
        <rFont val="Calibri"/>
        <family val="2"/>
        <scheme val="minor"/>
      </rPr>
      <t xml:space="preserve">1 box damage &amp; 5 plts only damaged / $10/ plt for pallet repairing </t>
    </r>
    <r>
      <rPr>
        <sz val="11"/>
        <color theme="1"/>
        <rFont val="Calibri"/>
        <family val="2"/>
        <scheme val="minor"/>
      </rPr>
      <t xml:space="preserve"> / 9.25 Devanned, total 41 plts /9-6 discharged/ MBL# NJEB3B610300 / Transload / To multilple address</t>
    </r>
  </si>
  <si>
    <t>TCNU7460087</t>
  </si>
  <si>
    <t>ONEYSGNDA0368800/HCMOE2307326/Q#APXL070523A/DROP $300</t>
  </si>
  <si>
    <t>TCLU7815549</t>
  </si>
  <si>
    <t>TLLU5710491</t>
  </si>
  <si>
    <t>HLBU2406605</t>
  </si>
  <si>
    <t>8-10AM</t>
  </si>
  <si>
    <t>ITASCA,IL,60143</t>
  </si>
  <si>
    <t>HLCUIZ1230740268/$200 REROUTE</t>
  </si>
  <si>
    <t>YMLU8730077</t>
  </si>
  <si>
    <t>2B9F2A</t>
  </si>
  <si>
    <t>SEGU5751446</t>
  </si>
  <si>
    <t>ABL WH</t>
  </si>
  <si>
    <t>89D16A</t>
  </si>
  <si>
    <t>YMPRW242562515/SHE23074189/Devan 9.22&amp;PICK UP 25PLTS 9.28/33 PLTS 10.4</t>
  </si>
  <si>
    <t>CAIU7334418</t>
  </si>
  <si>
    <t>33D4FA</t>
  </si>
  <si>
    <t>YMPRW242562517/SHE23074191</t>
  </si>
  <si>
    <t>TCLU4363620</t>
  </si>
  <si>
    <t>BENSENVILLE,IL,60106/NOT AMZ</t>
  </si>
  <si>
    <t>CMDUCHN0444052/OERT201718M02097</t>
  </si>
  <si>
    <t>SEKU5611602</t>
  </si>
  <si>
    <t>A4F9B4</t>
  </si>
  <si>
    <t>CMDUSHZ5655649/SZX23080093A</t>
  </si>
  <si>
    <t>TRHU6896110</t>
  </si>
  <si>
    <t>0EEB81</t>
  </si>
  <si>
    <t>CMDUSHZ5710261</t>
  </si>
  <si>
    <t>CMAU8921731</t>
  </si>
  <si>
    <t>0EEFD5</t>
  </si>
  <si>
    <t>CMDUSHZ5710260</t>
  </si>
  <si>
    <t>CAIU7856916</t>
  </si>
  <si>
    <t>SOUTHAVEN,MS,38672</t>
  </si>
  <si>
    <t>YMPRW242562447/Q#AP-0308A</t>
  </si>
  <si>
    <t>ECMU9507586</t>
  </si>
  <si>
    <t>D544E9</t>
  </si>
  <si>
    <t>CMDUSHZ5710255/SZX23080204A</t>
  </si>
  <si>
    <t>FCIU8929450</t>
  </si>
  <si>
    <t>79DD6A</t>
  </si>
  <si>
    <t>CMDUSHZ5710254</t>
  </si>
  <si>
    <t>KOCU5200137</t>
  </si>
  <si>
    <t>HDMUNKGM77619100/SHE23084035</t>
  </si>
  <si>
    <t>KOCU4083653</t>
  </si>
  <si>
    <t>HDMUNKGM71967200/SHE23084034</t>
  </si>
  <si>
    <t>CMAU6453375</t>
  </si>
  <si>
    <t>37AB92</t>
  </si>
  <si>
    <t>CMDUSHZ5705551/SZX23080234A</t>
  </si>
  <si>
    <t>SEKU5731640</t>
  </si>
  <si>
    <t>CMDUSHZ5705556/SZX23080172A</t>
  </si>
  <si>
    <t>BMOU4656719</t>
  </si>
  <si>
    <t>4F0C6C</t>
  </si>
  <si>
    <t>CMDUSHZ5687778/SZX23080099A</t>
  </si>
  <si>
    <t>CMAU9543132</t>
  </si>
  <si>
    <t>1008C9</t>
  </si>
  <si>
    <t>CMDUSHZ5710263/SZX23080207A</t>
  </si>
  <si>
    <t>CMAU6637496</t>
  </si>
  <si>
    <t>7AE49C</t>
  </si>
  <si>
    <t>CMDUSHZ5710257/SZX23080206A</t>
  </si>
  <si>
    <t>CMAU4268568</t>
  </si>
  <si>
    <t>CMDUSHZ5705552/SZX23080201A</t>
  </si>
  <si>
    <t>OOLU8860201</t>
  </si>
  <si>
    <t>1705 Kansas Ave, Kansas City,KS,66105</t>
  </si>
  <si>
    <t>D4EF8C</t>
  </si>
  <si>
    <t>9-25 pending discharge /OOLU2142588690 / ISF ON FILE / AN SENT / SWB/ 1.25HR DET//Q#230315</t>
  </si>
  <si>
    <t>YMMU6486129</t>
  </si>
  <si>
    <t>yang ming</t>
  </si>
  <si>
    <t>ddd267</t>
  </si>
  <si>
    <t>YMPRW232510709</t>
  </si>
  <si>
    <t>TRHU7196759</t>
  </si>
  <si>
    <t>BNSF-LPC</t>
  </si>
  <si>
    <t>ABL 9-11
9-18 MDW2-25 PLTS
9-19 MQJ1-2 PLTS
9-18 JVL1-1 PLT
9-18 DET1-6PLTS</t>
  </si>
  <si>
    <t>MDW2 POD sent
MQJ1 POD sent</t>
  </si>
  <si>
    <t>C4E891</t>
  </si>
  <si>
    <t>9-13 Devanned-36 plts / Transload / EGLV140301419295</t>
  </si>
  <si>
    <t>SEKU6332515</t>
  </si>
  <si>
    <t>8c2f2c</t>
  </si>
  <si>
    <t xml:space="preserve">cmduNGP0456326 </t>
  </si>
  <si>
    <t>HPCU2210038</t>
  </si>
  <si>
    <t>UP Denver</t>
  </si>
  <si>
    <t>DIX</t>
  </si>
  <si>
    <t>DENVER,CO 80239</t>
  </si>
  <si>
    <t>‘6321546</t>
  </si>
  <si>
    <r>
      <t xml:space="preserve">9-8 discharged/ ONEYXMND56519500  / </t>
    </r>
    <r>
      <rPr>
        <sz val="11"/>
        <color rgb="FFFF0000"/>
        <rFont val="Calibri"/>
        <family val="2"/>
        <scheme val="minor"/>
      </rPr>
      <t>SOC</t>
    </r>
    <r>
      <rPr>
        <sz val="11"/>
        <color theme="1"/>
        <rFont val="Calibri"/>
        <family val="2"/>
        <charset val="134"/>
        <scheme val="minor"/>
      </rPr>
      <t xml:space="preserve"> 
</t>
    </r>
    <r>
      <rPr>
        <sz val="11"/>
        <color rgb="FFFF0000"/>
        <rFont val="Calibri"/>
        <family val="2"/>
        <scheme val="minor"/>
      </rPr>
      <t>送货完后，请帮忙让司机锁柜门时检查下箱子是否有破损，拍照</t>
    </r>
    <r>
      <rPr>
        <sz val="11"/>
        <color theme="1"/>
        <rFont val="Calibri"/>
        <family val="2"/>
        <charset val="134"/>
        <scheme val="minor"/>
      </rPr>
      <t>，
ATTN: Jeff Kendzior
TEL:+1 800 255 1901
Email: jkendzior@arizonashowerdoor.com 
抄送：op1_sxjd@aspeed.cn
 sales2_sxjd@aspeed.cn</t>
    </r>
  </si>
  <si>
    <t xml:space="preserve">DONE#136840 </t>
  </si>
  <si>
    <t>CICU4978427</t>
  </si>
  <si>
    <t>between 6:30AM-3PM MS</t>
  </si>
  <si>
    <t>GOLDEN, CO 80403</t>
  </si>
  <si>
    <r>
      <rPr>
        <sz val="11"/>
        <color rgb="FFFF0000"/>
        <rFont val="Calibri"/>
        <family val="2"/>
        <scheme val="minor"/>
      </rPr>
      <t>Chassis split for SOC return /</t>
    </r>
    <r>
      <rPr>
        <sz val="11"/>
        <color theme="1"/>
        <rFont val="Calibri"/>
        <family val="2"/>
        <scheme val="minor"/>
      </rPr>
      <t xml:space="preserve"> CMDUXIA1197711  / SOC 送货完后，请帮忙让司机锁柜门时检查下箱子是否有破损，拍照，
Mr Steve Jacobs
E-mail：steve.jacobs@vitrazza.com
Direct: 720.307.4457
Mobile:219.743.2637
抄送：op1_sxjd@aspeed.cn
 sales2_sxjd@aspeed.cn</t>
    </r>
  </si>
  <si>
    <t xml:space="preserve">DONE#137579 </t>
  </si>
  <si>
    <t>DALA83437000</t>
  </si>
  <si>
    <t>1*40HQ</t>
  </si>
  <si>
    <t>09:15AM</t>
  </si>
  <si>
    <t>9/26 @6PM</t>
  </si>
  <si>
    <t>ERD SEP 22/CNTR#KOCU485714</t>
  </si>
  <si>
    <t>DALA66335200</t>
  </si>
  <si>
    <t>874702-9/14
874704-9/14</t>
  </si>
  <si>
    <t xml:space="preserve">ERD 9-12/CNTR#BSIU9631133&amp;HDMU6691154/REF#874702&amp;874704 </t>
  </si>
  <si>
    <t>DFSU6318137</t>
  </si>
  <si>
    <t>2979a0</t>
  </si>
  <si>
    <t>COSU6362380040, pay CTF $20 / EXAM HOLD / 9-21 ST IN/</t>
  </si>
  <si>
    <t>TRHU6508092</t>
  </si>
  <si>
    <t>78D9F0</t>
  </si>
  <si>
    <t>9-25 pending discharge /OOLU2142588690 / ISF ON FILE / AN SENT / SWB/0.75HR DET//Q#230315</t>
  </si>
  <si>
    <t>OOCU6546535</t>
  </si>
  <si>
    <t>9EF3B9</t>
  </si>
  <si>
    <t>9-25 pending discharge /OOLU2142588690 / ISF ON FILE / AN SENT / SWB/2HRS DET/Q#230315</t>
  </si>
  <si>
    <t>CSNU7374342</t>
  </si>
  <si>
    <t>6631AC</t>
  </si>
  <si>
    <t>9-25 pending discharge /OOLU2142588690 / ISF ON FILE / AN SENT / SWB/1HR DET//Q#230315</t>
  </si>
  <si>
    <t>MSDU5889400</t>
  </si>
  <si>
    <t xml:space="preserve"> EAST CHICAGO IN 46312</t>
  </si>
  <si>
    <t xml:space="preserve"> E8C969</t>
  </si>
  <si>
    <t>MEDUGB851772
Contact: ARIK MIZRACH     1 219 678 2877</t>
  </si>
  <si>
    <t>DONE#136849</t>
  </si>
  <si>
    <t>MEDU5457862</t>
  </si>
  <si>
    <t xml:space="preserve"> BNSF LPC</t>
  </si>
  <si>
    <t>F1A2E8</t>
  </si>
  <si>
    <t>MEDUQK170205 / OW</t>
  </si>
  <si>
    <t>DONE# 137578</t>
  </si>
  <si>
    <t>MEDU4117723</t>
  </si>
  <si>
    <t>F1AE98</t>
  </si>
  <si>
    <t>MEDUQK170205</t>
  </si>
  <si>
    <t>MSKU0359887</t>
  </si>
  <si>
    <t>MC HENRY, IL 60050</t>
  </si>
  <si>
    <t>MAEU229386484</t>
  </si>
  <si>
    <t>SEGU3047870</t>
  </si>
  <si>
    <t xml:space="preserve">22:00 EDT	</t>
  </si>
  <si>
    <t>AMZ- FWA4- Fort Wayne, IN 46809</t>
  </si>
  <si>
    <t>4547AF</t>
  </si>
  <si>
    <r>
      <rPr>
        <sz val="11"/>
        <color rgb="FFFF0000"/>
        <rFont val="Calibri"/>
        <family val="2"/>
        <scheme val="minor"/>
      </rPr>
      <t>13hrs detention-Waiting time 09/27/2023 22:31 EDT- 09/28/2023 13:40 EDT, 2 hours free</t>
    </r>
    <r>
      <rPr>
        <sz val="11"/>
        <color rgb="FF0000CC"/>
        <rFont val="Calibri"/>
        <family val="2"/>
        <scheme val="minor"/>
      </rPr>
      <t xml:space="preserve">/ FLIP FEE/ PRE-*PULL &amp; YARD STORAGE </t>
    </r>
    <r>
      <rPr>
        <sz val="11"/>
        <color rgb="FFFF0000"/>
        <rFont val="Calibri"/>
        <family val="2"/>
        <scheme val="minor"/>
      </rPr>
      <t xml:space="preserve"> / ISA# 121363009997-LLL Account</t>
    </r>
    <r>
      <rPr>
        <sz val="11"/>
        <color theme="1"/>
        <rFont val="Calibri"/>
        <family val="2"/>
        <scheme val="minor"/>
      </rPr>
      <t>/ 9-5 discharged / OOLU2142282600 / Q# WUH080723B
FWA4:   桌面火炉    1225箱   FBA17B3NKVS3/32GYBTBR / 17171.6 KGS</t>
    </r>
  </si>
  <si>
    <t>DONE#137458</t>
  </si>
  <si>
    <t>HANCOCK</t>
  </si>
  <si>
    <t>OOLU4412560</t>
  </si>
  <si>
    <t>LONG BEACH PORT(W182)</t>
  </si>
  <si>
    <t>JCB TRANSLOADING WH</t>
  </si>
  <si>
    <t>COSU6363109270/Q#HK091123A/REF#85606/CH ROHBINSON Piney PICK UP 9-26&amp;Fontana PICK UP 10-3</t>
  </si>
  <si>
    <t>MATU2691817</t>
  </si>
  <si>
    <t>8BF3F8</t>
  </si>
  <si>
    <t>MATS1654150000</t>
  </si>
  <si>
    <t>MATU2657509</t>
  </si>
  <si>
    <t>CDBCE8</t>
  </si>
  <si>
    <t>MATS6841780000</t>
  </si>
  <si>
    <t>FCIU7521973</t>
  </si>
  <si>
    <t xml:space="preserve">EGLV143354183185  </t>
  </si>
  <si>
    <t xml:space="preserve">OOCU8561631 </t>
  </si>
  <si>
    <t>OOLU8810509680</t>
  </si>
  <si>
    <t>TURNOVER</t>
  </si>
  <si>
    <t>OOLU6947874</t>
  </si>
  <si>
    <t xml:space="preserve">C223D2
</t>
  </si>
  <si>
    <t>CMAU7714241</t>
  </si>
  <si>
    <t>0A56FC</t>
  </si>
  <si>
    <t xml:space="preserve">CMDUCHN0462447 </t>
  </si>
  <si>
    <t>SEKU6229678</t>
  </si>
  <si>
    <t>F1FA92</t>
  </si>
  <si>
    <t xml:space="preserve">CMDUCHN0462266 /掏货 散货留下，mqj1 剩在车里/MQJ1 ISA 304971004970 set for 2023/09/15 19:00 EDT </t>
  </si>
  <si>
    <t>CMAU4751072</t>
  </si>
  <si>
    <t>E3EFD4</t>
  </si>
  <si>
    <t>CMDUCHN0462363</t>
  </si>
  <si>
    <t>ECMU8090841</t>
  </si>
  <si>
    <t>B5CFEF</t>
  </si>
  <si>
    <t>CMDUCHN0529588/Q#YWHJ081823A</t>
  </si>
  <si>
    <t xml:space="preserve">BEAU2155190 </t>
  </si>
  <si>
    <t>evergreen</t>
  </si>
  <si>
    <t xml:space="preserve">EGLV142301834001 </t>
  </si>
  <si>
    <t>顺圆 Safround</t>
  </si>
  <si>
    <t>CMAU8412082</t>
  </si>
  <si>
    <t>7709FF</t>
  </si>
  <si>
    <r>
      <rPr>
        <sz val="11"/>
        <color rgb="FFFF0000"/>
        <rFont val="Calibri"/>
        <family val="2"/>
        <scheme val="minor"/>
      </rPr>
      <t xml:space="preserve">IG to Delong, re-route $125+ chassis split </t>
    </r>
    <r>
      <rPr>
        <sz val="11"/>
        <color theme="1"/>
        <rFont val="Calibri"/>
        <family val="2"/>
        <scheme val="minor"/>
      </rPr>
      <t xml:space="preserve">/ 9-3 dicharged / MBL# CMDUNGP0429802 / 收H/C，要发AN给顺圆 /  </t>
    </r>
    <r>
      <rPr>
        <sz val="11"/>
        <color rgb="FFFF0000"/>
        <rFont val="Calibri"/>
        <family val="2"/>
        <scheme val="minor"/>
      </rPr>
      <t>FEDEX MBL背书原件寄给CMA ,FEDEX# 7735720096</t>
    </r>
    <r>
      <rPr>
        <sz val="11"/>
        <color theme="1"/>
        <rFont val="Calibri"/>
        <family val="2"/>
        <scheme val="minor"/>
      </rPr>
      <t xml:space="preserve"> 
AN SEND TO: an@suntrackexpress.com/prealert@suntrackexpress.com
WILLOW ELECTRICAL SUPPLY
3828 DES PLAINES RIVER RD, SCHILLER PARK, IL 60176
T: 847-801-5010 X999/ M: 773-817-5194</t>
    </r>
  </si>
  <si>
    <t>DONE#136627</t>
  </si>
  <si>
    <t>NBJD</t>
  </si>
  <si>
    <t>1X40HQ, LAX TO NINGBO/helen did aes and si</t>
  </si>
  <si>
    <t>LA TO NINGBO</t>
  </si>
  <si>
    <t>NINGBO KAIYU</t>
  </si>
  <si>
    <t xml:space="preserve">TCNU8364998  </t>
  </si>
  <si>
    <t xml:space="preserve">WIXOM,MI,48393 </t>
  </si>
  <si>
    <t>CMDUNGP0455383/Q#UPDATED-HP-0728</t>
  </si>
  <si>
    <t>TEMU7022202</t>
  </si>
  <si>
    <t>32D833</t>
  </si>
  <si>
    <t>YMPRW242562516/SHE23074190</t>
  </si>
  <si>
    <t>TCNU1488493</t>
  </si>
  <si>
    <t>TACOMA-HUSKY</t>
  </si>
  <si>
    <t>70550688/HLCUKUL230734475/po#0058494, ETD8/7,ISF</t>
  </si>
  <si>
    <t>SNSSYNBN373FN002</t>
  </si>
  <si>
    <t>PORT OF BENICIA</t>
  </si>
  <si>
    <t>ELECTRICITY BUS/SAUL072023A/Agent $408/TERMINAL 150</t>
  </si>
  <si>
    <t>OOLU6762649</t>
  </si>
  <si>
    <t>OOLU2722476510</t>
  </si>
  <si>
    <t>TRHU8892371</t>
  </si>
  <si>
    <t>2C5C26</t>
  </si>
  <si>
    <r>
      <t>CMDUNGP0424921 /</t>
    </r>
    <r>
      <rPr>
        <sz val="11"/>
        <color rgb="FFFF0000"/>
        <rFont val="Calibri"/>
        <family val="2"/>
        <scheme val="minor"/>
      </rPr>
      <t xml:space="preserve"> FEDEX MBL 背书寄给CMA, FEDEX# 773288434810 / TLX HBL</t>
    </r>
    <r>
      <rPr>
        <sz val="11"/>
        <color theme="1"/>
        <rFont val="Calibri"/>
        <family val="2"/>
        <scheme val="minor"/>
      </rPr>
      <t xml:space="preserve">
AN SEND TO: an@suntrackexpress.com/prealert@suntrackexpress.com
WILLOW ELECTRICAL SUPPLY
3828 DES PLAINES RIVER RD, SCHILLER PARK, IL 60176
T: 847-801-5010 X999/ M: 773-817-5194
</t>
    </r>
    <r>
      <rPr>
        <sz val="11"/>
        <color rgb="FFFF0000"/>
        <rFont val="Calibri"/>
        <family val="2"/>
        <scheme val="minor"/>
      </rPr>
      <t>make appt cc to : linda@zhiqi-china.com/service@zhiqi-china.com/shipping2@zhiqi-china.com</t>
    </r>
  </si>
  <si>
    <t xml:space="preserve">DONE#137460 </t>
  </si>
  <si>
    <t>顺圆 Safround-DFW</t>
  </si>
  <si>
    <t>MEDU7814655</t>
  </si>
  <si>
    <t>BNSF DALLAS TX</t>
  </si>
  <si>
    <t>ANS SENT</t>
  </si>
  <si>
    <t>DFW</t>
  </si>
  <si>
    <t>DFW ARRANGE</t>
  </si>
  <si>
    <t>FB4FE9</t>
  </si>
  <si>
    <t>MEDUGB562866  / DFW 操作， 我们收客人换单费$50， 要发AN给顺圆</t>
  </si>
  <si>
    <t xml:space="preserve">DONE# 135567 </t>
  </si>
  <si>
    <t>BEAU5465081</t>
  </si>
  <si>
    <t>ONEYXMND57989300/Q#TITAN31623M</t>
  </si>
  <si>
    <t>OOLU4931755</t>
  </si>
  <si>
    <t>20AC1F</t>
  </si>
  <si>
    <t>OOLU2723896380</t>
  </si>
  <si>
    <t>TGHU6896150</t>
  </si>
  <si>
    <t>Ports America-Port of Tampa Ctn Tml</t>
  </si>
  <si>
    <t xml:space="preserve"> Tampa  FL 33610</t>
  </si>
  <si>
    <t xml:space="preserve">1.25 hours detention -Waiting time 10:00-13:15,  2 hours free./ COSU6360842530
WHSE 585    5422 Boran Place Tampa  FL 33610
邮箱：donnyc@1800radiator.com
CC：info@pg-network.com；jenniej@sovel.cn; zhangjian@sovel.cn
Contact: Donny Citron </t>
  </si>
  <si>
    <t>DONE#136707</t>
  </si>
  <si>
    <t xml:space="preserve">TCNU1021430 </t>
  </si>
  <si>
    <t>CSX-Columbus OH</t>
  </si>
  <si>
    <t>C &amp; K</t>
  </si>
  <si>
    <t xml:space="preserve">Wheeling, WV 26003 </t>
  </si>
  <si>
    <t>R00112255495</t>
  </si>
  <si>
    <r>
      <rPr>
        <sz val="11"/>
        <color rgb="FFFF0000"/>
        <rFont val="Calibri"/>
        <family val="2"/>
        <scheme val="minor"/>
      </rPr>
      <t>pre-pull &amp; yard storage /waive 1 day yard storage for 9.21 /9-19 Delivery address changed to 90-98 41st street, Wheeling, WV 26003</t>
    </r>
    <r>
      <rPr>
        <sz val="11"/>
        <color theme="1"/>
        <rFont val="Calibri"/>
        <family val="2"/>
        <scheme val="minor"/>
      </rPr>
      <t xml:space="preserve"> / 9-6 discharged / MEDUGB935526 / Quotation#	WUH230818-1
邮箱：joshc@panhandlecr.com 
CC：info@pg-network.com；jenniej@sovel.cn；zhangjian@sovel.cn
Contact: 304-232-2321/304-650-0960</t>
    </r>
  </si>
  <si>
    <t>DONE# 137450</t>
  </si>
  <si>
    <t>OOLU9874160</t>
  </si>
  <si>
    <t>C1A1FD</t>
  </si>
  <si>
    <t>1x40HQ</t>
  </si>
  <si>
    <t>9/14 @4PM</t>
  </si>
  <si>
    <t xml:space="preserve">ERD SEP 10/CNTR#CSLU617134/REF#ORD375480 </t>
  </si>
  <si>
    <t>RQ 瑞秋</t>
  </si>
  <si>
    <t>DRYU9447219</t>
  </si>
  <si>
    <t>NS CHARLOTTE, NC</t>
  </si>
  <si>
    <t>Century Express</t>
  </si>
  <si>
    <t>AMZ-GSP1-Spartanburg, SC 29303</t>
  </si>
  <si>
    <r>
      <rPr>
        <sz val="11"/>
        <color rgb="FFFF0000"/>
        <rFont val="Calibri"/>
        <family val="2"/>
        <scheme val="minor"/>
      </rPr>
      <t>3.5 hrs detention-19:05-23:46, 1 hr free / pre-pull &amp; yard storage /  ISA# 655890169-Helen account</t>
    </r>
    <r>
      <rPr>
        <sz val="11"/>
        <color theme="1"/>
        <rFont val="Calibri"/>
        <family val="2"/>
        <scheme val="minor"/>
      </rPr>
      <t xml:space="preserve"> / EGLV149304204749 / WUH071423D</t>
    </r>
  </si>
  <si>
    <t>Pending trucker inv / DONE#136628</t>
  </si>
  <si>
    <t>873403-9/6
873422-9/6</t>
  </si>
  <si>
    <t>9/6 3PM</t>
  </si>
  <si>
    <t>ERD SEP 02/CNTR#TGBU486997&amp;CBHU9477341/REF#873403&amp;873422</t>
  </si>
  <si>
    <t>1*40GP FLEX</t>
  </si>
  <si>
    <t>9/25 @3PM</t>
  </si>
  <si>
    <t xml:space="preserve">ERD 09.21/CNTR#OOCU8556851/REF#ORD375481 </t>
  </si>
  <si>
    <t>10/2 @3PM</t>
  </si>
  <si>
    <t>ERD/CNTR#CCLU7442304/REF#ORD373301</t>
  </si>
  <si>
    <t>9/29 3PM</t>
  </si>
  <si>
    <t>ERD /CNTR#CSLU6341990/REF#ORD359703/SR 1150+950</t>
  </si>
  <si>
    <t>UETU9003450</t>
  </si>
  <si>
    <t>NS Cleveland, OH</t>
  </si>
  <si>
    <t>SOLON, OHIO 44139, changed to Streetsboro, OH 44241</t>
  </si>
  <si>
    <t>Pre-pull/ yard storage. Discharged /COSU6363373090 / CUSTOMER FILED ISF / AN SENT/ SWB 
Andrews Moving &amp; Storage
10235 Philip Parkway
Streetsboro, OH 44241
Attention: Mike @ 330-351-2566</t>
  </si>
  <si>
    <t xml:space="preserve">DONE#137572 </t>
  </si>
  <si>
    <t xml:space="preserve">TEMU8045060 </t>
  </si>
  <si>
    <t>Discharged /COSU6363373090 / CUSTOMER FILED ISF / AN SENT/ SWB 
Andrews Moving &amp; Storage
10235 Philip Parkway
Streetsboro, OH 44241
Attention: Mike @ 330-351-2566</t>
  </si>
  <si>
    <t xml:space="preserve">TEMU8029330 </t>
  </si>
  <si>
    <t>MSDU5639674</t>
  </si>
  <si>
    <t>NEW ORLEANS-Q795</t>
  </si>
  <si>
    <t>Saint Martinville, LA 70582</t>
  </si>
  <si>
    <t>MEDUGB901635</t>
  </si>
  <si>
    <t>OOCU6818361</t>
  </si>
  <si>
    <t xml:space="preserve">18:00 EDT	</t>
  </si>
  <si>
    <t>AMZ CMH2-Groveport, OH 43125</t>
  </si>
  <si>
    <r>
      <rPr>
        <sz val="11"/>
        <color rgb="FFFF0000"/>
        <rFont val="Calibri"/>
        <family val="2"/>
        <scheme val="minor"/>
      </rPr>
      <t xml:space="preserve">8.5 hours detention -09/19/2023 17:38 EDT- 09/20/2023 03:04 EDT ( 1 hour free) / re-route $150, pre-pull, yard storage, split x2 for private chassis / ISA# 160812775-Helen Account </t>
    </r>
    <r>
      <rPr>
        <sz val="11"/>
        <color theme="1"/>
        <rFont val="Calibri"/>
        <family val="2"/>
        <scheme val="minor"/>
      </rPr>
      <t>/ 8-30 discharged / OOLU2300405804 
FBA17B34HS1J--47D3FBGT --431 CTNS-8986.35 KGS</t>
    </r>
  </si>
  <si>
    <t>DONE#137456, pending tucker inv</t>
  </si>
  <si>
    <t xml:space="preserve">CCLU7444890 </t>
  </si>
  <si>
    <t>9/29 @20:00 EDT-26 PLTS
10/7 @00:00 EDT-Remaing 12 plts /216 ctns / FBA179XBMPDG / 4542 KGS</t>
  </si>
  <si>
    <t xml:space="preserve"> ISA# 11207730973,
UF-862935167  
ISA# 11252620973-Helen Account- PPL# 45490</t>
  </si>
  <si>
    <t>ABL- IND9-Greenwood, IN 46143</t>
  </si>
  <si>
    <r>
      <rPr>
        <sz val="11"/>
        <color rgb="FF0000CC"/>
        <rFont val="Calibri"/>
        <family val="2"/>
        <scheme val="minor"/>
      </rPr>
      <t xml:space="preserve">9.27 Devanned, total 38 PLTS </t>
    </r>
    <r>
      <rPr>
        <sz val="11"/>
        <color rgb="FFFF0000"/>
        <rFont val="Calibri"/>
        <family val="2"/>
        <scheme val="minor"/>
      </rPr>
      <t>/ Demurrage $100-9.25/9-22 客户决定拆柜 /9-6 discharged / ISA#11207730973-Helen Account</t>
    </r>
    <r>
      <rPr>
        <sz val="11"/>
        <color theme="1"/>
        <rFont val="Calibri"/>
        <family val="2"/>
        <scheme val="minor"/>
      </rPr>
      <t xml:space="preserve"> / OOLU2141970300 
电视机罩:332箱：FBA17B36ZHM0/64VMGAZH
牙刷牙线:80箱：FBA179S8V6MP/62NVIGER
收纳袋:437箱：FBA179XBMPDG/6CO4HVJW </t>
    </r>
  </si>
  <si>
    <t>Done#138460</t>
  </si>
  <si>
    <t>Wing Ocean</t>
  </si>
  <si>
    <t>DRYU4544047</t>
  </si>
  <si>
    <t>NS Detroit</t>
  </si>
  <si>
    <t>JUGG</t>
  </si>
  <si>
    <t>Gaylord MI 49735</t>
  </si>
  <si>
    <t>PRE-PULL &amp; YARD STORAGE / CMDUSHZ5620449 / Q# WCGN090123D</t>
  </si>
  <si>
    <t xml:space="preserve">DONE#138362 </t>
  </si>
  <si>
    <t>DRYU9287450</t>
  </si>
  <si>
    <r>
      <t xml:space="preserve">9/25 @19:00PDT-10 PLTS
</t>
    </r>
    <r>
      <rPr>
        <sz val="11"/>
        <color rgb="FF0000CC"/>
        <rFont val="Calibri"/>
        <family val="2"/>
        <scheme val="minor"/>
      </rPr>
      <t xml:space="preserve">9/25@ 18:00 PDT-26 PLTS </t>
    </r>
    <r>
      <rPr>
        <sz val="11"/>
        <color rgb="FFFF0000"/>
        <rFont val="Calibri"/>
        <family val="2"/>
        <scheme val="minor"/>
      </rPr>
      <t xml:space="preserve">
</t>
    </r>
  </si>
  <si>
    <r>
      <t xml:space="preserve">ISA# 74180034980-UBER# UF-2960381235 , 
</t>
    </r>
    <r>
      <rPr>
        <sz val="11"/>
        <color rgb="FF0000CC"/>
        <rFont val="Calibri"/>
        <family val="2"/>
        <scheme val="minor"/>
      </rPr>
      <t>ISA# 74532034980-UBER# UF-3500802851, , FTL- PAQS</t>
    </r>
  </si>
  <si>
    <r>
      <rPr>
        <sz val="11"/>
        <color rgb="FFFF0000"/>
        <rFont val="Calibri"/>
        <family val="2"/>
        <scheme val="minor"/>
      </rPr>
      <t>26 plts先走一车FTL,</t>
    </r>
    <r>
      <rPr>
        <sz val="11"/>
        <color rgb="FF0000CC"/>
        <rFont val="Calibri"/>
        <family val="2"/>
        <scheme val="minor"/>
      </rPr>
      <t xml:space="preserve"> ISA# 74532034980-Helen account, UBER# UF-3500802851, 2 hrs detention-18:24 PDT- 21:34 PDT, 1 hour free. </t>
    </r>
    <r>
      <rPr>
        <sz val="11"/>
        <color rgb="FFFF0000"/>
        <rFont val="Calibri"/>
        <family val="2"/>
        <scheme val="minor"/>
      </rPr>
      <t xml:space="preserve">剩余10托和之前EITU1889637退回的9托重新打成14托一起走第二车FTL </t>
    </r>
    <r>
      <rPr>
        <sz val="11"/>
        <color rgb="FF0000CC"/>
        <rFont val="Calibri"/>
        <family val="2"/>
        <scheme val="minor"/>
      </rPr>
      <t>ISA# 74180034980-Helen Account /PAQS FTL $800-3.25hrs detention- 19:31 PDT-23:47 PDT, 1 hour free</t>
    </r>
    <r>
      <rPr>
        <sz val="11"/>
        <color rgb="FFFF0000"/>
        <rFont val="Calibri"/>
        <family val="2"/>
        <scheme val="minor"/>
      </rPr>
      <t xml:space="preserve">/ 9-20 devanned total 36 plts / PIER PASS $68.42, CTF $20 </t>
    </r>
    <r>
      <rPr>
        <sz val="11"/>
        <color theme="1"/>
        <rFont val="Calibri"/>
        <family val="2"/>
        <scheme val="minor"/>
      </rPr>
      <t>/ Transload / EGLV142301833845/
FBA17B04503P / 65VUJDNG / 425 CTNS / 12032.5KGS</t>
    </r>
  </si>
  <si>
    <t>DONE#138463</t>
  </si>
  <si>
    <t>TCNU7049081</t>
  </si>
  <si>
    <t>R00112255426</t>
  </si>
  <si>
    <r>
      <rPr>
        <sz val="11"/>
        <color rgb="FFFF0000"/>
        <rFont val="Calibri"/>
        <family val="2"/>
        <scheme val="minor"/>
      </rPr>
      <t xml:space="preserve">MSC 2天chassis fee 我们吃， 司机9/26和9/27不能送，给客人免2天yards storage &amp; chassiss, 4 days free for per diem, ABL 向客人只承担2天 per diem </t>
    </r>
    <r>
      <rPr>
        <sz val="11"/>
        <color rgb="FF0000CC"/>
        <rFont val="Calibri"/>
        <family val="2"/>
        <scheme val="minor"/>
      </rPr>
      <t xml:space="preserve">/  Demurrage $ 100-9.26 </t>
    </r>
    <r>
      <rPr>
        <sz val="11"/>
        <color rgb="FFFF0000"/>
        <rFont val="Calibri"/>
        <family val="2"/>
        <scheme val="minor"/>
      </rPr>
      <t xml:space="preserve">/ 9.25 received pu# /9-19 Delivery address changed to 90-98 41st street, Wheeling, WV 26003 </t>
    </r>
    <r>
      <rPr>
        <sz val="11"/>
        <color rgb="FF000000"/>
        <rFont val="Calibri"/>
        <family val="2"/>
        <scheme val="minor"/>
      </rPr>
      <t>/9-6 discharged /MEDUGB935534 / Quotation#	WUH230818-1
邮箱：joshc@panhandlecr.com 
CC：info@pg-network.com；jenniej@sovel.cn；zhangjian@sovel.cn
Contact: 304-232-2321/304-650-0960</t>
    </r>
  </si>
  <si>
    <t xml:space="preserve">DONE#138782 </t>
  </si>
  <si>
    <t>WISE</t>
  </si>
  <si>
    <t>DFSU2330577</t>
  </si>
  <si>
    <t>UP-Memphis</t>
  </si>
  <si>
    <t>HICKORY, KY  42051</t>
  </si>
  <si>
    <r>
      <rPr>
        <sz val="11"/>
        <color rgb="FFFF0000"/>
        <rFont val="Calibri"/>
        <family val="2"/>
        <scheme val="minor"/>
      </rPr>
      <t xml:space="preserve">Demurrage $100-10.3 / pre-pull &amp; yard storage, waive 1 day yard storage for 10.4 </t>
    </r>
    <r>
      <rPr>
        <sz val="11"/>
        <color theme="1"/>
        <rFont val="Calibri"/>
        <family val="2"/>
        <scheme val="minor"/>
      </rPr>
      <t xml:space="preserve">/ 9-13 discharged/ ONEYDL3CK0132700 / </t>
    </r>
    <r>
      <rPr>
        <sz val="11"/>
        <color rgb="FFFF0000"/>
        <rFont val="Calibri"/>
        <family val="2"/>
        <scheme val="minor"/>
      </rPr>
      <t>SOC return to CENTRAL STATES TRUCKING / Q# WISE090723A</t>
    </r>
  </si>
  <si>
    <t xml:space="preserve">DONE#138785 </t>
  </si>
  <si>
    <t>MSCU5196356</t>
  </si>
  <si>
    <t>JACKSONVILLE BLOUNT ISLAND TERMINAL</t>
  </si>
  <si>
    <t>MBL# MEDUGB946374 /  我们只发AN给顺圆， 收H/C</t>
  </si>
  <si>
    <t xml:space="preserve">DONE#136798 </t>
  </si>
  <si>
    <t>MSMU8222248</t>
  </si>
  <si>
    <t>JACKSONVILLE,FL PORT</t>
  </si>
  <si>
    <t>MEDU4769655</t>
  </si>
  <si>
    <t>CAIU4686945</t>
  </si>
  <si>
    <t>MEDUQK140372 /  我们只发AN给顺圆， 收H/C 50</t>
  </si>
  <si>
    <t xml:space="preserve">DONE#136799 </t>
  </si>
  <si>
    <t>FCIU7010715</t>
  </si>
  <si>
    <t>MEDU7124069</t>
  </si>
  <si>
    <t>Saint Martinville, LA 70582</t>
  </si>
  <si>
    <t>MEDUGB535862</t>
  </si>
  <si>
    <t>GOLDEN ARCUS</t>
  </si>
  <si>
    <t>OOCU7442617</t>
  </si>
  <si>
    <t>CFFB1E</t>
  </si>
  <si>
    <t>OOLU2035842786/ISA#114044825</t>
  </si>
  <si>
    <t>BKG#71543255-&gt;770278886, PO# 58539/ETD 8.21/HLCUPEN230800347/Customer PO No. 117684</t>
  </si>
  <si>
    <t>TCNU7746189</t>
  </si>
  <si>
    <t>HLCUPEN230800180/70834006/PO 58538/ETD 8/19/Customer PO No. 117683</t>
  </si>
  <si>
    <t>FSCU8101568</t>
  </si>
  <si>
    <t>GYR2</t>
  </si>
  <si>
    <t>CMDUTJN0256022/draya cost 1775/customer may change to transld/terminal 88</t>
  </si>
  <si>
    <t>CAAU5209815</t>
  </si>
  <si>
    <t>LAX APM TERMINALS</t>
  </si>
  <si>
    <t>1st FTL -26 PLTS  9/29 Delivered
2nd Delivery- 6 PLTS for 10/15@07:00 PDT-</t>
  </si>
  <si>
    <r>
      <t xml:space="preserve">ISA# 75075034980, UBER# UF-2884391668 / BOL SENT
</t>
    </r>
    <r>
      <rPr>
        <sz val="11"/>
        <color rgb="FF0000CC"/>
        <rFont val="Calibri"/>
        <family val="2"/>
        <scheme val="minor"/>
      </rPr>
      <t xml:space="preserve">ISA# 75794034980 / pink / BOL SENT </t>
    </r>
  </si>
  <si>
    <r>
      <rPr>
        <sz val="11"/>
        <color rgb="FF0000CC"/>
        <rFont val="Calibri"/>
        <family val="2"/>
        <scheme val="minor"/>
      </rPr>
      <t xml:space="preserve">9.27 devanned, total 32 plts / </t>
    </r>
    <r>
      <rPr>
        <sz val="11"/>
        <color rgb="FFFF0000"/>
        <rFont val="Calibri"/>
        <family val="2"/>
        <scheme val="minor"/>
      </rPr>
      <t>26 PLTS- ISA# 75075034980-Helen account/ UBER# UF-2884391668</t>
    </r>
    <r>
      <rPr>
        <sz val="11"/>
        <color theme="1"/>
        <rFont val="Calibri"/>
        <family val="2"/>
        <scheme val="minor"/>
      </rPr>
      <t xml:space="preserve">/ Transload /EGLV142301923861 / </t>
    </r>
    <r>
      <rPr>
        <sz val="11"/>
        <color rgb="FFFF0000"/>
        <rFont val="Calibri"/>
        <family val="2"/>
        <scheme val="minor"/>
      </rPr>
      <t>PIER PASS $68.42, CTF $20</t>
    </r>
  </si>
  <si>
    <t xml:space="preserve">DONE#139141 </t>
  </si>
  <si>
    <t>EITU1958240</t>
  </si>
  <si>
    <r>
      <t xml:space="preserve">9/30 @19:00 PDT-26 PLTS-416 ctns-Delivered
</t>
    </r>
    <r>
      <rPr>
        <sz val="11"/>
        <color rgb="FF0000CC"/>
        <rFont val="Calibri"/>
        <family val="2"/>
        <scheme val="minor"/>
      </rPr>
      <t>2nd Delivery- 6 PLTS for 10/15@07:00 PDT-</t>
    </r>
    <r>
      <rPr>
        <sz val="11"/>
        <color rgb="FFFF0000"/>
        <rFont val="Calibri"/>
        <family val="2"/>
        <scheme val="minor"/>
      </rPr>
      <t xml:space="preserve">
</t>
    </r>
  </si>
  <si>
    <r>
      <t xml:space="preserve">ISA# 75076034980, UBER# UF-9310251395 / BOL SENT
</t>
    </r>
    <r>
      <rPr>
        <sz val="11"/>
        <color rgb="FF0000CC"/>
        <rFont val="Calibri"/>
        <family val="2"/>
        <scheme val="minor"/>
      </rPr>
      <t xml:space="preserve">ISA# 75794034980 / NTG / BOL SENT </t>
    </r>
  </si>
  <si>
    <r>
      <rPr>
        <sz val="11"/>
        <color rgb="FF0000CC"/>
        <rFont val="Calibri"/>
        <family val="2"/>
        <scheme val="minor"/>
      </rPr>
      <t xml:space="preserve">9.27 devanned, total 32 plts / </t>
    </r>
    <r>
      <rPr>
        <sz val="11"/>
        <color rgb="FFFF0000"/>
        <rFont val="Calibri"/>
        <family val="2"/>
        <scheme val="minor"/>
      </rPr>
      <t xml:space="preserve">26 PLTS-ISA# 75076034980- Helen Account, UBER# UF-9310251395 </t>
    </r>
    <r>
      <rPr>
        <sz val="11"/>
        <color theme="1"/>
        <rFont val="Calibri"/>
        <family val="2"/>
        <scheme val="minor"/>
      </rPr>
      <t xml:space="preserve">/ Transload /EGLV142301926045/ </t>
    </r>
    <r>
      <rPr>
        <sz val="11"/>
        <color rgb="FFFF0000"/>
        <rFont val="Calibri"/>
        <family val="2"/>
        <scheme val="minor"/>
      </rPr>
      <t>PIER PASS $68.42, CTF $20</t>
    </r>
  </si>
  <si>
    <t xml:space="preserve">DONE#139142 </t>
  </si>
  <si>
    <t xml:space="preserve">DFSU6914286 </t>
  </si>
  <si>
    <r>
      <t xml:space="preserve">10/2 @19:00 PDT-26 PLTS-416 ctns
</t>
    </r>
    <r>
      <rPr>
        <sz val="11"/>
        <color rgb="FF0000CC"/>
        <rFont val="Calibri"/>
        <family val="2"/>
        <scheme val="minor"/>
      </rPr>
      <t xml:space="preserve">2nd Delivery- 6 PLTS for 10/15@07:00 PDT-
</t>
    </r>
  </si>
  <si>
    <r>
      <t xml:space="preserve">ISA# 75077034980, UBER# UF-3462021391
BOL SENT
</t>
    </r>
    <r>
      <rPr>
        <sz val="11"/>
        <color rgb="FF0000CC"/>
        <rFont val="Calibri"/>
        <family val="2"/>
        <scheme val="minor"/>
      </rPr>
      <t xml:space="preserve">ISA# 75794034980 / pink / BOL SENT </t>
    </r>
  </si>
  <si>
    <r>
      <rPr>
        <sz val="11"/>
        <color rgb="FF0000CC"/>
        <rFont val="Calibri"/>
        <family val="2"/>
        <scheme val="minor"/>
      </rPr>
      <t>9.27 devanned, total 32 plts /</t>
    </r>
    <r>
      <rPr>
        <sz val="11"/>
        <color rgb="FFFF0000"/>
        <rFont val="Calibri"/>
        <family val="2"/>
        <scheme val="minor"/>
      </rPr>
      <t xml:space="preserve"> 26 PLTS-ISA# 75077034980,  Helen Account/ UBER# UF-3462021391 </t>
    </r>
    <r>
      <rPr>
        <sz val="11"/>
        <color theme="1"/>
        <rFont val="Calibri"/>
        <family val="2"/>
        <scheme val="minor"/>
      </rPr>
      <t xml:space="preserve">/Transload /EGLV142301923844 / </t>
    </r>
    <r>
      <rPr>
        <sz val="11"/>
        <color rgb="FFFF0000"/>
        <rFont val="Calibri"/>
        <family val="2"/>
        <scheme val="minor"/>
      </rPr>
      <t>PIER PASS $68.42, CTF $20</t>
    </r>
  </si>
  <si>
    <t xml:space="preserve">DONE#139143 </t>
  </si>
  <si>
    <t>MATU2590489</t>
  </si>
  <si>
    <t xml:space="preserve">19:00 EDT	</t>
  </si>
  <si>
    <t>E4E305</t>
  </si>
  <si>
    <t>3.5 hrs detention -09/23/2023 18:38 EDT - 09/24/2023 00:00 EDT ( 2 hours free) / Empty return to ITC /re-route &amp; chassis split /  ISA# 307604004970-HELEN Account / 9-12 discharged/ MATS9243526000 / PRE-PULL &amp; Yard storage</t>
  </si>
  <si>
    <t>DONE# 137575</t>
  </si>
  <si>
    <t>MATU2689770</t>
  </si>
  <si>
    <t>19:00 CDT</t>
  </si>
  <si>
    <t xml:space="preserve">ECCDB2 </t>
  </si>
  <si>
    <r>
      <rPr>
        <sz val="11"/>
        <color rgb="FFFF0000"/>
        <rFont val="Calibri"/>
        <family val="2"/>
        <scheme val="minor"/>
      </rPr>
      <t xml:space="preserve">12.25 hrs detention -09/27/2023 18:42 CDT-    09/28/2023 11:03 CDT, 4 hours free. / </t>
    </r>
    <r>
      <rPr>
        <sz val="11"/>
        <rFont val="Calibri"/>
        <family val="2"/>
        <scheme val="minor"/>
      </rPr>
      <t>9-18 discharged / ISA# 809099703-Helen account / MATS1301917000</t>
    </r>
  </si>
  <si>
    <t>DONE# 137576</t>
  </si>
  <si>
    <t>8 DT</t>
  </si>
  <si>
    <t>HBL-0727837</t>
  </si>
  <si>
    <t>客户自己卡车送到ABL on 9-30 / 由我们拆柜 派送</t>
  </si>
  <si>
    <t>EGHU9175430</t>
  </si>
  <si>
    <t>EGLV143300354674</t>
  </si>
  <si>
    <t>9 fang</t>
  </si>
  <si>
    <t>TLLU5742143</t>
  </si>
  <si>
    <t>BCED1B</t>
  </si>
  <si>
    <t xml:space="preserve">COSU6363201930 </t>
  </si>
  <si>
    <t>BSIU9364593</t>
  </si>
  <si>
    <t>999cf2</t>
  </si>
  <si>
    <t xml:space="preserve">st in10-11 / </t>
  </si>
  <si>
    <t>OL WAREHOUSE</t>
  </si>
  <si>
    <t>OOLU5391369</t>
  </si>
  <si>
    <t xml:space="preserve">OOLU2300519951           </t>
  </si>
  <si>
    <t>CMAU6991160</t>
  </si>
  <si>
    <t>4564bf</t>
  </si>
  <si>
    <t>CMDUGGZ1947907</t>
  </si>
  <si>
    <t>DFSU7048340</t>
  </si>
  <si>
    <t>8A55D4</t>
  </si>
  <si>
    <t xml:space="preserve">COSU6362318080 </t>
  </si>
  <si>
    <t>OOCU7288179</t>
  </si>
  <si>
    <t>CD772A</t>
  </si>
  <si>
    <t>oolu8810534170</t>
  </si>
  <si>
    <t>EWLU5588708</t>
  </si>
  <si>
    <t>CDF229</t>
  </si>
  <si>
    <t>OOLU8810532930</t>
  </si>
  <si>
    <t>BEAU4513539</t>
  </si>
  <si>
    <t xml:space="preserve">ABL-9-16
9/22 @11pm Delivered
9/27@7PM
</t>
  </si>
  <si>
    <t>IND9-25 PLTS
IND9-8 PLTS</t>
  </si>
  <si>
    <t>49549E</t>
  </si>
  <si>
    <r>
      <rPr>
        <sz val="11"/>
        <color rgb="FFFF0000"/>
        <rFont val="Calibri"/>
        <family val="2"/>
        <scheme val="minor"/>
      </rPr>
      <t>9-19 Devanned, 33 plts-827 ctns, 2 boxes more than packing list</t>
    </r>
    <r>
      <rPr>
        <sz val="11"/>
        <color theme="1"/>
        <rFont val="Calibri"/>
        <family val="2"/>
        <scheme val="minor"/>
      </rPr>
      <t>/ YMPRW228231662 /9-18 要拆柜，不存放到10月，打托后不用贴表，直接派送IND9
FBA179KD661D--7VQ83JEV--825CTNS--11342.4KGS</t>
    </r>
  </si>
  <si>
    <t>CSLU6341990</t>
  </si>
  <si>
    <t>ABL 9-23 DOCK #15
9/27 @7PM
9/27 @8PM
9/29 @9PM</t>
  </si>
  <si>
    <t xml:space="preserve">
IGQ2-12 PLTS
IGQ2-13 PLTS
IGQ2-13 PLTS</t>
  </si>
  <si>
    <t>910B4B</t>
  </si>
  <si>
    <t>TOTAL 51 PLTS / 8-31 discharged/ OW / COSU6362543990 / 里面有超长货物，单杠， 平衡木
IGQ2- FBA179YH3ZTQ-7VGI5YQN-1270 CTNS-21175 KGS</t>
  </si>
  <si>
    <t>CSNU7200309</t>
  </si>
  <si>
    <t>ABL 9-18
9-22@7PM Delivered
9-22@7PM Delivered
10-7</t>
  </si>
  <si>
    <t xml:space="preserve">
ORD2-16 PLTS
ORD2-4 PLTS 
ORD2-6 OZ PLTS</t>
  </si>
  <si>
    <t>B3932A</t>
  </si>
  <si>
    <r>
      <rPr>
        <sz val="11"/>
        <color rgb="FFFF0000"/>
        <rFont val="Calibri"/>
        <family val="2"/>
        <scheme val="minor"/>
      </rPr>
      <t>9.22 装车16托正常板，9.22 OZ 20板 + 3托正常板/ 9-19 devanned total 39 plts</t>
    </r>
    <r>
      <rPr>
        <sz val="11"/>
        <color theme="1"/>
        <rFont val="Calibri"/>
        <family val="2"/>
        <scheme val="minor"/>
      </rPr>
      <t xml:space="preserve"> / 9-2 discharged / COSU6362544890/ 里面有超长货物，单杠， 平衡木/ ORD2
</t>
    </r>
  </si>
  <si>
    <t>MATU2625121</t>
  </si>
  <si>
    <t>Matson</t>
  </si>
  <si>
    <t>MATS6875319000</t>
  </si>
  <si>
    <t>CMAU7960461</t>
  </si>
  <si>
    <t>ABL 9-22 DOCK #17</t>
  </si>
  <si>
    <t>2EA6A3</t>
  </si>
  <si>
    <r>
      <rPr>
        <sz val="11"/>
        <color rgb="FFFF0000"/>
        <rFont val="Calibri"/>
        <family val="2"/>
        <scheme val="minor"/>
      </rPr>
      <t xml:space="preserve">9-26 devanned- total 39 plts </t>
    </r>
    <r>
      <rPr>
        <sz val="11"/>
        <color theme="1"/>
        <rFont val="Calibri"/>
        <family val="2"/>
        <scheme val="minor"/>
      </rPr>
      <t>/ 9-7 discharged/ QGD0374394 / 等客人确认是否要拆柜</t>
    </r>
  </si>
  <si>
    <t xml:space="preserve"> CCLU7442304</t>
  </si>
  <si>
    <t>ABL 9-25 DOCK#13</t>
  </si>
  <si>
    <t>EAEF37</t>
  </si>
  <si>
    <t>9-27 Devanned-total 35 plts/ COSU6362903980</t>
  </si>
  <si>
    <t>JIUFANG/TOFBA</t>
  </si>
  <si>
    <t>CBHU9571574</t>
  </si>
  <si>
    <t>5fbea8</t>
  </si>
  <si>
    <t>COSU6362953850 /9-27号上火车 /  10-6 IG ST</t>
  </si>
  <si>
    <t>META</t>
  </si>
  <si>
    <t>BMOU5732330</t>
  </si>
  <si>
    <t>GCT BAYONNE(E364)</t>
  </si>
  <si>
    <t>HBL#MTPE23080106/MBL#YMPRE202052014/SO#9219/HC $65</t>
  </si>
  <si>
    <t>FREE HAND</t>
  </si>
  <si>
    <t>YMMU6642319</t>
  </si>
  <si>
    <t>HBL#MTPE23090040/MBL#YMPRE202052188/SO#9222/HC $65</t>
  </si>
  <si>
    <t>TCNU8229982</t>
  </si>
  <si>
    <t>EA3F86</t>
  </si>
  <si>
    <t>cmduNGP0470944</t>
  </si>
  <si>
    <t>TEMU7487410</t>
  </si>
  <si>
    <t>9E6CEA</t>
  </si>
  <si>
    <t>cmduNGP0434012   /在lgb 被exam 了/</t>
  </si>
  <si>
    <t>CMAU6484524</t>
  </si>
  <si>
    <t>d79572</t>
  </si>
  <si>
    <t>CMDUNGP0464123</t>
  </si>
  <si>
    <t>FSCU8263471</t>
  </si>
  <si>
    <t>babcf3</t>
  </si>
  <si>
    <t>CMDUNGP0440718</t>
  </si>
  <si>
    <t>SEGU4247560</t>
  </si>
  <si>
    <t>9e93050</t>
  </si>
  <si>
    <t xml:space="preserve">COSU6363023190  </t>
  </si>
  <si>
    <t>CSNU6823990</t>
  </si>
  <si>
    <t>305a7d</t>
  </si>
  <si>
    <t>COSU6364223030</t>
  </si>
  <si>
    <t>BSIU8115451</t>
  </si>
  <si>
    <r>
      <rPr>
        <sz val="11"/>
        <color rgb="FF000000"/>
        <rFont val="Calibri"/>
        <family val="2"/>
        <scheme val="minor"/>
      </rPr>
      <t>EGLV003301743971/MTPE23080106/$4150+50/4300/</t>
    </r>
    <r>
      <rPr>
        <sz val="11"/>
        <color rgb="FFFF0000"/>
        <rFont val="Calibri"/>
        <family val="2"/>
        <scheme val="minor"/>
      </rPr>
      <t>Annual bond $475</t>
    </r>
  </si>
  <si>
    <t>TGBU7878652</t>
  </si>
  <si>
    <t>MTPE23080155?MTPE23090035?/EGLV003301832086/4150-4250</t>
  </si>
  <si>
    <t>TCNU1423229</t>
  </si>
  <si>
    <t>GREAT FALLS, MT 59405</t>
  </si>
  <si>
    <t>BKG#71597504/HLCUPEN230800560, PO# 58660/PO No. 118080/ETD 8.28/isf/customer can accept during weekends/dry run $300 cost</t>
  </si>
  <si>
    <t>BSIU9413661</t>
  </si>
  <si>
    <t xml:space="preserve"> UP SALT LAKE CITY, UT</t>
  </si>
  <si>
    <t xml:space="preserve">Richfield, UT 84701 </t>
  </si>
  <si>
    <r>
      <rPr>
        <sz val="11"/>
        <color rgb="FFFF0000"/>
        <rFont val="Calibri"/>
        <family val="2"/>
        <scheme val="minor"/>
      </rPr>
      <t>Redelivery $100+ yard storage for SOC return / 2.5 hrs detention-12:30-16:00, 1 hour free.  / Pre-pull/ yard storage/</t>
    </r>
    <r>
      <rPr>
        <sz val="11"/>
        <color theme="1"/>
        <rFont val="Calibri"/>
        <family val="2"/>
        <scheme val="minor"/>
      </rPr>
      <t xml:space="preserve"> 提单号：QGD0346449 / </t>
    </r>
    <r>
      <rPr>
        <sz val="11"/>
        <color rgb="FFFF0000"/>
        <rFont val="Calibri"/>
        <family val="2"/>
        <scheme val="minor"/>
      </rPr>
      <t>SOC return to Best Goodone / chassis split</t>
    </r>
    <r>
      <rPr>
        <sz val="11"/>
        <color theme="1"/>
        <rFont val="Calibri"/>
        <family val="2"/>
        <scheme val="minor"/>
      </rPr>
      <t xml:space="preserve">
联系人：Ben Lewis tel：801 857 7657 
ben@dogberrycollections.com 
jacklin@qdmyh.com 
送仓前请提前和客户预约好再送货</t>
    </r>
  </si>
  <si>
    <t>DONE# 138193</t>
  </si>
  <si>
    <t>BSIU9414713</t>
  </si>
  <si>
    <r>
      <rPr>
        <b/>
        <sz val="11"/>
        <color rgb="FFFF0000"/>
        <rFont val="Calibri"/>
        <family val="2"/>
        <scheme val="minor"/>
      </rPr>
      <t>9-25 empty ready / Drop fee $390 /</t>
    </r>
    <r>
      <rPr>
        <b/>
        <sz val="11"/>
        <color theme="1"/>
        <rFont val="Calibri"/>
        <family val="2"/>
        <scheme val="minor"/>
      </rPr>
      <t xml:space="preserve"> </t>
    </r>
    <r>
      <rPr>
        <sz val="11"/>
        <color theme="1"/>
        <rFont val="Calibri"/>
        <family val="2"/>
        <scheme val="minor"/>
      </rPr>
      <t xml:space="preserve">9-8 discharged / 提单号：QGD0346449 / </t>
    </r>
    <r>
      <rPr>
        <sz val="11"/>
        <color rgb="FFFF0000"/>
        <rFont val="Calibri"/>
        <family val="2"/>
        <scheme val="minor"/>
      </rPr>
      <t>SOC return to Best Goodone</t>
    </r>
    <r>
      <rPr>
        <sz val="11"/>
        <color theme="1"/>
        <rFont val="Calibri"/>
        <family val="2"/>
        <scheme val="minor"/>
      </rPr>
      <t xml:space="preserve">
联系人：Ben Lewis tel：801 857 7657 
ben@dogberrycollections.com 
jacklin@qdmyh.com 
送仓前请提前和客户预约好再送货</t>
    </r>
  </si>
  <si>
    <t>DONE# 138193, Pending trucker inv</t>
  </si>
  <si>
    <t>BSIU9526689</t>
  </si>
  <si>
    <r>
      <rPr>
        <sz val="11"/>
        <color rgb="FFFF0000"/>
        <rFont val="Calibri"/>
        <family val="2"/>
        <scheme val="minor"/>
      </rPr>
      <t>1 hr detention -0845-10:45, 1 hour free. / pre-pull/ yard storage /</t>
    </r>
    <r>
      <rPr>
        <sz val="11"/>
        <color theme="1"/>
        <rFont val="Calibri"/>
        <family val="2"/>
        <scheme val="minor"/>
      </rPr>
      <t xml:space="preserve"> 9-8 discharged / 提单号：QGD0346449 / </t>
    </r>
    <r>
      <rPr>
        <sz val="11"/>
        <color rgb="FFFF0000"/>
        <rFont val="Calibri"/>
        <family val="2"/>
        <scheme val="minor"/>
      </rPr>
      <t>SOC return to Best Goodone</t>
    </r>
    <r>
      <rPr>
        <sz val="11"/>
        <color theme="1"/>
        <rFont val="Calibri"/>
        <family val="2"/>
        <scheme val="minor"/>
      </rPr>
      <t xml:space="preserve">
联系人：Ben Lewis tel：801 857 7657 
ben@dogberrycollections.com 
jacklin@qdmyh.com 
送仓前请提前和客户预约好再送货</t>
    </r>
  </si>
  <si>
    <t>CICU5596938</t>
  </si>
  <si>
    <r>
      <rPr>
        <sz val="11"/>
        <color rgb="FFFF0000"/>
        <rFont val="Calibri"/>
        <family val="2"/>
        <scheme val="minor"/>
      </rPr>
      <t>1.5 hrs detention -11:00-1330, 1 hour free./ Redelivery $100+ yard storage for SOC return</t>
    </r>
    <r>
      <rPr>
        <sz val="11"/>
        <color theme="1"/>
        <rFont val="Calibri"/>
        <family val="2"/>
        <scheme val="minor"/>
      </rPr>
      <t xml:space="preserve"> / 29-8 discharged / 提单号：QGD0346449 / </t>
    </r>
    <r>
      <rPr>
        <sz val="11"/>
        <color rgb="FFFF0000"/>
        <rFont val="Calibri"/>
        <family val="2"/>
        <scheme val="minor"/>
      </rPr>
      <t>SOC return to Best Goodone</t>
    </r>
    <r>
      <rPr>
        <sz val="11"/>
        <color theme="1"/>
        <rFont val="Calibri"/>
        <family val="2"/>
        <scheme val="minor"/>
      </rPr>
      <t xml:space="preserve">
联系人：Ben Lewis tel：801 857 7657 
ben@dogberrycollections.com 
jacklin@qdmyh.com 
送仓前请提前和客户预约好再送货</t>
    </r>
  </si>
  <si>
    <t>MATU2577337</t>
  </si>
  <si>
    <t>538e12</t>
  </si>
  <si>
    <t>MATU2573711</t>
  </si>
  <si>
    <t>7C88B8</t>
  </si>
  <si>
    <t xml:space="preserve">MATS9936902000 / ig CGI / </t>
  </si>
  <si>
    <t>BEAU4000161</t>
  </si>
  <si>
    <t>11890a</t>
  </si>
  <si>
    <t xml:space="preserve">CMDUXIA1186403 </t>
  </si>
  <si>
    <t>OOLU9658258</t>
  </si>
  <si>
    <t>KANSAS CITY,KS,66105</t>
  </si>
  <si>
    <t>3A6AD5</t>
  </si>
  <si>
    <t>COSU6365572200 / ISF ON FILE / SWB / AN SENT/Q#230315/1.5 PICK UP DET+1HR UNLOADING DET</t>
  </si>
  <si>
    <t>CCLU7351415</t>
  </si>
  <si>
    <t>67A55A</t>
  </si>
  <si>
    <t>COSU6365572200 / ISF ON FILE / SWB / AN SENT/Q#230315/$150 OW+$85 SCALE+$120 REDELIVERY+$150 EMPTY RETURN+1.25HR DETENTION</t>
  </si>
  <si>
    <t>CAAU6143775</t>
  </si>
  <si>
    <t>COSU6365572200 / ISF ON FILE / SWB / AN SENT/Q#230315</t>
  </si>
  <si>
    <t>CBHU9054910</t>
  </si>
  <si>
    <t>39A15E</t>
  </si>
  <si>
    <t>COSU6365572200 / ISF ON FILE / SWB / AN SENT/Q#230315/$120 REDELIVERY+0.5 DETENTION</t>
  </si>
  <si>
    <t>CMAU8798714</t>
  </si>
  <si>
    <t>09A112</t>
  </si>
  <si>
    <t xml:space="preserve">CMDUCHN0462391 </t>
  </si>
  <si>
    <t>TRHU8569800</t>
  </si>
  <si>
    <t xml:space="preserve">cma  </t>
  </si>
  <si>
    <t>2808ca</t>
  </si>
  <si>
    <t xml:space="preserve">CMDUCHN0532999   </t>
  </si>
  <si>
    <t>TXGU6740039</t>
  </si>
  <si>
    <r>
      <t xml:space="preserve">10/12 @22:00 PDT-26 PLTS
</t>
    </r>
    <r>
      <rPr>
        <sz val="11"/>
        <color rgb="FF0000CC"/>
        <rFont val="Calibri"/>
        <family val="2"/>
        <scheme val="minor"/>
      </rPr>
      <t>Remaining 8 PLTS</t>
    </r>
    <r>
      <rPr>
        <sz val="11"/>
        <color rgb="FFFF0000"/>
        <rFont val="Calibri"/>
        <family val="2"/>
        <charset val="134"/>
        <scheme val="minor"/>
      </rPr>
      <t>-10/22@18:00</t>
    </r>
  </si>
  <si>
    <t>ISA# 75958034980-Helen account/ PPL / BOL SENT 
ISA# 77103034980-Helen</t>
  </si>
  <si>
    <r>
      <rPr>
        <sz val="11"/>
        <color rgb="FFFF0000"/>
        <rFont val="Calibri"/>
        <family val="2"/>
        <scheme val="minor"/>
      </rPr>
      <t xml:space="preserve">Delivery to XLX7 (including 1P*11 + 1P*12 + 1P*13 + 1P*14 + 6P*17 + 3P*19 +11P*15 +2P*22 = 418CTNS) . Total: 26PLTS, 418CTNS
Remains: 8P*25 = 200CTNS,. Total: 8PLTS, 200CTNS. 
</t>
    </r>
    <r>
      <rPr>
        <sz val="11"/>
        <color theme="1"/>
        <rFont val="Calibri"/>
        <family val="2"/>
        <scheme val="minor"/>
      </rPr>
      <t xml:space="preserve">Transload / EGLV142301986838 / pier pass &amp; CTF are paid by another company. </t>
    </r>
  </si>
  <si>
    <t xml:space="preserve">DONE#139144 </t>
  </si>
  <si>
    <t>Customer</t>
  </si>
  <si>
    <t>MSMU7307398</t>
  </si>
  <si>
    <t>CSX COLUMBUS</t>
  </si>
  <si>
    <t>DROPPED</t>
  </si>
  <si>
    <t>R00112297015</t>
  </si>
  <si>
    <t>10-3 empty ready / MEDUXN275128 / COC</t>
  </si>
  <si>
    <t>DONE#138077 , per diem inv#146311</t>
  </si>
  <si>
    <t>FORTUNE TAU</t>
  </si>
  <si>
    <t>USAU3166071</t>
  </si>
  <si>
    <t>WATERTOWN,WI,53098</t>
  </si>
  <si>
    <t xml:space="preserve">AAB5EC   </t>
  </si>
  <si>
    <t>MATS8093205000/Q#FTAU082123B</t>
  </si>
  <si>
    <t>MRKU5564305</t>
  </si>
  <si>
    <t>MAEU229083813</t>
  </si>
  <si>
    <t>HASU4382818</t>
  </si>
  <si>
    <t>1A632F</t>
  </si>
  <si>
    <t>MAEU229425966</t>
  </si>
  <si>
    <t>ECMU8143345</t>
  </si>
  <si>
    <r>
      <t xml:space="preserve">CMDUSHZ5620449 / Q# WCGN090123D / </t>
    </r>
    <r>
      <rPr>
        <sz val="11"/>
        <color rgb="FFFF0000"/>
        <rFont val="Calibri"/>
        <family val="2"/>
        <scheme val="minor"/>
      </rPr>
      <t>pre-pull, yard storage / chassis split for return to ITI</t>
    </r>
  </si>
  <si>
    <t>DONE#138362</t>
  </si>
  <si>
    <t>FOREST-CAMILLE</t>
  </si>
  <si>
    <t xml:space="preserve">YMLU9533940 </t>
  </si>
  <si>
    <t xml:space="preserve">CHARLOTTE INLAND PORT (CIP) </t>
  </si>
  <si>
    <t>08:00 EDT</t>
  </si>
  <si>
    <t>AMZ CLT2-NC28214</t>
  </si>
  <si>
    <r>
      <rPr>
        <sz val="11"/>
        <color rgb="FFFF0000"/>
        <rFont val="Calibri"/>
        <family val="2"/>
        <scheme val="minor"/>
      </rPr>
      <t>Layover$500+31.5hrs detention * $90/hr / Pre-pull &amp; yard storage /  yard storage &amp; redelivery $175 for charlotte contianer depot closes at weekend and return on Monday /</t>
    </r>
    <r>
      <rPr>
        <sz val="11"/>
        <color rgb="FF0000CC"/>
        <rFont val="Calibri"/>
        <family val="2"/>
        <scheme val="minor"/>
      </rPr>
      <t xml:space="preserve"> ISA# 595672833-LLL</t>
    </r>
    <r>
      <rPr>
        <sz val="11"/>
        <color rgb="FFFF0000"/>
        <rFont val="Calibri"/>
        <family val="2"/>
        <scheme val="minor"/>
      </rPr>
      <t xml:space="preserve"> </t>
    </r>
    <r>
      <rPr>
        <sz val="11"/>
        <color theme="1"/>
        <rFont val="Calibri"/>
        <family val="2"/>
        <charset val="134"/>
        <scheme val="minor"/>
      </rPr>
      <t>/ 9-29 discharged / MBL# E236288389</t>
    </r>
  </si>
  <si>
    <t xml:space="preserve">DONE#138457 </t>
  </si>
  <si>
    <t>CXDU2032899</t>
  </si>
  <si>
    <t xml:space="preserve">NS Cleveland,OH </t>
  </si>
  <si>
    <r>
      <t xml:space="preserve">9-20 discharged /COSU6363903570  / CUSTOMER FILED ISF / AN SENT / TLX RLS / SWB / INV# W2023080536		
Andrews Moving &amp; Storage
10235 Philip Parkway
Streetsboro, OH 44241
</t>
    </r>
    <r>
      <rPr>
        <sz val="11"/>
        <color rgb="FFFF0000"/>
        <rFont val="Calibri"/>
        <family val="2"/>
        <scheme val="minor"/>
      </rPr>
      <t>Attention: Mike @ 330-351-2566</t>
    </r>
    <r>
      <rPr>
        <sz val="11"/>
        <color theme="1"/>
        <rFont val="Calibri"/>
        <family val="2"/>
        <scheme val="minor"/>
      </rPr>
      <t xml:space="preserve">
</t>
    </r>
    <r>
      <rPr>
        <sz val="11"/>
        <color rgb="FFFF0000"/>
        <rFont val="Calibri"/>
        <family val="2"/>
        <scheme val="minor"/>
      </rPr>
      <t>Joe Delgado,  Joe.delgado@suddath.com</t>
    </r>
    <r>
      <rPr>
        <sz val="11"/>
        <color theme="1"/>
        <rFont val="Calibri"/>
        <family val="2"/>
        <scheme val="minor"/>
      </rPr>
      <t xml:space="preserve">
904-376-6115 office
904-424-4779 mobile</t>
    </r>
  </si>
  <si>
    <t xml:space="preserve">DONE#138365 </t>
  </si>
  <si>
    <t>DFSU7809860</t>
  </si>
  <si>
    <r>
      <t xml:space="preserve">9-20 discharged /COSU6363903570  / CUSTOMER FILED ISF / AN SENT / TLX RLS / SWB / INV# W2023080536		
Andrews Moving &amp; Storage
10235 Philip Parkway
Streetsboro, OH 44241
</t>
    </r>
    <r>
      <rPr>
        <sz val="11"/>
        <color rgb="FFFF0000"/>
        <rFont val="Calibri"/>
        <family val="2"/>
        <scheme val="minor"/>
      </rPr>
      <t>Attention: Mike @ 330-351-2566
Attention: Mike @ 330-351-2566
Joe Delgado,  Joe.delgado@suddath.com
904-376-6115 office
904-424-4779 mobile</t>
    </r>
  </si>
  <si>
    <t>KOCU2057629</t>
  </si>
  <si>
    <t>ELK GROVE VILLAGE, IL 60007</t>
  </si>
  <si>
    <t>9-24 discharged / HDMUXMNM15887000 / COC/ q# W23021601</t>
  </si>
  <si>
    <t xml:space="preserve">DONE# 138078 </t>
  </si>
  <si>
    <t>TDRU3342890</t>
  </si>
  <si>
    <t>BLOOMINGDALE IL 60108</t>
  </si>
  <si>
    <r>
      <t xml:space="preserve">9-24 discharged / HDMUNBOZ89577300 / </t>
    </r>
    <r>
      <rPr>
        <sz val="11"/>
        <color rgb="FF0000CC"/>
        <rFont val="Calibri"/>
        <family val="2"/>
        <scheme val="minor"/>
      </rPr>
      <t>Make APPT on Opendock</t>
    </r>
    <r>
      <rPr>
        <sz val="11"/>
        <color theme="1"/>
        <rFont val="Calibri"/>
        <family val="2"/>
        <scheme val="minor"/>
      </rPr>
      <t xml:space="preserve">/ OW 40,741.43 LBS / </t>
    </r>
    <r>
      <rPr>
        <sz val="11"/>
        <color rgb="FFFF0000"/>
        <rFont val="Calibri"/>
        <family val="2"/>
        <scheme val="minor"/>
      </rPr>
      <t>SOC return to Vacarro / reroute $250+ chassis split</t>
    </r>
    <r>
      <rPr>
        <sz val="11"/>
        <color theme="1"/>
        <rFont val="Calibri"/>
        <family val="2"/>
        <scheme val="minor"/>
      </rPr>
      <t>+ OW $250 / Need to bring COA &amp; PL when delivery</t>
    </r>
  </si>
  <si>
    <t>DONE#138786</t>
  </si>
  <si>
    <t>TRHU3475518</t>
  </si>
  <si>
    <t>LGB PORT-Pacific Container Terminal</t>
  </si>
  <si>
    <t>Santa Fe Springs, CA 90670</t>
  </si>
  <si>
    <t>EXAM HOLD REMOVED</t>
  </si>
  <si>
    <t>COSCO LFD 10/11
Port terminal LFD 10/16
EXAM SITE LFD 10/24</t>
  </si>
  <si>
    <t>10/12 OG from port terminal 
10/24 OG from Exam site</t>
  </si>
  <si>
    <r>
      <rPr>
        <sz val="11"/>
        <color rgb="FFFF0000"/>
        <rFont val="Calibri"/>
        <family val="2"/>
        <scheme val="minor"/>
      </rPr>
      <t>EXAM FEE $309 /</t>
    </r>
    <r>
      <rPr>
        <sz val="11"/>
        <color theme="1"/>
        <rFont val="Calibri"/>
        <family val="2"/>
        <scheme val="minor"/>
      </rPr>
      <t xml:space="preserve"> 10-5 pending discharge / COSU6365269430 / 我们安排报关和送货
 Suite B, 13029 Los Nietos Rd, Santa Fe Springs, CA 90670 / Q# 0708MW220706-11430/</t>
    </r>
    <r>
      <rPr>
        <sz val="11"/>
        <color rgb="FFFF0000"/>
        <rFont val="Calibri"/>
        <family val="2"/>
        <scheme val="minor"/>
      </rPr>
      <t xml:space="preserve"> Pier pass $34.21 &amp; CTF $10 </t>
    </r>
    <r>
      <rPr>
        <sz val="11"/>
        <color theme="1"/>
        <rFont val="Calibri"/>
        <family val="2"/>
        <scheme val="minor"/>
      </rPr>
      <t xml:space="preserve">
</t>
    </r>
    <r>
      <rPr>
        <sz val="11"/>
        <color rgb="FF0000CC"/>
        <rFont val="Calibri"/>
        <family val="2"/>
        <scheme val="minor"/>
      </rPr>
      <t>Kristy Zeng / Sophie Chen
电话：16575519760
Email:  info@capsulcn.com</t>
    </r>
  </si>
  <si>
    <t xml:space="preserve">DONE#139190 </t>
  </si>
  <si>
    <t>Xin Yue</t>
  </si>
  <si>
    <t xml:space="preserve">CXDU2031819 </t>
  </si>
  <si>
    <t>Seattle port-Terminal 18</t>
  </si>
  <si>
    <t xml:space="preserve">18:00 PDT	</t>
  </si>
  <si>
    <t>AMZ PDX7-Salem OR 97317</t>
  </si>
  <si>
    <r>
      <rPr>
        <sz val="11"/>
        <color rgb="FFFF0000"/>
        <rFont val="Calibri"/>
        <family val="2"/>
        <scheme val="minor"/>
      </rPr>
      <t xml:space="preserve">1.5 hrs ingate detention-6am-08:25am. 1 hour free./ 6.25hrs delivery detention-10/11/2023 17:58 PDT- 	10/12/2023 01:13 PDT, 1 hour free.  / </t>
    </r>
    <r>
      <rPr>
        <sz val="11"/>
        <color theme="7" tint="-0.499984740745262"/>
        <rFont val="Calibri"/>
        <family val="2"/>
        <scheme val="minor"/>
      </rPr>
      <t xml:space="preserve">1.25 hr pu detention -7:45am-9:58am ( 1 hour free) </t>
    </r>
    <r>
      <rPr>
        <sz val="11"/>
        <color rgb="FFFF0000"/>
        <rFont val="Calibri"/>
        <family val="2"/>
        <scheme val="minor"/>
      </rPr>
      <t>/  After hour fee $110 /</t>
    </r>
    <r>
      <rPr>
        <sz val="11"/>
        <color rgb="FF0000CC"/>
        <rFont val="Calibri"/>
        <family val="2"/>
        <scheme val="minor"/>
      </rPr>
      <t xml:space="preserve"> ISA# 89972578-Helen Account </t>
    </r>
    <r>
      <rPr>
        <sz val="11"/>
        <color rgb="FF000000"/>
        <rFont val="Calibri"/>
        <family val="2"/>
        <scheme val="minor"/>
      </rPr>
      <t>/ OOLU4120050820</t>
    </r>
    <r>
      <rPr>
        <sz val="11"/>
        <color theme="1"/>
        <rFont val="Calibri"/>
        <family val="2"/>
        <scheme val="minor"/>
      </rPr>
      <t xml:space="preserve"> / Q# XIN091423A</t>
    </r>
  </si>
  <si>
    <t xml:space="preserve">DONE#138870 </t>
  </si>
  <si>
    <t>FCIU7536530</t>
  </si>
  <si>
    <r>
      <rPr>
        <sz val="11"/>
        <color rgb="FFFF0000"/>
        <rFont val="Calibri"/>
        <family val="2"/>
        <scheme val="minor"/>
      </rPr>
      <t>26 plts- 10:13@ 14:00 PDT</t>
    </r>
    <r>
      <rPr>
        <sz val="11"/>
        <color theme="1"/>
        <rFont val="Calibri"/>
        <family val="2"/>
        <scheme val="minor"/>
      </rPr>
      <t xml:space="preserve">
11 plts-10/22 @18:000</t>
    </r>
  </si>
  <si>
    <t>ISA# 76452034980-Helen/PPL / BOL SENT 
ISA# 77103034980-Helen</t>
  </si>
  <si>
    <r>
      <t xml:space="preserve">10-9 Devanned-total 37 PLTS / Transload / EGLV142302123672 / chassis pre-paid / / </t>
    </r>
    <r>
      <rPr>
        <sz val="11"/>
        <color rgb="FFFF0000"/>
        <rFont val="Calibri"/>
        <family val="2"/>
        <scheme val="minor"/>
      </rPr>
      <t>PIER PASS $68.42, CTF $20</t>
    </r>
  </si>
  <si>
    <t xml:space="preserve">DONE#139240 </t>
  </si>
  <si>
    <t>BMOU6158572</t>
  </si>
  <si>
    <t>FROM SP VENDOR'S YARD</t>
  </si>
  <si>
    <t>10/9 8AM TO TR WH
10/12 1PM AMZ APPT (30PLTS-1TRAILER)</t>
  </si>
  <si>
    <t>NOLAND</t>
  </si>
  <si>
    <t>ABL TRANSLOADING WH/AMZ MCO2</t>
  </si>
  <si>
    <t>MEDUGB594521/Q#UpdatedSPLL092023A/ISA#6641353968/Devan 10-10/LTL PRO#15070995335-FEDEX TRACKING#773867452520-PICK UP CONFIRMTATION#CPU2620433000-CPU4090633030-PWKA3021-CPU3049033050</t>
  </si>
  <si>
    <t>TEMU8163606</t>
  </si>
  <si>
    <t>HILLSIDE, IL 60162</t>
  </si>
  <si>
    <t>1072DE</t>
  </si>
  <si>
    <r>
      <rPr>
        <sz val="11"/>
        <color rgb="FFFF0000"/>
        <rFont val="Calibri"/>
        <family val="2"/>
        <scheme val="minor"/>
      </rPr>
      <t xml:space="preserve">re-ROUTE $ 125 for return to Delong / 10-13 Friday late afternoon 4:41pm got empnty notice /Drop fee $315 /PRE-PULL &amp; YARD STORAGE MAY APPLY </t>
    </r>
    <r>
      <rPr>
        <sz val="11"/>
        <color theme="1"/>
        <rFont val="Calibri"/>
        <family val="2"/>
        <scheme val="minor"/>
      </rPr>
      <t>9-23 discharged /OOLU2723840890 / ATTN: GARY LIN / GARY.LIN@PROCRAFTCHICAGO.COM / T: 708-234-1700 M: 630-4019235</t>
    </r>
  </si>
  <si>
    <t xml:space="preserve">DONE#138871 </t>
  </si>
  <si>
    <t>UETU9006022</t>
  </si>
  <si>
    <t>Wed 10/11</t>
  </si>
  <si>
    <r>
      <rPr>
        <sz val="11"/>
        <color rgb="FFFF0000"/>
        <rFont val="Calibri"/>
        <family val="2"/>
        <scheme val="minor"/>
      </rPr>
      <t>Drayage 按$400收</t>
    </r>
    <r>
      <rPr>
        <sz val="11"/>
        <color theme="1"/>
        <rFont val="Calibri"/>
        <family val="2"/>
        <scheme val="minor"/>
      </rPr>
      <t xml:space="preserve">， 9-23 Discharged / COSU6363905620/ CUSTOMER FILED ISF / AN SENT / SWB / TLX RLS for HBL / INV# W2023080537
Andrews Moving &amp; Storage
10235 Philip Parkway
Streetsboro, OH 44241
</t>
    </r>
    <r>
      <rPr>
        <sz val="11"/>
        <color rgb="FFFF0000"/>
        <rFont val="Calibri"/>
        <family val="2"/>
        <scheme val="minor"/>
      </rPr>
      <t>Attention: Mike @ 330-351-2566
Joe Delgado,  Joe.delgado@suddath.com
904-376-6115 office
904-424-4779 mobile</t>
    </r>
  </si>
  <si>
    <t>DONE#139140</t>
  </si>
  <si>
    <t>TEMU8028587</t>
  </si>
  <si>
    <r>
      <t xml:space="preserve">9-23 Discharged / COSU6363586550 / CUSTOMER FILED ISF / AN SENT / SWB / TLX RLS FOR HBL / INV# W2023080534	
Andrews Moving &amp; Storage
10235 Philip Parkway
Streetsboro, OH 44241
</t>
    </r>
    <r>
      <rPr>
        <sz val="11"/>
        <color rgb="FFFF0000"/>
        <rFont val="Calibri"/>
        <family val="2"/>
        <scheme val="minor"/>
      </rPr>
      <t>Attention: Mike @ 330-351-2566</t>
    </r>
    <r>
      <rPr>
        <sz val="11"/>
        <color theme="1"/>
        <rFont val="Calibri"/>
        <family val="2"/>
        <scheme val="minor"/>
      </rPr>
      <t xml:space="preserve">
</t>
    </r>
    <r>
      <rPr>
        <sz val="11"/>
        <color rgb="FFFF0000"/>
        <rFont val="Calibri"/>
        <family val="2"/>
        <scheme val="minor"/>
      </rPr>
      <t xml:space="preserve">Joe Delgado,  Joe.delgado@suddath.com
</t>
    </r>
    <r>
      <rPr>
        <sz val="11"/>
        <color theme="1"/>
        <rFont val="Calibri"/>
        <family val="2"/>
        <scheme val="minor"/>
      </rPr>
      <t>904-376-6115 office
904-424-4779 mobile</t>
    </r>
  </si>
  <si>
    <t>DONE#138366</t>
  </si>
  <si>
    <t>OOCU0221255</t>
  </si>
  <si>
    <t>Thur 10/12</t>
  </si>
  <si>
    <t>#138366R, 还没加detention</t>
  </si>
  <si>
    <t>OOLU9081438</t>
  </si>
  <si>
    <t>Fri 10/13</t>
  </si>
  <si>
    <r>
      <t xml:space="preserve">9-23 Discharged / COSU6363586550 / CUSTOMER FILED ISF / AN SENT / SWB / TLX RLS FOR HBL / INV# W2023080534	
Andrews Moving &amp; Storage
10235 Philip Parkway
Streetsboro, OH 44241
</t>
    </r>
    <r>
      <rPr>
        <sz val="11"/>
        <color rgb="FFFF0000"/>
        <rFont val="Calibri"/>
        <family val="2"/>
        <scheme val="minor"/>
      </rPr>
      <t>Attention: Mike @ 330-351-2566
Joe Delgado,  Joe.delgado@suddath.com
904-376-6115 office
904-424-4779 mobile</t>
    </r>
  </si>
  <si>
    <t>CXDU2221378</t>
  </si>
  <si>
    <t>OOLU5395410</t>
  </si>
  <si>
    <r>
      <rPr>
        <sz val="11"/>
        <color rgb="FFFF0000"/>
        <rFont val="Calibri"/>
        <family val="2"/>
        <scheme val="minor"/>
      </rPr>
      <t>Drayage 按$400收，</t>
    </r>
    <r>
      <rPr>
        <sz val="11"/>
        <color theme="1"/>
        <rFont val="Calibri"/>
        <family val="2"/>
        <scheme val="minor"/>
      </rPr>
      <t xml:space="preserve"> 9-23 Discharged / COSU6363905620/ CUSTOMER FILED ISF / AN SENT / SWB / TLX RLS for HBL / INV# W2023080537
Andrews Moving &amp; Storage
10235 Philip Parkway
Streetsboro, OH 44241
</t>
    </r>
    <r>
      <rPr>
        <sz val="11"/>
        <color rgb="FFFF0000"/>
        <rFont val="Calibri"/>
        <family val="2"/>
        <scheme val="minor"/>
      </rPr>
      <t>Attention: Mike @ 330-351-2566
Joe Delgado,  Joe.delgado@suddath.com
904-376-6115 office
904-424-4779 mobile</t>
    </r>
  </si>
  <si>
    <t>OCGU8032541</t>
  </si>
  <si>
    <r>
      <rPr>
        <sz val="11"/>
        <rFont val="Calibri"/>
        <family val="2"/>
        <scheme val="minor"/>
      </rPr>
      <t>26 plts-10/19@15:00 PDT</t>
    </r>
    <r>
      <rPr>
        <sz val="11"/>
        <color rgb="FFFF0000"/>
        <rFont val="Calibri"/>
        <family val="2"/>
        <scheme val="minor"/>
      </rPr>
      <t xml:space="preserve">
8 Plt-10/22 @18:000</t>
    </r>
  </si>
  <si>
    <r>
      <rPr>
        <sz val="11"/>
        <rFont val="Calibri"/>
        <family val="2"/>
        <scheme val="minor"/>
      </rPr>
      <t>ISA# 76644034980-Helen</t>
    </r>
    <r>
      <rPr>
        <sz val="11"/>
        <color rgb="FFFF0000"/>
        <rFont val="Calibri"/>
        <family val="2"/>
        <scheme val="minor"/>
      </rPr>
      <t xml:space="preserve">
ISA# 77103034980-Helen</t>
    </r>
  </si>
  <si>
    <r>
      <t xml:space="preserve">10-10 Devanned-34 plts/ Delivery 26PLTS (615 CTNS) to XLX7.
Remains 8PLTS (8PLTS *15=120 CTNS). / Transload / EGLV142302070390 / </t>
    </r>
    <r>
      <rPr>
        <sz val="11"/>
        <color rgb="FFFF0000"/>
        <rFont val="Calibri"/>
        <family val="2"/>
        <scheme val="minor"/>
      </rPr>
      <t>PIER PASS $68.42, CTF $20</t>
    </r>
  </si>
  <si>
    <t xml:space="preserve">DONE#140615 </t>
  </si>
  <si>
    <t>GLOBAL PASS-GTS</t>
  </si>
  <si>
    <t>TEMU7622676</t>
  </si>
  <si>
    <t>HAZELWOOD,MO,63042</t>
  </si>
  <si>
    <r>
      <rPr>
        <sz val="11"/>
        <rFont val="Calibri"/>
        <family val="2"/>
        <scheme val="minor"/>
      </rPr>
      <t xml:space="preserve">9-19 discharged/ MBL# W226428006 </t>
    </r>
    <r>
      <rPr>
        <sz val="11"/>
        <color rgb="FFFF0000"/>
        <rFont val="Calibri"/>
        <family val="2"/>
        <scheme val="minor"/>
      </rPr>
      <t xml:space="preserve">  </t>
    </r>
  </si>
  <si>
    <t>TCNU3052615</t>
  </si>
  <si>
    <r>
      <rPr>
        <sz val="11"/>
        <color rgb="FF000000"/>
        <rFont val="Calibri"/>
        <family val="2"/>
        <scheme val="minor"/>
      </rPr>
      <t xml:space="preserve">9-19 discharged/  MBL# W226428006 </t>
    </r>
    <r>
      <rPr>
        <sz val="11"/>
        <color rgb="FFFF0000"/>
        <rFont val="Calibri"/>
        <family val="2"/>
        <scheme val="minor"/>
      </rPr>
      <t xml:space="preserve">  </t>
    </r>
  </si>
  <si>
    <t xml:space="preserve">YMMU6560611 </t>
  </si>
  <si>
    <t>TCKU3906788</t>
  </si>
  <si>
    <t>7pm-9pm</t>
  </si>
  <si>
    <t>BYRON CENTER, MI, 49315</t>
  </si>
  <si>
    <t>9-11 discharged / ONEYXMND56160400 / COC</t>
  </si>
  <si>
    <t xml:space="preserve">DONE#138869 </t>
  </si>
  <si>
    <t>TCLU7611490</t>
  </si>
  <si>
    <t xml:space="preserve"> pre-pull and yard storage / OG on 10-12 01:53 / 9-11 discharged / ONEYXMND56160400 / COC</t>
  </si>
  <si>
    <t xml:space="preserve">OOCU7255766 </t>
  </si>
  <si>
    <t>Sullivan IL 61951</t>
  </si>
  <si>
    <t>760C86</t>
  </si>
  <si>
    <r>
      <rPr>
        <sz val="11"/>
        <color rgb="FF0000CC"/>
        <rFont val="Calibri"/>
        <family val="2"/>
        <scheme val="minor"/>
      </rPr>
      <t xml:space="preserve">PRE-PULL, YARD STORAGE </t>
    </r>
    <r>
      <rPr>
        <sz val="11"/>
        <color theme="1"/>
        <rFont val="Calibri"/>
        <family val="2"/>
        <scheme val="minor"/>
      </rPr>
      <t xml:space="preserve">/ </t>
    </r>
    <r>
      <rPr>
        <sz val="11"/>
        <color rgb="FFFF0000"/>
        <rFont val="Calibri"/>
        <family val="2"/>
        <scheme val="minor"/>
      </rPr>
      <t>0.5 hr detention-8am-9:30am, 1hr free /</t>
    </r>
    <r>
      <rPr>
        <sz val="11"/>
        <color theme="1"/>
        <rFont val="Calibri"/>
        <family val="2"/>
        <scheme val="minor"/>
      </rPr>
      <t xml:space="preserve"> OOLU2300612540 / Q# UPDATED-FRST102722S / 
</t>
    </r>
    <r>
      <rPr>
        <sz val="11"/>
        <color rgb="FFFF0000"/>
        <rFont val="Calibri"/>
        <family val="2"/>
        <scheme val="minor"/>
      </rPr>
      <t>9.26 大森林确认整柜直送，不带lift gate</t>
    </r>
  </si>
  <si>
    <t xml:space="preserve">DONE#138904 </t>
  </si>
  <si>
    <t>EMCU8711487</t>
  </si>
  <si>
    <t>ABL 10/11 DOCK# 14</t>
  </si>
  <si>
    <t>B73B0B</t>
  </si>
  <si>
    <r>
      <rPr>
        <sz val="11"/>
        <color rgb="FFFF0000"/>
        <rFont val="Calibri"/>
        <family val="2"/>
        <scheme val="minor"/>
      </rPr>
      <t>overweight $250+ OW ticket  $75/ Transload /</t>
    </r>
    <r>
      <rPr>
        <sz val="11"/>
        <color theme="1"/>
        <rFont val="Calibri"/>
        <family val="2"/>
        <scheme val="minor"/>
      </rPr>
      <t xml:space="preserve"> 10-1 discharged / EGLV140301783434</t>
    </r>
  </si>
  <si>
    <t>SEKU6028971</t>
  </si>
  <si>
    <t>14D1C9</t>
  </si>
  <si>
    <t xml:space="preserve">CMDUCHN0551069   </t>
  </si>
  <si>
    <t>CSNU8075351</t>
  </si>
  <si>
    <t>a1d3d3</t>
  </si>
  <si>
    <t>COSU6363857550</t>
  </si>
  <si>
    <t>KKFU7788844</t>
  </si>
  <si>
    <t xml:space="preserve"> pre-pull and yard storage / 9-10 discharged / ONEYXMND56160400 / COC</t>
  </si>
  <si>
    <t>FCIU9847980</t>
  </si>
  <si>
    <t>DROP
2PM</t>
  </si>
  <si>
    <t>1035 S Frontage Rd, Darien, IL 60561</t>
  </si>
  <si>
    <t>446D03</t>
  </si>
  <si>
    <r>
      <rPr>
        <sz val="11"/>
        <color rgb="FFFF0000"/>
        <rFont val="Calibri"/>
        <family val="2"/>
        <scheme val="minor"/>
      </rPr>
      <t xml:space="preserve">DROP FEE $315 </t>
    </r>
    <r>
      <rPr>
        <sz val="11"/>
        <color theme="1"/>
        <rFont val="Calibri"/>
        <family val="2"/>
        <scheme val="minor"/>
      </rPr>
      <t xml:space="preserve">/ 9-23 discharged /OOLU2723840890 / ATTN: GARY LIN / GARY.LIN@PROCRAFTCHICAGO.COM / T: 708-234-1700 M: 630-4019235 / </t>
    </r>
    <r>
      <rPr>
        <sz val="11"/>
        <color rgb="FFFF0000"/>
        <rFont val="Calibri"/>
        <family val="2"/>
        <scheme val="minor"/>
      </rPr>
      <t>rerout $125 &amp; chassis split for IG DELONG</t>
    </r>
  </si>
  <si>
    <t>FSCU8625436</t>
  </si>
  <si>
    <t>ABL 10/13 DOCK# 10</t>
  </si>
  <si>
    <t>2D199F</t>
  </si>
  <si>
    <t>10-16 devanned, 51 plts / 9-24 discharged /Transload / COSU6364081000</t>
  </si>
  <si>
    <t>TCKU6183168</t>
  </si>
  <si>
    <t>8:30AM-5PM</t>
  </si>
  <si>
    <t xml:space="preserve">JONESBORO,AR,72404 </t>
  </si>
  <si>
    <t xml:space="preserve">8E6BE1 </t>
  </si>
  <si>
    <r>
      <t xml:space="preserve">9.26 discharged / </t>
    </r>
    <r>
      <rPr>
        <sz val="11"/>
        <rFont val="Calibri"/>
        <family val="2"/>
        <scheme val="minor"/>
      </rPr>
      <t>9.15 Alex confirmed FCL / 1X40HQ/ 46 CBM</t>
    </r>
    <r>
      <rPr>
        <sz val="11"/>
        <color rgb="FFFF0000"/>
        <rFont val="Calibri"/>
        <family val="2"/>
        <scheme val="minor"/>
      </rPr>
      <t xml:space="preserve"> / received DO /7976 LBS</t>
    </r>
  </si>
  <si>
    <t>CSNU7737725</t>
  </si>
  <si>
    <t>fcac40</t>
  </si>
  <si>
    <t xml:space="preserve">COSU6365027180 </t>
  </si>
  <si>
    <t>MRKU2766977</t>
  </si>
  <si>
    <t>160ED4</t>
  </si>
  <si>
    <t>MAEU230157562</t>
  </si>
  <si>
    <t>NYKU4917363</t>
  </si>
  <si>
    <t>WILMINGTON, NC
NORTH CAROLINA PORTS</t>
  </si>
  <si>
    <t>WINSTON SALEM NC 27103</t>
  </si>
  <si>
    <t>ONEYNB3BF0658300 / 10.24.2023 Wuh Anna wecom 说按照7月底报价$1380收费</t>
  </si>
  <si>
    <t>DONE#139029</t>
  </si>
  <si>
    <t>BEAU4432571</t>
  </si>
  <si>
    <t>GREENSBORO NC 27406</t>
  </si>
  <si>
    <r>
      <rPr>
        <sz val="11"/>
        <color rgb="FFFF0000"/>
        <rFont val="Calibri"/>
        <family val="2"/>
        <scheme val="minor"/>
      </rPr>
      <t>1 hr detention -8 am- 11:10am, 2 hours free / pre-pull ,yard storage</t>
    </r>
    <r>
      <rPr>
        <sz val="11"/>
        <color theme="1"/>
        <rFont val="Calibri"/>
        <family val="2"/>
        <scheme val="minor"/>
      </rPr>
      <t xml:space="preserve"> / ONEYNB3BF0657900  / Q# 0421AN0HP</t>
    </r>
  </si>
  <si>
    <t xml:space="preserve">DONE#139113 </t>
  </si>
  <si>
    <t>XIN BANG 鑫邦</t>
  </si>
  <si>
    <t>CICU5595926</t>
  </si>
  <si>
    <t>UP SALT LAKE CITY, UT</t>
  </si>
  <si>
    <t>Richfield, UT 84701</t>
  </si>
  <si>
    <t>2.75 hrs detention- 11:00-OUT @ 14:45 / redelivery $100 &amp; yard storage for not empty return on the same day of delivery. / pre-pull, yard storage / Demurrage $140-10.16 /10-16 received pu# / 10-5 discharged / QGD0375237 / SOC return to Railroad Storage &amp; Drayage Inc</t>
  </si>
  <si>
    <t>DONE#138925， DEM INV# 138328</t>
  </si>
  <si>
    <t>CICU5597343</t>
  </si>
  <si>
    <t>Redelivery $100 &amp; yard storage for not empty return on the same day of delivery / pre-pull, yard storage / Demurrage $140-10.16 /10-16 received pu# / 10-5 discharged /QGD0375237 / SOC return to Railroad Storage &amp; Drayage Inc</t>
  </si>
  <si>
    <t>DONE#138928， DEM INV# 138328</t>
  </si>
  <si>
    <t>CICU5597404</t>
  </si>
  <si>
    <t>pre-pull, yard storage / Demurrage $140-10.16 10-16 received pu# / 10-5 discharged /QGD0375237 / SOC return to Railroad Storage &amp; Drayage Inc</t>
  </si>
  <si>
    <t>DONE#138927， DEM INV# 138328</t>
  </si>
  <si>
    <t>CICU5597410</t>
  </si>
  <si>
    <t>pre-pull, yard storage / Demurrage $140-10.16/ 10-16 received pu# / 10-5 discharged / QGD0375237 / SOC return to Railroad Storage &amp; Drayage Inc</t>
  </si>
  <si>
    <t>DONE#138925, DEM INV# 138328</t>
  </si>
  <si>
    <t>TCNU8934600</t>
  </si>
  <si>
    <t>PORT OF MIAMI -TPM</t>
  </si>
  <si>
    <t>SUNRISE,FL,33325</t>
  </si>
  <si>
    <t>ZIMUSHH31086532/TERMINAL CHARGE $95.5</t>
  </si>
  <si>
    <t>OOLU8734707</t>
  </si>
  <si>
    <t>dda271</t>
  </si>
  <si>
    <t xml:space="preserve">COSU6365027190 </t>
  </si>
  <si>
    <t xml:space="preserve"> MSDU8940969</t>
  </si>
  <si>
    <t>CSX - LOUISVILLE</t>
  </si>
  <si>
    <t xml:space="preserve">0930-1030. </t>
  </si>
  <si>
    <t xml:space="preserve">Continuum Transportation </t>
  </si>
  <si>
    <t xml:space="preserve">Louisivlle Kentucky 40223  </t>
  </si>
  <si>
    <t>5AFCE4</t>
  </si>
  <si>
    <r>
      <rPr>
        <sz val="11"/>
        <color rgb="FFFF0000"/>
        <rFont val="Calibri"/>
        <family val="2"/>
        <scheme val="minor"/>
      </rPr>
      <t xml:space="preserve">Detention </t>
    </r>
    <r>
      <rPr>
        <sz val="11"/>
        <color theme="1"/>
        <rFont val="Calibri"/>
        <family val="2"/>
        <scheme val="minor"/>
      </rPr>
      <t xml:space="preserve">/ 9-26 discharged / MEDUQF344467 / Q# WOIL092523A / </t>
    </r>
    <r>
      <rPr>
        <sz val="11"/>
        <color rgb="FF0000CC"/>
        <rFont val="Calibri"/>
        <family val="2"/>
        <scheme val="minor"/>
      </rPr>
      <t>chassis split x 2 for OG CSX &amp; IG  Universal intermodal.</t>
    </r>
    <r>
      <rPr>
        <sz val="11"/>
        <color theme="1"/>
        <rFont val="Calibri"/>
        <family val="2"/>
        <scheme val="minor"/>
      </rPr>
      <t xml:space="preserve">
收件人James  电话15026394259/  550 OByrne Avenue Unit 206 Louisivlle Kentucky 40223  </t>
    </r>
  </si>
  <si>
    <t>DONE#138363</t>
  </si>
  <si>
    <t>TRHU8283971</t>
  </si>
  <si>
    <t>CMDUSHZ5734766/SZX23090115A</t>
  </si>
  <si>
    <t>CMAU8990162</t>
  </si>
  <si>
    <t>CMDUSHZ5734767/SZX23090097A</t>
  </si>
  <si>
    <t>TLLU3639291</t>
  </si>
  <si>
    <t>3D476A</t>
  </si>
  <si>
    <t>CMDUNGP0534371</t>
  </si>
  <si>
    <t>UETU5961759</t>
  </si>
  <si>
    <t>Elgin, IL  60123</t>
  </si>
  <si>
    <r>
      <rPr>
        <sz val="11"/>
        <color rgb="FFFF0000"/>
        <rFont val="Calibri"/>
        <family val="2"/>
        <scheme val="minor"/>
      </rPr>
      <t>3 hrs detention-9:00-1:57PM, 2 hrs free</t>
    </r>
    <r>
      <rPr>
        <sz val="11"/>
        <color theme="1"/>
        <rFont val="Calibri"/>
        <family val="2"/>
        <scheme val="minor"/>
      </rPr>
      <t xml:space="preserve"> / 10-16 per vee, they cannot receive the CNEE, need to HOLD for delivery until get their further instruction /  </t>
    </r>
    <r>
      <rPr>
        <sz val="11"/>
        <color rgb="FFFF0000"/>
        <rFont val="Calibri"/>
        <family val="2"/>
        <scheme val="minor"/>
      </rPr>
      <t>pre-pull / yard storage</t>
    </r>
    <r>
      <rPr>
        <sz val="11"/>
        <color theme="1"/>
        <rFont val="Calibri"/>
        <family val="2"/>
        <scheme val="minor"/>
      </rPr>
      <t xml:space="preserve"> / OOLU8894793070 /</t>
    </r>
    <r>
      <rPr>
        <sz val="11"/>
        <color rgb="FFFF0000"/>
        <rFont val="Calibri"/>
        <family val="2"/>
        <scheme val="minor"/>
      </rPr>
      <t xml:space="preserve"> split OG CN, split return to CN </t>
    </r>
  </si>
  <si>
    <t xml:space="preserve">DONE#139034 </t>
  </si>
  <si>
    <t>MATU2333639</t>
  </si>
  <si>
    <t>A6C2F3</t>
  </si>
  <si>
    <t xml:space="preserve">MATS2277254000 </t>
  </si>
  <si>
    <t>MIEU3018183</t>
  </si>
  <si>
    <t>CD8BB7</t>
  </si>
  <si>
    <t>MAEU230157587/SZX23090034A</t>
  </si>
  <si>
    <t>TCKU6957536</t>
  </si>
  <si>
    <t>DEF9D2</t>
  </si>
  <si>
    <t>MAEU230157601/SZX23090035A</t>
  </si>
  <si>
    <t>MSKU0227089</t>
  </si>
  <si>
    <t>0C5B56</t>
  </si>
  <si>
    <t>MAEU230157602/SZX23090002A</t>
  </si>
  <si>
    <t>MRKU4239553</t>
  </si>
  <si>
    <t>DB11DE</t>
  </si>
  <si>
    <t>MAEU230157564</t>
  </si>
  <si>
    <t>MSMU3500177</t>
  </si>
  <si>
    <t>51ADAB</t>
  </si>
  <si>
    <t>9-28 discharged / MEDUXN372990 /  OW -20GP / 21393KGS</t>
  </si>
  <si>
    <t>DONE# 138931</t>
  </si>
  <si>
    <t>LC GROUP</t>
  </si>
  <si>
    <t>FFAU4352506</t>
  </si>
  <si>
    <t>665f5f</t>
  </si>
  <si>
    <t>CMDUCHN0543867</t>
  </si>
  <si>
    <t>CICU5597370</t>
  </si>
  <si>
    <t>10-5 discharged /QGD0375237 / SOC return to Railroad Storage &amp; Drayage Inc</t>
  </si>
  <si>
    <t>DONE#138929</t>
  </si>
  <si>
    <t>TGHU6534839</t>
  </si>
  <si>
    <t> 19:00 EDT</t>
  </si>
  <si>
    <r>
      <rPr>
        <sz val="11"/>
        <color rgb="FFFF0000"/>
        <rFont val="Calibri"/>
        <family val="2"/>
        <scheme val="minor"/>
      </rPr>
      <t>ISA# 313622004970 / pre-pull &amp; yard storage</t>
    </r>
    <r>
      <rPr>
        <sz val="11"/>
        <color rgb="FF000000"/>
        <rFont val="Calibri"/>
        <family val="2"/>
        <scheme val="minor"/>
      </rPr>
      <t xml:space="preserve"> /10-10 discharged / OOLU2725612190/ 不收Handling</t>
    </r>
  </si>
  <si>
    <t xml:space="preserve">DONE#139197 </t>
  </si>
  <si>
    <t>TEMU0747250</t>
  </si>
  <si>
    <t>25753B</t>
  </si>
  <si>
    <t>YMPRW226436823/$175 BOND TRUCK</t>
  </si>
  <si>
    <t>DFSU2393370</t>
  </si>
  <si>
    <t>NS CINCINNATI, OH</t>
  </si>
  <si>
    <t>MASON, OH 45040</t>
  </si>
  <si>
    <r>
      <t>9-30 discharged / ONEYXMND49689800 / SOC / 客户卸货完成后，烦请帮忙告知让司机锁柜门时检查下箱子是否有破损，</t>
    </r>
    <r>
      <rPr>
        <sz val="11"/>
        <color rgb="FFFF0000"/>
        <rFont val="Calibri"/>
        <family val="2"/>
        <scheme val="minor"/>
      </rPr>
      <t>拍照 /  SOC return to Conglobal Cincinnati</t>
    </r>
    <r>
      <rPr>
        <sz val="11"/>
        <color theme="1"/>
        <rFont val="Calibri"/>
        <family val="2"/>
        <scheme val="minor"/>
      </rPr>
      <t>-</t>
    </r>
    <r>
      <rPr>
        <sz val="11"/>
        <color rgb="FFFF0000"/>
        <rFont val="Calibri"/>
        <family val="2"/>
        <scheme val="minor"/>
      </rPr>
      <t xml:space="preserve"> redelivery $125+ chassis split</t>
    </r>
  </si>
  <si>
    <t xml:space="preserve">DONE#139114 </t>
  </si>
  <si>
    <t>CMAU5116370</t>
  </si>
  <si>
    <t>3174</t>
  </si>
  <si>
    <t xml:space="preserve">10/18 at NS rail </t>
  </si>
  <si>
    <t>10/26 from NS rail</t>
  </si>
  <si>
    <r>
      <rPr>
        <sz val="11"/>
        <rFont val="Calibri"/>
        <family val="2"/>
        <scheme val="minor"/>
      </rPr>
      <t>11-2 Exam finished, fully released</t>
    </r>
    <r>
      <rPr>
        <sz val="11"/>
        <color rgb="FFFF0000"/>
        <rFont val="Calibri"/>
        <family val="2"/>
        <scheme val="minor"/>
      </rPr>
      <t xml:space="preserve"> / 3.5hrs rail Pu detention-10.25 11:20am-4pm, 1 hr free /  dry run $200 for 10.24 waited at NS rail and container wasn't released by NS rail / </t>
    </r>
    <r>
      <rPr>
        <sz val="11"/>
        <rFont val="Calibri"/>
        <family val="2"/>
        <scheme val="minor"/>
      </rPr>
      <t>Demurrage $700-10.24+$200-10.25+$500-10.26</t>
    </r>
    <r>
      <rPr>
        <sz val="11"/>
        <color theme="1"/>
        <rFont val="Calibri"/>
        <family val="2"/>
        <scheme val="minor"/>
      </rPr>
      <t xml:space="preserve"> / </t>
    </r>
    <r>
      <rPr>
        <sz val="11"/>
        <color rgb="FF0000CC"/>
        <rFont val="Calibri"/>
        <family val="2"/>
        <scheme val="minor"/>
      </rPr>
      <t xml:space="preserve"> EXAM moving $776</t>
    </r>
    <r>
      <rPr>
        <sz val="11"/>
        <color theme="1"/>
        <rFont val="Calibri"/>
        <family val="2"/>
        <scheme val="minor"/>
      </rPr>
      <t xml:space="preserve"> / 10-2 discharged / CMDUSHZ5697978/ Q# WCGN090123D / Horizon Freight System Inc./ IRS# 34-1380439</t>
    </r>
  </si>
  <si>
    <t xml:space="preserve">DONE#139736, DEM INV# 138803 </t>
  </si>
  <si>
    <t>CAIU2842210</t>
  </si>
  <si>
    <t>NEW YORK-GCT BAYONNE TERMINAL</t>
  </si>
  <si>
    <t>HARRISON, NY 10604</t>
  </si>
  <si>
    <t>EMODAL</t>
  </si>
  <si>
    <t>ONEYXMND71645900 / COC / Q# AS062623N /
ATTN: Mr Nick Newcome
EMAIL:nick@cgsicorp.com
CALL:614-800-9335
ATTN: ANDY GARCIA (973) 904-0213</t>
  </si>
  <si>
    <t>DONE#140122</t>
  </si>
  <si>
    <t xml:space="preserve">OOLU9626688 </t>
  </si>
  <si>
    <t>cn-harvey</t>
  </si>
  <si>
    <t xml:space="preserve">weship </t>
  </si>
  <si>
    <t>OOLU2724631620</t>
  </si>
  <si>
    <t>TGBU6172337</t>
  </si>
  <si>
    <t>11am DROP</t>
  </si>
  <si>
    <r>
      <rPr>
        <sz val="11"/>
        <color rgb="FFFF0000"/>
        <rFont val="Calibri"/>
        <family val="2"/>
        <scheme val="minor"/>
      </rPr>
      <t xml:space="preserve">re-route &amp; chassis split for IG to ITC // drop fee / </t>
    </r>
    <r>
      <rPr>
        <sz val="11"/>
        <color theme="1"/>
        <rFont val="Calibri"/>
        <family val="2"/>
        <scheme val="minor"/>
      </rPr>
      <t xml:space="preserve"> HLCUPN7230800909 / gary.lin@procraftchicago.com / 708-234-1700, MOBILE 630-4019235 </t>
    </r>
  </si>
  <si>
    <t xml:space="preserve">DONE#139241 </t>
  </si>
  <si>
    <t>TCLU7495044</t>
  </si>
  <si>
    <t xml:space="preserve">FREEDOM 1 </t>
  </si>
  <si>
    <t>PERRYSBURG, OH 43551</t>
  </si>
  <si>
    <t>10-23 fully released, demurrage $300-10.23 / 10-20 received pu# / 10-20 EXAM &amp; CUSTOMS RELEASED / 10-4 discharged / ONEYXMND74228900  / Q# ASPD082923D</t>
  </si>
  <si>
    <t xml:space="preserve">DONE#139239,  DEM inv# #139238 </t>
  </si>
  <si>
    <t>CMAU1757020</t>
  </si>
  <si>
    <t>6am-7am</t>
  </si>
  <si>
    <r>
      <t xml:space="preserve">CMDUXIA1204430  / COC/ pre-pull, yard storage/ </t>
    </r>
    <r>
      <rPr>
        <sz val="11"/>
        <color rgb="FFFF0000"/>
        <rFont val="Calibri"/>
        <family val="2"/>
        <scheme val="minor"/>
      </rPr>
      <t xml:space="preserve">redelivery $175 due to return depot closed during weekend. </t>
    </r>
    <r>
      <rPr>
        <sz val="11"/>
        <color theme="1"/>
        <rFont val="Calibri"/>
        <family val="2"/>
        <scheme val="minor"/>
      </rPr>
      <t>And chassis split ffor return to a depot.</t>
    </r>
  </si>
  <si>
    <t>DONE#139115</t>
  </si>
  <si>
    <t>TEMU2583160</t>
  </si>
  <si>
    <t>6am-8am</t>
  </si>
  <si>
    <t>7FE4C8</t>
  </si>
  <si>
    <t>CMDUXIA1204430  / COC / / pre-pull, yard storage</t>
  </si>
  <si>
    <t xml:space="preserve">DONE#139116 </t>
  </si>
  <si>
    <t>CSNU7456559</t>
  </si>
  <si>
    <t>OOLU2142700240</t>
  </si>
  <si>
    <t>FFAU3304592</t>
  </si>
  <si>
    <t>7:30am live changed to drop</t>
  </si>
  <si>
    <r>
      <rPr>
        <sz val="11"/>
        <color rgb="FF0000CC"/>
        <rFont val="Calibri"/>
        <family val="2"/>
        <scheme val="minor"/>
      </rPr>
      <t>10-25 empty ready / Drop fee double drayage / Wayfair required drop  / Wayfair APPT# 32262768</t>
    </r>
    <r>
      <rPr>
        <sz val="11"/>
        <color rgb="FFFF0000"/>
        <rFont val="Calibri"/>
        <family val="2"/>
        <scheme val="minor"/>
      </rPr>
      <t xml:space="preserve"> / pre-pull, yard storage </t>
    </r>
    <r>
      <rPr>
        <sz val="11"/>
        <color theme="1"/>
        <rFont val="Calibri"/>
        <family val="2"/>
        <scheme val="minor"/>
      </rPr>
      <t>/10-7 discharged /OOLU4112761123 / Q# 0516AN4IW
仓库：KY - Erlanger 地址：1600 Donaldson Rd，Erlanger, KY 41018 预约网址：
https://www.c3reservations.com/wayfair/app/view/20/39 
账号：portal 密码：portal
用Reference ID预约，谢谢</t>
    </r>
  </si>
  <si>
    <t>DONE#139137</t>
  </si>
  <si>
    <t>PICO</t>
  </si>
  <si>
    <t>SEGU1187765</t>
  </si>
  <si>
    <t>ALBION,INDIANA,46701</t>
  </si>
  <si>
    <t>DEB793</t>
  </si>
  <si>
    <t>CMDUNGP0467042/Q#PICO230906-1/CNEE $200 OW&amp;BILL REST TO PICO</t>
  </si>
  <si>
    <t>DAP</t>
  </si>
  <si>
    <t>TRHU1698282</t>
  </si>
  <si>
    <t>DC4A9C</t>
  </si>
  <si>
    <t>CMDUNGP0467047/Q#PICO230906-1/CNEE $200 OW&amp;BILL REST TO PICO</t>
  </si>
  <si>
    <t xml:space="preserve">HMMU6135549 </t>
  </si>
  <si>
    <t>10/23/2023 20:00 CDT</t>
  </si>
  <si>
    <t>ISA# 815558703-LLL</t>
  </si>
  <si>
    <t xml:space="preserve">AMZ MDW2 </t>
  </si>
  <si>
    <t>9085448</t>
  </si>
  <si>
    <r>
      <rPr>
        <sz val="11"/>
        <color rgb="FFFF0000"/>
        <rFont val="Calibri"/>
        <family val="2"/>
        <scheme val="minor"/>
      </rPr>
      <t>4.5 hrs detention-10/23 @ 20:29 CDT   -10/24 @03:00 CDT, 2 hours free.</t>
    </r>
    <r>
      <rPr>
        <sz val="11"/>
        <color theme="1"/>
        <rFont val="Calibri"/>
        <family val="2"/>
        <scheme val="minor"/>
      </rPr>
      <t xml:space="preserve"> / 10-8 discharged / NBOZ06189000</t>
    </r>
  </si>
  <si>
    <t xml:space="preserve">DONE#139243 </t>
  </si>
  <si>
    <t>MEDU7670500</t>
  </si>
  <si>
    <t>NEW ORLEANS</t>
  </si>
  <si>
    <t>MEDUQK198396/10.26 exam released/demurrage 245</t>
  </si>
  <si>
    <t>CAAU5743918</t>
  </si>
  <si>
    <t>10am drop</t>
  </si>
  <si>
    <t xml:space="preserve"> 1035 S Frontage Rd, Darien, IL 60561</t>
  </si>
  <si>
    <r>
      <t>10-25 afternoon empty ready / HLCUPN7230800909 /</t>
    </r>
    <r>
      <rPr>
        <sz val="11"/>
        <color rgb="FFFF0000"/>
        <rFont val="Calibri"/>
        <family val="2"/>
        <scheme val="minor"/>
      </rPr>
      <t xml:space="preserve"> re-route $200 + chassis split for empty return to ITC / drop fee</t>
    </r>
  </si>
  <si>
    <t xml:space="preserve">DONE #139242 </t>
  </si>
  <si>
    <t>NYKU3549565</t>
  </si>
  <si>
    <t>ONEYXMND73506700 / COC / pre-pull, yard storage</t>
  </si>
  <si>
    <t xml:space="preserve">DONE#139117 </t>
  </si>
  <si>
    <t>EITU1804666</t>
  </si>
  <si>
    <t>AMZ IGQ2-IL 60484</t>
  </si>
  <si>
    <t>BAB8DA</t>
  </si>
  <si>
    <r>
      <rPr>
        <sz val="11"/>
        <color rgb="FFFF0000"/>
        <rFont val="Calibri"/>
        <family val="2"/>
        <scheme val="minor"/>
      </rPr>
      <t>Drop fee $300+ 4 hrs detention -5:30-11:30 pm  / ISA# 96936008987-LLL /</t>
    </r>
    <r>
      <rPr>
        <sz val="11"/>
        <color theme="1"/>
        <rFont val="Calibri"/>
        <family val="2"/>
        <scheme val="minor"/>
      </rPr>
      <t xml:space="preserve"> 10-1 discharged / EGLV140301778139</t>
    </r>
  </si>
  <si>
    <t xml:space="preserve">DONE#138905 </t>
  </si>
  <si>
    <t>CSNU7275817</t>
  </si>
  <si>
    <t>TRLU8849666</t>
  </si>
  <si>
    <t>E4AB7D</t>
  </si>
  <si>
    <t>CMAU4937540</t>
  </si>
  <si>
    <t xml:space="preserve">UP </t>
  </si>
  <si>
    <t xml:space="preserve">cmduGGZ1971489 </t>
  </si>
  <si>
    <t>SEGU4626440</t>
  </si>
  <si>
    <t xml:space="preserve">UP  </t>
  </si>
  <si>
    <t xml:space="preserve">cmduGGZ1971494  </t>
  </si>
  <si>
    <t>TCLU8964763</t>
  </si>
  <si>
    <t xml:space="preserve">cmduGGZ1967947  </t>
  </si>
  <si>
    <t>SEGU1166398</t>
  </si>
  <si>
    <t>Vision</t>
  </si>
  <si>
    <t>MADISON,WI 53703</t>
  </si>
  <si>
    <t>ONEYXMND74163700  / COC</t>
  </si>
  <si>
    <t xml:space="preserve">DONE#139244 </t>
  </si>
  <si>
    <t>OOLU9695056</t>
  </si>
  <si>
    <t>BNSF Memphis</t>
  </si>
  <si>
    <t>10/25/2023 20:00 CDT dropped</t>
  </si>
  <si>
    <t>ISA# 554693575-LLL</t>
  </si>
  <si>
    <t xml:space="preserve">PPL-PRO# 46413  </t>
  </si>
  <si>
    <t>AMZ MEM1-TN 38118</t>
  </si>
  <si>
    <t>4A20FB</t>
  </si>
  <si>
    <r>
      <rPr>
        <sz val="11"/>
        <color rgb="FFFF0000"/>
        <rFont val="Calibri"/>
        <family val="2"/>
        <scheme val="minor"/>
      </rPr>
      <t>10/26 empty ready /Drop fee double drayag</t>
    </r>
    <r>
      <rPr>
        <sz val="11"/>
        <color theme="1"/>
        <rFont val="Calibri"/>
        <family val="2"/>
        <scheme val="minor"/>
      </rPr>
      <t>e / 10-14 discharged / OOLU8810566630 / Q# LNKT091923MEM1 / 1 hr free</t>
    </r>
  </si>
  <si>
    <t>DONE# 139445</t>
  </si>
  <si>
    <t>CRXU3213456</t>
  </si>
  <si>
    <t>78A89A</t>
  </si>
  <si>
    <t>MEDUQK803540  / chassis pre-paid</t>
  </si>
  <si>
    <t>DONE#139138</t>
  </si>
  <si>
    <t>CICU5597359</t>
  </si>
  <si>
    <t xml:space="preserve">DONE#138930 </t>
  </si>
  <si>
    <t>TCLU8324832</t>
  </si>
  <si>
    <t>EDFB06</t>
  </si>
  <si>
    <t>MAEU230157568</t>
  </si>
  <si>
    <t>NWRU3504972</t>
  </si>
  <si>
    <t>3pm-4pm</t>
  </si>
  <si>
    <t>BLOOMINGDALE IL 60108
changed to Roselle, IL 60172</t>
  </si>
  <si>
    <r>
      <rPr>
        <sz val="11"/>
        <color rgb="FFFF0000"/>
        <rFont val="Calibri"/>
        <family val="2"/>
        <scheme val="minor"/>
      </rPr>
      <t>re-route $170 for bring it back to our yard, chassis split for SOC return / Deliery rate $600 for Roselle, IL 60172 / pre-pull， yard storage</t>
    </r>
    <r>
      <rPr>
        <sz val="11"/>
        <color theme="1"/>
        <rFont val="Calibri"/>
        <family val="2"/>
        <scheme val="minor"/>
      </rPr>
      <t xml:space="preserve"> / OW/20GP/ 40,741.43 LBS / </t>
    </r>
    <r>
      <rPr>
        <sz val="11"/>
        <color rgb="FFFF0000"/>
        <rFont val="Calibri"/>
        <family val="2"/>
        <scheme val="minor"/>
      </rPr>
      <t>MAKE APPT on OPENDOCK</t>
    </r>
    <r>
      <rPr>
        <sz val="11"/>
        <color theme="1"/>
        <rFont val="Calibri"/>
        <family val="2"/>
        <scheme val="minor"/>
      </rPr>
      <t xml:space="preserve"> / HDMUNBOZ89797300/ </t>
    </r>
    <r>
      <rPr>
        <sz val="11"/>
        <color rgb="FF0000CC"/>
        <rFont val="Calibri"/>
        <family val="2"/>
        <scheme val="minor"/>
      </rPr>
      <t>overweight charge $250 / re-delivery $175 and chassis split  for SOC return to Great Lakes Kwik Space</t>
    </r>
  </si>
  <si>
    <t xml:space="preserve">DONE#139139 </t>
  </si>
  <si>
    <t>OOCU8190295</t>
  </si>
  <si>
    <t>C75C61</t>
  </si>
  <si>
    <t>OOLU2725336230</t>
  </si>
  <si>
    <t>MEDU6054579</t>
  </si>
  <si>
    <t>MEDUGN910195/Q#APXL102423A</t>
  </si>
  <si>
    <t>SEKU6032210</t>
  </si>
  <si>
    <t>CMDUGGZ1967799</t>
  </si>
  <si>
    <t>CSNU6541471</t>
  </si>
  <si>
    <t>25BBAE</t>
  </si>
  <si>
    <t>TCNU1743080</t>
  </si>
  <si>
    <t>04D072</t>
  </si>
  <si>
    <t>XYLU8113015</t>
  </si>
  <si>
    <t>A30A54</t>
  </si>
  <si>
    <t>TEMU6816424</t>
  </si>
  <si>
    <t>4603</t>
  </si>
  <si>
    <t>10/24 from NS rail</t>
  </si>
  <si>
    <r>
      <rPr>
        <sz val="11"/>
        <rFont val="Calibri"/>
        <family val="2"/>
        <scheme val="minor"/>
      </rPr>
      <t>11-2 Exam finished, fully released</t>
    </r>
    <r>
      <rPr>
        <sz val="11"/>
        <color rgb="FFFF0000"/>
        <rFont val="Calibri"/>
        <family val="2"/>
        <scheme val="minor"/>
      </rPr>
      <t xml:space="preserve">/ 10.24 dropped at EXAM SITE / Demurrage $700-10.24  /  </t>
    </r>
    <r>
      <rPr>
        <sz val="11"/>
        <color rgb="FF0000CC"/>
        <rFont val="Calibri"/>
        <family val="2"/>
        <scheme val="minor"/>
      </rPr>
      <t>EXAM moving $776</t>
    </r>
    <r>
      <rPr>
        <sz val="11"/>
        <color rgb="FFFF0000"/>
        <rFont val="Calibri"/>
        <family val="2"/>
        <scheme val="minor"/>
      </rPr>
      <t xml:space="preserve"> / </t>
    </r>
    <r>
      <rPr>
        <sz val="11"/>
        <color theme="1"/>
        <rFont val="Calibri"/>
        <family val="2"/>
        <scheme val="minor"/>
      </rPr>
      <t>10-2 discharged / CMDUSHZ5697978/ Q# WCGN090123D/ Horizon Freight System Inc./ IRS# 34-1380439</t>
    </r>
  </si>
  <si>
    <t>DONE#139737, PER DIEM INV# 139739</t>
  </si>
  <si>
    <t>TRHU5211371</t>
  </si>
  <si>
    <t>ABL WH/OMAHA,NE,68138</t>
  </si>
  <si>
    <t>EGLV003301949706/Q#APXL102323B-FTL PINK PANTHER/Devan 10.30</t>
  </si>
  <si>
    <t xml:space="preserve">TRHU7059226 </t>
  </si>
  <si>
    <t>NO AMZ</t>
  </si>
  <si>
    <t>ONEYHKGDB6828909/$175 BOND TRUCK</t>
  </si>
  <si>
    <t>TRHU7064285</t>
  </si>
  <si>
    <t>DB8BA3</t>
  </si>
  <si>
    <t>CMDUNGP0545674/Q#PICO100923A/IT# BACK</t>
  </si>
  <si>
    <t>CIF</t>
  </si>
  <si>
    <t>YMLU8629246</t>
  </si>
  <si>
    <t>100BA4</t>
  </si>
  <si>
    <t>YMPRW272036675/HKOE23090199</t>
  </si>
  <si>
    <t>SEGU1735832</t>
  </si>
  <si>
    <t>023E5F</t>
  </si>
  <si>
    <t>HPCU2440750</t>
  </si>
  <si>
    <r>
      <rPr>
        <sz val="11"/>
        <color rgb="FFFF0000"/>
        <rFont val="Calibri"/>
        <family val="2"/>
        <scheme val="minor"/>
      </rPr>
      <t>pre-pull, yard storage may apply, demurrage may apply if PU# is provided late, reroute &amp; chassis split will apply for SOC return to Conglobal</t>
    </r>
    <r>
      <rPr>
        <sz val="11"/>
        <color theme="1"/>
        <rFont val="Calibri"/>
        <family val="2"/>
        <scheme val="minor"/>
      </rPr>
      <t xml:space="preserve"> / 10-5 discharged /CMDUXIA1206055  / SOC /</t>
    </r>
    <r>
      <rPr>
        <sz val="11"/>
        <color rgb="FFFF0000"/>
        <rFont val="Calibri"/>
        <family val="2"/>
        <scheme val="minor"/>
      </rPr>
      <t>Call John Rersing @ 513-306-4961 for APPT</t>
    </r>
    <r>
      <rPr>
        <sz val="11"/>
        <color theme="1"/>
        <rFont val="Calibri"/>
        <family val="2"/>
        <scheme val="minor"/>
      </rPr>
      <t>/ 客户卸货完成后，烦请帮忙告知让司机锁柜门时检查下箱子是否有破损，</t>
    </r>
    <r>
      <rPr>
        <sz val="11"/>
        <color rgb="FFFF0000"/>
        <rFont val="Calibri"/>
        <family val="2"/>
        <scheme val="minor"/>
      </rPr>
      <t>拍照/  Pending SOC instruction</t>
    </r>
  </si>
  <si>
    <t xml:space="preserve">DONE#139595 </t>
  </si>
  <si>
    <t>HPCU2440766</t>
  </si>
  <si>
    <r>
      <rPr>
        <sz val="11"/>
        <color rgb="FFFF0000"/>
        <rFont val="Calibri"/>
        <family val="2"/>
        <scheme val="minor"/>
      </rPr>
      <t>pre-pull, yard storage may apply, demurrage may apply if PU# is provided late, reroute &amp; chassis split will apply for SOC return to Conglobal</t>
    </r>
    <r>
      <rPr>
        <sz val="11"/>
        <color theme="1"/>
        <rFont val="Calibri"/>
        <family val="2"/>
        <scheme val="minor"/>
      </rPr>
      <t xml:space="preserve"> /  /CMDUXIA1206055  / SOC /Call John Rersing @ 513-306-4961 for APPT/ 客户卸货完成后，烦请帮忙告知让司机锁柜门时检查下箱子是否有破损，拍照/  Pending SOC instruction</t>
    </r>
  </si>
  <si>
    <t xml:space="preserve">DONE#139596 </t>
  </si>
  <si>
    <t xml:space="preserve">CARU5744596 </t>
  </si>
  <si>
    <t>24BD85</t>
  </si>
  <si>
    <t>MEDUQF778565/$175 BOND TRUCK</t>
  </si>
  <si>
    <t>CCLU7947282</t>
  </si>
  <si>
    <t>UP Memphis</t>
  </si>
  <si>
    <t xml:space="preserve">10/31/2023 15:00 CDT	</t>
  </si>
  <si>
    <t>ISA# 556282575-Helen</t>
  </si>
  <si>
    <t>0426043</t>
  </si>
  <si>
    <r>
      <rPr>
        <sz val="11"/>
        <color rgb="FF0000CC"/>
        <rFont val="Calibri"/>
        <family val="2"/>
        <scheme val="minor"/>
      </rPr>
      <t>11-1 picking up empty, detention for pu may apply / 10-31 driver was runging out of hours, dropped the container at AMAZAON and left at 21:40</t>
    </r>
    <r>
      <rPr>
        <sz val="11"/>
        <color rgb="FFFF0000"/>
        <rFont val="Calibri"/>
        <family val="2"/>
        <scheme val="minor"/>
      </rPr>
      <t xml:space="preserve"> / 5.5 hrs detention for unloading-15:00 CDT- 21:40 CDT, 1 hour free</t>
    </r>
    <r>
      <rPr>
        <sz val="11"/>
        <color theme="1"/>
        <rFont val="Calibri"/>
        <family val="2"/>
        <scheme val="minor"/>
      </rPr>
      <t xml:space="preserve">/ </t>
    </r>
    <r>
      <rPr>
        <sz val="11"/>
        <color rgb="FFFF0000"/>
        <rFont val="Calibri"/>
        <family val="2"/>
        <scheme val="minor"/>
      </rPr>
      <t>pre-pull &amp; yard storage</t>
    </r>
    <r>
      <rPr>
        <sz val="11"/>
        <color theme="1"/>
        <rFont val="Calibri"/>
        <family val="2"/>
        <scheme val="minor"/>
      </rPr>
      <t xml:space="preserve"> / invalid PO# re-active on  10.30.2023 / COSU6365948001 / Q# LNKT091923MEM1 / 1 hr free</t>
    </r>
  </si>
  <si>
    <t xml:space="preserve">DONE#139515 </t>
  </si>
  <si>
    <t>CSNU6673610</t>
  </si>
  <si>
    <t>EA3329</t>
  </si>
  <si>
    <r>
      <rPr>
        <sz val="11"/>
        <color rgb="FFFF0000"/>
        <rFont val="Calibri"/>
        <family val="2"/>
        <scheme val="minor"/>
      </rPr>
      <t>1 hr detention-10:05AM-12:58PM, 2 hrs free / pre-pull, yard storage</t>
    </r>
    <r>
      <rPr>
        <sz val="11"/>
        <color theme="1"/>
        <rFont val="Calibri"/>
        <family val="2"/>
        <scheme val="minor"/>
      </rPr>
      <t xml:space="preserve"> /OOLU8894968790 / 联系人：Vee 邮箱： vee@qujiatech.com
CC：info@pg-network.com；cus1.ngb@tplsupplychain.com；darrylwang.ngb@tplsupplychain.com</t>
    </r>
  </si>
  <si>
    <t>DONE# 139597</t>
  </si>
  <si>
    <t xml:space="preserve">ROHANA </t>
  </si>
  <si>
    <t>TRHU7893218</t>
  </si>
  <si>
    <t>30EDF2</t>
  </si>
  <si>
    <t>MEDUFA784406/CHASSIS $110</t>
  </si>
  <si>
    <t>TEMU7885034</t>
  </si>
  <si>
    <t>SAV</t>
  </si>
  <si>
    <t>COSU6365522810/L738/11.3 empty</t>
  </si>
  <si>
    <t>CSNU7674020</t>
  </si>
  <si>
    <t>CMAU2786594</t>
  </si>
  <si>
    <t>CMDUSHZ5754280</t>
  </si>
  <si>
    <t>FCIU8923128</t>
  </si>
  <si>
    <t>WATERTOWN ,WI 53094</t>
  </si>
  <si>
    <t>B9623C</t>
  </si>
  <si>
    <r>
      <rPr>
        <sz val="11"/>
        <color rgb="FF0000CC"/>
        <rFont val="Calibri"/>
        <family val="2"/>
        <scheme val="minor"/>
      </rPr>
      <t>1.75 hrs detention- 8am-10:43am, 1 hour free</t>
    </r>
    <r>
      <rPr>
        <sz val="11"/>
        <color theme="1"/>
        <rFont val="Calibri"/>
        <family val="2"/>
        <scheme val="minor"/>
      </rPr>
      <t xml:space="preserve"> / MEDUE9138482 </t>
    </r>
    <r>
      <rPr>
        <sz val="11"/>
        <color rgb="FFFF0000"/>
        <rFont val="Calibri"/>
        <family val="2"/>
        <scheme val="minor"/>
      </rPr>
      <t>/11-1 driver called family emergency, changed to deliver on 11-2, waive 1 day yard storage /</t>
    </r>
    <r>
      <rPr>
        <sz val="11"/>
        <rFont val="Calibri"/>
        <family val="2"/>
        <scheme val="minor"/>
      </rPr>
      <t>Q# WUH071823B</t>
    </r>
    <r>
      <rPr>
        <sz val="11"/>
        <color theme="1"/>
        <rFont val="Calibri"/>
        <family val="2"/>
        <scheme val="minor"/>
      </rPr>
      <t>/ delivery $990+ toll $110</t>
    </r>
  </si>
  <si>
    <t>KRAKEN LOGISTICS</t>
  </si>
  <si>
    <t>EMCU8565248</t>
  </si>
  <si>
    <t>NS SHARONVILLE, OH</t>
  </si>
  <si>
    <t xml:space="preserve">11/01/2023 20:00 EDT	</t>
  </si>
  <si>
    <t>ISA# 105630568-LLL</t>
  </si>
  <si>
    <t>AMZ CMH3- Monroe, OH 45050</t>
  </si>
  <si>
    <r>
      <rPr>
        <sz val="11"/>
        <color rgb="FFFF0000"/>
        <rFont val="Calibri"/>
        <family val="2"/>
        <scheme val="minor"/>
      </rPr>
      <t xml:space="preserve">chassis split x 2 / re-delivery fee $125 / 5.75 hrs detention-11/1 @20:35 EDT- 11/2 @ 03:19 EDT, 1 hour free </t>
    </r>
    <r>
      <rPr>
        <sz val="11"/>
        <color theme="1"/>
        <rFont val="Calibri"/>
        <family val="2"/>
        <scheme val="minor"/>
      </rPr>
      <t>/ EGLV142302287437 / COC /Q# KRKN091523B</t>
    </r>
  </si>
  <si>
    <t>WAITING</t>
  </si>
  <si>
    <t>EGHU9425190</t>
  </si>
  <si>
    <t>NS Charlotte,NC</t>
  </si>
  <si>
    <t xml:space="preserve">Century Express </t>
  </si>
  <si>
    <t>China Grove, NC, 28023</t>
  </si>
  <si>
    <r>
      <rPr>
        <sz val="11"/>
        <color rgb="FFFF0000"/>
        <rFont val="Calibri"/>
        <family val="2"/>
        <scheme val="minor"/>
      </rPr>
      <t>3.75 hrs detention -8:45am-1:30pm, 1 hour free / PRE-PULL / YRAD STORAGE</t>
    </r>
    <r>
      <rPr>
        <sz val="11"/>
        <color theme="1"/>
        <rFont val="Calibri"/>
        <family val="2"/>
        <scheme val="minor"/>
      </rPr>
      <t xml:space="preserve"> / SO#149305491521 / Q# VIEG082923A / 1 hr free / 联系人：jack-8309 / 地址：308 E Thom St China Grove, NC, 28023
电话：19095068221  /9095068221</t>
    </r>
  </si>
  <si>
    <t>DONE#140131</t>
  </si>
  <si>
    <t>UACU6028384</t>
  </si>
  <si>
    <t>Roy, WA 98580</t>
  </si>
  <si>
    <t>72877273/'HLCUKUL230845830/PO # 58860-118730/ ETD. 9.23</t>
  </si>
  <si>
    <t>SEGU4637260</t>
  </si>
  <si>
    <t>29009905/HLCUKUL230902455/ PO # 58540-117685/ETD 9.30</t>
  </si>
  <si>
    <t>CXDU1338518</t>
  </si>
  <si>
    <t>Great Falls, MT 59405</t>
  </si>
  <si>
    <t>90095736/HLCUKUL230902499/ PO # 58659-118079/ETD 9.30</t>
  </si>
  <si>
    <t>TCLU8675740</t>
  </si>
  <si>
    <t>ACD69A</t>
  </si>
  <si>
    <t>CMDUSHZ5726975</t>
  </si>
  <si>
    <t>XHCU5373764</t>
  </si>
  <si>
    <t>83D9DD</t>
  </si>
  <si>
    <t>CMDUSHZ5736735</t>
  </si>
  <si>
    <t>TCNU2867320</t>
  </si>
  <si>
    <t>93D2C2</t>
  </si>
  <si>
    <t>CMDUSHZ5726976</t>
  </si>
  <si>
    <t>CSNU7996304</t>
  </si>
  <si>
    <r>
      <t>COSU6366632840 /</t>
    </r>
    <r>
      <rPr>
        <sz val="11"/>
        <color rgb="FFFF0000"/>
        <rFont val="Calibri"/>
        <family val="2"/>
        <scheme val="minor"/>
      </rPr>
      <t xml:space="preserve">我们只发AN </t>
    </r>
    <r>
      <rPr>
        <sz val="11"/>
        <color theme="1"/>
        <rFont val="Calibri"/>
        <family val="2"/>
        <scheme val="minor"/>
      </rPr>
      <t>/ TLX HBL</t>
    </r>
  </si>
  <si>
    <t xml:space="preserve">DONE#138902 </t>
  </si>
  <si>
    <t>BMOU6185304</t>
  </si>
  <si>
    <t>W226443558/Q#0515GS0IW</t>
  </si>
  <si>
    <t>ZCSU7961550</t>
  </si>
  <si>
    <t>MIAMI PORT</t>
  </si>
  <si>
    <t>ZIMUNGB20198551 / 我们只要发AN, 收 CNEE DO fee  $75 + ZIM 的费用。/ TLX HBL / AN SENT /CARGO WISE  INV SENT / 等收到款在QBS做inv</t>
  </si>
  <si>
    <t>DONE# 138903</t>
  </si>
  <si>
    <t xml:space="preserve">TGCU5052808 </t>
  </si>
  <si>
    <t>EB2450</t>
  </si>
  <si>
    <t>OOLU2725142612/$175 BOND TRUCK</t>
  </si>
  <si>
    <t>TCNU7411415</t>
  </si>
  <si>
    <t>NS Columbus</t>
  </si>
  <si>
    <t>9:30am - 10am</t>
  </si>
  <si>
    <t>Lewis Center,OH 43035</t>
  </si>
  <si>
    <t xml:space="preserve">Chassis split x2 for OG &amp; IG to NS rail / 10-19 discharged / OOLU2725545210 / Quotation#	FRST22023L </t>
  </si>
  <si>
    <t>DONE#139461</t>
  </si>
  <si>
    <t>SEKU6086284</t>
  </si>
  <si>
    <t xml:space="preserve">cmduGGZ1971491 </t>
  </si>
  <si>
    <t>FSCU8686540</t>
  </si>
  <si>
    <t>OOLU2725728430</t>
  </si>
  <si>
    <t>FFAU1289164</t>
  </si>
  <si>
    <t>W226440143/Q#0515GS0IW</t>
  </si>
  <si>
    <t>YMLU8931528</t>
  </si>
  <si>
    <t>TRLU9182201</t>
  </si>
  <si>
    <t>COLUMBUS,OH 43213 changed to Powell ohio 43065</t>
  </si>
  <si>
    <r>
      <rPr>
        <sz val="11"/>
        <color rgb="FF0000CC"/>
        <rFont val="Calibri"/>
        <family val="2"/>
        <scheme val="minor"/>
      </rPr>
      <t>Drayage $400 / SOC return to Conglobal Coumbus, chassis split / rail demurrage$200</t>
    </r>
    <r>
      <rPr>
        <sz val="11"/>
        <color theme="1"/>
        <rFont val="Calibri"/>
        <family val="2"/>
        <scheme val="minor"/>
      </rPr>
      <t>/ ONEYXMND79212700 / 现变更如下：
76 lincoln street Powell ohio 43065
Nick Newcome  Email: Nick@cgsicorp.com  
Office:614-681-DOOR/ Cell: 614-800-9335/dmg 200</t>
    </r>
  </si>
  <si>
    <t xml:space="preserve">DONE#140134 </t>
  </si>
  <si>
    <t>TEMU7026511</t>
  </si>
  <si>
    <t>W226440152/Q#0515GS0IW</t>
  </si>
  <si>
    <t>BMOU6052261</t>
  </si>
  <si>
    <t>HPCU4623494</t>
  </si>
  <si>
    <t xml:space="preserve">Greenwood, IN 46143 </t>
  </si>
  <si>
    <t>95015740</t>
  </si>
  <si>
    <r>
      <rPr>
        <sz val="11"/>
        <color rgb="FF0000CC"/>
        <rFont val="Calibri"/>
        <family val="2"/>
        <scheme val="minor"/>
      </rPr>
      <t xml:space="preserve">re-reoute &amp; chassis split for IG to ITC </t>
    </r>
    <r>
      <rPr>
        <sz val="11"/>
        <color rgb="FFFF0000"/>
        <rFont val="Calibri"/>
        <family val="2"/>
        <scheme val="minor"/>
      </rPr>
      <t xml:space="preserve"> / 0.5 HR DETENTION-10AM-11:25AM 1 HOUR FREE / PRE-PULL &amp;  YARD STORAGE / EXAM HOLD REMOVED / DG Surcharge is $250. 在10-20-2023 要收费 8 labels [$3 per label] + UPS fee $45 / 在10-13-2023 要收费 8 LABELS ($1/LABELS) + UPS FEE $45</t>
    </r>
    <r>
      <rPr>
        <sz val="11"/>
        <color rgb="FF000000"/>
        <rFont val="Calibri"/>
        <family val="2"/>
        <scheme val="minor"/>
      </rPr>
      <t xml:space="preserve"> / </t>
    </r>
    <r>
      <rPr>
        <sz val="11"/>
        <color rgb="FF0000CC"/>
        <rFont val="Calibri"/>
        <family val="2"/>
        <scheme val="minor"/>
      </rPr>
      <t>Weship HAZMAT COST $200</t>
    </r>
    <r>
      <rPr>
        <sz val="11"/>
        <color rgb="FF000000"/>
        <rFont val="Calibri"/>
        <family val="2"/>
        <scheme val="minor"/>
      </rPr>
      <t xml:space="preserve"> / ZIMUSHH31061587/COC / Q# LNTK060223G
联系人：Spreetail，电话：(866) 639-9320，
邮件：scot.taylor@spreetail.com  
地址：831 N Graham Rd, Greenwood, IN 46143 /reroute 215</t>
    </r>
  </si>
  <si>
    <t>DONE#139517</t>
  </si>
  <si>
    <t>OOLU6829505</t>
  </si>
  <si>
    <t>0483F9</t>
  </si>
  <si>
    <t>SEGU5379560</t>
  </si>
  <si>
    <t>CMDUSHZ5754273</t>
  </si>
  <si>
    <t>TCLU9580973</t>
  </si>
  <si>
    <t>CMDUSHZ5754274</t>
  </si>
  <si>
    <t>APHU7322957</t>
  </si>
  <si>
    <t>CMDUSHZ5754279/ reroute 125/100</t>
  </si>
  <si>
    <t>APHU7333972</t>
  </si>
  <si>
    <t>45 GP</t>
  </si>
  <si>
    <t xml:space="preserve">11/07/2023 13:00 CST	</t>
  </si>
  <si>
    <t>ISA# 819472703-LLL</t>
  </si>
  <si>
    <t>0378272</t>
  </si>
  <si>
    <r>
      <rPr>
        <sz val="11"/>
        <color rgb="FFFF0000"/>
        <rFont val="Calibri"/>
        <family val="2"/>
        <scheme val="minor"/>
      </rPr>
      <t>1 hour detention-11/07/2023 12:22 CST-	11/07/2023 17:19 CST, 4 hours free</t>
    </r>
    <r>
      <rPr>
        <sz val="11"/>
        <color theme="1"/>
        <rFont val="Calibri"/>
        <family val="2"/>
        <scheme val="minor"/>
      </rPr>
      <t xml:space="preserve"> / CMDUGGZ1975253 /reroute 125/100 &amp; Chassis split  for IG TO DELONG</t>
    </r>
  </si>
  <si>
    <t xml:space="preserve">DONE#139519 </t>
  </si>
  <si>
    <t>TRHU8695979</t>
  </si>
  <si>
    <t>ISA# 11328850973-HELEN</t>
  </si>
  <si>
    <t>ABC5D9</t>
  </si>
  <si>
    <t xml:space="preserve"> re-route &amp; chassis split  for IG TO ITW / MBL：CMDUWHU0109497</t>
  </si>
  <si>
    <t xml:space="preserve">DONE#139742 </t>
  </si>
  <si>
    <t>CSNU7250568</t>
  </si>
  <si>
    <t>OOLU2725890430</t>
  </si>
  <si>
    <t>SEGU5148453</t>
  </si>
  <si>
    <t xml:space="preserve">WATERTOWN ,WI 53094 changed to 1111 S 10th ST Watertown, WI 53094 </t>
  </si>
  <si>
    <r>
      <rPr>
        <sz val="11"/>
        <color rgb="FFFF0000"/>
        <rFont val="Calibri"/>
        <family val="2"/>
        <scheme val="minor"/>
      </rPr>
      <t>1.75 hrs detention-8:50am-11:40am, 1 hour free. /pre-pull, yard storage</t>
    </r>
    <r>
      <rPr>
        <sz val="11"/>
        <color theme="1"/>
        <rFont val="Calibri"/>
        <family val="2"/>
        <scheme val="minor"/>
      </rPr>
      <t xml:space="preserve"> / ONEYNB3BDG155700 / </t>
    </r>
    <r>
      <rPr>
        <sz val="11"/>
        <color rgb="FFFF0000"/>
        <rFont val="Calibri"/>
        <family val="2"/>
        <scheme val="minor"/>
      </rPr>
      <t>Q# WUH071823B</t>
    </r>
    <r>
      <rPr>
        <sz val="11"/>
        <color theme="1"/>
        <rFont val="Calibri"/>
        <family val="2"/>
        <scheme val="minor"/>
      </rPr>
      <t xml:space="preserve">
1007 SOUTH 12TH STREET ,WATERTOWN ,WI 53094
Contact：Julian Velez +1 9545164846
备选：Sheena Miranda +1 9545070262
补Email: julian@grillrescue.com
CC: sheena@grillrescue.com；info@pg-network.com; jenniej@sovel.cn；zhangjian@sovel.cn</t>
    </r>
  </si>
  <si>
    <t>DONE# 139901</t>
  </si>
  <si>
    <t>CICU5003117</t>
  </si>
  <si>
    <t>2pm</t>
  </si>
  <si>
    <t xml:space="preserve">MASON, OH 45040 </t>
  </si>
  <si>
    <r>
      <t xml:space="preserve">IN 14:00, OUT 15:09, No detention./ HDMUXMNM24675200 / SOC / </t>
    </r>
    <r>
      <rPr>
        <sz val="11"/>
        <color rgb="FFFF0000"/>
        <rFont val="Calibri"/>
        <family val="2"/>
        <scheme val="minor"/>
      </rPr>
      <t>Call John Rersing @ 513-306-4961 for APPT</t>
    </r>
    <r>
      <rPr>
        <sz val="11"/>
        <color theme="1"/>
        <rFont val="Calibri"/>
        <family val="2"/>
        <scheme val="minor"/>
      </rPr>
      <t xml:space="preserve"> /  还柜时烦请帮忙留意下SOC箱是否破损，若有破损，烦请</t>
    </r>
    <r>
      <rPr>
        <sz val="11"/>
        <color rgb="FFFF0000"/>
        <rFont val="Calibri"/>
        <family val="2"/>
        <scheme val="minor"/>
      </rPr>
      <t>拍照</t>
    </r>
    <r>
      <rPr>
        <sz val="11"/>
        <color theme="1"/>
        <rFont val="Calibri"/>
        <family val="2"/>
        <scheme val="minor"/>
      </rPr>
      <t xml:space="preserve">告知/ </t>
    </r>
    <r>
      <rPr>
        <sz val="11"/>
        <color rgb="FFFF0000"/>
        <rFont val="Calibri"/>
        <family val="2"/>
        <scheme val="minor"/>
      </rPr>
      <t xml:space="preserve"> SOC return to Conglobal Cincinnati- redelivery $125+ chassis split</t>
    </r>
  </si>
  <si>
    <t>DONE# 140135</t>
  </si>
  <si>
    <t>OOLU5394033</t>
  </si>
  <si>
    <t xml:space="preserve">11/13/2023 12:00 EST	</t>
  </si>
  <si>
    <t>ISA# 11322620973-LLL</t>
  </si>
  <si>
    <t>PINK</t>
  </si>
  <si>
    <r>
      <rPr>
        <sz val="11"/>
        <color rgb="FFFF0000"/>
        <rFont val="Calibri"/>
        <family val="2"/>
        <scheme val="minor"/>
      </rPr>
      <t>2X CHASSIS SPLIT / 1.5 hrs detention-11/13/2023 11:22 EST-11/13/2023 13:59 EST, 1 hour free / pre-pull &amp; yard storage</t>
    </r>
    <r>
      <rPr>
        <sz val="11"/>
        <color theme="1"/>
        <rFont val="Calibri"/>
        <family val="2"/>
        <scheme val="minor"/>
      </rPr>
      <t xml:space="preserve"> / pre-pulled on 11/11 monring before demurage incurred. / OOLU2725370990 / EXAM HOLD REMOVED / 
整柜直送 Q# WUH071023D / detention 1 hour free</t>
    </r>
  </si>
  <si>
    <t xml:space="preserve">DONE#140133 </t>
  </si>
  <si>
    <t>SEGU6800000</t>
  </si>
  <si>
    <r>
      <t xml:space="preserve">2pm drop
</t>
    </r>
    <r>
      <rPr>
        <sz val="11"/>
        <color rgb="FFFF0000"/>
        <rFont val="Calibri"/>
        <family val="2"/>
        <scheme val="minor"/>
      </rPr>
      <t>Wayfair APPT# 32531865</t>
    </r>
  </si>
  <si>
    <r>
      <rPr>
        <sz val="11"/>
        <color rgb="FFFF0000"/>
        <rFont val="Calibri"/>
        <family val="2"/>
        <scheme val="minor"/>
      </rPr>
      <t>1 hr IG detention-12pm-2pm, 1 hour free /  re-route $175+ yard storage for NS rejected Empty return on 11-13 due to SSL billing issue</t>
    </r>
    <r>
      <rPr>
        <sz val="11"/>
        <color rgb="FF000000"/>
        <rFont val="Calibri"/>
        <family val="2"/>
        <scheme val="minor"/>
      </rPr>
      <t xml:space="preserve"> / YMPRW240322042 / 仓库：KY - Erlanger
地址：1600 Donaldson Rd，Erlanger, KY 41018 预约网址: https://www.c3reservations.com/wayfair/app/view/20/39 账号：portal 密码：portal  用Reference ID预约，谢谢/amx prepull 100</t>
    </r>
  </si>
  <si>
    <t>DONE#140252</t>
  </si>
  <si>
    <t>NYKU4712300</t>
  </si>
  <si>
    <t>ONEYNB3JB3381800/HC $195/OW 300/250+Ticket 75/50</t>
  </si>
  <si>
    <t xml:space="preserve">OOCU8694763 </t>
  </si>
  <si>
    <t>8am EST</t>
  </si>
  <si>
    <t xml:space="preserve">Elkhart, IN 46514  </t>
  </si>
  <si>
    <r>
      <rPr>
        <sz val="11"/>
        <color rgb="FFFF0000"/>
        <rFont val="Calibri"/>
        <family val="2"/>
        <scheme val="minor"/>
      </rPr>
      <t>1 hr detention-7am-8:56am,1 hour free</t>
    </r>
    <r>
      <rPr>
        <sz val="11"/>
        <color theme="1"/>
        <rFont val="Calibri"/>
        <family val="2"/>
        <scheme val="minor"/>
      </rPr>
      <t xml:space="preserve"> / 10-23 discharged / COSU6365174830  / Q# LNKT090723IN</t>
    </r>
  </si>
  <si>
    <t>DON# 139860</t>
  </si>
  <si>
    <t>OOLU8522800</t>
  </si>
  <si>
    <t>MINNEAPOLIS,MN,55413</t>
  </si>
  <si>
    <t>CDBB70</t>
  </si>
  <si>
    <t xml:space="preserve">BKG#6365350920/Q#YWHJ090823A/EXAM FEE $375+DEMURRAGE $660/EMPTY NOTICE 11.14 </t>
  </si>
  <si>
    <t>FCIU9972195</t>
  </si>
  <si>
    <t>Oakland Port -Ben E. Nutter Terminal</t>
  </si>
  <si>
    <t xml:space="preserve">11/15/2023 20:00 PST	</t>
  </si>
  <si>
    <t>ISA# 163330008992-LLL</t>
  </si>
  <si>
    <t>T&amp;C</t>
  </si>
  <si>
    <t>AMZ SCK4-Stockton, CA 95215</t>
  </si>
  <si>
    <t>EXAM FINISHED</t>
  </si>
  <si>
    <t>10/31 at port terminal
11/10 at EXAM SITE-PCC</t>
  </si>
  <si>
    <t>10/31  OG from port terminal
11-14 OG from EXAM SITE</t>
  </si>
  <si>
    <r>
      <rPr>
        <sz val="11"/>
        <color rgb="FFFF0000"/>
        <rFont val="Calibri"/>
        <family val="2"/>
        <scheme val="minor"/>
      </rPr>
      <t xml:space="preserve">5.5 hrs detention-11/15/2023 19:31 PST- 11/16/2023 02:54 PST, 2 hours free </t>
    </r>
    <r>
      <rPr>
        <sz val="11"/>
        <color theme="1"/>
        <rFont val="Calibri"/>
        <family val="2"/>
        <scheme val="minor"/>
      </rPr>
      <t>/ 10-25 discharged / COSU6365951830 / Q# WUH101023A/ Detention 2 hours free /
查验地址PCC Logistics2498 W 16th ST. #803
Oakland, CA 94607
Tel: (510) 663-5000
Fax: (510) 433-1003</t>
    </r>
  </si>
  <si>
    <t xml:space="preserve">DONE#140424, Per Diem Inv#146273 </t>
  </si>
  <si>
    <t>FFAU2162066</t>
  </si>
  <si>
    <t>AN SENT TO CNEE</t>
  </si>
  <si>
    <t xml:space="preserve">CMDUCHN0626854 </t>
  </si>
  <si>
    <t>FCIU7562946</t>
  </si>
  <si>
    <t>W226443577/Q#0515GS0IW</t>
  </si>
  <si>
    <t xml:space="preserve">SEGU6766013 </t>
  </si>
  <si>
    <t>2*40HQ</t>
  </si>
  <si>
    <t>ORD359706-10/11 @10AM
ORD359707-10/11 @11AM</t>
  </si>
  <si>
    <t>10/12 @4PM</t>
  </si>
  <si>
    <t>ORD359706-10/11
ORD359707-10/11</t>
  </si>
  <si>
    <t xml:space="preserve">ERD/CNTR#TLLU5742143&amp;FCIU954797/SPGLSED00002194   </t>
  </si>
  <si>
    <t>DALA52729800</t>
  </si>
  <si>
    <t>3*40HQ</t>
  </si>
  <si>
    <t>875984-10/3
875985-10/3
875986-10/3</t>
  </si>
  <si>
    <t>OAK BROOK,IL</t>
  </si>
  <si>
    <t>10/6 @6PM</t>
  </si>
  <si>
    <t>875984-10/3
875985-10/3 
875986-10/3</t>
  </si>
  <si>
    <t>ERD Oct 02/CNTR#GAOU6232004&amp;GAOU6182109&amp;KOCU454995/ORDER#875984&amp;875985&amp;875986</t>
  </si>
  <si>
    <t>DALA33555300</t>
  </si>
  <si>
    <t>10/26 @8AM</t>
  </si>
  <si>
    <t xml:space="preserve">ERD Oct 22 6AM/CNTR#HMMU6135549/ORDER#877868 </t>
  </si>
  <si>
    <t>1X40HQ/TCNU6837704</t>
  </si>
  <si>
    <t>1*20GP</t>
  </si>
  <si>
    <t>KANKAKEE,IL,60901</t>
  </si>
  <si>
    <t>10/9 @15:00</t>
  </si>
  <si>
    <t>ERD OCT 05/CNTR#TEMU0141642/ORD3236755 -SPGLSED00002146</t>
  </si>
  <si>
    <t>10/23 @3PM</t>
  </si>
  <si>
    <t xml:space="preserve">ERD Oct 19/CNTR#TLLU574106/ORDER#877867 </t>
  </si>
  <si>
    <t>CLEVELAND,OH,44135</t>
  </si>
  <si>
    <t>11/3 @7PM</t>
  </si>
  <si>
    <t>CNTR#CSNU7692127/ERD OCT 30</t>
  </si>
  <si>
    <t>878494-11/2
878495-11/3</t>
  </si>
  <si>
    <t>11/6 @3PM</t>
  </si>
  <si>
    <t>878494-11/2
878495-11/2</t>
  </si>
  <si>
    <t xml:space="preserve">CNTR#OOCU9090428&amp;BEAU6210228/ERD NOV 02/REF#878494&amp;878495 </t>
  </si>
  <si>
    <t>Feidi</t>
  </si>
  <si>
    <t>CSNU7029222</t>
  </si>
  <si>
    <t>cn-I092</t>
  </si>
  <si>
    <t>COSU6364747580</t>
  </si>
  <si>
    <t>GESU6873830</t>
  </si>
  <si>
    <t>10-6 ABL</t>
  </si>
  <si>
    <t>12960B</t>
  </si>
  <si>
    <r>
      <rPr>
        <sz val="11"/>
        <color rgb="FFFF0000"/>
        <rFont val="Calibri"/>
        <family val="2"/>
        <scheme val="minor"/>
      </rPr>
      <t xml:space="preserve">re-route  $200 &amp; chassis split for return to ITC / 10-9 devanned, total 36 PLTS </t>
    </r>
    <r>
      <rPr>
        <sz val="11"/>
        <color rgb="FF000000"/>
        <rFont val="Calibri"/>
        <family val="2"/>
        <scheme val="minor"/>
      </rPr>
      <t xml:space="preserve">/ 9-23 discharged / MBL# QGD0387998/ to Multilple loctions / 
</t>
    </r>
    <r>
      <rPr>
        <sz val="11"/>
        <color rgb="FFFF0000"/>
        <rFont val="Calibri"/>
        <family val="2"/>
        <scheme val="minor"/>
      </rPr>
      <t>DET2 共20箱，要挑出问题产品5箱</t>
    </r>
  </si>
  <si>
    <t>MATU2566137</t>
  </si>
  <si>
    <t>8BF573</t>
  </si>
  <si>
    <t>MATS3760102000</t>
  </si>
  <si>
    <t>9 FANG</t>
  </si>
  <si>
    <t>FSCU8678842</t>
  </si>
  <si>
    <t>7111fa</t>
  </si>
  <si>
    <t xml:space="preserve">OOLU8810538570    </t>
  </si>
  <si>
    <t>CRSU9197962</t>
  </si>
  <si>
    <t>AED021</t>
  </si>
  <si>
    <t>CMDUCHN0543868</t>
  </si>
  <si>
    <t>CSNU7207849</t>
  </si>
  <si>
    <t>7ab907</t>
  </si>
  <si>
    <t>COSU6364295572</t>
  </si>
  <si>
    <t>DFSU7347905</t>
  </si>
  <si>
    <t>7a3dee</t>
  </si>
  <si>
    <t>COSU6364830481</t>
  </si>
  <si>
    <t>TRHU5764021</t>
  </si>
  <si>
    <t>10/24/2023 21:00 PDT</t>
  </si>
  <si>
    <t>ISA# 77100034980</t>
  </si>
  <si>
    <t>10.17 devanned, 31 plts / Transload / EGLV143300439459  / pier pass $68.42, CTF $20</t>
  </si>
  <si>
    <t xml:space="preserve">DONE#140621 </t>
  </si>
  <si>
    <t>TGBU6958413</t>
  </si>
  <si>
    <t>10/23/2023 22:00 PDT</t>
  </si>
  <si>
    <t>ISA# 77096034980</t>
  </si>
  <si>
    <t>10.19 Devanned, total 32 plts / Transload / EGLV143300439441  / pier pass $68.42, CTF $20</t>
  </si>
  <si>
    <t xml:space="preserve">DONE#140619 </t>
  </si>
  <si>
    <t>EGHU9746652</t>
  </si>
  <si>
    <t>ISA# 77098034980</t>
  </si>
  <si>
    <t>Transload / EGLV142302190379 / pier pass $68.42, CTF $20</t>
  </si>
  <si>
    <t>DONE#140616</t>
  </si>
  <si>
    <t>MAGU5474352</t>
  </si>
  <si>
    <t xml:space="preserve">cmduGGZ1967933  </t>
  </si>
  <si>
    <t>FFAU4334842</t>
  </si>
  <si>
    <t xml:space="preserve">CMDUGGZ1967810  </t>
  </si>
  <si>
    <t>CMAU4678433</t>
  </si>
  <si>
    <t>ABL 10-16 DROP at DOCK#13</t>
  </si>
  <si>
    <t>7D4A09</t>
  </si>
  <si>
    <t>10-17 devanned, 35 plts / 9-30 discharged / MBL# QGD0403481</t>
  </si>
  <si>
    <t>MATU2530582</t>
  </si>
  <si>
    <t>de4174</t>
  </si>
  <si>
    <t>MATS6321861000</t>
  </si>
  <si>
    <t>OOLU4950631</t>
  </si>
  <si>
    <t>b51cfa</t>
  </si>
  <si>
    <t>COSU6364739240</t>
  </si>
  <si>
    <t>xinyue</t>
  </si>
  <si>
    <t>CMAU4203124</t>
  </si>
  <si>
    <t xml:space="preserve">cma   </t>
  </si>
  <si>
    <t>FCEDBF</t>
  </si>
  <si>
    <t xml:space="preserve">CMDUCHN0550957   </t>
  </si>
  <si>
    <t xml:space="preserve">FSCU8916180 </t>
  </si>
  <si>
    <t>OOLU8894895560</t>
  </si>
  <si>
    <t>feidi</t>
  </si>
  <si>
    <t>EMCU8376537</t>
  </si>
  <si>
    <t>EGLV 149305223437</t>
  </si>
  <si>
    <t>SMCU1052890</t>
  </si>
  <si>
    <t>LGB PORT-SSA TERMINAL PIER A</t>
  </si>
  <si>
    <t>26 PLTS-10/30 Delivered
 4 PLTS-11/11</t>
  </si>
  <si>
    <t>19:00 PDT
16:00 PDT</t>
  </si>
  <si>
    <t>Transload / SMLMNJED3E769200  / pier pass $68.42, CTF $20</t>
  </si>
  <si>
    <t xml:space="preserve">DONE#140617 </t>
  </si>
  <si>
    <t>CMAU7220423</t>
  </si>
  <si>
    <t>D6B161</t>
  </si>
  <si>
    <t xml:space="preserve">CMDUCHN0570948  </t>
  </si>
  <si>
    <t>CMAU5725015</t>
  </si>
  <si>
    <t xml:space="preserve">cmduGGZ1971497  </t>
  </si>
  <si>
    <t>niuku</t>
  </si>
  <si>
    <t>CSNU7220706</t>
  </si>
  <si>
    <t>A427E4</t>
  </si>
  <si>
    <t xml:space="preserve">OOLU2142766080  </t>
  </si>
  <si>
    <t>CMAU4708097</t>
  </si>
  <si>
    <t>ABL 10/27 at dock# 13</t>
  </si>
  <si>
    <t>BE7F77</t>
  </si>
  <si>
    <t>Transload</t>
  </si>
  <si>
    <t>DONE#140065</t>
  </si>
  <si>
    <t>KOCU4810182</t>
  </si>
  <si>
    <t>ABL-10.27 @DOCK#14</t>
  </si>
  <si>
    <t>10-5 discharged / SZPM19826800</t>
  </si>
  <si>
    <t>DONE# 141259</t>
  </si>
  <si>
    <t xml:space="preserve">OOCU9090428 </t>
  </si>
  <si>
    <t>CN-i092</t>
  </si>
  <si>
    <t xml:space="preserve">COSU6364583010 </t>
  </si>
  <si>
    <t>SEKU4566746</t>
  </si>
  <si>
    <t>bc3e31</t>
  </si>
  <si>
    <t xml:space="preserve">COSU6365834680  </t>
  </si>
  <si>
    <t>BEAU6210228</t>
  </si>
  <si>
    <t>40a73c</t>
  </si>
  <si>
    <t xml:space="preserve">COSU6365820630 </t>
  </si>
  <si>
    <t>FFAU1553810</t>
  </si>
  <si>
    <t xml:space="preserve">0180257  </t>
  </si>
  <si>
    <t>EGLV 149305927299</t>
  </si>
  <si>
    <t>EISU9330549</t>
  </si>
  <si>
    <t xml:space="preserve">0180244  </t>
  </si>
  <si>
    <t>EGLV 149305927281</t>
  </si>
  <si>
    <t>OOLU9473758</t>
  </si>
  <si>
    <t>ABL 10/31 DROP DOCK#9</t>
  </si>
  <si>
    <t>46B121</t>
  </si>
  <si>
    <r>
      <rPr>
        <sz val="10"/>
        <color rgb="FFFF0000"/>
        <rFont val="Arial"/>
        <family val="2"/>
      </rPr>
      <t>2.25 hrs PU detention-10.31, 8:57am-1:11pm, 2 hours free</t>
    </r>
    <r>
      <rPr>
        <sz val="10"/>
        <color rgb="FF000000"/>
        <rFont val="Arial"/>
        <family val="2"/>
      </rPr>
      <t>. / OOLU2725323352 / Transload</t>
    </r>
  </si>
  <si>
    <t xml:space="preserve">DONE#140064 </t>
  </si>
  <si>
    <t>CSNU6805419</t>
  </si>
  <si>
    <t>ABL 11-1 DROP DOCK#12</t>
  </si>
  <si>
    <t>69BE45</t>
  </si>
  <si>
    <r>
      <rPr>
        <sz val="11"/>
        <color rgb="FFFF0000"/>
        <rFont val="Calibri"/>
        <family val="2"/>
        <scheme val="minor"/>
      </rPr>
      <t>2 hrs pu detention-8:36am -12:29pm, 2 hours free</t>
    </r>
    <r>
      <rPr>
        <sz val="11"/>
        <color theme="1"/>
        <rFont val="Calibri"/>
        <family val="2"/>
        <scheme val="minor"/>
      </rPr>
      <t xml:space="preserve"> / OOLU2142941470 / Transload</t>
    </r>
  </si>
  <si>
    <t>DONE#141262</t>
  </si>
  <si>
    <t>BEAU4307040</t>
  </si>
  <si>
    <t>W226443552/Q#0515GS0IW</t>
  </si>
  <si>
    <t>YMMU6479794</t>
  </si>
  <si>
    <t>CAIU8642992</t>
  </si>
  <si>
    <t>4A0116</t>
  </si>
  <si>
    <t>CCLU7420706</t>
  </si>
  <si>
    <t>A5807F</t>
  </si>
  <si>
    <t>FFAU3619795</t>
  </si>
  <si>
    <t>D6C8B6</t>
  </si>
  <si>
    <t>BEAU4842010</t>
  </si>
  <si>
    <t>W226446021/Q#0515GS0IW</t>
  </si>
  <si>
    <t xml:space="preserve">TCLU6856944  </t>
  </si>
  <si>
    <t>NEW YORK PORT</t>
  </si>
  <si>
    <t>10AM-3PM</t>
  </si>
  <si>
    <t>ALL POINT</t>
  </si>
  <si>
    <t>MENANDS,NY,12204</t>
  </si>
  <si>
    <t>ONEYSZPDG6647900/Q#PICO082823A OR UPPICO082823A/PU BY EXAM 11/6-www.hmiw.net/EXAM $2781.92/EXAM RLS 11-27</t>
  </si>
  <si>
    <t>DELIVERY+CUSTOM</t>
  </si>
  <si>
    <t>YMLU9551203</t>
  </si>
  <si>
    <t>HREW LLC/EXAM SITE</t>
  </si>
  <si>
    <t>VINTON,VA,24179</t>
  </si>
  <si>
    <t>E226148012/Q#GPSS061923A/PU FROM EXAM ON NOV 24</t>
  </si>
  <si>
    <t>TGBU5731507</t>
  </si>
  <si>
    <t>B89BD3</t>
  </si>
  <si>
    <t>TCNU8711715</t>
  </si>
  <si>
    <t>45666197/HLCUKUL230909549/PO#58986/ETD 10.6</t>
  </si>
  <si>
    <t>HMMU6319973</t>
  </si>
  <si>
    <t>HDMUNBOZ22172700/HC $50</t>
  </si>
  <si>
    <t>WUH-CTS</t>
  </si>
  <si>
    <t>CSNU7014829</t>
  </si>
  <si>
    <t>GREENBAY,WI,54304</t>
  </si>
  <si>
    <t>7D171B</t>
  </si>
  <si>
    <t>MBL#COSU6367018920/Q#WUH100523A</t>
  </si>
  <si>
    <t>TCNU2849097</t>
  </si>
  <si>
    <t>HBL#MTPE23090132/MBL#YMPRE202052446/SO#8624/HC $65</t>
  </si>
  <si>
    <t>GCXU5227160</t>
  </si>
  <si>
    <t>ONEYDL2XG2934500 /HC $65/1.5HR DET</t>
  </si>
  <si>
    <t>ref 0727837</t>
  </si>
  <si>
    <t>FCIU7514573</t>
  </si>
  <si>
    <t>TGBU4594014</t>
  </si>
  <si>
    <t xml:space="preserve">DFSU6917536 </t>
  </si>
  <si>
    <t>OOLU8895099320</t>
  </si>
  <si>
    <t xml:space="preserve">TGBU8935145 </t>
  </si>
  <si>
    <t>CN Harvey</t>
  </si>
  <si>
    <t xml:space="preserve">oolu2726596180 </t>
  </si>
  <si>
    <t xml:space="preserve">TCNU3492255 </t>
  </si>
  <si>
    <t>9AM DROP</t>
  </si>
  <si>
    <t>Darien, IL 60561</t>
  </si>
  <si>
    <t>ONEYPNHD15333700/ 11-30 EMTPY READY / DROP $300</t>
  </si>
  <si>
    <t>DONE#140933</t>
  </si>
  <si>
    <t>TRHU5562490</t>
  </si>
  <si>
    <t>ONEYPNHD15333700/ 11-30 EMTPY READY/ DROP $300</t>
  </si>
  <si>
    <t>DONE#140934</t>
  </si>
  <si>
    <t>MSDU8506485</t>
  </si>
  <si>
    <t>PORT OF FLORIDA</t>
  </si>
  <si>
    <t>MEDUQH934893/Q#ANLI112423A</t>
  </si>
  <si>
    <t>FFAU3818781</t>
  </si>
  <si>
    <t>MEDUJA602807/HKOE23100198</t>
  </si>
  <si>
    <t>MSDU2503703</t>
  </si>
  <si>
    <t>NYKU9753452</t>
  </si>
  <si>
    <t>ELK GROVE,IL,60007</t>
  </si>
  <si>
    <t>0758470</t>
  </si>
  <si>
    <t>ONEYSH3WT2916300/SHE23093878/Q#APXL102323A</t>
  </si>
  <si>
    <t>BEAU4477874</t>
  </si>
  <si>
    <t>ABL/MADISON,WI,53718</t>
  </si>
  <si>
    <t>F1E1DE</t>
  </si>
  <si>
    <t>YMJAW242562888/DEVAN 12.14</t>
  </si>
  <si>
    <t>KOCU4645766</t>
  </si>
  <si>
    <t>HDMUNKGZ48169800/SHE23093006</t>
  </si>
  <si>
    <t>YMLU8700107</t>
  </si>
  <si>
    <t>52B1BF</t>
  </si>
  <si>
    <t>YMPRW242562767/SHE23093561</t>
  </si>
  <si>
    <t>YMMU6287678</t>
  </si>
  <si>
    <t>45DA53</t>
  </si>
  <si>
    <t>YMJAW242562851/SHE23103022</t>
  </si>
  <si>
    <t>CMAU3373044</t>
  </si>
  <si>
    <t>097C65</t>
  </si>
  <si>
    <t>CMDUSHZ5761607</t>
  </si>
  <si>
    <t>CMAU4281003</t>
  </si>
  <si>
    <t>CD0C14</t>
  </si>
  <si>
    <t>CMDUSHZ5755565</t>
  </si>
  <si>
    <t>CMAU8445131</t>
  </si>
  <si>
    <t>2AA6BB</t>
  </si>
  <si>
    <t>CMDUSHZ5736857</t>
  </si>
  <si>
    <t>MRKU2980206</t>
  </si>
  <si>
    <t>FA7EB2</t>
  </si>
  <si>
    <t>MAEU230829050/SZX23090317A</t>
  </si>
  <si>
    <t xml:space="preserve">OOLU4451036 </t>
  </si>
  <si>
    <t>67DA4D</t>
  </si>
  <si>
    <t>OOLU4112827864</t>
  </si>
  <si>
    <t>TCNU1234483</t>
  </si>
  <si>
    <t>8701B7</t>
  </si>
  <si>
    <t>CMDUSHZ5762363/SZX23100152A</t>
  </si>
  <si>
    <t>TCNU2396555</t>
  </si>
  <si>
    <t>CMDUSHZ5804290/SZX23100101A</t>
  </si>
  <si>
    <t>TGBU4162690</t>
  </si>
  <si>
    <t>C24A51</t>
  </si>
  <si>
    <t>CMDUSHZ5762366</t>
  </si>
  <si>
    <t>TGBU5074001</t>
  </si>
  <si>
    <t>GLOBAL CFS/BENSENVILLE,IL,60106</t>
  </si>
  <si>
    <t>569BBC</t>
  </si>
  <si>
    <t>EXAM MOVE</t>
  </si>
  <si>
    <t>EXAM $350</t>
  </si>
  <si>
    <t>TGBU5239246</t>
  </si>
  <si>
    <t>2BB917</t>
  </si>
  <si>
    <t>CMDUSHZ5736856</t>
  </si>
  <si>
    <t>BMOU1494229</t>
  </si>
  <si>
    <t>BRIGHTON, MI 48116</t>
  </si>
  <si>
    <t>ONEYXMND63799600 / COC / Q# ASPD092623A</t>
  </si>
  <si>
    <t xml:space="preserve">DONE#140350 </t>
  </si>
  <si>
    <t>CICU4978432</t>
  </si>
  <si>
    <t>UP DENVER</t>
  </si>
  <si>
    <r>
      <rPr>
        <sz val="11"/>
        <color rgb="FFFF0000"/>
        <rFont val="Calibri"/>
        <family val="2"/>
        <scheme val="minor"/>
      </rPr>
      <t xml:space="preserve">1.5 hrs detention-11:35am-2pm, 1 hour free / ONEYXMND79801400   / OW  $250 </t>
    </r>
    <r>
      <rPr>
        <sz val="11"/>
        <color theme="1"/>
        <rFont val="Calibri"/>
        <family val="2"/>
        <scheme val="minor"/>
      </rPr>
      <t xml:space="preserve">/ 40'HQ /20, 732 KGS </t>
    </r>
    <r>
      <rPr>
        <sz val="11"/>
        <color rgb="FFFF0000"/>
        <rFont val="Calibri"/>
        <family val="2"/>
        <scheme val="minor"/>
      </rPr>
      <t>/ Q# ASPD101723A</t>
    </r>
    <r>
      <rPr>
        <sz val="11"/>
        <color theme="1"/>
        <rFont val="Calibri"/>
        <family val="2"/>
        <scheme val="minor"/>
      </rPr>
      <t xml:space="preserve"> / Detention 1 hr free/ </t>
    </r>
    <r>
      <rPr>
        <sz val="11"/>
        <color rgb="FF0000CC"/>
        <rFont val="Calibri"/>
        <family val="2"/>
        <scheme val="minor"/>
      </rPr>
      <t>SOC return to Complete Container Service @ Denver,CO 80221 / chassis split for SOC return</t>
    </r>
  </si>
  <si>
    <t xml:space="preserve">DONE#141020 </t>
  </si>
  <si>
    <t>EGHU3351465</t>
  </si>
  <si>
    <t>NEW YORK PORT- MAHER TERMINALS</t>
  </si>
  <si>
    <t xml:space="preserve">7:30AM-1:30PM. </t>
  </si>
  <si>
    <t>STRATFORD, CT 06615</t>
  </si>
  <si>
    <r>
      <rPr>
        <sz val="11"/>
        <color rgb="FF000000"/>
        <rFont val="Calibri"/>
        <family val="2"/>
        <scheme val="minor"/>
      </rPr>
      <t xml:space="preserve">4.5 hrs detention-7:30am-1pm, 1 hour free.
 / 11-13 Customer confirmed COC, and empty returned on 11-13 / EGLV146300760162/ </t>
    </r>
    <r>
      <rPr>
        <sz val="11"/>
        <color rgb="FF0000CC"/>
        <rFont val="Calibri"/>
        <family val="2"/>
        <scheme val="minor"/>
      </rPr>
      <t xml:space="preserve">Delivery Fee: $970 and Tri-axle: $200 </t>
    </r>
    <r>
      <rPr>
        <sz val="11"/>
        <color rgb="FF000000"/>
        <rFont val="Calibri"/>
        <family val="2"/>
        <scheme val="minor"/>
      </rPr>
      <t>/ Q# ASPD090123CT</t>
    </r>
  </si>
  <si>
    <t xml:space="preserve">DONE#140344 </t>
  </si>
  <si>
    <t>FCIU4405481</t>
  </si>
  <si>
    <t>‘0277186</t>
  </si>
  <si>
    <t>ONEYXMND64070300/ COC / OW-20GP-21,383KGS</t>
  </si>
  <si>
    <t>DONE#140355</t>
  </si>
  <si>
    <t xml:space="preserve">GESU3542798 </t>
  </si>
  <si>
    <t>UNIVERSITY PARK, IL 60484</t>
  </si>
  <si>
    <t>ONEYXMND85438700</t>
  </si>
  <si>
    <t xml:space="preserve">DONE#141024 </t>
  </si>
  <si>
    <t>GESU6830864</t>
  </si>
  <si>
    <t>BNSF DENVER</t>
  </si>
  <si>
    <t>DF8645</t>
  </si>
  <si>
    <r>
      <rPr>
        <sz val="11"/>
        <color rgb="FFFF0000"/>
        <rFont val="Calibri"/>
        <family val="2"/>
        <scheme val="minor"/>
      </rPr>
      <t>0.5 hr detention-Waiting time 10:30am-12pm-1 hr free</t>
    </r>
    <r>
      <rPr>
        <sz val="11"/>
        <color theme="1"/>
        <rFont val="Calibri"/>
        <family val="2"/>
        <scheme val="minor"/>
      </rPr>
      <t xml:space="preserve"> / Chassis split for SOC return / Demurrage $150-11.20 billed / 11-1 discharged /YMJAW228235476 / SOC / 烦请帮忙告知让司机锁柜门时检查下箱子是否有破损，</t>
    </r>
    <r>
      <rPr>
        <sz val="11"/>
        <color rgb="FFFF0000"/>
        <rFont val="Calibri"/>
        <family val="2"/>
        <scheme val="minor"/>
      </rPr>
      <t>拍照</t>
    </r>
    <r>
      <rPr>
        <sz val="11"/>
        <color theme="1"/>
        <rFont val="Calibri"/>
        <family val="2"/>
        <charset val="134"/>
        <scheme val="minor"/>
      </rPr>
      <t xml:space="preserve">，/ </t>
    </r>
    <r>
      <rPr>
        <sz val="11"/>
        <color rgb="FFFF0000"/>
        <rFont val="Calibri"/>
        <family val="2"/>
        <scheme val="minor"/>
      </rPr>
      <t>SOC return to Complete Container Service @ Denver,CO 80221 / chassis split for SOC return</t>
    </r>
  </si>
  <si>
    <t xml:space="preserve">DONE#140357 , DEM Inv#139969 </t>
  </si>
  <si>
    <t>NYKU9797018</t>
  </si>
  <si>
    <t>NS DETROIT</t>
  </si>
  <si>
    <t>West Branch, MI 48661</t>
  </si>
  <si>
    <t>ONEYXMND85440700 / Q# ASPD101823A/ Detention 1 hour</t>
  </si>
  <si>
    <t>DONE#142573</t>
  </si>
  <si>
    <t>OOCU7223630</t>
  </si>
  <si>
    <t>NS COLUMBUS</t>
  </si>
  <si>
    <r>
      <t xml:space="preserve">12-6 empty ready / OOLU2727410690 / demurrage $100-12.4 billed / </t>
    </r>
    <r>
      <rPr>
        <sz val="11"/>
        <color rgb="FFFF0000"/>
        <rFont val="Calibri"/>
        <family val="2"/>
        <scheme val="minor"/>
      </rPr>
      <t>pre-pull &amp; yard storage</t>
    </r>
  </si>
  <si>
    <t xml:space="preserve">DONE#141396, DEM INV#140667 </t>
  </si>
  <si>
    <t>TEMU2323878</t>
  </si>
  <si>
    <t xml:space="preserve">DONE#141025 </t>
  </si>
  <si>
    <t>TGBU7072651</t>
  </si>
  <si>
    <t>Baltimore-SEAGIRT MARINE TERM</t>
  </si>
  <si>
    <t>LAUREL, MD 20707</t>
  </si>
  <si>
    <t>OW $200 / 40HQ- 20,985KGS / ZIMUXIA8341383  / COC/ow 200/100</t>
  </si>
  <si>
    <t>DONE#140263</t>
  </si>
  <si>
    <t>ZCSU6119430</t>
  </si>
  <si>
    <t>OW $200 /40HQ-20936KGS / ZIMUXIA8341383  / COC</t>
  </si>
  <si>
    <t>DONE#140266</t>
  </si>
  <si>
    <t>BLUESTAR</t>
  </si>
  <si>
    <t>EISU8243413</t>
  </si>
  <si>
    <t>EGLV149306085844</t>
  </si>
  <si>
    <t>bluestar</t>
  </si>
  <si>
    <t>TXGU5644236</t>
  </si>
  <si>
    <t>EGLV149306335582</t>
  </si>
  <si>
    <t>done 141644</t>
  </si>
  <si>
    <t>ONEU0307694</t>
  </si>
  <si>
    <t>ONEYNB3BDM437700/CI-0512</t>
  </si>
  <si>
    <t>TGHU6081331</t>
  </si>
  <si>
    <t>TRHU6475574</t>
  </si>
  <si>
    <t>1*40HQ TO QINGAO</t>
  </si>
  <si>
    <t>CNTR#TGHU6538963/ERD 11.17/$150 REDELIVERY FROM WESHIP-ABL ABSORB</t>
  </si>
  <si>
    <t>DALA80966500</t>
  </si>
  <si>
    <t>3*40HQ TO WUH</t>
  </si>
  <si>
    <t>ORDER#880275-11/20
ORDER#880276-11/22
ORDER#880277-11/22</t>
  </si>
  <si>
    <t>BMOU5207857 -11/20
HMMU6319973-11/21(ST)
HMMU6416891-11/21</t>
  </si>
  <si>
    <t>BMOU5207857-11/20
HMMU6319973-11/22
HMMU6416891-11/22</t>
  </si>
  <si>
    <t>CNTR#BMOU520785&amp;HMMU6319973&amp;HMMU6416891/ERD 11.20</t>
  </si>
  <si>
    <t>FinWhale</t>
  </si>
  <si>
    <t xml:space="preserve">TCLU1518733 </t>
  </si>
  <si>
    <t>DES PLAINES,, IL 60018</t>
  </si>
  <si>
    <t>86C849</t>
  </si>
  <si>
    <t>pre-pull/ yard storage / CMDUCHN0629572 / LEQUMOD</t>
  </si>
  <si>
    <t>DONE#140365</t>
  </si>
  <si>
    <t xml:space="preserve">EISU8275832 </t>
  </si>
  <si>
    <t>ABL 11/7 DROP dock# 16</t>
  </si>
  <si>
    <t>0922696</t>
  </si>
  <si>
    <t>Transload / EGLV010300845926</t>
  </si>
  <si>
    <t>GREENLITE</t>
  </si>
  <si>
    <t>NYKU9797614</t>
  </si>
  <si>
    <t>TRAPAC</t>
  </si>
  <si>
    <t>7:30AM</t>
  </si>
  <si>
    <t xml:space="preserve">LAS VEGAS,NV,89118
</t>
  </si>
  <si>
    <t>ONEYSZPDM4358300/Q#GRLT102423A</t>
  </si>
  <si>
    <t>YMLU3623625</t>
  </si>
  <si>
    <t>LAS VEGAS,NV,89118</t>
  </si>
  <si>
    <t>YMPRW232516928/Q#GRLT102423A</t>
  </si>
  <si>
    <t xml:space="preserve">Hubo </t>
  </si>
  <si>
    <t>TGBU7137053 </t>
  </si>
  <si>
    <t xml:space="preserve">11/22/2023 20:00 CST	</t>
  </si>
  <si>
    <t>ISA# 821746703-LLL</t>
  </si>
  <si>
    <t>EGLV149306335590 / used SSL chassis</t>
  </si>
  <si>
    <t xml:space="preserve">DONE#140416 </t>
  </si>
  <si>
    <t>BEAU4663360</t>
  </si>
  <si>
    <t>3ca6d1</t>
  </si>
  <si>
    <t xml:space="preserve">CMDUGGZ1979192 </t>
  </si>
  <si>
    <t>BHCU5019569</t>
  </si>
  <si>
    <t>‘0399405</t>
  </si>
  <si>
    <t xml:space="preserve">cmduCHN0572600 / </t>
  </si>
  <si>
    <t>BSIU5005888</t>
  </si>
  <si>
    <t>TACOMA PORT- PIERCE COUNTY TERMINAL(MARINE TERMINAL CORP.)</t>
  </si>
  <si>
    <t xml:space="preserve">11/13/2023 15:00 PST	</t>
  </si>
  <si>
    <t>ISA# 307273602-LLL</t>
  </si>
  <si>
    <t>AMZ BFI3-DuPont, WA 98327</t>
  </si>
  <si>
    <r>
      <rPr>
        <sz val="11"/>
        <color rgb="FFFF0000"/>
        <rFont val="Calibri"/>
        <family val="2"/>
        <scheme val="minor"/>
      </rPr>
      <t>1.5 hrs empty return detention-07:23 am to 10:00 am. 1 hour free / 3.5 hours unloading detention-11/13/2023 15:05 PST- 11/13/2023 19:28 PST, 1 hour free / 2.5 hrs pu detention-11/13 07:06 am to 10:46 am, 1 hour free</t>
    </r>
    <r>
      <rPr>
        <sz val="11"/>
        <color theme="1"/>
        <rFont val="Calibri"/>
        <family val="2"/>
        <scheme val="minor"/>
      </rPr>
      <t>. / pre-pull, yard storage / EGLV143363751387 / q# LTRN092723D /DETEMTION 1 HR FREE</t>
    </r>
  </si>
  <si>
    <t>DONE#139859</t>
  </si>
  <si>
    <t>CCLU7934834</t>
  </si>
  <si>
    <r>
      <t xml:space="preserve">11/24/2023 11:00 CST </t>
    </r>
    <r>
      <rPr>
        <sz val="11"/>
        <color rgb="FFFF0000"/>
        <rFont val="Calibri"/>
        <family val="2"/>
        <scheme val="minor"/>
      </rPr>
      <t>DROP?</t>
    </r>
  </si>
  <si>
    <t>ISA# 559402575-Helen</t>
  </si>
  <si>
    <t>C&amp;K</t>
  </si>
  <si>
    <r>
      <rPr>
        <sz val="11"/>
        <color rgb="FFFF0000"/>
        <rFont val="Calibri"/>
        <family val="2"/>
        <scheme val="minor"/>
      </rPr>
      <t>ISA# 562831575, 12/19/2023 12:00 CST</t>
    </r>
    <r>
      <rPr>
        <sz val="11"/>
        <color rgb="FF000000"/>
        <rFont val="Calibri"/>
        <family val="2"/>
        <scheme val="minor"/>
      </rPr>
      <t xml:space="preserve">	/ FTL ISA# 562831575 to MEM1 SR$550, Uber </t>
    </r>
    <r>
      <rPr>
        <sz val="11"/>
        <color rgb="FFFF0000"/>
        <rFont val="Calibri"/>
        <family val="2"/>
        <scheme val="minor"/>
      </rPr>
      <t>UF-8748828250</t>
    </r>
    <r>
      <rPr>
        <sz val="11"/>
        <color rgb="FF000000"/>
        <rFont val="Calibri"/>
        <family val="2"/>
        <scheme val="minor"/>
      </rPr>
      <t xml:space="preserve"> cost $451/ total 22 plts / 12-15 delivered to memphis transload WH / Partial transload / COSU6367406960/ LNKT091923MEM1 / Detention 1 hr free / 12-8 empty ready</t>
    </r>
    <r>
      <rPr>
        <sz val="11"/>
        <color theme="1"/>
        <rFont val="Calibri"/>
        <family val="2"/>
        <scheme val="minor"/>
      </rPr>
      <t xml:space="preserve">   
</t>
    </r>
    <r>
      <rPr>
        <sz val="11"/>
        <color rgb="FFFF0000"/>
        <rFont val="Calibri"/>
        <family val="2"/>
        <scheme val="minor"/>
      </rPr>
      <t>Transload WH-PINK COST</t>
    </r>
    <r>
      <rPr>
        <sz val="11"/>
        <color theme="1"/>
        <rFont val="Calibri"/>
        <family val="2"/>
        <scheme val="minor"/>
      </rPr>
      <t xml:space="preserve">- TRANSLOAD - $350 
PALLET BUILT ($25 PER PALLET BUILT) - 22 PLTS X $25= $ 550
 SORT &amp; SEG ($0.25 PER CARTON) - 347 CARTONS X $0.25 = $86
</t>
    </r>
    <r>
      <rPr>
        <sz val="11"/>
        <color rgb="FFFF0000"/>
        <rFont val="Calibri"/>
        <family val="2"/>
        <scheme val="minor"/>
      </rPr>
      <t>TOTAL: $ 1086.75</t>
    </r>
  </si>
  <si>
    <t xml:space="preserve">DONE#141873 </t>
  </si>
  <si>
    <t>CMAU6333003 </t>
  </si>
  <si>
    <t>11/12/2023 07:00 EST</t>
  </si>
  <si>
    <t>ISA# 11335700973-LLL</t>
  </si>
  <si>
    <r>
      <t xml:space="preserve">11/1 at port Exam site
</t>
    </r>
    <r>
      <rPr>
        <sz val="11"/>
        <color rgb="FFFF0000"/>
        <rFont val="Calibri"/>
        <family val="2"/>
        <scheme val="minor"/>
      </rPr>
      <t>11-10 at BNSF</t>
    </r>
  </si>
  <si>
    <r>
      <t xml:space="preserve">11/3 PU from PORT EXAM SITE ( Mayor)
</t>
    </r>
    <r>
      <rPr>
        <sz val="11"/>
        <color rgb="FFFF0000"/>
        <rFont val="Calibri"/>
        <family val="2"/>
        <scheme val="minor"/>
      </rPr>
      <t>11-10 OG BNSF</t>
    </r>
  </si>
  <si>
    <r>
      <rPr>
        <sz val="11"/>
        <color rgb="FFFF0000"/>
        <rFont val="Calibri"/>
        <family val="2"/>
        <scheme val="minor"/>
      </rPr>
      <t>0.25 hrs detention-	11/12/2023 06:59 EST-	11/12/2023 09:19 EST-2 hrs free /</t>
    </r>
    <r>
      <rPr>
        <sz val="11"/>
        <rFont val="Calibri"/>
        <family val="2"/>
        <scheme val="minor"/>
      </rPr>
      <t xml:space="preserve"> Customs broker cleared EXAM SITE storage to 11-3 / 11-2 li</t>
    </r>
    <r>
      <rPr>
        <sz val="11"/>
        <color theme="1"/>
        <rFont val="Calibri"/>
        <family val="2"/>
        <scheme val="minor"/>
      </rPr>
      <t xml:space="preserve">nktrans确认需要我们挪柜从port exam site出来/  Port EXAM HOLD removed / CMDUGGZ1974913 / EXAM released at port </t>
    </r>
  </si>
  <si>
    <t xml:space="preserve">DONE#140677 </t>
  </si>
  <si>
    <t>CMAU7837570</t>
  </si>
  <si>
    <t>12/05/2023 22:00 CST</t>
  </si>
  <si>
    <t>ISA# 824987703-Customer Account</t>
  </si>
  <si>
    <t>F4F9BA</t>
  </si>
  <si>
    <r>
      <t xml:space="preserve">Detention &amp; layover for waiting time 12/5@10pm-12/6@7am /  </t>
    </r>
    <r>
      <rPr>
        <sz val="11"/>
        <color rgb="FFFF0000"/>
        <rFont val="Calibri"/>
        <family val="2"/>
        <scheme val="minor"/>
      </rPr>
      <t>Drop the ctnr there, wait for customer's empty notice to pick up empty /</t>
    </r>
    <r>
      <rPr>
        <sz val="11"/>
        <color theme="1"/>
        <rFont val="Calibri"/>
        <family val="2"/>
        <scheme val="minor"/>
      </rPr>
      <t xml:space="preserve"> CMDUGGZ1992192 / ISA# 823863703-Helen cancelled / pre-pull &amp; yard storage</t>
    </r>
  </si>
  <si>
    <t xml:space="preserve">DONE#141129 </t>
  </si>
  <si>
    <t>CSLU6022761</t>
  </si>
  <si>
    <t>b5a345</t>
  </si>
  <si>
    <t xml:space="preserve">OOLU2726045280 </t>
  </si>
  <si>
    <t>CSLU6259054</t>
  </si>
  <si>
    <t>fbce01</t>
  </si>
  <si>
    <t xml:space="preserve">COSU6365946662 </t>
  </si>
  <si>
    <t>CSNU7712964</t>
  </si>
  <si>
    <t>f07aff</t>
  </si>
  <si>
    <t xml:space="preserve">COSU6367406961 </t>
  </si>
  <si>
    <t>MATU4634040 </t>
  </si>
  <si>
    <t>MIAMI FEC CY</t>
  </si>
  <si>
    <t>11-28 @8am</t>
  </si>
  <si>
    <t xml:space="preserve"> FCFS / Mon to Fri 8:00AM to 3:00PM. </t>
  </si>
  <si>
    <t xml:space="preserve">Doral, FL 33178 </t>
  </si>
  <si>
    <t>257568520</t>
  </si>
  <si>
    <r>
      <rPr>
        <sz val="11"/>
        <color rgb="FF0000CC"/>
        <rFont val="Calibri"/>
        <family val="2"/>
        <scheme val="minor"/>
      </rPr>
      <t>chassis split for empty return to Miami Container Repair</t>
    </r>
    <r>
      <rPr>
        <sz val="11"/>
        <color rgb="FFFF0000"/>
        <rFont val="Calibri"/>
        <family val="2"/>
        <scheme val="minor"/>
      </rPr>
      <t xml:space="preserve"> / Flip fee cost $150,等收到卡车payment receipt后照收客户+$50 service fee</t>
    </r>
    <r>
      <rPr>
        <sz val="11"/>
        <color theme="1"/>
        <rFont val="Calibri"/>
        <family val="2"/>
        <scheme val="minor"/>
      </rPr>
      <t xml:space="preserve"> / MATS5554343000 / Q# LNKT071923M</t>
    </r>
  </si>
  <si>
    <t>DONE# 140954</t>
  </si>
  <si>
    <t>OOCU7851702</t>
  </si>
  <si>
    <t xml:space="preserve">11/15/2023 20:00 EST	</t>
  </si>
  <si>
    <t>ISA# 11351090973-LLL</t>
  </si>
  <si>
    <t>4BA895</t>
  </si>
  <si>
    <r>
      <rPr>
        <sz val="11"/>
        <color rgb="FFFF0000"/>
        <rFont val="Calibri"/>
        <family val="2"/>
        <scheme val="minor"/>
      </rPr>
      <t>1.5 hrs detention-11/15/2023 19:17 EST-11/15/2023 22:47 EST, 2 hours free</t>
    </r>
    <r>
      <rPr>
        <sz val="11"/>
        <color theme="1"/>
        <rFont val="Calibri"/>
        <family val="2"/>
        <scheme val="minor"/>
      </rPr>
      <t xml:space="preserve"> / pre-pull /  yard storage / COSU6367486280</t>
    </r>
  </si>
  <si>
    <t>DONE#139900</t>
  </si>
  <si>
    <t>OOCU8170703</t>
  </si>
  <si>
    <t>5c132f</t>
  </si>
  <si>
    <t>COSU6367945854</t>
  </si>
  <si>
    <t xml:space="preserve">SMCU1138335 </t>
  </si>
  <si>
    <t>SM line</t>
  </si>
  <si>
    <t xml:space="preserve">SMLMNJEB3C467700 </t>
  </si>
  <si>
    <t xml:space="preserve">SMCU1277937 </t>
  </si>
  <si>
    <t>sm line</t>
  </si>
  <si>
    <t>0766957</t>
  </si>
  <si>
    <t xml:space="preserve">smlmNJED3E753200  </t>
  </si>
  <si>
    <t>TCKU6293458</t>
  </si>
  <si>
    <t>12/6/23 10PM</t>
  </si>
  <si>
    <t>ISA# 11400680973-Customer Account</t>
  </si>
  <si>
    <t>F523F9</t>
  </si>
  <si>
    <r>
      <rPr>
        <sz val="11"/>
        <color rgb="FFFF0000"/>
        <rFont val="Calibri"/>
        <family val="2"/>
        <scheme val="minor"/>
      </rPr>
      <t>re-route $ 125 for IG to DELONG /2.5hr detention-12/6 @10:00PM-12/7@ 2:35AM</t>
    </r>
    <r>
      <rPr>
        <sz val="11"/>
        <color rgb="FF000000"/>
        <rFont val="Calibri"/>
        <family val="2"/>
        <scheme val="minor"/>
      </rPr>
      <t xml:space="preserve"> / CMDUGGZ1991972 / ISA# 11386710973 cancelled / pre-pull &amp; yard storage</t>
    </r>
  </si>
  <si>
    <t xml:space="preserve">DONE#141127 </t>
  </si>
  <si>
    <t>TCNU2196794</t>
  </si>
  <si>
    <t>11/16/2023 20:00 CST</t>
  </si>
  <si>
    <t>ISA# 105966004973-LLL</t>
  </si>
  <si>
    <t>A73312</t>
  </si>
  <si>
    <r>
      <rPr>
        <sz val="11"/>
        <color rgb="FFFF0000"/>
        <rFont val="Calibri"/>
        <family val="2"/>
        <scheme val="minor"/>
      </rPr>
      <t>Re-route for IG DELONG / Drop fee $400 for drop on 11-17 and pick up empty on 11-18/ 13 hrs detention- 11/16@7:20PM till 11/17@6PM-4 hrs free+ waived 5.5 hours /  pre-pull &amp; yard storage</t>
    </r>
    <r>
      <rPr>
        <sz val="11"/>
        <color theme="1"/>
        <rFont val="Calibri"/>
        <family val="2"/>
        <scheme val="minor"/>
      </rPr>
      <t xml:space="preserve"> / CMDUGGZ1983651</t>
    </r>
  </si>
  <si>
    <t>DONE#140006</t>
  </si>
  <si>
    <t xml:space="preserve">TCNU4294104 </t>
  </si>
  <si>
    <t xml:space="preserve">cma </t>
  </si>
  <si>
    <t>0378198</t>
  </si>
  <si>
    <t>CMDUGGZ1974925 / exam</t>
  </si>
  <si>
    <t>TCNU5015713</t>
  </si>
  <si>
    <t>4ada4a</t>
  </si>
  <si>
    <t xml:space="preserve">CMDUCHN0593790 </t>
  </si>
  <si>
    <t>TGBU4884883</t>
  </si>
  <si>
    <t>1718d8</t>
  </si>
  <si>
    <t xml:space="preserve">COSU6365946661 </t>
  </si>
  <si>
    <t>TGBU9282235</t>
  </si>
  <si>
    <t>cosu8044029100</t>
  </si>
  <si>
    <t>TGBU9284599</t>
  </si>
  <si>
    <t>11/22/2023 12:00 CST DROP</t>
  </si>
  <si>
    <t>ISA# 559393575-Helen</t>
  </si>
  <si>
    <t>Chassis split for IG TO CN memphis / 11-24 empty ready / NO DROP FEE / pre-pull &amp; yard storage /COSU6367063262 / LNKT091923MEM1</t>
  </si>
  <si>
    <t>DONE#140678</t>
  </si>
  <si>
    <t>TRHU6927782</t>
  </si>
  <si>
    <t>COSU6366998750</t>
  </si>
  <si>
    <t>XYLU8122531</t>
  </si>
  <si>
    <t>68f279</t>
  </si>
  <si>
    <t>COSU 6366627490</t>
  </si>
  <si>
    <t>CGMU8009579</t>
  </si>
  <si>
    <t>FLORIDA PORT</t>
  </si>
  <si>
    <t>CMDUTWN0808019</t>
  </si>
  <si>
    <t>SEGU6185493</t>
  </si>
  <si>
    <t>LFD SENT</t>
  </si>
  <si>
    <t>YMPRE202052271/HC$65+OUR HC $50</t>
  </si>
  <si>
    <t>TCNU2314557</t>
  </si>
  <si>
    <t>SAV-GCT</t>
  </si>
  <si>
    <t>Port Wentworth, GA 31407-&gt;31322</t>
  </si>
  <si>
    <t>ZIMUSNH1676897/11.30empty</t>
  </si>
  <si>
    <t>TEMU7582676</t>
  </si>
  <si>
    <t>ZIMUSNH1676897/11.29empty</t>
  </si>
  <si>
    <t>ZCSU7140344</t>
  </si>
  <si>
    <t>TEMU7136782</t>
  </si>
  <si>
    <t>5B2783 </t>
  </si>
  <si>
    <t xml:space="preserve">MATS7920303000  </t>
  </si>
  <si>
    <t>CSNU7939840</t>
  </si>
  <si>
    <t>4851C2</t>
  </si>
  <si>
    <t>COSU6368434730 /ISF ON FILE/AN SENT</t>
  </si>
  <si>
    <t>FFAU1566464</t>
  </si>
  <si>
    <t>0F0AC9</t>
  </si>
  <si>
    <t>OOCU7646143</t>
  </si>
  <si>
    <t>F265CF</t>
  </si>
  <si>
    <t>COSU6367931170/AN SENT</t>
  </si>
  <si>
    <t>OOLU8851160</t>
  </si>
  <si>
    <t>0C17B2</t>
  </si>
  <si>
    <t>COSU6367233980/AN SENT/CUSTOM CLEARED</t>
  </si>
  <si>
    <t>TGBU5013855</t>
  </si>
  <si>
    <t>46FC4E</t>
  </si>
  <si>
    <t>COSU6367233980/AN SENT/CUSTOM CLEARED/OW $150+SCALE $85</t>
  </si>
  <si>
    <t>TGBU8831813</t>
  </si>
  <si>
    <t>34E8C9</t>
  </si>
  <si>
    <t>TGHU6868190</t>
  </si>
  <si>
    <t>516AE2</t>
  </si>
  <si>
    <t>TRHU4514671</t>
  </si>
  <si>
    <t>TRHU5809297</t>
  </si>
  <si>
    <t>477A06</t>
  </si>
  <si>
    <t>TRHU5819757</t>
  </si>
  <si>
    <t>LAX-LBCT</t>
  </si>
  <si>
    <t>Gardena, CA 90248</t>
  </si>
  <si>
    <t>2X40HQ TO ISRAEL/OOLU9840576</t>
  </si>
  <si>
    <t>2X40HQ TO ISRAEL/TRHU5432963</t>
  </si>
  <si>
    <t>ORD375482-11/3 @10AM 
ORD375483-11/3 @11AM</t>
  </si>
  <si>
    <t>11/3 @4PM</t>
  </si>
  <si>
    <t>ORD375482-11/3
ORD375483-11/3</t>
  </si>
  <si>
    <t>ERD OCT 30/CNTR#CSLU6259054&amp;CSLU6229358/ORD375482+ORD375483-SPGLSED00002218</t>
  </si>
  <si>
    <t>BEAU5341310</t>
  </si>
  <si>
    <t>CN DETROIT</t>
  </si>
  <si>
    <t>11/30 after 10am</t>
  </si>
  <si>
    <t>DEARBORN, MI 48126</t>
  </si>
  <si>
    <t>12-18 empty ready / DROP fee250/160 / ONEYSH3SV4537400 / Q# WUH092723A / Detention 1 hour free / will not empty until 12-12</t>
  </si>
  <si>
    <t>DONE#141940, PER DIEM INV# 147653</t>
  </si>
  <si>
    <t xml:space="preserve">BMOU4756641 </t>
  </si>
  <si>
    <t>Savannah GARDEN CITY TERMINAL</t>
  </si>
  <si>
    <t xml:space="preserve">11/08/2023 19:00 EST	</t>
  </si>
  <si>
    <t>ISA# 68316034979-LLL</t>
  </si>
  <si>
    <t>ACW</t>
  </si>
  <si>
    <t xml:space="preserve">AMZ XLX6- PINEVILLE, NC 28134 </t>
  </si>
  <si>
    <r>
      <rPr>
        <sz val="11"/>
        <color rgb="FFFF0000"/>
        <rFont val="Calibri"/>
        <family val="2"/>
        <scheme val="minor"/>
      </rPr>
      <t xml:space="preserve">2 hrs detention fee-18:08 EST- 21:13 EST, 1 hour free </t>
    </r>
    <r>
      <rPr>
        <sz val="11"/>
        <color theme="1"/>
        <rFont val="Calibri"/>
        <family val="2"/>
        <scheme val="minor"/>
      </rPr>
      <t xml:space="preserve">/ ZIMUNGB1177858 / </t>
    </r>
    <r>
      <rPr>
        <sz val="11"/>
        <color rgb="FFFF0000"/>
        <rFont val="Calibri"/>
        <family val="2"/>
        <scheme val="minor"/>
      </rPr>
      <t>Detention $100/h, 1 hr free</t>
    </r>
    <r>
      <rPr>
        <sz val="11"/>
        <color theme="1"/>
        <rFont val="Calibri"/>
        <family val="2"/>
        <charset val="134"/>
        <scheme val="minor"/>
      </rPr>
      <t xml:space="preserve">
FBA：FBA17C8M80R4 / PO：7JAJ3ALQ / 27 CTNS / 4,326KGS / Q# WUH080423B</t>
    </r>
  </si>
  <si>
    <t xml:space="preserve">DONE#140008 </t>
  </si>
  <si>
    <t xml:space="preserve">CXDU2101198  </t>
  </si>
  <si>
    <t>C62CEF</t>
  </si>
  <si>
    <t>MEDUE9115324 / Contact Person:Marty Wu Cell: 630-857-8964 / didn't use MSC chassiss</t>
  </si>
  <si>
    <t>DONE#140054</t>
  </si>
  <si>
    <t>FCIU4775655</t>
  </si>
  <si>
    <t>CN-DETROIT</t>
  </si>
  <si>
    <t>DROP 250/200 /  ONEYSH3SV4528400 / Q# WUH092723A</t>
  </si>
  <si>
    <t xml:space="preserve">DONE#140009 </t>
  </si>
  <si>
    <t xml:space="preserve">FFAU2502103 </t>
  </si>
  <si>
    <t>OTTAWA, IL 61350</t>
  </si>
  <si>
    <t>B3DEF2</t>
  </si>
  <si>
    <r>
      <rPr>
        <sz val="11"/>
        <color rgb="FF000000"/>
        <rFont val="Calibri"/>
        <family val="2"/>
        <scheme val="minor"/>
      </rPr>
      <t>MEDUZL280977 / Demurrage $525-11.17 /</t>
    </r>
    <r>
      <rPr>
        <sz val="11"/>
        <color rgb="FFFF0000"/>
        <rFont val="Calibri"/>
        <family val="2"/>
        <scheme val="minor"/>
      </rPr>
      <t xml:space="preserve"> Re-route $150+ chassis split for IG TO INTEGRATED INSDUSTRIES ELWOOD </t>
    </r>
  </si>
  <si>
    <t>DONE#140007</t>
  </si>
  <si>
    <t>FFAU3156659</t>
  </si>
  <si>
    <t>CN MEMPHIS</t>
  </si>
  <si>
    <t>11/30/2023 18:00 CST DROP</t>
  </si>
  <si>
    <t>ISA# 71685017980-Helen</t>
  </si>
  <si>
    <t>AMZ MEM8-BYHALIA, MS 38611</t>
  </si>
  <si>
    <t>CHASSIS SPLIT FOR OG CN / Yard storaqge for 3 days -11.28-116.30 @ 18:00. OOLU2142504260 / Q# PGNE101723A, 2 HRS FREE / 12-1 afternoon finished unloading</t>
  </si>
  <si>
    <t>DONE#141000</t>
  </si>
  <si>
    <t>HYJU1050659</t>
  </si>
  <si>
    <t>UP Salt Lake City</t>
  </si>
  <si>
    <t>Idaho Falls, ID 83402</t>
  </si>
  <si>
    <r>
      <rPr>
        <sz val="11"/>
        <color rgb="FFFF0000"/>
        <rFont val="Calibri"/>
        <family val="2"/>
        <scheme val="minor"/>
      </rPr>
      <t xml:space="preserve">Receiver bought the container, just left the container there when delivery and brought bare chassis back. </t>
    </r>
    <r>
      <rPr>
        <sz val="11"/>
        <color rgb="FF000000"/>
        <rFont val="Calibri"/>
        <family val="2"/>
        <scheme val="minor"/>
      </rPr>
      <t>/ CMDUNGP0566584/ 11-17 Delivery Hold removed / Q# PGNE091823A / Detention 1 hr free</t>
    </r>
  </si>
  <si>
    <t>DONE#140347</t>
  </si>
  <si>
    <t>JXLU7428433</t>
  </si>
  <si>
    <t xml:space="preserve">11/24/2023 15:00 EST	</t>
  </si>
  <si>
    <t>ISA# 68859034979-Helen</t>
  </si>
  <si>
    <r>
      <rPr>
        <sz val="11"/>
        <color rgb="FFFF0000"/>
        <rFont val="Calibri"/>
        <family val="2"/>
        <scheme val="minor"/>
      </rPr>
      <t xml:space="preserve">9.25 hrs detention- 11/24/2023 14:59 EST- 11/25/2023 01:11 EST, 1 hour free. </t>
    </r>
    <r>
      <rPr>
        <sz val="11"/>
        <color theme="1"/>
        <rFont val="Calibri"/>
        <family val="2"/>
        <scheme val="minor"/>
      </rPr>
      <t>/  ZIMUNGB1</t>
    </r>
    <r>
      <rPr>
        <sz val="11"/>
        <color rgb="FFFF0000"/>
        <rFont val="Calibri"/>
        <family val="2"/>
        <scheme val="minor"/>
      </rPr>
      <t xml:space="preserve"> </t>
    </r>
    <r>
      <rPr>
        <sz val="11"/>
        <color theme="1"/>
        <rFont val="Calibri"/>
        <family val="2"/>
        <scheme val="minor"/>
      </rPr>
      <t>186266 /</t>
    </r>
    <r>
      <rPr>
        <sz val="11"/>
        <color rgb="FFFF0000"/>
        <rFont val="Calibri"/>
        <family val="2"/>
        <scheme val="minor"/>
      </rPr>
      <t xml:space="preserve"> DETENTION 100/h   1小时免</t>
    </r>
    <r>
      <rPr>
        <sz val="11"/>
        <color theme="1"/>
        <rFont val="Calibri"/>
        <family val="2"/>
        <charset val="134"/>
        <scheme val="minor"/>
      </rPr>
      <t xml:space="preserve"> / FBA：FBA17DGHMTJD
PO：21CVMWJC / 24 ctns / 4,240.00kgs</t>
    </r>
  </si>
  <si>
    <t>DONE#140361</t>
  </si>
  <si>
    <t>MAXU4480792</t>
  </si>
  <si>
    <t>935532</t>
  </si>
  <si>
    <t>Reroute for IG to Delong / MEDUE9115332 / Contact Person:Marty Wu Cell: 630-857-8964</t>
  </si>
  <si>
    <t>DONE#140061</t>
  </si>
  <si>
    <t>MEDU6317818</t>
  </si>
  <si>
    <t>MEDUE9115324 / Contact Person:Marty Wu Cell: 630-857-8964</t>
  </si>
  <si>
    <t>DONE#140062</t>
  </si>
  <si>
    <t>MSCU4989859</t>
  </si>
  <si>
    <t>QUINCY, IL 62305</t>
  </si>
  <si>
    <t>1EF9BC</t>
  </si>
  <si>
    <t>11-16 night received pu#  / MEDUZL279615 / Demurrage $525-11.17</t>
  </si>
  <si>
    <t xml:space="preserve">DONE# 140257, DEM INV# 140259 </t>
  </si>
  <si>
    <t>MSDU2071976</t>
  </si>
  <si>
    <t>7E83A4</t>
  </si>
  <si>
    <t>MEDUE9115332 / Contact Person:Marty Wu Cell: 630-857-8964/ didn't use MSC chassiss</t>
  </si>
  <si>
    <t>DONE#140055</t>
  </si>
  <si>
    <t>MSMU1158208</t>
  </si>
  <si>
    <t>2A3239</t>
  </si>
  <si>
    <t>MEDUE9115332 / Contact Person:Marty Wu Cell: 630-857-8964</t>
  </si>
  <si>
    <t>DONE#140056</t>
  </si>
  <si>
    <t>MSMU6788344</t>
  </si>
  <si>
    <t>EAST CHICAGO, IN 46312</t>
  </si>
  <si>
    <t>MEDUE9464284 /  Q# WUH240515-1</t>
  </si>
  <si>
    <t xml:space="preserve">DONE#140353 </t>
  </si>
  <si>
    <t>ONEU0459357</t>
  </si>
  <si>
    <t>WATERTOWN ,WI 53094
Changed to 761 N PARKWAY ST
JEFFERSON, WI 53549</t>
  </si>
  <si>
    <r>
      <t xml:space="preserve">pre-pull, yard storage /ONEYNB3BDG373900/Drayage $1050 / Q# WUH071823B / Detention-1 hr free /
</t>
    </r>
    <r>
      <rPr>
        <sz val="11"/>
        <color rgb="FFFF0000"/>
        <rFont val="Calibri"/>
        <family val="2"/>
        <scheme val="minor"/>
      </rPr>
      <t>761 N PARKWAY ST, JEFFERSON, WI 53549
GREG 920-253-3329</t>
    </r>
  </si>
  <si>
    <t>SEKU4380216</t>
  </si>
  <si>
    <t xml:space="preserve">ONE </t>
  </si>
  <si>
    <t xml:space="preserve">WATERTOWN ,WI 53094 changed to 802 ELM ST WATERTOWN, WI 53098 </t>
  </si>
  <si>
    <t>0832018</t>
  </si>
  <si>
    <r>
      <rPr>
        <sz val="11"/>
        <color rgb="FFFF0000"/>
        <rFont val="Calibri"/>
        <family val="2"/>
        <scheme val="minor"/>
      </rPr>
      <t>1.25 hrs detention-8am-10:15am,1 hour free.  / pre-pull /  yard storage</t>
    </r>
    <r>
      <rPr>
        <sz val="11"/>
        <color theme="1"/>
        <rFont val="Calibri"/>
        <family val="2"/>
        <scheme val="minor"/>
      </rPr>
      <t xml:space="preserve"> / ONEYNB3BDG315500 / Q# WUH071823B/ 1 HOUR FREE</t>
    </r>
  </si>
  <si>
    <t>DONE#139657</t>
  </si>
  <si>
    <t>SEKU4411240</t>
  </si>
  <si>
    <t xml:space="preserve">11/14/2023 15:00 EST	</t>
  </si>
  <si>
    <t>ISA# 68332034979-LLL</t>
  </si>
  <si>
    <r>
      <rPr>
        <sz val="11"/>
        <color rgb="FF000000"/>
        <rFont val="Calibri"/>
        <family val="2"/>
        <scheme val="minor"/>
      </rPr>
      <t>pre-pull &amp; yard storage /11-8 discharged / ONEYNB3BEG945800  /</t>
    </r>
    <r>
      <rPr>
        <sz val="11"/>
        <color rgb="FFFF0000"/>
        <rFont val="Calibri"/>
        <family val="2"/>
        <scheme val="minor"/>
      </rPr>
      <t xml:space="preserve"> Detention $100/h, 1 hr free
</t>
    </r>
    <r>
      <rPr>
        <sz val="11"/>
        <color rgb="FF000000"/>
        <rFont val="Calibri"/>
        <family val="2"/>
        <scheme val="minor"/>
      </rPr>
      <t>FBA:FBA17CXCBWLL / po:8YOJJRXU / 30 CTNS / 4,495KGS/ Q# WUH080423B</t>
    </r>
  </si>
  <si>
    <t>DONE#140343</t>
  </si>
  <si>
    <t>TCLU5552124</t>
  </si>
  <si>
    <t>GALESBURG, IL 61401</t>
  </si>
  <si>
    <t>5F674D</t>
  </si>
  <si>
    <r>
      <t xml:space="preserve">MEDUZL280985 / Q# WUH101823K/ </t>
    </r>
    <r>
      <rPr>
        <sz val="11"/>
        <color rgb="FF0000CC"/>
        <rFont val="Calibri"/>
        <family val="2"/>
        <scheme val="minor"/>
      </rPr>
      <t>Yard Storage  $50/Day
Detention  $80/hour，1 hour free , Chassis Split  $100</t>
    </r>
  </si>
  <si>
    <t>DONE#140063</t>
  </si>
  <si>
    <t>TCLU8907830</t>
  </si>
  <si>
    <t>12-18 empty ready/ DROP fee $250/160/ ONEYSH3SV4537400/ Q# WUH092723A / Detention 1 hour free/  will not empty until 12-12</t>
  </si>
  <si>
    <t>DONE#141942, PER DIEM INV# 147654</t>
  </si>
  <si>
    <t>TEMU1740429</t>
  </si>
  <si>
    <t>5E52E3</t>
  </si>
  <si>
    <t>DONE#140057</t>
  </si>
  <si>
    <t>TRLU6375188</t>
  </si>
  <si>
    <t>679F8A</t>
  </si>
  <si>
    <t>DONE#139740</t>
  </si>
  <si>
    <t>BEAU5116520</t>
  </si>
  <si>
    <t>D2F056</t>
  </si>
  <si>
    <t>MTPE23110031-UPDATED REF#MTPE23100128/3725-3825/COSU6368074750</t>
  </si>
  <si>
    <t>HMMU6038071</t>
  </si>
  <si>
    <t>HDMUTPEM59971000/MTPE23110053/4125-4025/CHASSIS TO ROHANA?</t>
  </si>
  <si>
    <t>HLBU3262729</t>
  </si>
  <si>
    <t>LAX-YUSEN</t>
  </si>
  <si>
    <t>Colton, CA 92324</t>
  </si>
  <si>
    <t>BKG &lt;72213803-&gt;20058252/HLCUKUL230904947 PO#58869/58870/Customer PO#58471/58472/ETD 10.4/terminal fee $14/terminal $91</t>
  </si>
  <si>
    <t>SEKU6345404</t>
  </si>
  <si>
    <t>BKG &lt;72213803-&gt;20058252/HLCUKUL230904947 PO#58869/58870/ETD 10.4/terminal fee $14/terminal $91</t>
  </si>
  <si>
    <t>SAFROUND</t>
  </si>
  <si>
    <t>MEDU4056947</t>
  </si>
  <si>
    <t>before 2pm</t>
  </si>
  <si>
    <t xml:space="preserve">3D8A75 </t>
  </si>
  <si>
    <r>
      <rPr>
        <sz val="11"/>
        <color rgb="FFFF0000"/>
        <rFont val="Calibri"/>
        <family val="2"/>
        <scheme val="minor"/>
      </rPr>
      <t xml:space="preserve">CHASSIS $100 paid to MSC / TLX HBL /MBL RELEASED </t>
    </r>
    <r>
      <rPr>
        <sz val="11"/>
        <color theme="1"/>
        <rFont val="Calibri"/>
        <family val="2"/>
        <scheme val="minor"/>
      </rPr>
      <t xml:space="preserve"> MBL#MEDUE9474010  /  DDP / Delivery to 3828 Des Plaines River Rd, SCHILLER PARK, IL 60176 / Q# 0508AN2IW / DETENTION 2 HOURS FREE</t>
    </r>
  </si>
  <si>
    <t xml:space="preserve">DONE#142445 </t>
  </si>
  <si>
    <t xml:space="preserve">SHENZHEN WAYOTA </t>
  </si>
  <si>
    <t>TCNU3360979</t>
  </si>
  <si>
    <t>12/04/2023 09:00 CST</t>
  </si>
  <si>
    <t>ISA# 98571008987-Helen</t>
  </si>
  <si>
    <t>AMZ IGQ2- University Park, IL 60484</t>
  </si>
  <si>
    <t>EGLV149305776274 / 3.5 hr detention-12/04/2023 09:14 CST-	12/04/2023 16:51 CST, 4 hours free</t>
  </si>
  <si>
    <t xml:space="preserve">DONE#140996 </t>
  </si>
  <si>
    <t>FCIU4923984</t>
  </si>
  <si>
    <t>20FT</t>
  </si>
  <si>
    <t>PEWAUKEE,WI,53072</t>
  </si>
  <si>
    <t>YMJAW236815390/Q#SPMK112423A</t>
  </si>
  <si>
    <t>YMMU1033670</t>
  </si>
  <si>
    <t>TCLU1693762</t>
  </si>
  <si>
    <t>ONEYNB3JB4157300/HC $85/2HRS DET</t>
  </si>
  <si>
    <t>UQI</t>
  </si>
  <si>
    <t>MSMU7214130</t>
  </si>
  <si>
    <t>8-9AM</t>
  </si>
  <si>
    <t>DAVENPORT,IA,52806</t>
  </si>
  <si>
    <t>MEDUQM740542/Q#UQQB112023A</t>
  </si>
  <si>
    <t>FCIU5551259</t>
  </si>
  <si>
    <t>LAX-WBCT</t>
  </si>
  <si>
    <t>TEMECULA, CA 92592</t>
  </si>
  <si>
    <t>HDMUTAOZ98217300/ISF/CTF 45.57/og in 11/21 midnight</t>
  </si>
  <si>
    <t>UETU5942337</t>
  </si>
  <si>
    <t>LA-LBCT</t>
  </si>
  <si>
    <t>IUSJ</t>
  </si>
  <si>
    <t>COSU6367443100/ctf 91</t>
  </si>
  <si>
    <t>EISU8315806</t>
  </si>
  <si>
    <t>Century Express-EVANS</t>
  </si>
  <si>
    <r>
      <rPr>
        <sz val="11"/>
        <color rgb="FFFF0000"/>
        <rFont val="Calibri"/>
        <family val="2"/>
        <scheme val="minor"/>
      </rPr>
      <t xml:space="preserve">Didn't use SSL chassis / OG from NS rail, charssis split / 5 HRS Detention-8:30-14:30, 1 hour free/ Pre-pull &amp; yard storage </t>
    </r>
    <r>
      <rPr>
        <sz val="11"/>
        <color theme="1"/>
        <rFont val="Calibri"/>
        <family val="2"/>
        <scheme val="minor"/>
      </rPr>
      <t>/ EGLV149305740351 / Q# VIEG082923A</t>
    </r>
  </si>
  <si>
    <t xml:space="preserve">DONE#140420 </t>
  </si>
  <si>
    <t>WAYOTA</t>
  </si>
  <si>
    <t>TCKU6676987</t>
  </si>
  <si>
    <t>5CBD7C  </t>
  </si>
  <si>
    <t xml:space="preserve">COSU6368472460 </t>
  </si>
  <si>
    <t>TGHU6538963</t>
  </si>
  <si>
    <r>
      <t>F4112B</t>
    </r>
    <r>
      <rPr>
        <b/>
        <sz val="13.5"/>
        <color rgb="FF000000"/>
        <rFont val="Courier"/>
        <charset val="1"/>
      </rPr>
      <t> </t>
    </r>
    <r>
      <rPr>
        <b/>
        <sz val="12"/>
        <color rgb="FF000000"/>
        <rFont val="Courier"/>
        <charset val="1"/>
      </rPr>
      <t> </t>
    </r>
  </si>
  <si>
    <t xml:space="preserve">COSU6367894780 </t>
  </si>
  <si>
    <t>TCKU7392368</t>
  </si>
  <si>
    <t>304EBF</t>
  </si>
  <si>
    <r>
      <rPr>
        <sz val="11"/>
        <color rgb="FFFF0000"/>
        <rFont val="Calibri"/>
        <family val="2"/>
        <scheme val="minor"/>
      </rPr>
      <t>PRE-PULL / YARD STORAGE</t>
    </r>
    <r>
      <rPr>
        <sz val="11"/>
        <color theme="1"/>
        <rFont val="Calibri"/>
        <family val="2"/>
        <scheme val="minor"/>
      </rPr>
      <t xml:space="preserve"> / COSU6364928470 / Betsy (217)200-6965
305 W Chestnut St, Bondville , IL，61815</t>
    </r>
    <r>
      <rPr>
        <sz val="11"/>
        <color theme="1"/>
        <rFont val="Calibri"/>
        <family val="2"/>
        <scheme val="minor"/>
      </rPr>
      <t xml:space="preserve"> / Q# XMWT031623B</t>
    </r>
  </si>
  <si>
    <t xml:space="preserve">DONE#140115, DEM Inv# 139642 </t>
  </si>
  <si>
    <t>TGHU5236906</t>
  </si>
  <si>
    <t>CLT2</t>
  </si>
  <si>
    <t>ZIMUSHH31100540</t>
  </si>
  <si>
    <t>BEAU4698509</t>
  </si>
  <si>
    <t>DBABEB</t>
  </si>
  <si>
    <t>OOLU2727897030</t>
  </si>
  <si>
    <t>BMOU5147300</t>
  </si>
  <si>
    <t>COSU6368271730</t>
  </si>
  <si>
    <t>CARU9653658</t>
  </si>
  <si>
    <r>
      <rPr>
        <sz val="11"/>
        <color rgb="FF000000"/>
        <rFont val="Calibri"/>
        <family val="2"/>
      </rPr>
      <t>MEDUQM705255/</t>
    </r>
    <r>
      <rPr>
        <sz val="11"/>
        <color rgb="FFFF0000"/>
        <rFont val="Calibri"/>
        <family val="2"/>
      </rPr>
      <t>$220 BILL BACK TO WESHIP</t>
    </r>
  </si>
  <si>
    <t>CBHU8896132</t>
  </si>
  <si>
    <t>59C13C</t>
  </si>
  <si>
    <t>OOLU2726683470</t>
  </si>
  <si>
    <t>CSNU6302570</t>
  </si>
  <si>
    <t>B2841C</t>
  </si>
  <si>
    <t>OOLU2727090530</t>
  </si>
  <si>
    <t>CSNU7088708</t>
  </si>
  <si>
    <t>945A8F</t>
  </si>
  <si>
    <t>CSNU7277018</t>
  </si>
  <si>
    <t>7F4800</t>
  </si>
  <si>
    <t>CSNU7358357</t>
  </si>
  <si>
    <t>0B9A9A</t>
  </si>
  <si>
    <t>CSNU7815047</t>
  </si>
  <si>
    <t>9BBD1B</t>
  </si>
  <si>
    <t>OOLU2726583180</t>
  </si>
  <si>
    <t>DFSU6925660</t>
  </si>
  <si>
    <t>D84C4A</t>
  </si>
  <si>
    <t xml:space="preserve">FBLU0090218 </t>
  </si>
  <si>
    <t>333C27</t>
  </si>
  <si>
    <t>MEDUQM705255</t>
  </si>
  <si>
    <t xml:space="preserve">FCIU9655061 </t>
  </si>
  <si>
    <t>OOLU8810583870</t>
  </si>
  <si>
    <t>FFAU2461792</t>
  </si>
  <si>
    <t>33BE4F</t>
  </si>
  <si>
    <t>OOLU2727808880</t>
  </si>
  <si>
    <t>OOCU7139895</t>
  </si>
  <si>
    <t>5EF736</t>
  </si>
  <si>
    <t>OOCU8459701</t>
  </si>
  <si>
    <t>LONG BEACH PORT</t>
  </si>
  <si>
    <t>OOLU8810598220</t>
  </si>
  <si>
    <t>OOCU8842351</t>
  </si>
  <si>
    <t>FE94A4</t>
  </si>
  <si>
    <t>OOLU9148573</t>
  </si>
  <si>
    <t>AC1019</t>
  </si>
  <si>
    <t>OOLU9649092</t>
  </si>
  <si>
    <t>0859DA</t>
  </si>
  <si>
    <t>OOLU9675574</t>
  </si>
  <si>
    <t>87E443</t>
  </si>
  <si>
    <t>OOLU9868568</t>
  </si>
  <si>
    <t>3D793F</t>
  </si>
  <si>
    <t>OOLU8895196810</t>
  </si>
  <si>
    <t>RFCU4070450</t>
  </si>
  <si>
    <t>9FB410</t>
  </si>
  <si>
    <t>TCKU7769430</t>
  </si>
  <si>
    <t>78141E</t>
  </si>
  <si>
    <t>TCNU1628614</t>
  </si>
  <si>
    <t>3562B8</t>
  </si>
  <si>
    <t>TGBU4868199</t>
  </si>
  <si>
    <t>C4F40A</t>
  </si>
  <si>
    <t>TGBU4948669</t>
  </si>
  <si>
    <t>2B1B20</t>
  </si>
  <si>
    <t>TGBU5389457</t>
  </si>
  <si>
    <t>E8E460</t>
  </si>
  <si>
    <t xml:space="preserve">TRHU6760334  </t>
  </si>
  <si>
    <t>EGLV149306108802</t>
  </si>
  <si>
    <t>UETU5360850</t>
  </si>
  <si>
    <t>9FCD7E</t>
  </si>
  <si>
    <t>UETU5417154</t>
  </si>
  <si>
    <t>3ABF8B</t>
  </si>
  <si>
    <t>MSDU7023498</t>
  </si>
  <si>
    <t>St Louis MO 63106</t>
  </si>
  <si>
    <t>2211035</t>
  </si>
  <si>
    <r>
      <rPr>
        <sz val="11"/>
        <color rgb="FFFF0000"/>
        <rFont val="Calibri"/>
        <family val="2"/>
        <scheme val="minor"/>
      </rPr>
      <t>5.75 hrs-9:40-17:25, 2 hours free</t>
    </r>
    <r>
      <rPr>
        <sz val="11"/>
        <color theme="1"/>
        <rFont val="Calibri"/>
        <family val="2"/>
        <scheme val="minor"/>
      </rPr>
      <t xml:space="preserve"> / MEDUQM684500 / Q# WOIL110823A/ 2 hours free
2953 Dr Martin Luther King Drive
St Louis Missouri 63106
United States of America
+1 314 297 6550</t>
    </r>
  </si>
  <si>
    <t xml:space="preserve">DONE#141023 </t>
  </si>
  <si>
    <t>GESU2831374</t>
  </si>
  <si>
    <t xml:space="preserve">EAST CHICAGO  IN 46312 </t>
  </si>
  <si>
    <r>
      <rPr>
        <sz val="11"/>
        <color rgb="FFFF0000"/>
        <rFont val="Calibri"/>
        <family val="2"/>
        <scheme val="minor"/>
      </rPr>
      <t>pre-pull &amp; yard storage / SOC return to Great Lakes Kwik Space, reroute 300 &amp; chassis split</t>
    </r>
    <r>
      <rPr>
        <sz val="11"/>
        <color theme="1"/>
        <rFont val="Calibri"/>
        <family val="2"/>
        <scheme val="minor"/>
      </rPr>
      <t xml:space="preserve"> / HDMUDLCM90367700 / OW / 20GP /19375 KGS /</t>
    </r>
    <r>
      <rPr>
        <sz val="11"/>
        <color theme="1"/>
        <rFont val="Calibri"/>
        <family val="2"/>
        <scheme val="minor"/>
      </rPr>
      <t xml:space="preserve">Q# WUH101223F </t>
    </r>
  </si>
  <si>
    <t>DONE#140438</t>
  </si>
  <si>
    <t>MRKU8325310</t>
  </si>
  <si>
    <t>8:30am</t>
  </si>
  <si>
    <t xml:space="preserve"> MAEU230808445 /COC/ Q# WUH101223F / 1 hr free</t>
  </si>
  <si>
    <t xml:space="preserve">DONE #140445 </t>
  </si>
  <si>
    <t>SUDU7676763</t>
  </si>
  <si>
    <t xml:space="preserve">MAEU230808445 /COC/ Q# WUH101223F / 1 hr free </t>
  </si>
  <si>
    <t xml:space="preserve">DONE #140448 </t>
  </si>
  <si>
    <t>CICU5596080</t>
  </si>
  <si>
    <t>Richfield, UT 84701 </t>
  </si>
  <si>
    <t>1597123</t>
  </si>
  <si>
    <r>
      <rPr>
        <sz val="11"/>
        <color rgb="FFFF0000"/>
        <rFont val="Calibri"/>
        <family val="2"/>
        <scheme val="minor"/>
      </rPr>
      <t>1.5 hrs detention-8:00 – 10:30, 1 hr free</t>
    </r>
    <r>
      <rPr>
        <sz val="11"/>
        <color rgb="FF000000"/>
        <rFont val="Calibri"/>
        <family val="2"/>
        <scheme val="minor"/>
      </rPr>
      <t xml:space="preserve"> / 11-7 discharged /MBL# QGD0427991 / Q# QDMY080423A / Detention 1 hour free / Ben Lewis tel：801 857 7657 
预约邮箱： ben@dogberrycollections.com 
jacklin@qdmyh.com /</t>
    </r>
    <r>
      <rPr>
        <sz val="11"/>
        <color rgb="FFFF0000"/>
        <rFont val="Calibri"/>
        <family val="2"/>
        <scheme val="minor"/>
      </rPr>
      <t xml:space="preserve"> Chassis split for SOC return to Railroad storage &amp; Drayage inc.</t>
    </r>
  </si>
  <si>
    <t>DONE# 139975</t>
  </si>
  <si>
    <t>CICU5596440</t>
  </si>
  <si>
    <t>1597142</t>
  </si>
  <si>
    <r>
      <rPr>
        <sz val="11"/>
        <color rgb="FF000000"/>
        <rFont val="Calibri"/>
        <family val="2"/>
        <scheme val="minor"/>
      </rPr>
      <t xml:space="preserve">11-7 discharged /MBL# QGD0427991 / Ben Lewis tel：801 857 7657 
预约邮箱： ben@dogberrycollections.com 
jacklin@qdmyh.com / </t>
    </r>
    <r>
      <rPr>
        <sz val="11"/>
        <color rgb="FFFF0000"/>
        <rFont val="Calibri"/>
        <family val="2"/>
        <scheme val="minor"/>
      </rPr>
      <t>Chassis split for SOC return to Railroad storage &amp; Drayage inc.</t>
    </r>
  </si>
  <si>
    <t>DONE#139977</t>
  </si>
  <si>
    <t>CICU5596481</t>
  </si>
  <si>
    <t>1597139</t>
  </si>
  <si>
    <r>
      <t xml:space="preserve">11-7 discharged / MBL# QGD0427991 / / Q# QDMY080423A / Detention 1 hour free/ Ben Lewis tel：801 857 7657 
预约邮箱： ben@dogberrycollections.com 
jacklin@qdmyh.com/ </t>
    </r>
    <r>
      <rPr>
        <sz val="11"/>
        <color rgb="FFFF0000"/>
        <rFont val="Calibri"/>
        <family val="2"/>
        <scheme val="minor"/>
      </rPr>
      <t>Chassis split for SOC return to Railroad storage &amp; Drayage inc.</t>
    </r>
  </si>
  <si>
    <t>DONE#139978</t>
  </si>
  <si>
    <t>CICU5596537</t>
  </si>
  <si>
    <t>1597140</t>
  </si>
  <si>
    <r>
      <rPr>
        <sz val="11"/>
        <color rgb="FFFF0000"/>
        <rFont val="Calibri"/>
        <family val="2"/>
        <scheme val="minor"/>
      </rPr>
      <t xml:space="preserve">2 hrs detention-12:40-15:48-1 hr free </t>
    </r>
    <r>
      <rPr>
        <sz val="11"/>
        <color rgb="FF000000"/>
        <rFont val="Calibri"/>
        <family val="2"/>
        <scheme val="minor"/>
      </rPr>
      <t>/ 11-7 discharged / MBL# QGD0427991 / / Q# QDMY080423A / Detention 1 hour free / Ben Lewis tel：801 857 7657 
预约邮箱： ben@dogberrycollections.com 
jacklin@qdmyh.com /</t>
    </r>
    <r>
      <rPr>
        <sz val="11"/>
        <color rgb="FFFF0000"/>
        <rFont val="Calibri"/>
        <family val="2"/>
        <scheme val="minor"/>
      </rPr>
      <t>Chassis split for SOC return to Railroad storage &amp; Drayage inc.</t>
    </r>
  </si>
  <si>
    <t>DONE#139976</t>
  </si>
  <si>
    <t xml:space="preserve">CAIU8845140 </t>
  </si>
  <si>
    <t xml:space="preserve">RIO </t>
  </si>
  <si>
    <t>MEMPHIS,TN,38118</t>
  </si>
  <si>
    <t>MATS7104800000/Q#YWHJ102623A</t>
  </si>
  <si>
    <t xml:space="preserve">CSNU7822112 </t>
  </si>
  <si>
    <t>BNSF-DFW</t>
  </si>
  <si>
    <t>DFW DLV, CHI HANDLING</t>
  </si>
  <si>
    <t>87A39A</t>
  </si>
  <si>
    <t>OOLU8895319840</t>
  </si>
  <si>
    <t>HC DONE</t>
  </si>
  <si>
    <t>MATU2329602</t>
  </si>
  <si>
    <t xml:space="preserve">F0D697 </t>
  </si>
  <si>
    <t>.11/30</t>
  </si>
  <si>
    <t>MATS5101557000/Q#YWHJ102623A/2.75 PU DET</t>
  </si>
  <si>
    <t xml:space="preserve">MEDU7284513 </t>
  </si>
  <si>
    <t>AIRSEA DO CUSTOMS</t>
  </si>
  <si>
    <t xml:space="preserve">DALLAS </t>
  </si>
  <si>
    <t>CARROLLTON,TX,75006</t>
  </si>
  <si>
    <t>MBL TEL&amp;HBL PENDING</t>
  </si>
  <si>
    <t>HANDLED BY DALLAS OFFICE</t>
  </si>
  <si>
    <t>MEDUE9357231</t>
  </si>
  <si>
    <t>OOLU9067893</t>
  </si>
  <si>
    <t>BNSF-KANSAS</t>
  </si>
  <si>
    <t>LENEXA,KS,66215  </t>
  </si>
  <si>
    <t>5E949D</t>
  </si>
  <si>
    <t>OOLU2300689074/Q#YWHJ101623A</t>
  </si>
  <si>
    <t>TRHU7994527</t>
  </si>
  <si>
    <t xml:space="preserve">0E5AED </t>
  </si>
  <si>
    <t>OOLU2143604650/ISF</t>
  </si>
  <si>
    <t>8 dt</t>
  </si>
  <si>
    <t>OOCU9033768</t>
  </si>
  <si>
    <t>FTL</t>
  </si>
  <si>
    <t>customer driver</t>
  </si>
  <si>
    <t>YMLU9031813</t>
  </si>
  <si>
    <t>ymluW236818070</t>
  </si>
  <si>
    <t>EGHU9239088</t>
  </si>
  <si>
    <t>eb0d51</t>
  </si>
  <si>
    <t xml:space="preserve">EGLV140302045062 </t>
  </si>
  <si>
    <t xml:space="preserve">EITU1442696 </t>
  </si>
  <si>
    <t xml:space="preserve">EGLV140302117896  </t>
  </si>
  <si>
    <t>YMLU8666759</t>
  </si>
  <si>
    <t>2d6b6e</t>
  </si>
  <si>
    <t>YMJAW240323387</t>
  </si>
  <si>
    <t>9fang</t>
  </si>
  <si>
    <t>TGBU4004057</t>
  </si>
  <si>
    <t>esf364</t>
  </si>
  <si>
    <t xml:space="preserve">EGLV140302046701 </t>
  </si>
  <si>
    <t>MATU2710922</t>
  </si>
  <si>
    <t>ABL 11/27 DROP/DOCK#10</t>
  </si>
  <si>
    <t>C17C4E</t>
  </si>
  <si>
    <r>
      <t xml:space="preserve">MATS3976119000 / </t>
    </r>
    <r>
      <rPr>
        <sz val="11"/>
        <color rgb="FFFF0000"/>
        <rFont val="Calibri"/>
        <family val="2"/>
        <scheme val="minor"/>
      </rPr>
      <t>re-route + chassis split for IG TO CGI JOLIET</t>
    </r>
  </si>
  <si>
    <t>DONE#142580</t>
  </si>
  <si>
    <t>DRYU9310294</t>
  </si>
  <si>
    <t>EGLV149306360608</t>
  </si>
  <si>
    <t>CIFxmn</t>
  </si>
  <si>
    <t>TGBU7734531</t>
  </si>
  <si>
    <t>0f05ae</t>
  </si>
  <si>
    <t xml:space="preserve">MEDUXN514690    </t>
  </si>
  <si>
    <t>BEAU5807749</t>
  </si>
  <si>
    <t>27F2FA</t>
  </si>
  <si>
    <t>11-20 改拆送 / OOLU2726533392</t>
  </si>
  <si>
    <t xml:space="preserve">BEAU6319965 </t>
  </si>
  <si>
    <t xml:space="preserve">SMLMNJGF2A448200 </t>
  </si>
  <si>
    <t xml:space="preserve">CAIU7948925  </t>
  </si>
  <si>
    <t xml:space="preserve">smlmNJBC0B553400    </t>
  </si>
  <si>
    <t>CBHU8944462</t>
  </si>
  <si>
    <t>61790e</t>
  </si>
  <si>
    <t xml:space="preserve">COSU6368027050 </t>
  </si>
  <si>
    <t>CSLU6229358</t>
  </si>
  <si>
    <t>EE46F9</t>
  </si>
  <si>
    <t>COSU6365946660</t>
  </si>
  <si>
    <t>CSNU6485510</t>
  </si>
  <si>
    <t>da7d38</t>
  </si>
  <si>
    <t xml:space="preserve">COSU6369055394 </t>
  </si>
  <si>
    <t>CSNU7958264</t>
  </si>
  <si>
    <t>COSU6368531453</t>
  </si>
  <si>
    <t>FFAU1885369</t>
  </si>
  <si>
    <t>428a77</t>
  </si>
  <si>
    <t>COSU6368026910</t>
  </si>
  <si>
    <t>FFAU2710004</t>
  </si>
  <si>
    <t>4b96e8</t>
  </si>
  <si>
    <t>COSU 6367063263</t>
  </si>
  <si>
    <t>FFAU3604814</t>
  </si>
  <si>
    <t>a39fa7</t>
  </si>
  <si>
    <t xml:space="preserve">COSU6367927881 </t>
  </si>
  <si>
    <t>FSCU8917377</t>
  </si>
  <si>
    <t>0528d8</t>
  </si>
  <si>
    <t xml:space="preserve">COSU6367406963 </t>
  </si>
  <si>
    <t>MAGU5164249</t>
  </si>
  <si>
    <t>c4bc4f</t>
  </si>
  <si>
    <t xml:space="preserve">COSU6369055395 </t>
  </si>
  <si>
    <t>OOCU7098862</t>
  </si>
  <si>
    <t>c19785</t>
  </si>
  <si>
    <t xml:space="preserve">COSU6367406964 </t>
  </si>
  <si>
    <t>OOCU7775496</t>
  </si>
  <si>
    <t>ee20b3</t>
  </si>
  <si>
    <t xml:space="preserve">COSU6367406962 </t>
  </si>
  <si>
    <t>OOCU7793524</t>
  </si>
  <si>
    <t>c651b2</t>
  </si>
  <si>
    <t xml:space="preserve">OOLU2726114622 </t>
  </si>
  <si>
    <t>RFCU4073530</t>
  </si>
  <si>
    <t>5f3d98</t>
  </si>
  <si>
    <t xml:space="preserve">COSU6367971251 </t>
  </si>
  <si>
    <t xml:space="preserve">RFCU5014018 </t>
  </si>
  <si>
    <t xml:space="preserve">smlmNJED3H319300   </t>
  </si>
  <si>
    <t>SEGU6531641</t>
  </si>
  <si>
    <t xml:space="preserve">COSU6367915762 </t>
  </si>
  <si>
    <t xml:space="preserve">SMCU1090463 </t>
  </si>
  <si>
    <t xml:space="preserve">SMLMNJEB3C523700 </t>
  </si>
  <si>
    <t xml:space="preserve">SMCU1174498  </t>
  </si>
  <si>
    <t xml:space="preserve">SMLMNJED3H000400 </t>
  </si>
  <si>
    <t xml:space="preserve">SMCU1202331 </t>
  </si>
  <si>
    <t>SMLMNJED3E909500 / 收 OW fee 250 美金/</t>
  </si>
  <si>
    <t xml:space="preserve">SMCU7013145   </t>
  </si>
  <si>
    <t xml:space="preserve">smlmNJBC0B556700  </t>
  </si>
  <si>
    <t>TEMU7496372</t>
  </si>
  <si>
    <t>5f16f2</t>
  </si>
  <si>
    <t xml:space="preserve">COSU6367945853 </t>
  </si>
  <si>
    <t>TEMU8519575</t>
  </si>
  <si>
    <t>0399548</t>
  </si>
  <si>
    <t xml:space="preserve">cmduCHN0572615  / </t>
  </si>
  <si>
    <t>TGBU4794440</t>
  </si>
  <si>
    <t>COSU6367399920</t>
  </si>
  <si>
    <t>TGBU4853579</t>
  </si>
  <si>
    <t>99557c</t>
  </si>
  <si>
    <t>COSU6365946663 / exam at LGB</t>
  </si>
  <si>
    <t>TGBU8821712</t>
  </si>
  <si>
    <t>8a1953</t>
  </si>
  <si>
    <t xml:space="preserve">COSU6367945851 </t>
  </si>
  <si>
    <t>CSNU8460553</t>
  </si>
  <si>
    <t>ed332d</t>
  </si>
  <si>
    <t xml:space="preserve">COSU6367377394  </t>
  </si>
  <si>
    <t>DFSU7353786</t>
  </si>
  <si>
    <t>8a69ae</t>
  </si>
  <si>
    <t xml:space="preserve">COSU6367948201  </t>
  </si>
  <si>
    <t>FCIU9867287</t>
  </si>
  <si>
    <t>F46272</t>
  </si>
  <si>
    <t>COSU6366426359</t>
  </si>
  <si>
    <t>MATU2559729</t>
  </si>
  <si>
    <t>26c7bc</t>
  </si>
  <si>
    <t xml:space="preserve">MATS8844770000  </t>
  </si>
  <si>
    <t>MATU2595990</t>
  </si>
  <si>
    <t>28D1A8</t>
  </si>
  <si>
    <t xml:space="preserve">MATS7961019000  </t>
  </si>
  <si>
    <t>MATU2635177</t>
  </si>
  <si>
    <t>4b8cf0</t>
  </si>
  <si>
    <t xml:space="preserve">MATS8199446000  </t>
  </si>
  <si>
    <t>TGBU5453200</t>
  </si>
  <si>
    <t>88f4bc</t>
  </si>
  <si>
    <t xml:space="preserve">COSU6367377398  </t>
  </si>
  <si>
    <t>TRHU5835444</t>
  </si>
  <si>
    <t>6f0e54</t>
  </si>
  <si>
    <t xml:space="preserve">COSU6368690464  </t>
  </si>
  <si>
    <t>TRHU8437362</t>
  </si>
  <si>
    <t>E011AD</t>
  </si>
  <si>
    <t xml:space="preserve">MATS2837407000  </t>
  </si>
  <si>
    <t>IT CHECK UPON AN RECEIVING</t>
  </si>
  <si>
    <t>COSU6367233980/Q#230315</t>
  </si>
  <si>
    <t>CUSTOM+DELIVERY</t>
  </si>
  <si>
    <t>CICU3658373</t>
  </si>
  <si>
    <t xml:space="preserve">12/30/2023 18:00 CST </t>
  </si>
  <si>
    <t>ISA#87142014967-HELEN</t>
  </si>
  <si>
    <t>PB</t>
  </si>
  <si>
    <t>AMZ HSV1</t>
  </si>
  <si>
    <t>HDMUNBOZ09300800/Q#SPLL090823A/REDELIVERY $150+8.5HR DETENTION($100/HR)</t>
  </si>
  <si>
    <t>TCLU4891484</t>
  </si>
  <si>
    <t>ONEYNB3JB4196600/HC $85</t>
  </si>
  <si>
    <t>VITE / FOCUS ONE</t>
  </si>
  <si>
    <t>EMCU8063450</t>
  </si>
  <si>
    <t>LAX PORT-Apm Terminals</t>
  </si>
  <si>
    <t>ABL-AMZ</t>
  </si>
  <si>
    <t>EXAM SITE LFD 12-11</t>
  </si>
  <si>
    <r>
      <rPr>
        <sz val="11"/>
        <color rgb="FFFF0000"/>
        <rFont val="Calibri"/>
        <family val="2"/>
        <scheme val="minor"/>
      </rPr>
      <t>Pier pass $71.14, CTF $20</t>
    </r>
    <r>
      <rPr>
        <sz val="11"/>
        <color theme="1"/>
        <rFont val="Calibri"/>
        <family val="2"/>
        <scheme val="minor"/>
      </rPr>
      <t xml:space="preserve"> / EGLV143367372802 / Transload
EXAM SITE -Price Transfer, Inc.
1130 E 230th Street
Carson, CA 90745
Carrier Info for pikcup after Exam-</t>
    </r>
    <r>
      <rPr>
        <sz val="11"/>
        <color rgb="FFFF0000"/>
        <rFont val="Calibri"/>
        <family val="2"/>
        <scheme val="minor"/>
      </rPr>
      <t xml:space="preserve">JRB INTERNATIONAL CORP , SCAC#   JICE </t>
    </r>
  </si>
  <si>
    <t xml:space="preserve">DONE#142343 </t>
  </si>
  <si>
    <t>BEAU6025600</t>
  </si>
  <si>
    <t>A0A3E9</t>
  </si>
  <si>
    <t>COSU6365491950</t>
  </si>
  <si>
    <t>CSNU7598110</t>
  </si>
  <si>
    <t>0A41F3</t>
  </si>
  <si>
    <t>COSU6365953540</t>
  </si>
  <si>
    <t>MATU2624980</t>
  </si>
  <si>
    <t>387C48</t>
  </si>
  <si>
    <t>MATS9862894000</t>
  </si>
  <si>
    <t>MATU2630679</t>
  </si>
  <si>
    <t>8B8EAB</t>
  </si>
  <si>
    <t>MATS2951099000</t>
  </si>
  <si>
    <t>MATU2660821</t>
  </si>
  <si>
    <t>9F211E</t>
  </si>
  <si>
    <t>MATS7123780000</t>
  </si>
  <si>
    <t>MATU2710711</t>
  </si>
  <si>
    <t>4bca30</t>
  </si>
  <si>
    <t>MATS6647837000 / exam</t>
  </si>
  <si>
    <t>CMAU3591350</t>
  </si>
  <si>
    <t>BB3BC2</t>
  </si>
  <si>
    <t xml:space="preserve">CMDUCHN0582177  </t>
  </si>
  <si>
    <t>CMAU5692251</t>
  </si>
  <si>
    <t>9D754A</t>
  </si>
  <si>
    <t>cmduCHN0590200</t>
  </si>
  <si>
    <t>DFSU6311404</t>
  </si>
  <si>
    <t xml:space="preserve">CMDUCHN0582188  </t>
  </si>
  <si>
    <t>GAOU6859545</t>
  </si>
  <si>
    <t>45 gp</t>
  </si>
  <si>
    <t>A3D5F0</t>
  </si>
  <si>
    <t xml:space="preserve">CMDUCHN0601986  </t>
  </si>
  <si>
    <t>TLLU4788896</t>
  </si>
  <si>
    <t>8716BF </t>
  </si>
  <si>
    <t xml:space="preserve">CMDUCHN0558732  </t>
  </si>
  <si>
    <t>fin whale trailer 1130 - MDW2-60433</t>
  </si>
  <si>
    <t>TCLU1823721</t>
  </si>
  <si>
    <t>5091881</t>
  </si>
  <si>
    <t>MBL#ONEYSZPDR7988600/Q#0515GS0IW</t>
  </si>
  <si>
    <t>TCLU7821691</t>
  </si>
  <si>
    <t>5091893</t>
  </si>
  <si>
    <t xml:space="preserve">DALA01330900 </t>
  </si>
  <si>
    <t>2*40HQ TO WUH</t>
  </si>
  <si>
    <t>881793-12/14
881795-12/14</t>
  </si>
  <si>
    <t>12/16 @8AM</t>
  </si>
  <si>
    <t>881793-12/14
881795-12/16</t>
  </si>
  <si>
    <t>ERD Dec 12/CNTR#KOCU4168920&amp;CAIU7385312-$125 REDELIVERY FEE FOR CAIU7385312</t>
  </si>
  <si>
    <t xml:space="preserve">1*40HQ TO DALIAN </t>
  </si>
  <si>
    <t>12/15 3PM</t>
  </si>
  <si>
    <t xml:space="preserve">ERD Dec 11/CNTR#MAGU5164249/ORD373302 </t>
  </si>
  <si>
    <t>DRYU9799251</t>
  </si>
  <si>
    <t>FTL 1-5/ALG</t>
  </si>
  <si>
    <t>ABL WH/ANTIOCH,IL,60002</t>
  </si>
  <si>
    <r>
      <rPr>
        <sz val="11"/>
        <color rgb="FF000000"/>
        <rFont val="Calibri"/>
        <family val="2"/>
        <scheme val="minor"/>
      </rPr>
      <t xml:space="preserve">EGLV149306490498/Q#TISC121123A OR </t>
    </r>
    <r>
      <rPr>
        <sz val="11"/>
        <color rgb="FFFF0000"/>
        <rFont val="Calibri"/>
        <family val="2"/>
        <scheme val="minor"/>
      </rPr>
      <t>TISC122123A/DEVAN 12.28-DEV PLUS</t>
    </r>
  </si>
  <si>
    <t>EMCU8599968</t>
  </si>
  <si>
    <r>
      <rPr>
        <sz val="11"/>
        <color rgb="FF000000"/>
        <rFont val="Calibri"/>
        <family val="2"/>
      </rPr>
      <t xml:space="preserve">EGLV149306490498/Q#TISC121123A OR </t>
    </r>
    <r>
      <rPr>
        <sz val="11"/>
        <color rgb="FFFF0000"/>
        <rFont val="Calibri"/>
        <family val="2"/>
      </rPr>
      <t>TISC122123A/DEVAN 12.29&amp;DEVAN PLUS</t>
    </r>
  </si>
  <si>
    <t>TCNU4735051</t>
  </si>
  <si>
    <t>FTL 1-8/ALG</t>
  </si>
  <si>
    <r>
      <rPr>
        <sz val="11"/>
        <color rgb="FF000000"/>
        <rFont val="Calibri"/>
        <family val="2"/>
      </rPr>
      <t xml:space="preserve">EGLV149306490498/Q#TISC121123A OR </t>
    </r>
    <r>
      <rPr>
        <sz val="11"/>
        <color rgb="FFFF0000"/>
        <rFont val="Calibri"/>
        <family val="2"/>
      </rPr>
      <t>TISC122123A/DEVAN 12.30</t>
    </r>
  </si>
  <si>
    <t>EMCU8820657</t>
  </si>
  <si>
    <t>ANTIOCH,IL,60002</t>
  </si>
  <si>
    <t>EGLV149306490455/Q#TISC121123A/4.5HR DET</t>
  </si>
  <si>
    <t>TGBU8675095</t>
  </si>
  <si>
    <r>
      <rPr>
        <sz val="11"/>
        <color rgb="FF000000"/>
        <rFont val="Calibri"/>
        <family val="2"/>
        <scheme val="minor"/>
      </rPr>
      <t xml:space="preserve">EGLV149306490455/Q#TISC121123A OR </t>
    </r>
    <r>
      <rPr>
        <sz val="11"/>
        <color rgb="FFFF0000"/>
        <rFont val="Calibri"/>
        <family val="2"/>
        <scheme val="minor"/>
      </rPr>
      <t>TISC122123A/DEVAN 12.28</t>
    </r>
  </si>
  <si>
    <t>TGCU5095034</t>
  </si>
  <si>
    <t>FTL 1-4/WESHIP</t>
  </si>
  <si>
    <r>
      <rPr>
        <sz val="11"/>
        <color rgb="FF000000"/>
        <rFont val="Calibri"/>
        <family val="2"/>
      </rPr>
      <t xml:space="preserve">EGLV149306490455/Q#TISC121123A OR </t>
    </r>
    <r>
      <rPr>
        <sz val="11"/>
        <color rgb="FFFF0000"/>
        <rFont val="Calibri"/>
        <family val="2"/>
      </rPr>
      <t>TISC122123A/DEVAN 12.27+DEV PLUS</t>
    </r>
  </si>
  <si>
    <t>TXGU5330894</t>
  </si>
  <si>
    <t>FTL 1-5/WESHIP</t>
  </si>
  <si>
    <r>
      <rPr>
        <sz val="11"/>
        <color rgb="FF000000"/>
        <rFont val="Calibri"/>
        <family val="2"/>
      </rPr>
      <t xml:space="preserve">EGLV149306490455/Q#TISC121123A OR </t>
    </r>
    <r>
      <rPr>
        <sz val="11"/>
        <color rgb="FFFF0000"/>
        <rFont val="Calibri"/>
        <family val="2"/>
      </rPr>
      <t>TISC122123A/DEVAN 12.30-DEVAN PLUS/1.5HR DET($6/HR)</t>
    </r>
  </si>
  <si>
    <t>BMOU5119735</t>
  </si>
  <si>
    <t>12/07/2023 10:00 EST</t>
  </si>
  <si>
    <t>ISA# 11386760973-Helen</t>
  </si>
  <si>
    <t>DD8BB8</t>
  </si>
  <si>
    <t>No detention / COSU6368258790/  Invalid  PO 7MX1LMMI  changed to 1J31157J</t>
  </si>
  <si>
    <t>DONE#141332</t>
  </si>
  <si>
    <t>BSIU9308368</t>
  </si>
  <si>
    <t xml:space="preserve">12/05/2023 20:00 CST	</t>
  </si>
  <si>
    <t>ISA# 560652575-Helen</t>
  </si>
  <si>
    <t>TQL</t>
  </si>
  <si>
    <r>
      <rPr>
        <sz val="11"/>
        <color rgb="FFFF0000"/>
        <rFont val="Calibri"/>
        <family val="2"/>
        <scheme val="minor"/>
      </rPr>
      <t>6.5 hrs Detention-12/05/2023 19:54 CST- 12/06/2023 03:30 CST, 1 hr free / pre-pull &amp; yard storage</t>
    </r>
    <r>
      <rPr>
        <sz val="11"/>
        <color theme="1"/>
        <rFont val="Calibri"/>
        <family val="2"/>
        <scheme val="minor"/>
      </rPr>
      <t xml:space="preserve"> / COSU6367945850 / CK 晚于5pm的APPT 不能送/ 改让TQL 去CK yard 提柜。/ Q# LNKT091923MEM1 /  Detention  1hr free</t>
    </r>
  </si>
  <si>
    <t xml:space="preserve">DONE#141838 </t>
  </si>
  <si>
    <t>KKFU8065515</t>
  </si>
  <si>
    <r>
      <rPr>
        <sz val="11"/>
        <color rgb="FFFF0000"/>
        <rFont val="Calibri"/>
        <family val="2"/>
        <scheme val="minor"/>
      </rPr>
      <t>3.25 hrs detention-8am -12:15pm, 1 hour free./ pre-pull , yard storage</t>
    </r>
    <r>
      <rPr>
        <sz val="11"/>
        <color rgb="FF000000"/>
        <rFont val="Calibri"/>
        <family val="2"/>
        <scheme val="minor"/>
      </rPr>
      <t xml:space="preserve"> / ONEYNB3BDG313300/ </t>
    </r>
    <r>
      <rPr>
        <sz val="11"/>
        <color rgb="FF0000CC"/>
        <rFont val="Calibri"/>
        <family val="2"/>
        <scheme val="minor"/>
      </rPr>
      <t xml:space="preserve">Drayage $1050 </t>
    </r>
    <r>
      <rPr>
        <sz val="11"/>
        <color rgb="FF000000"/>
        <rFont val="Calibri"/>
        <family val="2"/>
        <scheme val="minor"/>
      </rPr>
      <t>/ Q# WUH071823B / Detention-1 hr free / 761 N PARKWAY ST, JEFFERSON, WI 53549 / GREG 920-253-3329</t>
    </r>
  </si>
  <si>
    <t>DONE#140997</t>
  </si>
  <si>
    <t>FCIU9604465</t>
  </si>
  <si>
    <t xml:space="preserve">12/09/2023 10:00 EST			</t>
  </si>
  <si>
    <t>ISA# 11386820973-Helen</t>
  </si>
  <si>
    <t>5BC783</t>
  </si>
  <si>
    <t>4.5 hrs detention-09:39 EST- 12/09/2023 16:07 EST, 2 hours free / COSU6367945852 /  Invalid PO 8U4TSKBV changed to 6NOBK26R.</t>
  </si>
  <si>
    <t xml:space="preserve">DONE#141333 </t>
  </si>
  <si>
    <t>FFAU2311030</t>
  </si>
  <si>
    <t>5CEE31</t>
  </si>
  <si>
    <r>
      <rPr>
        <sz val="11"/>
        <color rgb="FFFF0000"/>
        <rFont val="Calibri"/>
        <family val="2"/>
        <scheme val="minor"/>
      </rPr>
      <t>12.8 改拆柜 / 12.7 司机到IND9, AMZ 说这个约是12.21的，拒收， dry run-full trip</t>
    </r>
    <r>
      <rPr>
        <sz val="11"/>
        <color rgb="FF000000"/>
        <rFont val="Calibri"/>
        <family val="2"/>
        <scheme val="minor"/>
      </rPr>
      <t xml:space="preserve"> / 12-1 客户决定维持直送，他们会自己跟AMZ 预约/ Invalid PO#  34TVHPJV , 396KDWI, 87C4IVEA / 整柜IND9 APPT 12/07/2023 18:00 EST	ISA# 11395770973, Customer Account/   0.5 hr pu detention-2:19pm-5pm / COSU6367974260 / PRE-PULL / YARD STORAGE</t>
    </r>
  </si>
  <si>
    <t>MSMU6139556</t>
  </si>
  <si>
    <r>
      <t xml:space="preserve">177RMSMSQ00343V / pre-pull, yard storage, chassis split for OG CN /  0.25 hr detention / </t>
    </r>
    <r>
      <rPr>
        <sz val="11"/>
        <color rgb="FFFF0000"/>
        <rFont val="Calibri"/>
        <family val="2"/>
        <scheme val="minor"/>
      </rPr>
      <t>Re-route $225 and Chassis split for IG INTEGRATED INDUSTRIES HARVEY / Q# XBNG21423M</t>
    </r>
  </si>
  <si>
    <t xml:space="preserve">DONE#142035 </t>
  </si>
  <si>
    <t>MATU2683283</t>
  </si>
  <si>
    <t>12/4 DROP/DOCK#17</t>
  </si>
  <si>
    <t>0DB9A8</t>
  </si>
  <si>
    <t xml:space="preserve">MATS3950765000 </t>
  </si>
  <si>
    <t xml:space="preserve">DONE#142581 </t>
  </si>
  <si>
    <t>MATU5155464</t>
  </si>
  <si>
    <t>7289AC</t>
  </si>
  <si>
    <t>MATS1698327000</t>
  </si>
  <si>
    <t>OOCU7859196 </t>
  </si>
  <si>
    <t xml:space="preserve">12/10/2023 20:00 CST	</t>
  </si>
  <si>
    <t>ISA# 561220575-HELEN</t>
  </si>
  <si>
    <t>E907CF</t>
  </si>
  <si>
    <r>
      <rPr>
        <sz val="11"/>
        <color rgb="FFFF0000"/>
        <rFont val="Calibri"/>
        <family val="2"/>
        <scheme val="minor"/>
      </rPr>
      <t>Pre-pull, yard storage / 7 hrs detention- 12/10 @20:07-12/11@04:05 1 hour free</t>
    </r>
    <r>
      <rPr>
        <sz val="11"/>
        <color theme="1"/>
        <rFont val="Calibri"/>
        <family val="2"/>
        <scheme val="minor"/>
      </rPr>
      <t>.  / OOLU2727066671 / Invalid PO# 8IFK9QGJ changed to 6KKEWGQP / Q# LNKT091923MEM1 / Detention 1 hr free</t>
    </r>
  </si>
  <si>
    <t>DONE#141595</t>
  </si>
  <si>
    <t>TGCU5266775</t>
  </si>
  <si>
    <t>87BD86</t>
  </si>
  <si>
    <t>CMDUSHZ5775347/SZX23100160A</t>
  </si>
  <si>
    <t>MSMU8480319</t>
  </si>
  <si>
    <t>D5EB97</t>
  </si>
  <si>
    <r>
      <rPr>
        <sz val="11"/>
        <color rgb="FFFF0000"/>
        <rFont val="Calibri"/>
        <family val="2"/>
        <scheme val="minor"/>
      </rPr>
      <t>chassis split for IG 
Integrated Industries - 35th St</t>
    </r>
    <r>
      <rPr>
        <sz val="11"/>
        <color theme="1"/>
        <rFont val="Calibri"/>
        <family val="2"/>
        <scheme val="minor"/>
      </rPr>
      <t xml:space="preserve"> / No detention / MEDUE9526975 /  Drayage $1050 / Q# WUH071823B / Detention-1 hr free /
761 N PARKWAY ST, JEFFERSON, WI 53549
GREG 920-253-3329</t>
    </r>
  </si>
  <si>
    <t>DONE#141773</t>
  </si>
  <si>
    <t>FCIU2549290</t>
  </si>
  <si>
    <t>048ED5</t>
  </si>
  <si>
    <t>TLX HBL/ MBL RELEASED / MBL# MEDUE9455696/ DDP / Delivery to 3828 Des Plaines River Rd, SCHILLER PARK, IL 60176 / Q# 0508AN2IW / DETENTION 2 HOURS FREE</t>
  </si>
  <si>
    <t xml:space="preserve">DONE#142037 </t>
  </si>
  <si>
    <t>CICU4820534</t>
  </si>
  <si>
    <t>NS Cincinnati</t>
  </si>
  <si>
    <r>
      <rPr>
        <sz val="11"/>
        <color rgb="FFFF0000"/>
        <rFont val="Calibri"/>
        <family val="2"/>
        <scheme val="minor"/>
      </rPr>
      <t>0.75hr detention -10am-11:40am, 1 hr free</t>
    </r>
    <r>
      <rPr>
        <sz val="11"/>
        <color theme="1"/>
        <rFont val="Calibri"/>
        <family val="2"/>
        <scheme val="minor"/>
      </rPr>
      <t xml:space="preserve">  / CMDUXIA1222065 / </t>
    </r>
    <r>
      <rPr>
        <sz val="11"/>
        <color rgb="FFFF0000"/>
        <rFont val="Calibri"/>
        <family val="2"/>
        <scheme val="minor"/>
      </rPr>
      <t>chassis splie for SOC return to KYFI CINCINNATI/ Chssis split for OG NS</t>
    </r>
    <r>
      <rPr>
        <sz val="11"/>
        <color theme="1"/>
        <rFont val="Calibri"/>
        <family val="2"/>
        <scheme val="minor"/>
      </rPr>
      <t xml:space="preserve"> /  513-306-4961 for John Rersing</t>
    </r>
  </si>
  <si>
    <t xml:space="preserve">DONE#142107 </t>
  </si>
  <si>
    <t>Niuku</t>
  </si>
  <si>
    <t>OOCU7169380</t>
  </si>
  <si>
    <t xml:space="preserve">12/08/2023 18:00 CST	</t>
  </si>
  <si>
    <t>ISA# 98782008987-HELEN</t>
  </si>
  <si>
    <t>65A19E</t>
  </si>
  <si>
    <r>
      <rPr>
        <sz val="11"/>
        <color rgb="FFFF0000"/>
        <rFont val="Calibri"/>
        <family val="2"/>
        <scheme val="minor"/>
      </rPr>
      <t>1.5 hrs detention -12/08/2023 17:36 CST- 12/08/2023 23:15 CST, 4 hours free</t>
    </r>
    <r>
      <rPr>
        <sz val="11"/>
        <color theme="1"/>
        <rFont val="Calibri"/>
        <family val="2"/>
        <scheme val="minor"/>
      </rPr>
      <t xml:space="preserve"> / COSU6367948229/ pre-pull / yard storage</t>
    </r>
  </si>
  <si>
    <t xml:space="preserve">DONE#142085 </t>
  </si>
  <si>
    <t>Sunny Wing</t>
  </si>
  <si>
    <t xml:space="preserve">CAXU7384200 </t>
  </si>
  <si>
    <t xml:space="preserve">0800-1000 </t>
  </si>
  <si>
    <t xml:space="preserve">PHOENIX AZ 85034 </t>
  </si>
  <si>
    <t>MEDUXN719711 / DAP / Pending TLX HBL / Pending SWB / Q# SWNG110723A / Pier pass $71.74, CTF $20 / AN SENT / Customs RLS</t>
  </si>
  <si>
    <t>DONE#142122</t>
  </si>
  <si>
    <t>CSNU6174484</t>
  </si>
  <si>
    <t xml:space="preserve">OOLU2143558270     </t>
  </si>
  <si>
    <t>FCIU8669651</t>
  </si>
  <si>
    <t>81a5a1</t>
  </si>
  <si>
    <t xml:space="preserve">COSU6367948225  </t>
  </si>
  <si>
    <t>TGBU4085315</t>
  </si>
  <si>
    <t>612c76</t>
  </si>
  <si>
    <t xml:space="preserve">COSU6367948209   </t>
  </si>
  <si>
    <t>UETU5268533</t>
  </si>
  <si>
    <t xml:space="preserve">12/11/2023 12:00 EST	</t>
  </si>
  <si>
    <t>ISA# 562575138-Helen</t>
  </si>
  <si>
    <t>AMZ IND4</t>
  </si>
  <si>
    <t>B60A61</t>
  </si>
  <si>
    <r>
      <rPr>
        <sz val="11"/>
        <color rgb="FFFF0000"/>
        <rFont val="Calibri"/>
        <family val="2"/>
        <scheme val="minor"/>
      </rPr>
      <t xml:space="preserve">0.5 hr detention- 09:59 EST- 12:26 EST, 2 hours free </t>
    </r>
    <r>
      <rPr>
        <sz val="11"/>
        <color theme="1"/>
        <rFont val="Calibri"/>
        <family val="2"/>
        <scheme val="minor"/>
      </rPr>
      <t>/ COSU6368458110</t>
    </r>
  </si>
  <si>
    <t xml:space="preserve">DONE#142110 </t>
  </si>
  <si>
    <t>FCGU2294355</t>
  </si>
  <si>
    <t>B269BD</t>
  </si>
  <si>
    <t>CMDUNGP0660900/Q#PICO230906-1/$25 IT CANCEL</t>
  </si>
  <si>
    <t>TCNU3459771</t>
  </si>
  <si>
    <t>POOLER, GA 31322/31407</t>
  </si>
  <si>
    <t>OW/CHN0621570/OW/12.14e</t>
  </si>
  <si>
    <t>CXDU2031911</t>
  </si>
  <si>
    <t>NS-Cleveland</t>
  </si>
  <si>
    <r>
      <rPr>
        <sz val="11"/>
        <color rgb="FFFF0000"/>
        <rFont val="Calibri"/>
        <family val="2"/>
        <scheme val="minor"/>
      </rPr>
      <t>4.75 hrs detention-8:30am-2:10 pm, 1 hour free / pre-pull, yard storage</t>
    </r>
    <r>
      <rPr>
        <sz val="11"/>
        <color theme="1"/>
        <rFont val="Calibri"/>
        <family val="2"/>
        <scheme val="minor"/>
      </rPr>
      <t xml:space="preserve"> /  COSU6368017400 / Drayage $400-10.25.2023 /</t>
    </r>
    <r>
      <rPr>
        <sz val="11"/>
        <color rgb="FFFF0000"/>
        <rFont val="Calibri"/>
        <family val="2"/>
        <scheme val="minor"/>
      </rPr>
      <t xml:space="preserve"> HC $35</t>
    </r>
  </si>
  <si>
    <t xml:space="preserve">DONE#142125 </t>
  </si>
  <si>
    <t>CAIU8823347</t>
  </si>
  <si>
    <t>BNSF Minneapolis</t>
  </si>
  <si>
    <t>Big Blue Boxes</t>
  </si>
  <si>
    <t>9CC500</t>
  </si>
  <si>
    <t>Drop fee $150 / MBL# MEDUQM721047 / Q# PG110123MN / Detention  1 hr free</t>
  </si>
  <si>
    <t xml:space="preserve">DONE#141891 </t>
  </si>
  <si>
    <t>KRAKEN</t>
  </si>
  <si>
    <t>TCNU8074366</t>
  </si>
  <si>
    <t>12/8 DROP at Dock#15</t>
  </si>
  <si>
    <t>92454D</t>
  </si>
  <si>
    <t>CMDUNGP0660660</t>
  </si>
  <si>
    <t>DONE#141741</t>
  </si>
  <si>
    <t>CCLU7893592</t>
  </si>
  <si>
    <t>ba69fb</t>
  </si>
  <si>
    <t xml:space="preserve">COSU6368690465  </t>
  </si>
  <si>
    <t>CMAU8742720</t>
  </si>
  <si>
    <t>F9E05E</t>
  </si>
  <si>
    <t>CMDUCHN0603825 / 掏货，再把 mdw9 用weship 送进去</t>
  </si>
  <si>
    <t>CSNU7439762</t>
  </si>
  <si>
    <t>72628c</t>
  </si>
  <si>
    <t>COSU6368690463</t>
  </si>
  <si>
    <t>CSNU6071995</t>
  </si>
  <si>
    <t>D54DFE</t>
  </si>
  <si>
    <t>OOLU2728061000</t>
  </si>
  <si>
    <t>OOLU6850185</t>
  </si>
  <si>
    <t>2A1D39</t>
  </si>
  <si>
    <t>OOLU8790948</t>
  </si>
  <si>
    <t>COSU6368585740/terminal $91</t>
  </si>
  <si>
    <t>DFSU6268674</t>
  </si>
  <si>
    <t xml:space="preserve">12/11/2023 10:00 EST	</t>
  </si>
  <si>
    <t>ISA# 562574138-Helen</t>
  </si>
  <si>
    <t>AMZ IND4 Indianapolis, IN 46231</t>
  </si>
  <si>
    <t>2.5 hrs detention-12/11/2023 10:08 EST-12/11/2023 13:42 EST ( 1 hour free) -COSU6368459880</t>
  </si>
  <si>
    <t>CSNU6819006</t>
  </si>
  <si>
    <t xml:space="preserve">12/11/2023 18:00 CST	</t>
  </si>
  <si>
    <t>ISA# 98881008987-Helen</t>
  </si>
  <si>
    <t>C0EDF3</t>
  </si>
  <si>
    <r>
      <rPr>
        <sz val="11"/>
        <color rgb="FFFF0000"/>
        <rFont val="Calibri"/>
        <family val="2"/>
        <scheme val="minor"/>
      </rPr>
      <t>4hrs detention-12/11@ 5:30pm-12/12 @1:40am/</t>
    </r>
    <r>
      <rPr>
        <sz val="11"/>
        <color theme="1"/>
        <rFont val="Calibri"/>
        <family val="2"/>
        <scheme val="minor"/>
      </rPr>
      <t xml:space="preserve"> COSU6368690506</t>
    </r>
  </si>
  <si>
    <t xml:space="preserve">DONE#142088 </t>
  </si>
  <si>
    <t>CCLU7331316</t>
  </si>
  <si>
    <t>Tampa-Ports America Group</t>
  </si>
  <si>
    <t>7am-1pm DROP</t>
  </si>
  <si>
    <t>Lakeland, FL 33801</t>
  </si>
  <si>
    <t>12-19 empty ready / OOLU2143528010
The point of contact is Chris Helms.  Chris.helms@sepapergroup.com 
DELIVER TO
Company	SEPG
Address	7080 Haverty's Way, Lakeland, FL 33805Contact	Chris Helms 
Tel	 863-738-0263
Receiving Hours	 7am-3pm
Appt or Note?	 No
Drop or Live?	 Drop</t>
  </si>
  <si>
    <t>DONE#142213</t>
  </si>
  <si>
    <t>OOCU8567286</t>
  </si>
  <si>
    <t>POOLER, GA 31322</t>
  </si>
  <si>
    <t>OOLU2300867140/12.15 empty</t>
  </si>
  <si>
    <t>TGBU8818175</t>
  </si>
  <si>
    <t>GVCU5260965</t>
  </si>
  <si>
    <t>SETH Shipping</t>
  </si>
  <si>
    <t>CSX DETROIT</t>
  </si>
  <si>
    <t>ADRIAN, MI 49221</t>
  </si>
  <si>
    <t>RAIL LFD 12-13
ZIM LFD 12-12</t>
  </si>
  <si>
    <r>
      <rPr>
        <sz val="11"/>
        <color rgb="FFFF0000"/>
        <rFont val="Calibri"/>
        <family val="2"/>
        <scheme val="minor"/>
      </rPr>
      <t>0.75hr detention-1115 am-1305 pm, 1 hour free / Received pu# on 12-13 @12:51pm</t>
    </r>
    <r>
      <rPr>
        <sz val="11"/>
        <color theme="1"/>
        <rFont val="Calibri"/>
        <family val="2"/>
        <scheme val="minor"/>
      </rPr>
      <t xml:space="preserve"> / MBL# SSPHPKL8126487 / POD-NYC / Q# WUH231124-5  </t>
    </r>
    <r>
      <rPr>
        <sz val="11"/>
        <rFont val="Calibri"/>
        <family val="2"/>
        <scheme val="minor"/>
      </rPr>
      <t xml:space="preserve">/ detention 1 hr free / 12-5 HOLD for delivery / </t>
    </r>
    <r>
      <rPr>
        <sz val="11"/>
        <color rgb="FFFF0000"/>
        <rFont val="Calibri"/>
        <family val="2"/>
        <scheme val="minor"/>
      </rPr>
      <t>12-12 Delivery Hold removed</t>
    </r>
  </si>
  <si>
    <t xml:space="preserve">DONE#141895 </t>
  </si>
  <si>
    <t>MATU2342604</t>
  </si>
  <si>
    <t>9C1FE6</t>
  </si>
  <si>
    <t>MATS5501276000</t>
  </si>
  <si>
    <t xml:space="preserve">DONE#143059 </t>
  </si>
  <si>
    <t>HPCU2476141</t>
  </si>
  <si>
    <t>Byron Center, MI, 49315</t>
  </si>
  <si>
    <r>
      <rPr>
        <sz val="11"/>
        <color rgb="FFFF0000"/>
        <rFont val="Calibri"/>
        <family val="2"/>
        <scheme val="minor"/>
      </rPr>
      <t>Pending IG EIR</t>
    </r>
    <r>
      <rPr>
        <sz val="11"/>
        <color theme="1"/>
        <rFont val="Calibri"/>
        <family val="2"/>
        <scheme val="minor"/>
      </rPr>
      <t xml:space="preserve"> / HDMUXMNM37777900 / Re-route $200+ chassis split for SOC return to Conglobal Forest View / Q# ASPD082923C, Detention 2 hrs free.</t>
    </r>
  </si>
  <si>
    <t>DONE#142116</t>
  </si>
  <si>
    <t>HPCU2476157</t>
  </si>
  <si>
    <r>
      <rPr>
        <sz val="11"/>
        <color rgb="FFFF0000"/>
        <rFont val="Calibri"/>
        <family val="2"/>
        <scheme val="minor"/>
      </rPr>
      <t xml:space="preserve">Pending IG EIR </t>
    </r>
    <r>
      <rPr>
        <sz val="11"/>
        <color theme="1"/>
        <rFont val="Calibri"/>
        <family val="2"/>
        <scheme val="minor"/>
      </rPr>
      <t>/HDMUXMNM37777900 / Re-route $200+ chassis split for SOC return to Conglobal Forest View</t>
    </r>
    <r>
      <rPr>
        <sz val="11"/>
        <color theme="1"/>
        <rFont val="Calibri"/>
        <family val="2"/>
        <scheme val="minor"/>
      </rPr>
      <t>/ Q# ASPD082923C, Detention 2 hrs free.</t>
    </r>
  </si>
  <si>
    <t xml:space="preserve">DONE#142117 </t>
  </si>
  <si>
    <t>HPCU2476136</t>
  </si>
  <si>
    <t>9FA535</t>
  </si>
  <si>
    <r>
      <t>CMDUXIA1229319 /</t>
    </r>
    <r>
      <rPr>
        <sz val="11"/>
        <color rgb="FFFF0000"/>
        <rFont val="Calibri"/>
        <family val="2"/>
        <scheme val="minor"/>
      </rPr>
      <t xml:space="preserve"> SOC return to Conglobal Forest View/ re-reroute $200+ chassis split for SOC return</t>
    </r>
    <r>
      <rPr>
        <sz val="11"/>
        <color theme="1"/>
        <rFont val="Calibri"/>
        <family val="2"/>
        <scheme val="minor"/>
      </rPr>
      <t xml:space="preserve"> / Q# W23021601</t>
    </r>
  </si>
  <si>
    <t>DONE#142112</t>
  </si>
  <si>
    <t>DRYU9801575</t>
  </si>
  <si>
    <t>Gaylord,MI 49735</t>
  </si>
  <si>
    <t>received pu#  12/12 night / EGLV149306669277  / Q# WCGN090123D / Detention 1 hr free/</t>
  </si>
  <si>
    <t xml:space="preserve">DONE#142207 </t>
  </si>
  <si>
    <t>CBHU9457751</t>
  </si>
  <si>
    <t xml:space="preserve">7am to 12pm </t>
  </si>
  <si>
    <t>Bartlett, IL 60103</t>
  </si>
  <si>
    <t>COSU6368730040 / SWB / TLX HBL / Return to CN / Q# SWNG103023A</t>
  </si>
  <si>
    <t xml:space="preserve">DONE#142201 </t>
  </si>
  <si>
    <t>TCLU8621168</t>
  </si>
  <si>
    <t>COSU6368730040 / SWB / TLX HBL / Return to CN/ Q# SWNG103023A</t>
  </si>
  <si>
    <t>CAIU8651973</t>
  </si>
  <si>
    <t>5am-12pm</t>
  </si>
  <si>
    <t>OOLU9490375</t>
  </si>
  <si>
    <t>COSU6368730040 / SWB / TLX HBL / Return to LOT 16/ Q# SWNG103023A</t>
  </si>
  <si>
    <t>OOCU9023585</t>
  </si>
  <si>
    <t>BSIU8171218</t>
  </si>
  <si>
    <t xml:space="preserve">TCLU7372986 </t>
  </si>
  <si>
    <t>CMDUNGP0654998/Q#PICO230906-1/OF $4750 COLLECT FROM CNEE/IT CANCEL/$25 OF IT CANCEL/$225 DRY RUN</t>
  </si>
  <si>
    <t>CMAU6304474</t>
  </si>
  <si>
    <t>18FAA7</t>
  </si>
  <si>
    <t>CMDUSHZ5827484</t>
  </si>
  <si>
    <t>EMCU8626889</t>
  </si>
  <si>
    <t>Roy, WA 98580/car wash</t>
  </si>
  <si>
    <t>EGLV090300217002/PO # 59212 /customer PO No. 119667/chassis prepaid $120/AN/EXAM fee $550/EXAM RLSD 12.15</t>
  </si>
  <si>
    <t>GESU6017860</t>
  </si>
  <si>
    <t>B2476A</t>
  </si>
  <si>
    <t>YMJAW228236832 / SOC return to Complete Container Service / chassis split for SOC return / Q# ASPD101723A / Detention-2hrs free</t>
  </si>
  <si>
    <t>DONE#142119</t>
  </si>
  <si>
    <t>OOLU8872310</t>
  </si>
  <si>
    <t>8104DE</t>
  </si>
  <si>
    <t xml:space="preserve">OOLU2143646490  </t>
  </si>
  <si>
    <t>RFCU5015040</t>
  </si>
  <si>
    <t xml:space="preserve">SMLMNJGF2A465100 </t>
  </si>
  <si>
    <t>SMCU1060730</t>
  </si>
  <si>
    <t xml:space="preserve">SMLMNJED3H324600 </t>
  </si>
  <si>
    <t>SMCU1117440</t>
  </si>
  <si>
    <t xml:space="preserve">SMLMNJBC0B562400 </t>
  </si>
  <si>
    <t xml:space="preserve">SMCU1144111 </t>
  </si>
  <si>
    <t xml:space="preserve">SMLMNJPU3A515200 </t>
  </si>
  <si>
    <t>TCNU6044510</t>
  </si>
  <si>
    <t>E7EB68</t>
  </si>
  <si>
    <t xml:space="preserve">CMDUCHN0603566  </t>
  </si>
  <si>
    <t>TCLU8537442</t>
  </si>
  <si>
    <t>E5B5E5</t>
  </si>
  <si>
    <t xml:space="preserve">OOLU2728258840 </t>
  </si>
  <si>
    <t>KOCU4079680</t>
  </si>
  <si>
    <t>HDMUNKGM58866800/SHE23113140</t>
  </si>
  <si>
    <t>CAIU9059167</t>
  </si>
  <si>
    <r>
      <rPr>
        <sz val="11"/>
        <rFont val="Calibri"/>
        <family val="2"/>
        <scheme val="minor"/>
      </rPr>
      <t>reroute &amp; chassis split for IG to Conglobal  /  MBL# SSPHPKL8126487 / POD-NYC / Q# WUH231124-5 /12-5 HOLD for delivery</t>
    </r>
    <r>
      <rPr>
        <sz val="11"/>
        <color theme="1"/>
        <rFont val="Calibri"/>
        <family val="2"/>
        <scheme val="minor"/>
      </rPr>
      <t xml:space="preserve"> / </t>
    </r>
    <r>
      <rPr>
        <sz val="11"/>
        <color rgb="FFFF0000"/>
        <rFont val="Calibri"/>
        <family val="2"/>
        <scheme val="minor"/>
      </rPr>
      <t>12-12 Delivery Hold removed</t>
    </r>
  </si>
  <si>
    <t xml:space="preserve">DONE#141896 </t>
  </si>
  <si>
    <t>FSCU8998770</t>
  </si>
  <si>
    <t>334F7B</t>
  </si>
  <si>
    <t xml:space="preserve">CMDUCHN0684204  </t>
  </si>
  <si>
    <t>CCLU7783390</t>
  </si>
  <si>
    <t>72BF9C</t>
  </si>
  <si>
    <t>OOLU2728061480</t>
  </si>
  <si>
    <t>CSNU8476082</t>
  </si>
  <si>
    <t>A02439</t>
  </si>
  <si>
    <t>TGBU8662668</t>
  </si>
  <si>
    <t>4DA55D</t>
  </si>
  <si>
    <t>CCLU7960324</t>
  </si>
  <si>
    <t>75E8B6</t>
  </si>
  <si>
    <t>UACU5705177</t>
  </si>
  <si>
    <t>72878909-&gt;70878141/ PO # 58541/ETD 10.25/HLCUKUL231004021/customer PO No. 117686</t>
  </si>
  <si>
    <t>FANU1995225</t>
  </si>
  <si>
    <t>99456898/PO# 58987/customer PO No. 119125/ETD 10.30/HLCUKUL230942037/ISF</t>
  </si>
  <si>
    <t>CMAU7438837</t>
  </si>
  <si>
    <t>12/20/2023 23:00 EST</t>
  </si>
  <si>
    <t>ISA# 11426690973-Customer account</t>
  </si>
  <si>
    <t>EE1FC8</t>
  </si>
  <si>
    <r>
      <rPr>
        <sz val="11"/>
        <color rgb="FFFF0000"/>
        <rFont val="Calibri"/>
        <family val="2"/>
        <scheme val="minor"/>
      </rPr>
      <t>IG to Delong, reroute</t>
    </r>
    <r>
      <rPr>
        <sz val="11"/>
        <color theme="1"/>
        <rFont val="Calibri"/>
        <family val="2"/>
        <scheme val="minor"/>
      </rPr>
      <t xml:space="preserve"> / CMDUGGZ1995919  /  ISA# 11420070973-Helen account, cancelled on 12.21</t>
    </r>
  </si>
  <si>
    <t>DONE#141889</t>
  </si>
  <si>
    <t>DFSU7090864  </t>
  </si>
  <si>
    <t>12/20/2023 10:00 CST</t>
  </si>
  <si>
    <t>ISA# 826940703-Helen</t>
  </si>
  <si>
    <t>BE19AD</t>
  </si>
  <si>
    <t>5.25hrs detention-10:00AM-7:16PM, 4 hours free / DROP / COSU6368807476 / 12-20 night empty ready</t>
  </si>
  <si>
    <t>DONE#141666</t>
  </si>
  <si>
    <t>CSNU8501360</t>
  </si>
  <si>
    <t>12/14 DROP/DOCK#14</t>
  </si>
  <si>
    <t>8096BA</t>
  </si>
  <si>
    <t>COSU6367963020</t>
  </si>
  <si>
    <t>DONE#142582</t>
  </si>
  <si>
    <t>TRHU4895921</t>
  </si>
  <si>
    <t>C3F418</t>
  </si>
  <si>
    <t>OOLU2143720910 / pre-pull, yard storage</t>
  </si>
  <si>
    <t xml:space="preserve">DONE#142042 </t>
  </si>
  <si>
    <t>CSNU6439161</t>
  </si>
  <si>
    <t>C1202B</t>
  </si>
  <si>
    <t xml:space="preserve">COSU6368895658   </t>
  </si>
  <si>
    <t>CSNU7292054</t>
  </si>
  <si>
    <t>999B9C</t>
  </si>
  <si>
    <t>TCLU8156153</t>
  </si>
  <si>
    <t>17F229</t>
  </si>
  <si>
    <t>CMDUSHZ5827486</t>
  </si>
  <si>
    <t>CICU4977971</t>
  </si>
  <si>
    <t>16E4FB</t>
  </si>
  <si>
    <t>EGLV146300901548/ SOC return to Complete container Service / chassis split for SOC return / Q# ASPD101723A</t>
  </si>
  <si>
    <t xml:space="preserve">DONE#142261 </t>
  </si>
  <si>
    <t>CICU4977987</t>
  </si>
  <si>
    <t>1724E7</t>
  </si>
  <si>
    <t>EGLV146300901548// Detention 1 hr free/ SOC return to Complete container Service  / chassis split for SOC return  / Q# ASPD101723A</t>
  </si>
  <si>
    <t xml:space="preserve">DONE#142218 </t>
  </si>
  <si>
    <t>CBHU7083098</t>
  </si>
  <si>
    <t>d6ac9e</t>
  </si>
  <si>
    <t xml:space="preserve">COSU6368807478  </t>
  </si>
  <si>
    <t>CBHU9520010</t>
  </si>
  <si>
    <t>OOLU8810622140</t>
  </si>
  <si>
    <t>ECMU9554000</t>
  </si>
  <si>
    <t>B2704E</t>
  </si>
  <si>
    <t>CMDUSHZ5775430</t>
  </si>
  <si>
    <t>CMAU7578192</t>
  </si>
  <si>
    <t>B29FC1</t>
  </si>
  <si>
    <t>CMDUSHZ5775428</t>
  </si>
  <si>
    <t>TCLU9903417</t>
  </si>
  <si>
    <t>CFC988</t>
  </si>
  <si>
    <t>CMDUSHZ5775438</t>
  </si>
  <si>
    <t>TLLU2730391</t>
  </si>
  <si>
    <t>CMDUXIA1227836</t>
  </si>
  <si>
    <t>BSIU9656297</t>
  </si>
  <si>
    <t>ONEYNB3BDP454900/Q#CI-0512</t>
  </si>
  <si>
    <t>GAOU6645749</t>
  </si>
  <si>
    <t>KKFU7978145</t>
  </si>
  <si>
    <t>TGHU9891423</t>
  </si>
  <si>
    <t>TCLU3879885</t>
  </si>
  <si>
    <t>NORFOLK PORT-VIRGINIA INTERNATIONAL GATEWAY</t>
  </si>
  <si>
    <t>WILLIAMSBURG, VA 23188</t>
  </si>
  <si>
    <t>ZIMUXIA8344873 / COC / Q# ASPD082323PA</t>
  </si>
  <si>
    <t xml:space="preserve">DONE#142270 </t>
  </si>
  <si>
    <t>JZPU8031177</t>
  </si>
  <si>
    <r>
      <rPr>
        <sz val="11"/>
        <color rgb="FF000000"/>
        <rFont val="Calibri"/>
        <family val="2"/>
        <scheme val="minor"/>
      </rPr>
      <t xml:space="preserve">12-9 discharged / MBL #SSPHPKL8126485/ POD-NYC / Q# WUH231124-5 / 12-3 HOLD for delivery / </t>
    </r>
    <r>
      <rPr>
        <sz val="11"/>
        <color rgb="FFFF0000"/>
        <rFont val="Calibri"/>
        <family val="2"/>
        <scheme val="minor"/>
      </rPr>
      <t>12-12 Delivery Hold removed</t>
    </r>
  </si>
  <si>
    <t xml:space="preserve">DONE#141971 </t>
  </si>
  <si>
    <t>CMAU6153676</t>
  </si>
  <si>
    <t>ABL DROP/DOCK#11</t>
  </si>
  <si>
    <t>0BD53A</t>
  </si>
  <si>
    <r>
      <t xml:space="preserve">12-22 FCL 改拆柜 / </t>
    </r>
    <r>
      <rPr>
        <sz val="11"/>
        <color rgb="FFFF0000"/>
        <rFont val="Calibri"/>
        <family val="2"/>
        <scheme val="minor"/>
      </rPr>
      <t>Dry run as double dragage due to 12-21 跳约亚马逊不收 / pre-pull, yard storage/</t>
    </r>
    <r>
      <rPr>
        <sz val="11"/>
        <color theme="1"/>
        <rFont val="Calibri"/>
        <family val="2"/>
        <scheme val="minor"/>
      </rPr>
      <t xml:space="preserve"> CMDUGGZ1995918
810086231106255　，FBA17J1SSNBL ，对应1A5W8QLB ，以此为准
910646231100111　，FBA17J00K8RM，对应8STR82ZW, 以此为准
ISA# 11431280973-Customer account-12/21/2023 22:00 EST跳约
ISA# 11423990973-Helen account, APPT cancelled. </t>
    </r>
  </si>
  <si>
    <t>CAIU8598930</t>
  </si>
  <si>
    <t>d07919</t>
  </si>
  <si>
    <t xml:space="preserve">CMDUGGZ1995834 </t>
  </si>
  <si>
    <t>TRHU5366028</t>
  </si>
  <si>
    <t>9b2797</t>
  </si>
  <si>
    <t xml:space="preserve">COSU6368808203 </t>
  </si>
  <si>
    <t>OOLU9845198</t>
  </si>
  <si>
    <t>B4BC95</t>
  </si>
  <si>
    <t>OOLU2727823810</t>
  </si>
  <si>
    <t>FFAU3111382</t>
  </si>
  <si>
    <t>DF121E</t>
  </si>
  <si>
    <t>OOLU2728281480</t>
  </si>
  <si>
    <t>OOCU8005519</t>
  </si>
  <si>
    <t>37CDF2</t>
  </si>
  <si>
    <t>HLXU8309092</t>
  </si>
  <si>
    <t>OAKLAND</t>
  </si>
  <si>
    <t>JS Drayage</t>
  </si>
  <si>
    <t>Sanger, CA 93657</t>
  </si>
  <si>
    <t>11101092/PO # 58474 /HLCUKUL231004880/CSTM PO#DD-31, 140-PoppyHatcher/gate $35</t>
  </si>
  <si>
    <t xml:space="preserve">MSCU5882464  </t>
  </si>
  <si>
    <t xml:space="preserve">74A0A1 </t>
  </si>
  <si>
    <r>
      <t xml:space="preserve">12-12 discharged / MEDUQQ284547/ </t>
    </r>
    <r>
      <rPr>
        <sz val="11"/>
        <color rgb="FFFF0000"/>
        <rFont val="Calibri"/>
        <family val="2"/>
        <scheme val="minor"/>
      </rPr>
      <t>11-29 HOLD removed, good to arrange direct drayage to Joliet IL 60435</t>
    </r>
    <r>
      <rPr>
        <sz val="11"/>
        <color theme="1"/>
        <rFont val="Calibri"/>
        <family val="2"/>
        <scheme val="minor"/>
      </rPr>
      <t xml:space="preserve"> / </t>
    </r>
    <r>
      <rPr>
        <sz val="11"/>
        <color rgb="FF0000CC"/>
        <rFont val="Calibri"/>
        <family val="2"/>
        <scheme val="minor"/>
      </rPr>
      <t>didn't use DCLI chassis</t>
    </r>
  </si>
  <si>
    <t xml:space="preserve">DONE#141928 </t>
  </si>
  <si>
    <t>MSDU4117124</t>
  </si>
  <si>
    <t xml:space="preserve">F7690B </t>
  </si>
  <si>
    <r>
      <rPr>
        <sz val="11"/>
        <color rgb="FFFF0000"/>
        <rFont val="Calibri"/>
        <family val="2"/>
        <scheme val="minor"/>
      </rPr>
      <t xml:space="preserve">3.75 hrs pu detention, 8:05am- 1:44pm </t>
    </r>
    <r>
      <rPr>
        <sz val="11"/>
        <color theme="1"/>
        <rFont val="Calibri"/>
        <family val="2"/>
        <scheme val="minor"/>
      </rPr>
      <t>/ 12-12</t>
    </r>
    <r>
      <rPr>
        <sz val="11"/>
        <rFont val="Calibri"/>
        <family val="2"/>
        <scheme val="minor"/>
      </rPr>
      <t xml:space="preserve"> discharged / MEDUQQ284547/ 11-29 HOLD removed, good to arrange direct drayage to Joliet IL 60435</t>
    </r>
    <r>
      <rPr>
        <sz val="11"/>
        <color theme="1"/>
        <rFont val="Calibri"/>
        <family val="2"/>
        <scheme val="minor"/>
      </rPr>
      <t>/</t>
    </r>
    <r>
      <rPr>
        <sz val="11"/>
        <color rgb="FF0000CC"/>
        <rFont val="Calibri"/>
        <family val="2"/>
        <scheme val="minor"/>
      </rPr>
      <t xml:space="preserve"> didn't use DCLI chassis</t>
    </r>
  </si>
  <si>
    <t xml:space="preserve">DONE#141933 </t>
  </si>
  <si>
    <t>EGHU9206593</t>
  </si>
  <si>
    <t>UP Minneaplis</t>
  </si>
  <si>
    <t xml:space="preserve">0800-1200 </t>
  </si>
  <si>
    <t xml:space="preserve">MAPLE GROVE, MN 55369 </t>
  </si>
  <si>
    <t>EGLV143363759027</t>
  </si>
  <si>
    <t>DONE#141787</t>
  </si>
  <si>
    <t>TRHU8398076</t>
  </si>
  <si>
    <t>WATERTOWN ,WI 53094 changed to JEFFERSON, WI 53549.</t>
  </si>
  <si>
    <t>0DD5FA</t>
  </si>
  <si>
    <r>
      <rPr>
        <sz val="11"/>
        <color rgb="FFFF0000"/>
        <rFont val="Calibri"/>
        <family val="2"/>
        <scheme val="minor"/>
      </rPr>
      <t>Prepull &amp; yard storage / 0.5 hr detention-8am-9:34am, 1 hr free</t>
    </r>
    <r>
      <rPr>
        <sz val="11"/>
        <color theme="1"/>
        <rFont val="Calibri"/>
        <family val="2"/>
        <scheme val="minor"/>
      </rPr>
      <t xml:space="preserve"> / MEDUQQ033779/ Drayage $1050 / Q# WUH071823B / Detention-1 hr free /
761 N PARKWAY ST, JEFFERSON, WI 53549
GREG 920-253-3329</t>
    </r>
  </si>
  <si>
    <t xml:space="preserve">DONE#142203 </t>
  </si>
  <si>
    <t>TRHU2005150</t>
  </si>
  <si>
    <t>14C791</t>
  </si>
  <si>
    <r>
      <t xml:space="preserve">12-12 discharged /MEDUQQ284547/ </t>
    </r>
    <r>
      <rPr>
        <sz val="11"/>
        <color rgb="FFFF0000"/>
        <rFont val="Calibri"/>
        <family val="2"/>
        <scheme val="minor"/>
      </rPr>
      <t>11-29 HOLD removed, good to arrange direct drayage to Joliet IL 60435</t>
    </r>
    <r>
      <rPr>
        <sz val="11"/>
        <color theme="1"/>
        <rFont val="Calibri"/>
        <family val="2"/>
        <scheme val="minor"/>
      </rPr>
      <t xml:space="preserve">/  </t>
    </r>
    <r>
      <rPr>
        <sz val="11"/>
        <color rgb="FF0000CC"/>
        <rFont val="Calibri"/>
        <family val="2"/>
        <scheme val="minor"/>
      </rPr>
      <t>didn't use DCLI chassis</t>
    </r>
  </si>
  <si>
    <t>DONE#141937</t>
  </si>
  <si>
    <t>CMAU3359236</t>
  </si>
  <si>
    <t xml:space="preserve">UP   </t>
  </si>
  <si>
    <t xml:space="preserve">CMDUGGZ1999649 </t>
  </si>
  <si>
    <t>FCIU9451638</t>
  </si>
  <si>
    <t>f4054d</t>
  </si>
  <si>
    <t>COSU6369621503</t>
  </si>
  <si>
    <t xml:space="preserve">DONE#143062 </t>
  </si>
  <si>
    <t>FCIU9572265</t>
  </si>
  <si>
    <t>3f70a2</t>
  </si>
  <si>
    <t xml:space="preserve">COSU6369217772 </t>
  </si>
  <si>
    <t>OOLU9504735</t>
  </si>
  <si>
    <t xml:space="preserve">DFSU7405196 </t>
  </si>
  <si>
    <t>2FDC69</t>
  </si>
  <si>
    <t>OOLU2728282821</t>
  </si>
  <si>
    <t>CSNU6076528</t>
  </si>
  <si>
    <t>88ABBC</t>
  </si>
  <si>
    <t>SEGU6881399</t>
  </si>
  <si>
    <t>DB738B</t>
  </si>
  <si>
    <t>TGBU9659674</t>
  </si>
  <si>
    <t>B44743</t>
  </si>
  <si>
    <t>CSNU7533927</t>
  </si>
  <si>
    <t xml:space="preserve">AN SENT </t>
  </si>
  <si>
    <t>OOLU2143956650/COLLECT $4080 FROM CNEE</t>
  </si>
  <si>
    <t>TRHU3751046</t>
  </si>
  <si>
    <t>5D8899</t>
  </si>
  <si>
    <t>OOLU2727655084/1.5HR DETENTION</t>
  </si>
  <si>
    <t xml:space="preserve">TXGU5615496   </t>
  </si>
  <si>
    <t>0800-1000 am</t>
  </si>
  <si>
    <t>$10 for taking pictures / 1-4 Delivery HOLD removed / PRE-PULL &amp; YARD STORAGE / 12-5 discharged / EGLV149306763818 /Q# WCGN090123D / Detention 1 hr free/ 收件人姓名：Russ
公司名：Hero Brands, LLC
地址：1782 OROURKE BLVD, Gaylord, Michigan, United States of America 49735 电话：+1-2316760827</t>
  </si>
  <si>
    <t xml:space="preserve">DONE#142480, Per Diem Inv# 146272 </t>
  </si>
  <si>
    <t>FCIU9324422</t>
  </si>
  <si>
    <t xml:space="preserve">CMDUGGZ1999645 </t>
  </si>
  <si>
    <t>OOCU8559336</t>
  </si>
  <si>
    <t>2f3ae0</t>
  </si>
  <si>
    <t xml:space="preserve">COSU6369217776 </t>
  </si>
  <si>
    <t>OOLU6836000</t>
  </si>
  <si>
    <t xml:space="preserve">COSU6369217771 </t>
  </si>
  <si>
    <t>TEMU7662220</t>
  </si>
  <si>
    <t>78F34A</t>
  </si>
  <si>
    <t>YMJAW242562889/SHE23103787</t>
  </si>
  <si>
    <t>MSDU1242251</t>
  </si>
  <si>
    <r>
      <t xml:space="preserve">12-13 discharged / MEDUQQ284547/ </t>
    </r>
    <r>
      <rPr>
        <sz val="11"/>
        <color rgb="FFFF0000"/>
        <rFont val="Calibri"/>
        <family val="2"/>
        <scheme val="minor"/>
      </rPr>
      <t>11-29 HOLD removed, good to arrange direct drayage to Joliet IL 60435</t>
    </r>
    <r>
      <rPr>
        <sz val="11"/>
        <color theme="1"/>
        <rFont val="Calibri"/>
        <family val="2"/>
        <scheme val="minor"/>
      </rPr>
      <t xml:space="preserve"> / </t>
    </r>
    <r>
      <rPr>
        <sz val="11"/>
        <color rgb="FF0000CC"/>
        <rFont val="Calibri"/>
        <family val="2"/>
        <scheme val="minor"/>
      </rPr>
      <t>used DCLI Chassis</t>
    </r>
  </si>
  <si>
    <t xml:space="preserve">DONE#141935 </t>
  </si>
  <si>
    <t>NYKU9746155</t>
  </si>
  <si>
    <r>
      <rPr>
        <sz val="11"/>
        <color rgb="FFFF0000"/>
        <rFont val="Calibri"/>
        <family val="2"/>
        <scheme val="minor"/>
      </rPr>
      <t xml:space="preserve">1.5 hrs detention / chassis lift $115 </t>
    </r>
    <r>
      <rPr>
        <sz val="11"/>
        <color theme="1"/>
        <rFont val="Calibri"/>
        <family val="2"/>
        <scheme val="minor"/>
      </rPr>
      <t>/ ONEYXMND83109700  / COC / OW /20GP/ 16997 KGS /Q# ASPD082923C / Detention- 2 hrs free</t>
    </r>
  </si>
  <si>
    <t xml:space="preserve">DONE#142265 </t>
  </si>
  <si>
    <t>SEGU1164374</t>
  </si>
  <si>
    <r>
      <rPr>
        <sz val="11"/>
        <color rgb="FFFF0000"/>
        <rFont val="Calibri"/>
        <family val="2"/>
        <scheme val="minor"/>
      </rPr>
      <t xml:space="preserve">chassis lift $115 / chassis split for IG to CN / </t>
    </r>
    <r>
      <rPr>
        <sz val="11"/>
        <color theme="1"/>
        <rFont val="Calibri"/>
        <family val="2"/>
        <scheme val="minor"/>
      </rPr>
      <t xml:space="preserve"> ONEYXMND83109700  / COC / OW /20GP/ 16998KGS/ Q# ASPD082923C / Detention- 2 hrs free</t>
    </r>
  </si>
  <si>
    <t xml:space="preserve">DONE#142267 </t>
  </si>
  <si>
    <t>TEMU3759589</t>
  </si>
  <si>
    <r>
      <rPr>
        <sz val="11"/>
        <color rgb="FFFF0000"/>
        <rFont val="Calibri"/>
        <family val="2"/>
        <scheme val="minor"/>
      </rPr>
      <t xml:space="preserve">chassis lift $115 </t>
    </r>
    <r>
      <rPr>
        <sz val="11"/>
        <color theme="1"/>
        <rFont val="Calibri"/>
        <family val="2"/>
        <scheme val="minor"/>
      </rPr>
      <t>/ ONEYXMND83109700  / COC / OW /20GP /  16999 KGS/ Q# ASPD082923C / Detention- 2 hrs free</t>
    </r>
  </si>
  <si>
    <t xml:space="preserve">DONE#142268 </t>
  </si>
  <si>
    <t xml:space="preserve">FSCU8489540   </t>
  </si>
  <si>
    <t>cn harvey</t>
  </si>
  <si>
    <t xml:space="preserve">COSU6368871410 </t>
  </si>
  <si>
    <t>GESU6599415</t>
  </si>
  <si>
    <t xml:space="preserve">CMDUSHZ5840777 </t>
  </si>
  <si>
    <t>TGBU9310070</t>
  </si>
  <si>
    <t>3e85ab</t>
  </si>
  <si>
    <t xml:space="preserve">COSU6369218652 </t>
  </si>
  <si>
    <t xml:space="preserve">KKFU7914897 </t>
  </si>
  <si>
    <t>ST 12/21</t>
  </si>
  <si>
    <t>ONEYSH3EN2687400/OERT201718M02597</t>
  </si>
  <si>
    <t>OOLU9989940</t>
  </si>
  <si>
    <t>35ED04</t>
  </si>
  <si>
    <t>SEGU5024025</t>
  </si>
  <si>
    <t>AC91E9</t>
  </si>
  <si>
    <t>OOLU2728282820</t>
  </si>
  <si>
    <t>CSLU6093997</t>
  </si>
  <si>
    <t>AD46B6</t>
  </si>
  <si>
    <t>EITU1600050</t>
  </si>
  <si>
    <t>SAVANNAH</t>
  </si>
  <si>
    <t>EGLV142352861340/1.2 e</t>
  </si>
  <si>
    <t>TRHU8364461</t>
  </si>
  <si>
    <t>FFAU2655859</t>
  </si>
  <si>
    <t>12/27 DROP</t>
  </si>
  <si>
    <t>Lawrenceville, GA 30043 changed to Buford，GA 30518</t>
  </si>
  <si>
    <t>12-28 empty ready / COSU6367589230 / Q# WUH121523G/UPDATED Q#HYD122223A
12-21 night 此柜更新派送地址：
1700 broadmoor blvd suit C Buford，GA 30518
联系人：EDA(W6421)/Kemper
电话：(626) 689-5969
Cost $370+ drop $370</t>
  </si>
  <si>
    <t>DONE#142272</t>
  </si>
  <si>
    <t>OOCU8984166</t>
  </si>
  <si>
    <t xml:space="preserve">12/22/2023 10:00 CST	</t>
  </si>
  <si>
    <t>ISA# 116262003999-HELEN</t>
  </si>
  <si>
    <t>F345F9</t>
  </si>
  <si>
    <t>2 hrs -12/22/2023 10:00 CST-12/22/2023 13:49 CST / 12-9 discharged / COSU6369212650 / 3 X FBA#只有一个总箱数，12-19 收到客户回复每个FBA#对应的箱数</t>
  </si>
  <si>
    <t xml:space="preserve">DONE#142091 </t>
  </si>
  <si>
    <t>ZCSU7779588</t>
  </si>
  <si>
    <t xml:space="preserve">DONE#141944 </t>
  </si>
  <si>
    <t>TCNU3579020</t>
  </si>
  <si>
    <t>40978D</t>
  </si>
  <si>
    <r>
      <rPr>
        <sz val="11"/>
        <color rgb="FF000000"/>
        <rFont val="Calibri"/>
        <family val="2"/>
        <scheme val="minor"/>
      </rPr>
      <t xml:space="preserve">12-10 discharged / COSU6369217770 / invalid PO 1MI8AVIU changed to </t>
    </r>
    <r>
      <rPr>
        <sz val="11"/>
        <color rgb="FFFF0000"/>
        <rFont val="Calibri"/>
        <family val="2"/>
        <scheme val="minor"/>
      </rPr>
      <t>3CGKZUGQ/Transfered to TRSD/prepull</t>
    </r>
  </si>
  <si>
    <t>CSNU6262203</t>
  </si>
  <si>
    <t>196e36</t>
  </si>
  <si>
    <t>COSU6369212651</t>
  </si>
  <si>
    <t>CSNU7004815</t>
  </si>
  <si>
    <t>9E0315</t>
  </si>
  <si>
    <t xml:space="preserve">OOLU2143954670  </t>
  </si>
  <si>
    <t>DONE#143070, 142260</t>
  </si>
  <si>
    <t>OOCU8609988</t>
  </si>
  <si>
    <t>35D6D4</t>
  </si>
  <si>
    <t xml:space="preserve">OOLU2143949880  </t>
  </si>
  <si>
    <t xml:space="preserve">DONE#143071 </t>
  </si>
  <si>
    <t>SMCU1095341</t>
  </si>
  <si>
    <t xml:space="preserve">smlmNJED3H592600  </t>
  </si>
  <si>
    <t>TCNU6243446</t>
  </si>
  <si>
    <t>3e26e7</t>
  </si>
  <si>
    <t xml:space="preserve">OOLU2143949830  </t>
  </si>
  <si>
    <t>TLLU4439050</t>
  </si>
  <si>
    <t>40b3a8</t>
  </si>
  <si>
    <t>COSU6369621500</t>
  </si>
  <si>
    <t xml:space="preserve">DONE#143091 </t>
  </si>
  <si>
    <t>RFCU4017521</t>
  </si>
  <si>
    <t>FFAU3344044</t>
  </si>
  <si>
    <t>DB792A</t>
  </si>
  <si>
    <t>OOCU8238824</t>
  </si>
  <si>
    <t xml:space="preserve">WHSU2236809  </t>
  </si>
  <si>
    <t>WAN HAI</t>
  </si>
  <si>
    <t>NEW YORK APM</t>
  </si>
  <si>
    <t>AMERICAN CARGO</t>
  </si>
  <si>
    <t xml:space="preserve">MENANDS,NY,12204
</t>
  </si>
  <si>
    <t>WHLC025D746187/Q#UPPICO082823A/CUSTOM BILL TO CNEE</t>
  </si>
  <si>
    <t>WEI TU</t>
  </si>
  <si>
    <t>CCLU7377220</t>
  </si>
  <si>
    <t>12-8 discharged / COSU6369483820
Betsy (217)200-6965
305 W Chestnut St, 
Bondville , IL，61815</t>
  </si>
  <si>
    <t>DONE#142120</t>
  </si>
  <si>
    <t>BEAU5797131</t>
  </si>
  <si>
    <t>e19f11</t>
  </si>
  <si>
    <t xml:space="preserve">COSU6368807477 </t>
  </si>
  <si>
    <t>SEGU6545563</t>
  </si>
  <si>
    <t>b0c31f</t>
  </si>
  <si>
    <t xml:space="preserve">COSU6368895668  </t>
  </si>
  <si>
    <t xml:space="preserve">DONE#143094 </t>
  </si>
  <si>
    <t>TEMU6808809</t>
  </si>
  <si>
    <t>d3b419</t>
  </si>
  <si>
    <t xml:space="preserve">COSU6368807475 </t>
  </si>
  <si>
    <t>PRSU1599783</t>
  </si>
  <si>
    <t>A96BBC</t>
  </si>
  <si>
    <r>
      <t xml:space="preserve">12-12 discharged /MEDUQQ284547/ </t>
    </r>
    <r>
      <rPr>
        <sz val="11"/>
        <color rgb="FFFF0000"/>
        <rFont val="Calibri"/>
        <family val="2"/>
        <scheme val="minor"/>
      </rPr>
      <t>11-29 HOLD removed, good to arrange direct drayage to Joliet IL 60435</t>
    </r>
    <r>
      <rPr>
        <sz val="11"/>
        <color theme="1"/>
        <rFont val="Calibri"/>
        <family val="2"/>
        <scheme val="minor"/>
      </rPr>
      <t xml:space="preserve">/ </t>
    </r>
    <r>
      <rPr>
        <sz val="11"/>
        <color rgb="FF0000CC"/>
        <rFont val="Calibri"/>
        <family val="2"/>
        <scheme val="minor"/>
      </rPr>
      <t>used DCLI Chassis</t>
    </r>
  </si>
  <si>
    <t>DONE#141936</t>
  </si>
  <si>
    <t>ol warehouse</t>
  </si>
  <si>
    <t xml:space="preserve">GMXU5012199 </t>
  </si>
  <si>
    <t>EGLV142302890290/demurrage $465</t>
  </si>
  <si>
    <t>DONE#143383</t>
  </si>
  <si>
    <t xml:space="preserve">OL WAREHOUSE </t>
  </si>
  <si>
    <t>ONEU0175197</t>
  </si>
  <si>
    <t>ONEYSH3SK1607400</t>
  </si>
  <si>
    <t xml:space="preserve">DONE#143388 </t>
  </si>
  <si>
    <t>SMCU1205330</t>
  </si>
  <si>
    <t xml:space="preserve">smlmNJEB3D014300  </t>
  </si>
  <si>
    <t>CMAU2637862 </t>
  </si>
  <si>
    <t>40?</t>
  </si>
  <si>
    <t>SOUTH FLORIDA TERMINAL</t>
  </si>
  <si>
    <t>GOFREIGHT</t>
  </si>
  <si>
    <t>SURISE,FL,33325</t>
  </si>
  <si>
    <t>MBL#CMDUCHN0665708/Q#GPSS111323A/$85 THC</t>
  </si>
  <si>
    <t>VITE-FOCUS ONE</t>
  </si>
  <si>
    <t>EITU1605140</t>
  </si>
  <si>
    <t>NS Charlotte, NC</t>
  </si>
  <si>
    <t xml:space="preserve"> China Grove, NC, 28023    </t>
  </si>
  <si>
    <r>
      <t xml:space="preserve">pre-pull, yard storage/ SO#149306956811 / </t>
    </r>
    <r>
      <rPr>
        <sz val="11"/>
        <color rgb="FFFF0000"/>
        <rFont val="Calibri"/>
        <family val="2"/>
        <scheme val="minor"/>
      </rPr>
      <t xml:space="preserve">EVERGREEN is closed for the New Year holiday. So empty rail billing cannot be processed on 12-29.  The empty will be brought back to our secure yard for storage. Once billing is in on Tuesday, 1/2, we will plan to terminate this box and keep you posted. re-route and yard storage will apply. </t>
    </r>
    <r>
      <rPr>
        <sz val="11"/>
        <color theme="1"/>
        <rFont val="Calibri"/>
        <family val="2"/>
        <scheme val="minor"/>
      </rPr>
      <t xml:space="preserve"> / Q# VIEG082923A</t>
    </r>
  </si>
  <si>
    <t xml:space="preserve">DONE#142223 </t>
  </si>
  <si>
    <t>KOCU4295950</t>
  </si>
  <si>
    <t>HDMUNKGM78059300/SHE23113141</t>
  </si>
  <si>
    <t>HPCU2476413</t>
  </si>
  <si>
    <r>
      <rPr>
        <sz val="11"/>
        <color rgb="FFFF0000"/>
        <rFont val="Calibri"/>
        <family val="2"/>
        <scheme val="minor"/>
      </rPr>
      <t>chassis lift $115 / re-route $200 + chassis split for SOC return to Conglobal Forest View</t>
    </r>
    <r>
      <rPr>
        <sz val="11"/>
        <color theme="1"/>
        <rFont val="Calibri"/>
        <family val="2"/>
        <scheme val="minor"/>
      </rPr>
      <t xml:space="preserve"> /HDMUXMNM35265000 /</t>
    </r>
    <r>
      <rPr>
        <sz val="11"/>
        <color rgb="FFFF0000"/>
        <rFont val="Calibri"/>
        <family val="2"/>
        <scheme val="minor"/>
      </rPr>
      <t xml:space="preserve"> Pending Customer's DO </t>
    </r>
    <r>
      <rPr>
        <sz val="11"/>
        <color theme="1"/>
        <rFont val="Calibri"/>
        <family val="2"/>
        <scheme val="minor"/>
      </rPr>
      <t xml:space="preserve"> / Q# ASPD082923C, </t>
    </r>
  </si>
  <si>
    <t>DONE#142269</t>
  </si>
  <si>
    <t>sent</t>
  </si>
  <si>
    <t>TGBU6744094</t>
  </si>
  <si>
    <t>022DE6</t>
  </si>
  <si>
    <t xml:space="preserve">CMDUCHN0689931  </t>
  </si>
  <si>
    <t>CSNU6782680</t>
  </si>
  <si>
    <t>A6AE29</t>
  </si>
  <si>
    <t>OOLU2728664450</t>
  </si>
  <si>
    <t>TCNU6317810</t>
  </si>
  <si>
    <t>E85685</t>
  </si>
  <si>
    <t>OOLU2728353310</t>
  </si>
  <si>
    <t>DFSU7333429</t>
  </si>
  <si>
    <t>9B8E63</t>
  </si>
  <si>
    <t xml:space="preserve">UETU2258341 </t>
  </si>
  <si>
    <t>3B3FCB</t>
  </si>
  <si>
    <t>OOLU2727885804</t>
  </si>
  <si>
    <t>CAIU6460598</t>
  </si>
  <si>
    <t>JACKSONVILLE Port-Blount Island Marine Terminal</t>
  </si>
  <si>
    <t>JACKSONVILLE,FL 32219</t>
  </si>
  <si>
    <r>
      <rPr>
        <sz val="11"/>
        <color rgb="FFFF0000"/>
        <rFont val="Calibri"/>
        <family val="2"/>
        <scheme val="minor"/>
      </rPr>
      <t>0.25hr detention-8am-9:20am, 1 hour free</t>
    </r>
    <r>
      <rPr>
        <sz val="11"/>
        <color theme="1"/>
        <rFont val="Calibri"/>
        <family val="2"/>
        <scheme val="minor"/>
      </rPr>
      <t>./prepull, yard storage / ZIMUXIA8348360 / COC / Pendign customer DO / Q# ASPD100923A / Detention-1 hr free</t>
    </r>
  </si>
  <si>
    <t xml:space="preserve">DONE#142271 </t>
  </si>
  <si>
    <t>OOCU6505979</t>
  </si>
  <si>
    <t>ded40f</t>
  </si>
  <si>
    <t xml:space="preserve">OOLU8810628800  </t>
  </si>
  <si>
    <t>SEKU4048454</t>
  </si>
  <si>
    <t>NEW YORK GCT</t>
  </si>
  <si>
    <t>YMJAE202052678/$COLOADER HC$65+ABL HC $50</t>
  </si>
  <si>
    <t xml:space="preserve">TEMU7976216   </t>
  </si>
  <si>
    <t>CSX-CHICAGO 59TH</t>
  </si>
  <si>
    <t>MEDUQQ247247/HC $221.26</t>
  </si>
  <si>
    <t>TCNU3508393</t>
  </si>
  <si>
    <t>CMDUSHZ5804735</t>
  </si>
  <si>
    <t>TCNU7284178</t>
  </si>
  <si>
    <t>CMDUSHZ5804732</t>
  </si>
  <si>
    <t>CMAU7888114</t>
  </si>
  <si>
    <t>CMDUSHZ5824978</t>
  </si>
  <si>
    <t>CAIU9714417</t>
  </si>
  <si>
    <t>CMDUSHZ5804747</t>
  </si>
  <si>
    <t>TCKU6033194</t>
  </si>
  <si>
    <t>HLCUKUL231101836/PO# 59507/customer PO No. 59256/pier pass91</t>
  </si>
  <si>
    <t>长河航通-创辰</t>
  </si>
  <si>
    <t>TCNU5274334</t>
  </si>
  <si>
    <t>CSX Cincinnati</t>
  </si>
  <si>
    <t>11:00-11:30 DROP</t>
  </si>
  <si>
    <t>1-2 empty ready / Drop as double drayage / 12-16 discharged / ZIMUSHH31108375 / Bill to Wuhan / Q# WUH103023C</t>
  </si>
  <si>
    <t xml:space="preserve">DONE#142275 </t>
  </si>
  <si>
    <t>SJCU2062134</t>
  </si>
  <si>
    <t xml:space="preserve">6AM-3PM. </t>
  </si>
  <si>
    <r>
      <rPr>
        <sz val="11"/>
        <color rgb="FFFF0000"/>
        <rFont val="Calibri"/>
        <family val="2"/>
        <scheme val="minor"/>
      </rPr>
      <t xml:space="preserve">pre-pull &amp; yard storage </t>
    </r>
    <r>
      <rPr>
        <sz val="11"/>
        <color theme="1"/>
        <rFont val="Calibri"/>
        <family val="2"/>
        <scheme val="minor"/>
      </rPr>
      <t xml:space="preserve">/ CMDUCHN0693325 / </t>
    </r>
    <r>
      <rPr>
        <sz val="11"/>
        <color rgb="FFFF0000"/>
        <rFont val="Calibri"/>
        <family val="2"/>
        <scheme val="minor"/>
      </rPr>
      <t>Chassis spli</t>
    </r>
    <r>
      <rPr>
        <sz val="11"/>
        <color theme="1"/>
        <rFont val="Calibri"/>
        <family val="2"/>
        <scheme val="minor"/>
      </rPr>
      <t>t for SOC return to H&amp;H Depot / Q# WISE090723A-CARRIER CHANGED DUE TO US1 CAPACITY ISSUE</t>
    </r>
  </si>
  <si>
    <t>DONE#142205</t>
  </si>
  <si>
    <t>UETU5884879</t>
  </si>
  <si>
    <t xml:space="preserve">01/06/2024 09:00 CST	</t>
  </si>
  <si>
    <t>ISA# 827112703-HELEN</t>
  </si>
  <si>
    <t>73EF68</t>
  </si>
  <si>
    <t>DROP+ 3.25 hrs Detention-Waiting time at MDW2 before drop 01/06/2024 08:39 CST-01/07/2024 : 15:53 CST, 4 hours free.  / COSU6369876860 / pre-pull &amp; yard storage</t>
  </si>
  <si>
    <t>DONE#142399</t>
  </si>
  <si>
    <t>CCLU7814320</t>
  </si>
  <si>
    <t>5EEC04</t>
  </si>
  <si>
    <t xml:space="preserve">OOLU2144092440  </t>
  </si>
  <si>
    <t xml:space="preserve">DONE#143097 </t>
  </si>
  <si>
    <t>CSLU6258612</t>
  </si>
  <si>
    <t>7F5954</t>
  </si>
  <si>
    <t>COSU6369693003</t>
  </si>
  <si>
    <t>DONE#143099</t>
  </si>
  <si>
    <t>wayota</t>
  </si>
  <si>
    <t>CSNU8060433</t>
  </si>
  <si>
    <t>79133b</t>
  </si>
  <si>
    <t xml:space="preserve">COSU6370537893  </t>
  </si>
  <si>
    <t>OOLU8840381</t>
  </si>
  <si>
    <t>949B30</t>
  </si>
  <si>
    <t>COSU6369693004</t>
  </si>
  <si>
    <t xml:space="preserve">DONE#143104 </t>
  </si>
  <si>
    <t xml:space="preserve">TRHU8242817 </t>
  </si>
  <si>
    <t>ONEYSH3SM0342800</t>
  </si>
  <si>
    <t xml:space="preserve">DONE#143386 </t>
  </si>
  <si>
    <t>MSDU7826566</t>
  </si>
  <si>
    <t>11-12PM</t>
  </si>
  <si>
    <t>SHIPSHEWANA,IN,46565</t>
  </si>
  <si>
    <t>MEDUQM926885/Q#PGIL110123A</t>
  </si>
  <si>
    <t xml:space="preserve">TEMU2566287 </t>
  </si>
  <si>
    <t>EB6AC2</t>
  </si>
  <si>
    <t>CMDUNGP0659718/Q#PICO230906-1/OF $4750 COLLECT FROM CNEE/IT CANCEL</t>
  </si>
  <si>
    <t>MRKU2100208</t>
  </si>
  <si>
    <t>1ST CNEE: Jan 04 @06:30AM -APPT#221164
2ND CNEE:Jan 04 @09:30AM-APPT#221208</t>
  </si>
  <si>
    <t>KENOSHA,WI,53144/STURTEVANT,WI,53177</t>
  </si>
  <si>
    <r>
      <rPr>
        <sz val="11"/>
        <color rgb="FF000000"/>
        <rFont val="Calibri"/>
        <family val="2"/>
      </rPr>
      <t>MAEU233246777/Q#LLG120623A/HC$85/</t>
    </r>
    <r>
      <rPr>
        <sz val="11"/>
        <color rgb="FFFF0000"/>
        <rFont val="Calibri"/>
        <family val="2"/>
      </rPr>
      <t>PO#32933331 For Kenosha&amp;PO#32728728 For Sturtevant/2.75HRS DETENTION</t>
    </r>
  </si>
  <si>
    <t>NIUKU</t>
  </si>
  <si>
    <t>TGBU8689437</t>
  </si>
  <si>
    <t>5CCA65</t>
  </si>
  <si>
    <t>1-8 改拆柜 / Deleted ISA# 116268003999-HELEN / 1-6 JVL1 jected this shipment, Pre-pull &amp; yard storage / COSU6369693034/DRAYAGE OR TRSD PENDING FROM CUSTOMER</t>
  </si>
  <si>
    <t xml:space="preserve">DONE#143111 </t>
  </si>
  <si>
    <t>OOCU8209174</t>
  </si>
  <si>
    <t>380B56</t>
  </si>
  <si>
    <t xml:space="preserve">COSU6369710134 </t>
  </si>
  <si>
    <t>OOLU9205858</t>
  </si>
  <si>
    <t>2C0D42</t>
  </si>
  <si>
    <t xml:space="preserve">OOLU2728258842 </t>
  </si>
  <si>
    <t>UETU5419753</t>
  </si>
  <si>
    <t>12-29 DROP at Dock#16</t>
  </si>
  <si>
    <t>789E62</t>
  </si>
  <si>
    <t>12/29</t>
  </si>
  <si>
    <r>
      <t>1-3 客户确认拆柜， COSU6369693033 /</t>
    </r>
    <r>
      <rPr>
        <sz val="11"/>
        <color rgb="FFFF0000"/>
        <rFont val="Calibri"/>
        <family val="2"/>
        <scheme val="minor"/>
      </rPr>
      <t>12-29 ISA# 116267003999-HELEN Account -AMZ rejected Due to Safety, taking back to our warehouse, pending customer confirm transload</t>
    </r>
  </si>
  <si>
    <t xml:space="preserve">DONE#143118 </t>
  </si>
  <si>
    <t>OOCU7199364</t>
  </si>
  <si>
    <t>17F44D</t>
  </si>
  <si>
    <t xml:space="preserve">COSU6370117358 </t>
  </si>
  <si>
    <t>DONE#142980</t>
  </si>
  <si>
    <t>YMMU6323076</t>
  </si>
  <si>
    <t>DD1367</t>
  </si>
  <si>
    <t xml:space="preserve">YMJAW240325735  </t>
  </si>
  <si>
    <t xml:space="preserve">DONE#143378 </t>
  </si>
  <si>
    <t xml:space="preserve">TGBU9371029 </t>
  </si>
  <si>
    <t>MBL#CMDUGGZ2020202/Q#0515GS0IW</t>
  </si>
  <si>
    <t>TCNU5172224</t>
  </si>
  <si>
    <t>3AC84E</t>
  </si>
  <si>
    <t>MBL#CMDUGGZ2020230/Q#0515GS0IW</t>
  </si>
  <si>
    <t xml:space="preserve">SEGU4230464 </t>
  </si>
  <si>
    <t>1BA18C</t>
  </si>
  <si>
    <t>MBL#CMDUGGZ2020229/Q#0515GS0IW</t>
  </si>
  <si>
    <t>ZCSU7110186</t>
  </si>
  <si>
    <t>Southern Xpress</t>
  </si>
  <si>
    <t>ZIMUNGB20121228</t>
  </si>
  <si>
    <t>FFAU2674530</t>
  </si>
  <si>
    <t>COSU6370437600/terminal 91/DROP</t>
  </si>
  <si>
    <t>MATU2576433</t>
  </si>
  <si>
    <t>1/2 - DROP/DOCK#10</t>
  </si>
  <si>
    <t>A65A71</t>
  </si>
  <si>
    <t xml:space="preserve">MATS4223629000 / </t>
  </si>
  <si>
    <t>DONE# 142742</t>
  </si>
  <si>
    <t>MATU2356660</t>
  </si>
  <si>
    <t>A78F5E</t>
  </si>
  <si>
    <t xml:space="preserve">MATS4725419000  </t>
  </si>
  <si>
    <t xml:space="preserve">DONE#144273 </t>
  </si>
  <si>
    <t>CSNU8418173</t>
  </si>
  <si>
    <t>7FA025</t>
  </si>
  <si>
    <r>
      <t xml:space="preserve">COSU6369709282 /  </t>
    </r>
    <r>
      <rPr>
        <sz val="10.5"/>
        <color rgb="FFFF0000"/>
        <rFont val="Helvetica"/>
      </rPr>
      <t xml:space="preserve">2nd inv will follow up since 1-25 still have 8 PLTS on HOLD for self pu. </t>
    </r>
  </si>
  <si>
    <t xml:space="preserve">DONE-1st INV# 143009, 2nd inv#143871 </t>
  </si>
  <si>
    <t>OOCU7502906</t>
  </si>
  <si>
    <t>3ffc7b</t>
  </si>
  <si>
    <t xml:space="preserve">COSU6370106020 </t>
  </si>
  <si>
    <t>CICU5596563</t>
  </si>
  <si>
    <t>4872798</t>
  </si>
  <si>
    <r>
      <rPr>
        <sz val="11"/>
        <color rgb="FFFF0000"/>
        <rFont val="Calibri"/>
        <family val="2"/>
        <scheme val="minor"/>
      </rPr>
      <t xml:space="preserve">1.25hrs detention-8am-10:15am-1 hr free </t>
    </r>
    <r>
      <rPr>
        <sz val="11"/>
        <color theme="1"/>
        <rFont val="Calibri"/>
        <family val="2"/>
        <scheme val="minor"/>
      </rPr>
      <t xml:space="preserve">/ MBL# QGD0511600 / </t>
    </r>
    <r>
      <rPr>
        <sz val="11"/>
        <color rgb="FFFF0000"/>
        <rFont val="Calibri"/>
        <family val="2"/>
        <scheme val="minor"/>
      </rPr>
      <t xml:space="preserve"> Chassis split for SOC return to Railroad Storage &amp; Drayage Inc</t>
    </r>
    <r>
      <rPr>
        <sz val="11"/>
        <color theme="1"/>
        <rFont val="Calibri"/>
        <family val="2"/>
        <scheme val="minor"/>
      </rPr>
      <t xml:space="preserve"> / Q# QDMY080423A-Detention 1 hr free</t>
    </r>
  </si>
  <si>
    <t xml:space="preserve">DONE#142402 </t>
  </si>
  <si>
    <t>CICU5598144</t>
  </si>
  <si>
    <t>4872826</t>
  </si>
  <si>
    <t xml:space="preserve">1.75 hrs detention-1300-15:45, 1 hour free /  MBL# QGD0511600 /    Chassis split for SOC return to Railroad Storage &amp; Drayage Inc / Q# QDMY080423A-Detention 1 hr free/  Redelivery $125+ yard storage for emtpy return </t>
  </si>
  <si>
    <t xml:space="preserve">DONE#142403 </t>
  </si>
  <si>
    <t>CICU5596579</t>
  </si>
  <si>
    <t>4872707</t>
  </si>
  <si>
    <r>
      <t xml:space="preserve">1.75 hrs detention-8am-10:45am, 1 hour free / MBL# QGD0511600 / </t>
    </r>
    <r>
      <rPr>
        <sz val="11"/>
        <color rgb="FFFF0000"/>
        <rFont val="Calibri"/>
        <family val="2"/>
        <scheme val="minor"/>
      </rPr>
      <t xml:space="preserve">  Chassis split for SOC return to Railroad Storage &amp; Drayage Inc / Q# QDMY080423A-Detention 1 hr free</t>
    </r>
  </si>
  <si>
    <t xml:space="preserve">DONE#142405 </t>
  </si>
  <si>
    <t>CICU5598139</t>
  </si>
  <si>
    <t>4872830</t>
  </si>
  <si>
    <r>
      <t xml:space="preserve">2 hrs detention-9am-12pm, 1 hour free /pre-pulll /  waived yard storage / MBL# QGD0511600 / </t>
    </r>
    <r>
      <rPr>
        <sz val="11"/>
        <color rgb="FFFF0000"/>
        <rFont val="Calibri"/>
        <family val="2"/>
        <scheme val="minor"/>
      </rPr>
      <t xml:space="preserve"> Chassis split for SOC return to Railroad Storage &amp; Drayage Inc / Q# QDMY080423A-Detention 1 hr free</t>
    </r>
  </si>
  <si>
    <t>DONE#142476</t>
  </si>
  <si>
    <t>CSNU8440541</t>
  </si>
  <si>
    <t>15d8a0</t>
  </si>
  <si>
    <t xml:space="preserve">COSU6370489439  </t>
  </si>
  <si>
    <t>CSNU6367293</t>
  </si>
  <si>
    <t>331A4A</t>
  </si>
  <si>
    <t xml:space="preserve">COSU6370445824 </t>
  </si>
  <si>
    <t>DONE#142776</t>
  </si>
  <si>
    <t>OOCU7018379</t>
  </si>
  <si>
    <t>13A4B9</t>
  </si>
  <si>
    <t xml:space="preserve">COSU6369651300   </t>
  </si>
  <si>
    <t>TEMU6911123</t>
  </si>
  <si>
    <t>Weship</t>
  </si>
  <si>
    <t>2E6056</t>
  </si>
  <si>
    <t>COSU6370782342</t>
  </si>
  <si>
    <t>DFSU7457923</t>
  </si>
  <si>
    <t>1220f8</t>
  </si>
  <si>
    <t xml:space="preserve">COSU6370445825 </t>
  </si>
  <si>
    <t xml:space="preserve">DONE#142991 </t>
  </si>
  <si>
    <t>TXGU6066507</t>
  </si>
  <si>
    <t>59342E</t>
  </si>
  <si>
    <t>MATS8422921000/Q#AFSE120523B-F</t>
  </si>
  <si>
    <t>DONE#143380</t>
  </si>
  <si>
    <t>CSNU6757753</t>
  </si>
  <si>
    <t>3F8DFE</t>
  </si>
  <si>
    <t>HLBU3155464</t>
  </si>
  <si>
    <t>Aptos, CA 95003</t>
  </si>
  <si>
    <t>1/9 ST</t>
  </si>
  <si>
    <t>HLCUKUL231115738/PO# 59474/customer PO No. 102323SA</t>
  </si>
  <si>
    <t>CSLU6314017</t>
  </si>
  <si>
    <t>b8c002</t>
  </si>
  <si>
    <t>COSU6370491470</t>
  </si>
  <si>
    <t>DONE#143129</t>
  </si>
  <si>
    <t>OOCU7383670</t>
  </si>
  <si>
    <t>de6fb6</t>
  </si>
  <si>
    <t xml:space="preserve">COSU6370491290 </t>
  </si>
  <si>
    <t>CAIU3198993</t>
  </si>
  <si>
    <t>4328151</t>
  </si>
  <si>
    <t>ONEYTPED82334800/Q#AP-0512</t>
  </si>
  <si>
    <t>FSCU8697441</t>
  </si>
  <si>
    <t>015f51</t>
  </si>
  <si>
    <t xml:space="preserve">COSU6370588037 </t>
  </si>
  <si>
    <t xml:space="preserve">DONE#142994 </t>
  </si>
  <si>
    <t>CSNU6564646</t>
  </si>
  <si>
    <t>exam hold at LAX</t>
  </si>
  <si>
    <t>c02b88</t>
  </si>
  <si>
    <t>COSU6370588035 / exam hold rls on 1-8-2024/ 在 1-25 号还没送完</t>
  </si>
  <si>
    <t>done#143619, 144248</t>
  </si>
  <si>
    <t>TCKU7970907</t>
  </si>
  <si>
    <t>45D778</t>
  </si>
  <si>
    <t xml:space="preserve">COSU6369710133 </t>
  </si>
  <si>
    <t>OOCU8090640</t>
  </si>
  <si>
    <t>17B768</t>
  </si>
  <si>
    <t xml:space="preserve">COSU6370489440  </t>
  </si>
  <si>
    <t xml:space="preserve">DONE#143077 </t>
  </si>
  <si>
    <t>CSNU6827784</t>
  </si>
  <si>
    <t>F165B1  </t>
  </si>
  <si>
    <t>COSU6367337113 / exam hold by cosco / 在12-20-2023收到 pu #</t>
  </si>
  <si>
    <t xml:space="preserve">DONE#142993 </t>
  </si>
  <si>
    <t>CCLU7693172</t>
  </si>
  <si>
    <t>140679</t>
  </si>
  <si>
    <t xml:space="preserve">COSU6370445823 </t>
  </si>
  <si>
    <t>DONE#143123</t>
  </si>
  <si>
    <t>OOCU7006260</t>
  </si>
  <si>
    <t>7a9a73</t>
  </si>
  <si>
    <t xml:space="preserve">COSU6369709281 </t>
  </si>
  <si>
    <t>DONE#143000</t>
  </si>
  <si>
    <t>blue star</t>
  </si>
  <si>
    <t>FFAU3202142</t>
  </si>
  <si>
    <t>0377c8</t>
  </si>
  <si>
    <t>COSU6370080568</t>
  </si>
  <si>
    <t xml:space="preserve">DONE#143371 </t>
  </si>
  <si>
    <t>TGBU4765293</t>
  </si>
  <si>
    <t>E1D8A2</t>
  </si>
  <si>
    <t>cosu6370081718</t>
  </si>
  <si>
    <t xml:space="preserve">DONE#143374 </t>
  </si>
  <si>
    <t>FFAU3359105</t>
  </si>
  <si>
    <t>ECOMMERCE</t>
  </si>
  <si>
    <t xml:space="preserve">COSU6371228350 </t>
  </si>
  <si>
    <t>wl</t>
  </si>
  <si>
    <t xml:space="preserve">ONEU0356261  </t>
  </si>
  <si>
    <t>ONEYDL2XG2948300/HC $65/0.5HR PU DET</t>
  </si>
  <si>
    <t>DFSU7263770</t>
  </si>
  <si>
    <t>db683e</t>
  </si>
  <si>
    <t>COSU6370792309</t>
  </si>
  <si>
    <t xml:space="preserve">DONE#143375 </t>
  </si>
  <si>
    <t>GAOU6057730</t>
  </si>
  <si>
    <t>c52c58</t>
  </si>
  <si>
    <t xml:space="preserve">CMDUQGD0542020 </t>
  </si>
  <si>
    <t>DONE#143186</t>
  </si>
  <si>
    <t>TLLU5538145</t>
  </si>
  <si>
    <t>MTPE23120048/$3550-3650/ONEYTPED91093300</t>
  </si>
  <si>
    <t>TCLU8051949</t>
  </si>
  <si>
    <t>0137012</t>
  </si>
  <si>
    <t>ONEYTPED93614400/MTPE23120100/3550-3650</t>
  </si>
  <si>
    <t>DRYU9522890</t>
  </si>
  <si>
    <t>be2885</t>
  </si>
  <si>
    <t xml:space="preserve">COSU6370588034 </t>
  </si>
  <si>
    <t>DONE#143190</t>
  </si>
  <si>
    <t>MOTU1409472</t>
  </si>
  <si>
    <t>STURTEVANT,WI,53177</t>
  </si>
  <si>
    <t>ONEYNB3BP7616500/Q#LLG110223A/HC $65</t>
  </si>
  <si>
    <t>SMCU1253339</t>
  </si>
  <si>
    <t>SMLMNJBC0B585200 / 在1-25号还没送完</t>
  </si>
  <si>
    <t xml:space="preserve">DONE#143359 </t>
  </si>
  <si>
    <t xml:space="preserve">TRHU1854370 </t>
  </si>
  <si>
    <t>20HQ</t>
  </si>
  <si>
    <t>0276042</t>
  </si>
  <si>
    <t>ONEYSZPDQ2144500/Q#0515GS0IW</t>
  </si>
  <si>
    <t>CMAU5923896</t>
  </si>
  <si>
    <t>4DDE47</t>
  </si>
  <si>
    <t xml:space="preserve">CMDUCHN0645911  </t>
  </si>
  <si>
    <t xml:space="preserve">DONE#144135 </t>
  </si>
  <si>
    <t>BEAU6263491</t>
  </si>
  <si>
    <t>CA4BBB</t>
  </si>
  <si>
    <t>CMDUNGP0694465</t>
  </si>
  <si>
    <t xml:space="preserve">DONE#144180 </t>
  </si>
  <si>
    <t xml:space="preserve">TEMU6186855  </t>
  </si>
  <si>
    <t>CSX-BEDFORD</t>
  </si>
  <si>
    <t>67777852</t>
  </si>
  <si>
    <t>1/31 ST</t>
  </si>
  <si>
    <t>HDMUNBOZ23440800/HC $85</t>
  </si>
  <si>
    <t>FCIU7381357</t>
  </si>
  <si>
    <t>770946</t>
  </si>
  <si>
    <t>ROH120523A/3900-4000/BL AMENDMENT $150</t>
  </si>
  <si>
    <t xml:space="preserve">FANU1786776  </t>
  </si>
  <si>
    <t>HLCUNG12310VRKE9/HC $185</t>
  </si>
  <si>
    <t xml:space="preserve">UETU5422910 </t>
  </si>
  <si>
    <t>OSSEO,MN,55369</t>
  </si>
  <si>
    <t>COSU6370955090/Q#YWHJ113023D/EXAM $375/Drop $250</t>
  </si>
  <si>
    <t xml:space="preserve">TGBU6351543   </t>
  </si>
  <si>
    <t>HDMUNBOZ93936700/HC $85/4HRS PU DET</t>
  </si>
  <si>
    <t>DFSU7068794</t>
  </si>
  <si>
    <t>0595517</t>
  </si>
  <si>
    <t xml:space="preserve">SMLMNJGF2A489700 </t>
  </si>
  <si>
    <t xml:space="preserve">DONE#144191 </t>
  </si>
  <si>
    <t>MRKU8255444</t>
  </si>
  <si>
    <t>2/2/2024
RE-DELIVERY 2/7</t>
  </si>
  <si>
    <t>11AM
10AM</t>
  </si>
  <si>
    <t>LENOIR,NC,28645</t>
  </si>
  <si>
    <t>MAEU233891695/SPLL120623A / double drayage</t>
  </si>
  <si>
    <t>TCKU1849204</t>
  </si>
  <si>
    <t>ONEYWU3MF0479700/SPLL120623A</t>
  </si>
  <si>
    <t>EMCU1733458</t>
  </si>
  <si>
    <t>1/10 ST</t>
  </si>
  <si>
    <t>EGLV090300226982/PO#59246/chassis prepaid 120/CUSTOMER PO# 119668</t>
  </si>
  <si>
    <t>OOLU9582152</t>
  </si>
  <si>
    <t>8:30AM DROP</t>
  </si>
  <si>
    <t>Elk Grove Village, IL 60007</t>
  </si>
  <si>
    <t>690175</t>
  </si>
  <si>
    <r>
      <rPr>
        <sz val="11"/>
        <color rgb="FFFF0000"/>
        <rFont val="Calibri"/>
        <family val="2"/>
        <scheme val="minor"/>
      </rPr>
      <t>1-8 empty ready / DROP FEE / PRE-PULL, YARD STORAGE, CHASSIS SPLIT,</t>
    </r>
    <r>
      <rPr>
        <sz val="11"/>
        <color theme="1"/>
        <rFont val="Calibri"/>
        <family val="2"/>
        <scheme val="minor"/>
      </rPr>
      <t xml:space="preserve"> COSU6370526410 / Q# LTRN101823F
</t>
    </r>
    <r>
      <rPr>
        <sz val="11"/>
        <color rgb="FF0000CC"/>
        <rFont val="Calibri"/>
        <family val="2"/>
        <scheme val="minor"/>
      </rPr>
      <t>预约单号 YY202311300069
预约码 Y03WH944I2
预约链接
https://oms.goodcang.com/inbound_order_booking/landing_page?booking_code=Y03WH944I2</t>
    </r>
  </si>
  <si>
    <t xml:space="preserve">DONE#142444 </t>
  </si>
  <si>
    <t>FSCU8515193</t>
  </si>
  <si>
    <t>0700 -1300</t>
  </si>
  <si>
    <t>LEXINGTON KY 40511</t>
  </si>
  <si>
    <t>3182</t>
  </si>
  <si>
    <r>
      <rPr>
        <sz val="11"/>
        <color rgb="FFFF0000"/>
        <rFont val="Calibri"/>
        <family val="2"/>
        <scheme val="minor"/>
      </rPr>
      <t>4.5 hrs detention-Waiting time 11:16am-4:50pm, 1 hour free /  Chassis split for OG &amp; IG to NS RAIL</t>
    </r>
    <r>
      <rPr>
        <sz val="11"/>
        <color theme="1"/>
        <rFont val="Calibri"/>
        <family val="2"/>
        <scheme val="minor"/>
      </rPr>
      <t xml:space="preserve">  / OOLU2729176790  / COC / Q# ASPD112423B / Detention 1 hr free</t>
    </r>
  </si>
  <si>
    <t xml:space="preserve">DONE#142477 </t>
  </si>
  <si>
    <t>BSIU9473038</t>
  </si>
  <si>
    <t>37A14B</t>
  </si>
  <si>
    <t>1-3 直送改拆柜 / COSU6370117357 / Cancelled 直送ISA# 11425770973-HELEN account</t>
  </si>
  <si>
    <t>DONE#143193</t>
  </si>
  <si>
    <t>TRHU7479569</t>
  </si>
  <si>
    <t>1/3 ABL DROP at Dock#7</t>
  </si>
  <si>
    <t>F17240</t>
  </si>
  <si>
    <t>Cancelled ISA# 107421004973-HELEN account /COSU6370489438 / 1-3 customer confirmed transload at ABL WH</t>
  </si>
  <si>
    <t xml:space="preserve">DONE#143044 </t>
  </si>
  <si>
    <t>SMCU1113867</t>
  </si>
  <si>
    <t xml:space="preserve">SMLMNJGF2A479600 </t>
  </si>
  <si>
    <t>CSNU8110848</t>
  </si>
  <si>
    <t>1/8/2024 @22:00 EST</t>
  </si>
  <si>
    <t>ISA# 11469480973- Customer account</t>
  </si>
  <si>
    <t>608A4C</t>
  </si>
  <si>
    <r>
      <rPr>
        <sz val="11"/>
        <color rgb="FFFF0000"/>
        <rFont val="Calibri"/>
        <family val="2"/>
        <scheme val="minor"/>
      </rPr>
      <t>4.25hrs detention-1/8/2024 @10PM-1/9/2024 @4:15AM-2 hrs free / 1-5 拆柜改回直送 / 1-4 改拆柜 /</t>
    </r>
    <r>
      <rPr>
        <sz val="11"/>
        <rFont val="Calibri"/>
        <family val="2"/>
        <scheme val="minor"/>
      </rPr>
      <t xml:space="preserve"> cancelled ISA# 11425680973-Helen account  /</t>
    </r>
    <r>
      <rPr>
        <sz val="11"/>
        <color rgb="FF000000"/>
        <rFont val="Calibri"/>
        <family val="2"/>
        <scheme val="minor"/>
      </rPr>
      <t xml:space="preserve"> COSU636987679</t>
    </r>
    <r>
      <rPr>
        <sz val="11"/>
        <rFont val="Calibri"/>
        <family val="2"/>
        <scheme val="minor"/>
      </rPr>
      <t>0/ FBA17JSXZF4X-new PO# PO：5KT326SY</t>
    </r>
  </si>
  <si>
    <t>DONE#142443</t>
  </si>
  <si>
    <t>FCIU9833923</t>
  </si>
  <si>
    <t>2E7585</t>
  </si>
  <si>
    <t xml:space="preserve">OOLU2144320070  </t>
  </si>
  <si>
    <t>DONE#143081</t>
  </si>
  <si>
    <t>RFCU5033949</t>
  </si>
  <si>
    <t>2:30PM</t>
  </si>
  <si>
    <t>3E348C</t>
  </si>
  <si>
    <t>OOLU2729529520/Q#PGIL110123A</t>
  </si>
  <si>
    <t>BEAU5822255</t>
  </si>
  <si>
    <t>BY 3PM</t>
  </si>
  <si>
    <t>4DAACC</t>
  </si>
  <si>
    <t>MEDUQJ415049/PGIL110123A</t>
  </si>
  <si>
    <t>OOCU7264393</t>
  </si>
  <si>
    <t>10:30am DROP</t>
  </si>
  <si>
    <t>OOLU2143759990/  /Q# PGNE011924A/detention 2hrs free</t>
  </si>
  <si>
    <t>DONE#142629</t>
  </si>
  <si>
    <t>TXGU5637237</t>
  </si>
  <si>
    <t>Baltimore port-Seagirt Marine Terminal</t>
  </si>
  <si>
    <t xml:space="preserve">DROP before 4pm </t>
  </si>
  <si>
    <t>Baltimore, MD 21230</t>
  </si>
  <si>
    <t>1-15 empty ready / EGLV143371175322 / Q# PG102723A/drop</t>
  </si>
  <si>
    <t xml:space="preserve">DONE#142628 </t>
  </si>
  <si>
    <t>EGSU9026152</t>
  </si>
  <si>
    <t>PORT OF TAMPA BAY</t>
  </si>
  <si>
    <t>Tampa Florida 33619</t>
  </si>
  <si>
    <t>1-11 CATFISH 甩单 / pre-pull and yard storage /  CATFISH cannot deliver on 1/10, reciever is booked for rest of this week, rescheduled to 1.15 /1-6 discharged /EGLV143371177147 / Q# WUH113023E</t>
  </si>
  <si>
    <t>DONE#142815 , Disputing trucker inv</t>
  </si>
  <si>
    <t>BEAU6286711</t>
  </si>
  <si>
    <t>4896685</t>
  </si>
  <si>
    <t xml:space="preserve">SMLMNJED3H716400 </t>
  </si>
  <si>
    <t>EGHU8467247</t>
  </si>
  <si>
    <t xml:space="preserve"> PORT OF TAMPA BAY</t>
  </si>
  <si>
    <t>11:30am DROP</t>
  </si>
  <si>
    <t>1-16 empty ready/ EGLV143371176931/  /Q# PGNE011924A /detention 2hrs free</t>
  </si>
  <si>
    <t xml:space="preserve">DONE#142818 </t>
  </si>
  <si>
    <t>OOLU9547125</t>
  </si>
  <si>
    <t xml:space="preserve">DROP </t>
  </si>
  <si>
    <t>Tampa,FL,33634</t>
  </si>
  <si>
    <t>1-15 afternoon empty ready/ Free DROP zone / COSU6369915880 / Quotation#	WOIL121523B / Detention 1 hr free</t>
  </si>
  <si>
    <t>DONE#142671</t>
  </si>
  <si>
    <t>CAIU9161137</t>
  </si>
  <si>
    <t>DD057C</t>
  </si>
  <si>
    <t>OOLU2728805780</t>
  </si>
  <si>
    <t>OOCU8444276</t>
  </si>
  <si>
    <t>ACBE9F</t>
  </si>
  <si>
    <t>OOCU8642965</t>
  </si>
  <si>
    <t>34A47D</t>
  </si>
  <si>
    <t>CSNU7807360</t>
  </si>
  <si>
    <t>C0D14A</t>
  </si>
  <si>
    <t xml:space="preserve">COSU6370239164 </t>
  </si>
  <si>
    <t xml:space="preserve">DONE#142996 </t>
  </si>
  <si>
    <t>MATU2316170</t>
  </si>
  <si>
    <t>de1a75</t>
  </si>
  <si>
    <t xml:space="preserve">MATS2757656000  </t>
  </si>
  <si>
    <t xml:space="preserve">DONE#144276 </t>
  </si>
  <si>
    <t>FOCUS ONE</t>
  </si>
  <si>
    <t>CMAU6315587</t>
  </si>
  <si>
    <t>SEATTLE-SSA TERMINAL 18</t>
  </si>
  <si>
    <t xml:space="preserve">01/12/2024 10:00 PST	</t>
  </si>
  <si>
    <t xml:space="preserve">ISA# 309020602 - HELEN </t>
  </si>
  <si>
    <t>AMZ BFI3</t>
  </si>
  <si>
    <r>
      <t>Terminal closed / 1.5hrs detention- 10:51 PST-13:27 PST /</t>
    </r>
    <r>
      <rPr>
        <sz val="11"/>
        <rFont val="Calibri"/>
        <family val="2"/>
        <scheme val="minor"/>
      </rPr>
      <t xml:space="preserve"> SO# NGP0739250 / /Q#VIEG122223A  $770</t>
    </r>
  </si>
  <si>
    <t>DONE#142749</t>
  </si>
  <si>
    <t>FFAU1885306</t>
  </si>
  <si>
    <t>1/12, 24/7 DROP</t>
  </si>
  <si>
    <t>Walmart APPT#  61040151</t>
  </si>
  <si>
    <t>WALMART ATL3- Pendergrass, GA 30567</t>
  </si>
  <si>
    <t>3948</t>
  </si>
  <si>
    <r>
      <rPr>
        <sz val="11"/>
        <color rgb="FFFF0000"/>
        <rFont val="Calibri"/>
        <family val="2"/>
        <scheme val="minor"/>
      </rPr>
      <t>1-16 empty ready / pre-pull /Demurrage $100</t>
    </r>
    <r>
      <rPr>
        <sz val="11"/>
        <color theme="1"/>
        <rFont val="Calibri"/>
        <family val="2"/>
        <scheme val="minor"/>
      </rPr>
      <t xml:space="preserve"> / COSU6370042130 / POD-Savannah /Q#  WUH231114/ Detention -1 hour free, after 5-hour detention, additional layover fee $350 will be added/demurrage $100</t>
    </r>
  </si>
  <si>
    <t>DONE# 142672, DEM INV# 142679</t>
  </si>
  <si>
    <t>BMOU5176231</t>
  </si>
  <si>
    <t>007f80</t>
  </si>
  <si>
    <t xml:space="preserve">COSU6370588036 </t>
  </si>
  <si>
    <t>DONE#143358</t>
  </si>
  <si>
    <t>SEGU5357176</t>
  </si>
  <si>
    <t>NCSPA (WILMINGTON TERMINAL) (Firms code:L194)</t>
  </si>
  <si>
    <t>HUNTERSVILLE, NC, 28078</t>
  </si>
  <si>
    <r>
      <t xml:space="preserve">YMJAE232211219 /  Q# WUH121423C /  Detention-2 hrs free
</t>
    </r>
    <r>
      <rPr>
        <sz val="11"/>
        <color rgb="FFFF0000"/>
        <rFont val="Calibri"/>
        <family val="2"/>
        <scheme val="minor"/>
      </rPr>
      <t xml:space="preserve"> 1-8 此票需要更换送仓联系方式，请知悉：
Nicole Bechtel, 484-949-2714, ext 105</t>
    </r>
  </si>
  <si>
    <t>DONE#142636</t>
  </si>
  <si>
    <t>OOLU6911151</t>
  </si>
  <si>
    <t>582EA4</t>
  </si>
  <si>
    <t>OOLU9457314</t>
  </si>
  <si>
    <t>FFAU1843569</t>
  </si>
  <si>
    <t>3D44FD</t>
  </si>
  <si>
    <t>OOCU7720106</t>
  </si>
  <si>
    <t>8C52E8</t>
  </si>
  <si>
    <t>CICU4978622</t>
  </si>
  <si>
    <t>D71985</t>
  </si>
  <si>
    <t>No detention: 10am-12pm / YMJAW228237434  / SOC return to Complete container Service / chassis split for SOC return /  Q# ASPD122623A/ Detention 2hrs free</t>
  </si>
  <si>
    <t>DONE#142751</t>
  </si>
  <si>
    <t>FFAU2725431</t>
  </si>
  <si>
    <t>E00349</t>
  </si>
  <si>
    <t xml:space="preserve">COSU6370488852  </t>
  </si>
  <si>
    <t xml:space="preserve">DONE#143946 </t>
  </si>
  <si>
    <t>TGHU8494355</t>
  </si>
  <si>
    <t>93de44</t>
  </si>
  <si>
    <t xml:space="preserve">CMDUCHN0694928  </t>
  </si>
  <si>
    <t>DONE#144139</t>
  </si>
  <si>
    <t>EGHU9651541</t>
  </si>
  <si>
    <t>DROP 10AM-1PM</t>
  </si>
  <si>
    <t>PO# 120139</t>
  </si>
  <si>
    <t>2-2 empty ready / 1-25 Delivery HOLD removed  / pre-pull &amp; yard storage / EGLV143371177082 /Q# PGNE011924A /detention 2hrs free</t>
  </si>
  <si>
    <t>DONE# 143957</t>
  </si>
  <si>
    <t>TGCU5149486</t>
  </si>
  <si>
    <t>PO# 120129</t>
  </si>
  <si>
    <t>1-25 Delivery HOLD removed  / pre-pull &amp; yard storage / EGLV143371177074  /Q# PGNE011924A /detention 2hrs free</t>
  </si>
  <si>
    <t>DONE#143838, chassis fee inv# 144401, Per diem inv# 144403</t>
  </si>
  <si>
    <t>TCKU7670242</t>
  </si>
  <si>
    <t>BD77E0</t>
  </si>
  <si>
    <t>COSU6370390950</t>
  </si>
  <si>
    <t xml:space="preserve">DONE#144245 </t>
  </si>
  <si>
    <t>TEMU0642731</t>
  </si>
  <si>
    <t>FRANKLIN PARK,IL,60131</t>
  </si>
  <si>
    <t>ONEYSZPDQ5102900/Q#GRLT010824A</t>
  </si>
  <si>
    <t xml:space="preserve">FFAU3276628 </t>
  </si>
  <si>
    <t>OOLU2144793580</t>
  </si>
  <si>
    <t>WL</t>
  </si>
  <si>
    <t>OOCU4785119</t>
  </si>
  <si>
    <t>6FFAE3</t>
  </si>
  <si>
    <t>OOLU2729077240</t>
  </si>
  <si>
    <t>EMCU1611568</t>
  </si>
  <si>
    <t>EVERPORT TERMINAL</t>
  </si>
  <si>
    <t xml:space="preserve">01/18/2024 10:00 PST	</t>
  </si>
  <si>
    <t>ISA#11111481296-HELEN</t>
  </si>
  <si>
    <t>AMZ IUSJ</t>
  </si>
  <si>
    <t>EGLV143300614668/Q#SPLL121123A</t>
  </si>
  <si>
    <t>OOLU6829399</t>
  </si>
  <si>
    <t>OOLU2729276800</t>
  </si>
  <si>
    <t>FFAU2361704</t>
  </si>
  <si>
    <t>COSU6370488851</t>
  </si>
  <si>
    <t>OOCU4814990</t>
  </si>
  <si>
    <t>47B73F</t>
  </si>
  <si>
    <t>1/14-&gt;1/18</t>
  </si>
  <si>
    <t>OOCU4865831</t>
  </si>
  <si>
    <t>00C63D</t>
  </si>
  <si>
    <t>CSNU4011934</t>
  </si>
  <si>
    <t>B96D2C</t>
  </si>
  <si>
    <t>DFSU7453424</t>
  </si>
  <si>
    <t>SAV-GEORGIA PORT</t>
  </si>
  <si>
    <t>POOLER,GA,31322</t>
  </si>
  <si>
    <t>OOLU8895424580/OW/1.16 e/Q#NBJD110223B</t>
  </si>
  <si>
    <t>TCKU6270350</t>
  </si>
  <si>
    <t>6409ED</t>
  </si>
  <si>
    <t>CMDUCHN0726689</t>
  </si>
  <si>
    <t xml:space="preserve">DONE#144178 </t>
  </si>
  <si>
    <t xml:space="preserve">FFAU2840076 </t>
  </si>
  <si>
    <t xml:space="preserve">OOCU8851707 </t>
  </si>
  <si>
    <t>OOLU8895424580/1.16 e/Q#NBJD110223B</t>
  </si>
  <si>
    <t>FCIU9660155</t>
  </si>
  <si>
    <t>COSU6370952230</t>
  </si>
  <si>
    <t>TRHU5963131</t>
  </si>
  <si>
    <t xml:space="preserve">COSU6371003933 </t>
  </si>
  <si>
    <t>DONE#143536</t>
  </si>
  <si>
    <t>CSNU6108883</t>
  </si>
  <si>
    <t>872b01</t>
  </si>
  <si>
    <t xml:space="preserve">OOLU2729276801 </t>
  </si>
  <si>
    <t xml:space="preserve">DONE#143361 </t>
  </si>
  <si>
    <t>BSIU9217397</t>
  </si>
  <si>
    <t>WILMINGTON-NC STATE PORTS</t>
  </si>
  <si>
    <t xml:space="preserve">GREENSBORO NC 27406 </t>
  </si>
  <si>
    <t>N/A </t>
  </si>
  <si>
    <t>1hr detention-8am-11am / pre-pull, yard storage / ZIMUNGB20195721 / Q# PGNE102323A / Detention 2 hrs free</t>
  </si>
  <si>
    <t xml:space="preserve">DONE#142754 </t>
  </si>
  <si>
    <t>ZCSU6736663</t>
  </si>
  <si>
    <t>pre-pull, yard storage / ZIMUNGB20195720 / LAYOVER / Q# WUH121423C / Detention-2hrs free</t>
  </si>
  <si>
    <t xml:space="preserve">DONE#142820 </t>
  </si>
  <si>
    <t>ZCSU7777570</t>
  </si>
  <si>
    <t>SOUTHERN XPRESS</t>
  </si>
  <si>
    <t>SAINT MARTINVILLE,LA,70582</t>
  </si>
  <si>
    <t>ZIMUNGB20121276</t>
  </si>
  <si>
    <t xml:space="preserve">OOCU7251652 </t>
  </si>
  <si>
    <t>COSU6371009970</t>
  </si>
  <si>
    <t>MSMU3481890</t>
  </si>
  <si>
    <t>EC4EB6</t>
  </si>
  <si>
    <r>
      <rPr>
        <sz val="11"/>
        <color rgb="FFFF0000"/>
        <rFont val="Calibri"/>
        <family val="2"/>
        <scheme val="minor"/>
      </rPr>
      <t xml:space="preserve">Used SSL's chassis / 2 hrs detention-8am-12pm, 2 hours free </t>
    </r>
    <r>
      <rPr>
        <sz val="11"/>
        <color theme="1"/>
        <rFont val="Calibri"/>
        <family val="2"/>
        <charset val="134"/>
        <scheme val="minor"/>
      </rPr>
      <t xml:space="preserve"> / MEDUQQ866798</t>
    </r>
    <r>
      <rPr>
        <sz val="11"/>
        <color theme="1"/>
        <rFont val="Calibri"/>
        <family val="2"/>
        <scheme val="minor"/>
      </rPr>
      <t xml:space="preserve"> / ow 21,215.80 kgs</t>
    </r>
  </si>
  <si>
    <t>DONE#142823</t>
  </si>
  <si>
    <t>MSCU4324684</t>
  </si>
  <si>
    <t>EACBC1</t>
  </si>
  <si>
    <r>
      <rPr>
        <sz val="11"/>
        <color rgb="FFFF0000"/>
        <rFont val="Calibri"/>
        <family val="2"/>
        <scheme val="minor"/>
      </rPr>
      <t xml:space="preserve">didn't use SSL's chassis / 3hrs detention-8:00AM-1:04PM, 2 hours free  </t>
    </r>
    <r>
      <rPr>
        <sz val="11"/>
        <color theme="1"/>
        <rFont val="Calibri"/>
        <family val="2"/>
        <charset val="134"/>
        <scheme val="minor"/>
      </rPr>
      <t>/ MEDUQQ866798</t>
    </r>
    <r>
      <rPr>
        <sz val="11"/>
        <color theme="1"/>
        <rFont val="Calibri"/>
        <family val="2"/>
        <scheme val="minor"/>
      </rPr>
      <t xml:space="preserve"> / ow 21,422.620 kgs</t>
    </r>
  </si>
  <si>
    <t>DONE#142836</t>
  </si>
  <si>
    <t>CBHU9188924</t>
  </si>
  <si>
    <t>61050C</t>
  </si>
  <si>
    <t>OOLU2144359070</t>
  </si>
  <si>
    <t xml:space="preserve">DONE#144277 </t>
  </si>
  <si>
    <t>UETU5954549</t>
  </si>
  <si>
    <t>7df87a</t>
  </si>
  <si>
    <t>COSU6371315359</t>
  </si>
  <si>
    <t>OOCU7611424</t>
  </si>
  <si>
    <t>621A9F</t>
  </si>
  <si>
    <t>OOLU2144363240</t>
  </si>
  <si>
    <t xml:space="preserve">DONE#144727 </t>
  </si>
  <si>
    <t>BSIU8159830</t>
  </si>
  <si>
    <t xml:space="preserve">COSU6370597750 </t>
  </si>
  <si>
    <t>BEAU4711088</t>
  </si>
  <si>
    <t>1973</t>
  </si>
  <si>
    <r>
      <rPr>
        <sz val="11"/>
        <color rgb="FFFF0000"/>
        <rFont val="Calibri"/>
        <family val="2"/>
        <scheme val="minor"/>
      </rPr>
      <t>1 hr detention-2pm-4pm, 1hr free</t>
    </r>
    <r>
      <rPr>
        <sz val="11"/>
        <color theme="1"/>
        <rFont val="Calibri"/>
        <family val="2"/>
        <charset val="134"/>
        <scheme val="minor"/>
      </rPr>
      <t xml:space="preserve"> / 1-11 Delivery Hold removed / HLCUKUL231128090 / Q# WUH231124-5 / detention 1 -hr free</t>
    </r>
  </si>
  <si>
    <t xml:space="preserve">DONE#142753 </t>
  </si>
  <si>
    <t>NIDU5210016</t>
  </si>
  <si>
    <t>1761</t>
  </si>
  <si>
    <r>
      <rPr>
        <sz val="11"/>
        <color rgb="FFFF0000"/>
        <rFont val="Calibri"/>
        <family val="2"/>
        <scheme val="minor"/>
      </rPr>
      <t xml:space="preserve">waived 2 days yard storage for 1.17&amp;1.18 </t>
    </r>
    <r>
      <rPr>
        <sz val="11"/>
        <color theme="1"/>
        <rFont val="Calibri"/>
        <family val="2"/>
        <charset val="134"/>
        <scheme val="minor"/>
      </rPr>
      <t>/ 1-17 送不到 due to weather (Snow, Ice, freezing temps. Drivers are getting delayed everywhere with all the weather.) 改到1-18 / 1-18路况不好送不到， Mike 1-19不能收， 改到1-22送  /  1-11 Delivery Hold removed / HLCUKUL231128090 / Q# WUH231124-5 / detention 1 hr free</t>
    </r>
  </si>
  <si>
    <t>DONE#142898</t>
  </si>
  <si>
    <t>TGBU7764942</t>
  </si>
  <si>
    <t>COSU6371098830</t>
  </si>
  <si>
    <t>CAIU8587447</t>
  </si>
  <si>
    <t>SAVANNAH Port-GARDEN CITY TERMINAL</t>
  </si>
  <si>
    <t>AMZ XLX6-PINEVILLE, NC 28134</t>
  </si>
  <si>
    <t>ZIMUNGB20131745 / Detention 100/h   1小时免
FBA编号：FBA17KG0L266 货件追踪编号：2NE1DRJD</t>
  </si>
  <si>
    <t>SEGU5286431</t>
  </si>
  <si>
    <t>CSNU6797798</t>
  </si>
  <si>
    <t>63DF93</t>
  </si>
  <si>
    <t>COSU6372242730</t>
  </si>
  <si>
    <t>DONE#144246</t>
  </si>
  <si>
    <t>CSNU6055504</t>
  </si>
  <si>
    <t>faa039</t>
  </si>
  <si>
    <t xml:space="preserve">OOLU2729041108 </t>
  </si>
  <si>
    <t>DONE#143195</t>
  </si>
  <si>
    <t>CBHU9512592</t>
  </si>
  <si>
    <t>COSU6371357206</t>
  </si>
  <si>
    <t xml:space="preserve">DONE#144278 </t>
  </si>
  <si>
    <t>OOCU8615450</t>
  </si>
  <si>
    <t>BLOOMINGDALE,GA,31302</t>
  </si>
  <si>
    <t>OOLU8895461640</t>
  </si>
  <si>
    <t>TCNU7298675</t>
  </si>
  <si>
    <t xml:space="preserve">JCR20240110150A </t>
  </si>
  <si>
    <t>客户拼了一车货来ABL仓 / JCR20240110150A - JCR20240110250A</t>
  </si>
  <si>
    <t xml:space="preserve">DONE#144414 </t>
  </si>
  <si>
    <t>JCR20240111500A</t>
  </si>
  <si>
    <t>1-15 arrived at ABL WH</t>
  </si>
  <si>
    <t>DONE#144417</t>
  </si>
  <si>
    <t>TGBU8857886</t>
  </si>
  <si>
    <t>62148E</t>
  </si>
  <si>
    <t>COSU6371357205</t>
  </si>
  <si>
    <t xml:space="preserve">DONE#144279 </t>
  </si>
  <si>
    <t>BMOU2776227</t>
  </si>
  <si>
    <t>JACKSONVILLE-BIMT</t>
  </si>
  <si>
    <t>OCALA, FL 34475</t>
  </si>
  <si>
    <t>ZIMUQIN4960015</t>
  </si>
  <si>
    <t>SMCU1105820</t>
  </si>
  <si>
    <t>SMLMNJED3H890700</t>
  </si>
  <si>
    <t>TLLU4172283</t>
  </si>
  <si>
    <t>EGLV149307339212</t>
  </si>
  <si>
    <t>EITU1865260</t>
  </si>
  <si>
    <t>CSNU6203129</t>
  </si>
  <si>
    <t>1/19, 24/7 DROP</t>
  </si>
  <si>
    <t>Walmart APPT#  61042273</t>
  </si>
  <si>
    <t>ATL3-WALMART//445 Valentine Industrial Pkwy Ext, Pendergrass, GA 30567</t>
  </si>
  <si>
    <r>
      <rPr>
        <sz val="11"/>
        <color rgb="FFFF0000"/>
        <rFont val="Calibri"/>
        <family val="2"/>
        <charset val="134"/>
        <scheme val="minor"/>
      </rPr>
      <t>1-23 empty ready / PRE-PULL / YARD STORAGE / Double drayage for DROP</t>
    </r>
    <r>
      <rPr>
        <sz val="11"/>
        <color theme="1"/>
        <rFont val="Calibri"/>
        <family val="2"/>
        <charset val="134"/>
        <scheme val="minor"/>
      </rPr>
      <t xml:space="preserve"> / COSU6371002780 / Q# WUH231114-1 / Detention 1 hr free, after 5 hours layover will apply.</t>
    </r>
  </si>
  <si>
    <t>DONE#142948</t>
  </si>
  <si>
    <t>KDW</t>
  </si>
  <si>
    <t>BOL49150</t>
  </si>
  <si>
    <t>DONE#143535</t>
  </si>
  <si>
    <t>CSNU1275580</t>
  </si>
  <si>
    <t>7CED8D</t>
  </si>
  <si>
    <t>OOLU2728966820 /COC/       到时候如果联系不上DavidHarris ，也可以联系以下：630-402-7888     ljolin@euroview.com/ / Q# W23021601</t>
  </si>
  <si>
    <t xml:space="preserve">DONE#142970 </t>
  </si>
  <si>
    <t>FCIU8973237</t>
  </si>
  <si>
    <t>OOLU2729203833</t>
  </si>
  <si>
    <t>ZCSU6521428</t>
  </si>
  <si>
    <t>JACKSONVILLE-BIT</t>
  </si>
  <si>
    <t>1-2PM</t>
  </si>
  <si>
    <t>NEWBERRY,FL,32669</t>
  </si>
  <si>
    <t>ZIMUSNH1668581/2HR PU DET</t>
  </si>
  <si>
    <t>OOLU9833263</t>
  </si>
  <si>
    <t xml:space="preserve">OOLU2729676830 </t>
  </si>
  <si>
    <t>OOLU8694097</t>
  </si>
  <si>
    <t>1a77b9</t>
  </si>
  <si>
    <t>COSU6371603210</t>
  </si>
  <si>
    <t>DONE#144704</t>
  </si>
  <si>
    <t>TRHU4464333</t>
  </si>
  <si>
    <t>OOLU2144703000</t>
  </si>
  <si>
    <t>UETU5328756</t>
  </si>
  <si>
    <t>OOLU2729676831</t>
  </si>
  <si>
    <t>MATU2691761</t>
  </si>
  <si>
    <t>1-22 ABL DROP/DOCK#22</t>
  </si>
  <si>
    <t xml:space="preserve"> 2840DE</t>
  </si>
  <si>
    <r>
      <t>MATS9996468000 /</t>
    </r>
    <r>
      <rPr>
        <sz val="11"/>
        <color rgb="FFFF0000"/>
        <rFont val="Calibri"/>
        <family val="2"/>
        <scheme val="minor"/>
      </rPr>
      <t xml:space="preserve"> re-route &amp; chassis split for IG to CGI</t>
    </r>
  </si>
  <si>
    <t>DONE#143955</t>
  </si>
  <si>
    <t>OOCU7761635</t>
  </si>
  <si>
    <t>D39BBF</t>
  </si>
  <si>
    <t>OOLU2144726540</t>
  </si>
  <si>
    <t xml:space="preserve">DONE#144802 </t>
  </si>
  <si>
    <t>FHFBA 飞鸿</t>
  </si>
  <si>
    <t>APHU6749008</t>
  </si>
  <si>
    <t>CC0B09</t>
  </si>
  <si>
    <t xml:space="preserve">CMDUCHN0745789/ bill to WUH / not ground until 1-23 </t>
  </si>
  <si>
    <t>DONE#143531</t>
  </si>
  <si>
    <t>OOCU8430689</t>
  </si>
  <si>
    <t>F729D9</t>
  </si>
  <si>
    <t xml:space="preserve">OOLU2144597370 </t>
  </si>
  <si>
    <t xml:space="preserve">DONE#144188 </t>
  </si>
  <si>
    <t>GCXU5477560</t>
  </si>
  <si>
    <t>7F019E</t>
  </si>
  <si>
    <t xml:space="preserve">COSU6371011350 </t>
  </si>
  <si>
    <t>DONE#144621</t>
  </si>
  <si>
    <t>TGBU4696844</t>
  </si>
  <si>
    <t>OOLU2730763440</t>
  </si>
  <si>
    <t>BOL50100 - OB6736</t>
  </si>
  <si>
    <t xml:space="preserve">appt made by kdw on 1-24 / </t>
  </si>
  <si>
    <t>DONE#143534</t>
  </si>
  <si>
    <t xml:space="preserve">JCR20240117100A </t>
  </si>
  <si>
    <t>第三车 ftl</t>
  </si>
  <si>
    <t>DONE#144421</t>
  </si>
  <si>
    <t xml:space="preserve">JCR20240118500A </t>
  </si>
  <si>
    <t>第4车 ftl</t>
  </si>
  <si>
    <t>DONE 146006</t>
  </si>
  <si>
    <t>JCR20240116800A</t>
  </si>
  <si>
    <t>第5车 ftl</t>
  </si>
  <si>
    <t xml:space="preserve">DONE#144423 </t>
  </si>
  <si>
    <t>CSNU7343758</t>
  </si>
  <si>
    <t>31F29B</t>
  </si>
  <si>
    <t>2/8 ST</t>
  </si>
  <si>
    <t>OOLU2729374260</t>
  </si>
  <si>
    <t>SMCU1006703</t>
  </si>
  <si>
    <t>SMLMNJED3H899200</t>
  </si>
  <si>
    <t>DONE#143542</t>
  </si>
  <si>
    <t>SMCU1232146</t>
  </si>
  <si>
    <t>0533671</t>
  </si>
  <si>
    <t>SMLMNJGF2A499100</t>
  </si>
  <si>
    <t xml:space="preserve">DONE#143945 </t>
  </si>
  <si>
    <t>OOLU9246287</t>
  </si>
  <si>
    <t>081B01</t>
  </si>
  <si>
    <t>TCKU6090738</t>
  </si>
  <si>
    <t>51E1F9</t>
  </si>
  <si>
    <t>1hr detention-9am-10:50am/ 1-15 discharged / COSU6372188310 / Betsy  (217)200-6965
305 W Chestnut St, Bondville , IL，61815</t>
  </si>
  <si>
    <t>DONE#143198</t>
  </si>
  <si>
    <t>EMCU8949114</t>
  </si>
  <si>
    <t>EGLV090300241069/PO# 59247 /chassis $120/Exam 550</t>
  </si>
  <si>
    <t>OOLU9845330</t>
  </si>
  <si>
    <t>be2cc4</t>
  </si>
  <si>
    <t xml:space="preserve">COSU6371133481 </t>
  </si>
  <si>
    <t xml:space="preserve">DONE #144230 </t>
  </si>
  <si>
    <t>TGBU8575943</t>
  </si>
  <si>
    <t>62D1EC</t>
  </si>
  <si>
    <t>COSU6371357207</t>
  </si>
  <si>
    <t>DONE#144280</t>
  </si>
  <si>
    <t>GCXU5634968</t>
  </si>
  <si>
    <t>03517A</t>
  </si>
  <si>
    <t>OOLU2729373850</t>
  </si>
  <si>
    <t>BEAU4092701</t>
  </si>
  <si>
    <t>NEW ORLEANS-PORTS AMERICA</t>
  </si>
  <si>
    <t>TCI</t>
  </si>
  <si>
    <t>AV</t>
  </si>
  <si>
    <t>NGP0641662/DRAYAGE PREPAID</t>
  </si>
  <si>
    <t>TGBU8015960</t>
  </si>
  <si>
    <t xml:space="preserve">Newark De 19702 </t>
  </si>
  <si>
    <r>
      <rPr>
        <sz val="11"/>
        <color rgb="FFFF0000"/>
        <rFont val="Calibri"/>
        <family val="2"/>
        <scheme val="minor"/>
      </rPr>
      <t>5.25 hrs detention-11am-5:23pm, 1 hour free.</t>
    </r>
    <r>
      <rPr>
        <sz val="11"/>
        <color theme="1"/>
        <rFont val="Calibri"/>
        <family val="2"/>
        <charset val="134"/>
        <scheme val="minor"/>
      </rPr>
      <t>/ MEDUQQ831727/ 联系人:chong  li 联系方式:302-437-5378 地址:46 Albe Dr Newark De 19702 邮编:19702 邮箱:614570372@qq.com / Q# LNKT092723DE / Detention-1 hr free</t>
    </r>
  </si>
  <si>
    <t xml:space="preserve">DONE#143551 </t>
  </si>
  <si>
    <t>BEAU5678739</t>
  </si>
  <si>
    <t>B0AFB7</t>
  </si>
  <si>
    <t>TGBU8736117</t>
  </si>
  <si>
    <t>A9DE15</t>
  </si>
  <si>
    <t>OOLU2730183950</t>
  </si>
  <si>
    <t>CSNU6798388</t>
  </si>
  <si>
    <t>BOLINGBROOK,IL,60440</t>
  </si>
  <si>
    <t>OOLU4120687640/EMPTY PICK UP 1.29</t>
  </si>
  <si>
    <t>OOLU6756076</t>
  </si>
  <si>
    <t>OOLU4120784750//$250 DROP IF HAPPENS/Empty notice 1.31 around noon</t>
  </si>
  <si>
    <t>TCNU5665750</t>
  </si>
  <si>
    <t xml:space="preserve">OOLU4120784750    </t>
  </si>
  <si>
    <t>SMCU1261611</t>
  </si>
  <si>
    <t>0751658</t>
  </si>
  <si>
    <t xml:space="preserve">SMLMNJBC0B594200 </t>
  </si>
  <si>
    <t>DONE#143872</t>
  </si>
  <si>
    <t>FFAU3233647</t>
  </si>
  <si>
    <t>DBB92D</t>
  </si>
  <si>
    <t>2/7 ST</t>
  </si>
  <si>
    <t>TRHU5302785</t>
  </si>
  <si>
    <t>2DD3DA</t>
  </si>
  <si>
    <t>CSNU6505263</t>
  </si>
  <si>
    <t>5F9CF6</t>
  </si>
  <si>
    <t>2/9 ST</t>
  </si>
  <si>
    <t>FFAU3346725</t>
  </si>
  <si>
    <t>TCLU6318743</t>
  </si>
  <si>
    <t>2B2DA2</t>
  </si>
  <si>
    <t>TCNU1175570</t>
  </si>
  <si>
    <t>CMDUQGD0566270 / examed at LGB</t>
  </si>
  <si>
    <t xml:space="preserve">DONE#144504 </t>
  </si>
  <si>
    <t>TLLU7791050</t>
  </si>
  <si>
    <t>9659f5</t>
  </si>
  <si>
    <t>COSU6371345661</t>
  </si>
  <si>
    <t xml:space="preserve">DONE#144250 </t>
  </si>
  <si>
    <t>CSLU6300203</t>
  </si>
  <si>
    <t>COSU6371448142</t>
  </si>
  <si>
    <t>DONE# 143949</t>
  </si>
  <si>
    <t>FFAU3199748</t>
  </si>
  <si>
    <t>99BE42</t>
  </si>
  <si>
    <t>COSU6371375819</t>
  </si>
  <si>
    <t>DONE#144366</t>
  </si>
  <si>
    <t>BMOU5065958</t>
  </si>
  <si>
    <t>89D90B</t>
  </si>
  <si>
    <t xml:space="preserve">OOLU2730183951  </t>
  </si>
  <si>
    <t>TRHU6587039</t>
  </si>
  <si>
    <t>FFAU3257335</t>
  </si>
  <si>
    <t xml:space="preserve">COSU6371346400 </t>
  </si>
  <si>
    <t xml:space="preserve">DONE#144630 </t>
  </si>
  <si>
    <t>MEDU4164598</t>
  </si>
  <si>
    <t xml:space="preserve">APM TERMINAL </t>
  </si>
  <si>
    <t>INBU5237910</t>
  </si>
  <si>
    <t>BSIU9241515</t>
  </si>
  <si>
    <t>B9C912</t>
  </si>
  <si>
    <t xml:space="preserve">COSU6371234615  </t>
  </si>
  <si>
    <t>DONE#143943</t>
  </si>
  <si>
    <t>mdw2</t>
  </si>
  <si>
    <t>isa 832688703 / 卖价 700 美金 / pink 的成本是 550 美金</t>
  </si>
  <si>
    <t>SEGU3582542</t>
  </si>
  <si>
    <t>UP-SALT LAKE</t>
  </si>
  <si>
    <t xml:space="preserve">LEHI, UT 84043 </t>
  </si>
  <si>
    <t>0401247</t>
  </si>
  <si>
    <t>HLCUTA12311DVHV7/gate fee 40/demurrage fee $140</t>
  </si>
  <si>
    <t>OOCU8398078</t>
  </si>
  <si>
    <t>BOSTON-CONLEY</t>
  </si>
  <si>
    <t>HALE</t>
  </si>
  <si>
    <t>NEWBURYPORT,MA,01950</t>
  </si>
  <si>
    <t>OOLU8895527400</t>
  </si>
  <si>
    <t>TCNU2285947</t>
  </si>
  <si>
    <t>COSU6371345662</t>
  </si>
  <si>
    <t xml:space="preserve">DONE#144592 </t>
  </si>
  <si>
    <t>OOLU9287136</t>
  </si>
  <si>
    <t>797C83</t>
  </si>
  <si>
    <t>COSU6371375820</t>
  </si>
  <si>
    <t xml:space="preserve">DONE#144281 </t>
  </si>
  <si>
    <t>CBHU9034934</t>
  </si>
  <si>
    <t>1/27 ABL DROP / DOCK# 8</t>
  </si>
  <si>
    <t>AD9DBD</t>
  </si>
  <si>
    <t xml:space="preserve">COSU6372764550  </t>
  </si>
  <si>
    <t xml:space="preserve">DONE#144220 </t>
  </si>
  <si>
    <t>TCLU6547035</t>
  </si>
  <si>
    <t>amazon ind9</t>
  </si>
  <si>
    <t xml:space="preserve">CMDUGGZ2026727 </t>
  </si>
  <si>
    <t>TCLU8653993</t>
  </si>
  <si>
    <t>fd8800</t>
  </si>
  <si>
    <t>CMDUGGZ2026993</t>
  </si>
  <si>
    <t>SMCU1206255</t>
  </si>
  <si>
    <t>0389278</t>
  </si>
  <si>
    <t xml:space="preserve">SMLMNJBC0B604100 </t>
  </si>
  <si>
    <t xml:space="preserve">DONE#143874 </t>
  </si>
  <si>
    <t>BEAU6321540</t>
  </si>
  <si>
    <t>0389514</t>
  </si>
  <si>
    <t xml:space="preserve">SMLMNJGF2A502700 </t>
  </si>
  <si>
    <t xml:space="preserve">DONE# 143936 </t>
  </si>
  <si>
    <t>SMCU1257421</t>
  </si>
  <si>
    <t>0389508</t>
  </si>
  <si>
    <t xml:space="preserve">SMLMNJED3H889100 </t>
  </si>
  <si>
    <t xml:space="preserve">DONE#143940 </t>
  </si>
  <si>
    <t>OVLU0131996</t>
  </si>
  <si>
    <t>7am-8am</t>
  </si>
  <si>
    <t>KUMI TRANS</t>
  </si>
  <si>
    <t>Madison, IA 52627</t>
  </si>
  <si>
    <t>387559</t>
  </si>
  <si>
    <t>stop off fee $225/ cost $125+ yard storage  / 1-14 discharged / Chassis split for SOC return to Integrated Industries Corp. Chicago /MBL# TATS3F336400 / Chassis split for OG CN / Q# QDMYH231025-1
收货地址：1124 Avenue H,Fort Madison, IA 52627
收货人：Wade Knoke      
Email - wade@mohrfeldelectric.com , 
Phone：1 (319) 850-6792</t>
  </si>
  <si>
    <t xml:space="preserve">DONE#143548 </t>
  </si>
  <si>
    <t>CMAU5497846</t>
  </si>
  <si>
    <t>45GP</t>
  </si>
  <si>
    <t>de6b45</t>
  </si>
  <si>
    <t xml:space="preserve">CMDUGGZ2027056 </t>
  </si>
  <si>
    <t xml:space="preserve">DONE#143873 </t>
  </si>
  <si>
    <t>CSNU7388027</t>
  </si>
  <si>
    <t>B5809E</t>
  </si>
  <si>
    <t>no detention / pre-pull, yard storage / 1-22 discharged /OOLU8810662490 / Q# WUH101223F-$950 / Detentioin 1 hr free</t>
  </si>
  <si>
    <t xml:space="preserve">DONE#143840 </t>
  </si>
  <si>
    <t>TGBU8068384</t>
  </si>
  <si>
    <t>AD2E43</t>
  </si>
  <si>
    <t>SEGU5267998</t>
  </si>
  <si>
    <t>TGBU8835850</t>
  </si>
  <si>
    <t>D9E4E5</t>
  </si>
  <si>
    <t>1/29-&gt;1/30</t>
  </si>
  <si>
    <t>FFAU2885379</t>
  </si>
  <si>
    <t>FEAD13</t>
  </si>
  <si>
    <t>2/12 ST</t>
  </si>
  <si>
    <t>CSLU6263521</t>
  </si>
  <si>
    <t>B11783</t>
  </si>
  <si>
    <t>COSU6371693743</t>
  </si>
  <si>
    <t xml:space="preserve">DONE#144282 </t>
  </si>
  <si>
    <t>JCR20240122500A</t>
  </si>
  <si>
    <t xml:space="preserve">DONE#144465 </t>
  </si>
  <si>
    <t>TEMU8178102</t>
  </si>
  <si>
    <t>D9CC4A</t>
  </si>
  <si>
    <t xml:space="preserve">COSU6371693692     </t>
  </si>
  <si>
    <t xml:space="preserve">DONE#144364 </t>
  </si>
  <si>
    <t>OOLU1591184</t>
  </si>
  <si>
    <t>E0ECE1</t>
  </si>
  <si>
    <t>OOLU2145256580/Q#PICO230906-1</t>
  </si>
  <si>
    <t>OOCU4872018</t>
  </si>
  <si>
    <t>27FD4A</t>
  </si>
  <si>
    <t xml:space="preserve">OOLU8810680820  </t>
  </si>
  <si>
    <t>BEAU6073059</t>
  </si>
  <si>
    <t>Johnstown PA 15904</t>
  </si>
  <si>
    <r>
      <rPr>
        <sz val="11"/>
        <color rgb="FFFF0000"/>
        <rFont val="Calibri"/>
        <family val="2"/>
        <scheme val="minor"/>
      </rPr>
      <t>1.5 hrs detention-9:35am-12:00am, 1 hour free</t>
    </r>
    <r>
      <rPr>
        <sz val="11"/>
        <color theme="1"/>
        <rFont val="Calibri"/>
        <family val="2"/>
        <charset val="134"/>
        <scheme val="minor"/>
      </rPr>
      <t xml:space="preserve"> / COSU6371480652/ Received DO /  Q# LTRN112823A / 
联系人:suhan lin 联系方式:9178618246 地址:500 galleria dr suite 250 johnstown pa 15904  邮箱:sulin841@Gmail.com</t>
    </r>
  </si>
  <si>
    <t>DONE#144131</t>
  </si>
  <si>
    <t>FCIU9909778</t>
  </si>
  <si>
    <t>2/5 at port tml</t>
  </si>
  <si>
    <t>CES OG port tml 2/1
2/26 OG  from CES EXAM site</t>
  </si>
  <si>
    <r>
      <rPr>
        <sz val="11"/>
        <color rgb="FFFF0000"/>
        <rFont val="Calibri"/>
        <family val="2"/>
        <scheme val="minor"/>
      </rPr>
      <t>2-28 HOLD removed / 2-27 on delivery HOLD / Exam site pickup surcharge $ 200 ( including picking up empty chassis )</t>
    </r>
    <r>
      <rPr>
        <sz val="11"/>
        <color theme="1"/>
        <rFont val="Calibri"/>
        <family val="2"/>
        <charset val="134"/>
        <scheme val="minor"/>
      </rPr>
      <t xml:space="preserve"> / COSU6371480651 /Received DO /   Q# LTRN112823A / 
联系人:suhan lin 联系方式:9178618246 地址:500 galleria dr suite 250 johnstown pa 15904  邮箱:sulin841@Gmail.com</t>
    </r>
  </si>
  <si>
    <t xml:space="preserve">DONE#144965 </t>
  </si>
  <si>
    <t>TGBU5028536</t>
  </si>
  <si>
    <t>1.75 hrs detention-8:30am-11:15am, 1 hour free / COSU6371480650 /Received DO /  Q# LTRN112823A / Detention 1 hr free
联系人:suhan lin 联系方式:9178618246 地址:500 galleria dr suite 250 johnstown pa 15904  邮箱:sulin841@Gmail.com</t>
  </si>
  <si>
    <t>DONE#144132</t>
  </si>
  <si>
    <t>CICU6196941</t>
  </si>
  <si>
    <t>UP-SALT LAKE CITY</t>
  </si>
  <si>
    <r>
      <t xml:space="preserve">2-2 discharged / QGD0563164/ </t>
    </r>
    <r>
      <rPr>
        <sz val="11"/>
        <color rgb="FFFF0000"/>
        <rFont val="Calibri"/>
        <family val="2"/>
        <charset val="134"/>
        <scheme val="minor"/>
      </rPr>
      <t xml:space="preserve"> Chassis split for SOC return to Railroad Storage &amp; Drayage Inc</t>
    </r>
    <r>
      <rPr>
        <sz val="11"/>
        <color theme="1"/>
        <rFont val="Calibri"/>
        <family val="2"/>
        <scheme val="minor"/>
      </rPr>
      <t xml:space="preserve"> / Q# QDMY080423A/  Detention 1 hr free</t>
    </r>
  </si>
  <si>
    <t>DONE#144585</t>
  </si>
  <si>
    <t>TCNU8774858</t>
  </si>
  <si>
    <t>DEMURRAGEd through 2/5</t>
  </si>
  <si>
    <t>ZIMUNGB1180382/DRAYAGE PREPAID/EXAM $367.03+$1275/DEMURRAGE $293.5 / pre-pull, yard storage</t>
  </si>
  <si>
    <t>CSNU7943557</t>
  </si>
  <si>
    <t>COSU6372057440</t>
  </si>
  <si>
    <t>TGBU5871427</t>
  </si>
  <si>
    <t>COSU6372755210/terminal 91</t>
  </si>
  <si>
    <t>CSNU8193518</t>
  </si>
  <si>
    <t>B17558</t>
  </si>
  <si>
    <t>COSU6373049290 </t>
  </si>
  <si>
    <t xml:space="preserve">DONE#144724 </t>
  </si>
  <si>
    <t>CCLU7956983</t>
  </si>
  <si>
    <t>da2539</t>
  </si>
  <si>
    <t xml:space="preserve">OOLU2144779540 </t>
  </si>
  <si>
    <t>DONE#143944</t>
  </si>
  <si>
    <t>FCIU7192097</t>
  </si>
  <si>
    <t>D66188</t>
  </si>
  <si>
    <t>OOCU8555670</t>
  </si>
  <si>
    <t>B59D62</t>
  </si>
  <si>
    <t>BMOU2905448</t>
  </si>
  <si>
    <t>A708B8</t>
  </si>
  <si>
    <t>OOLU2145256580/Q#PICO230906-1/IT CANCEL $40</t>
  </si>
  <si>
    <t>TGBU7699169</t>
  </si>
  <si>
    <t>8e0537</t>
  </si>
  <si>
    <t>COSU6371693744 / 收 split fee</t>
  </si>
  <si>
    <t xml:space="preserve">DONE#144804 </t>
  </si>
  <si>
    <t>CSNU6074058</t>
  </si>
  <si>
    <t>ddffa4</t>
  </si>
  <si>
    <t>COSU6371693683</t>
  </si>
  <si>
    <t xml:space="preserve">DONE#144806 </t>
  </si>
  <si>
    <t xml:space="preserve">TCNU3178033 </t>
  </si>
  <si>
    <t>YMJAW242563036/QUOTATION#AP-0308A</t>
  </si>
  <si>
    <t>OOLU4394830</t>
  </si>
  <si>
    <t>D341B4</t>
  </si>
  <si>
    <t>BMOU4980836</t>
  </si>
  <si>
    <t>ae538c</t>
  </si>
  <si>
    <t xml:space="preserve">COSU6371736370 </t>
  </si>
  <si>
    <t>DONE#144176</t>
  </si>
  <si>
    <t>TCKU7968601</t>
  </si>
  <si>
    <t>97C5B3 </t>
  </si>
  <si>
    <t>OOLU2144652330</t>
  </si>
  <si>
    <t xml:space="preserve">DONE#144805 </t>
  </si>
  <si>
    <t>OOLU5384117</t>
  </si>
  <si>
    <t xml:space="preserve">OSSEO,MN,55369
</t>
  </si>
  <si>
    <t>OOLU2301066241/Q#YWHJ113023D / pre-pull /  yard storage / drop</t>
  </si>
  <si>
    <t>CICU5746175</t>
  </si>
  <si>
    <t>CAROLINA</t>
  </si>
  <si>
    <t>INDIANA,IN,47711</t>
  </si>
  <si>
    <t>QGD0519154 /OW225/SOC</t>
  </si>
  <si>
    <t>OOCU6800790</t>
  </si>
  <si>
    <t>b94cba</t>
  </si>
  <si>
    <t xml:space="preserve">OOLU2144790520 </t>
  </si>
  <si>
    <t xml:space="preserve">DONE#144361 </t>
  </si>
  <si>
    <t>CSNU7391102</t>
  </si>
  <si>
    <r>
      <rPr>
        <sz val="11"/>
        <rFont val="Calibri"/>
        <family val="2"/>
        <scheme val="minor"/>
      </rPr>
      <t>2-20 pending empty ready/ customer clears demurrage /</t>
    </r>
    <r>
      <rPr>
        <sz val="11"/>
        <color rgb="FFFF0000"/>
        <rFont val="Calibri"/>
        <family val="2"/>
        <scheme val="minor"/>
      </rPr>
      <t xml:space="preserve"> 2-7 Delivery HOLD removed / </t>
    </r>
    <r>
      <rPr>
        <sz val="11"/>
        <rFont val="Calibri"/>
        <family val="2"/>
        <scheme val="minor"/>
      </rPr>
      <t xml:space="preserve">2-2 HOLD for delviery  / OOLU2144480200 </t>
    </r>
  </si>
  <si>
    <t>DONE#144685</t>
  </si>
  <si>
    <t>EITU1877370</t>
  </si>
  <si>
    <t>4am-12pm fcfs.</t>
  </si>
  <si>
    <t>Elkhart, IN 46514</t>
  </si>
  <si>
    <r>
      <rPr>
        <sz val="11"/>
        <color rgb="FFFF0000"/>
        <rFont val="Calibri"/>
        <family val="2"/>
        <scheme val="minor"/>
      </rPr>
      <t>0.5hr detention-10:35AM-12:06PM</t>
    </r>
    <r>
      <rPr>
        <sz val="11"/>
        <color theme="1"/>
        <rFont val="Calibri"/>
        <family val="2"/>
        <charset val="134"/>
        <scheme val="minor"/>
      </rPr>
      <t xml:space="preserve"> / 2-6 flat tire changed APPT to 2-7/ 2-5 receiver confimed APPT / pre-pull, yard storage / EGLV149307176525 /Received DO /Contact </t>
    </r>
    <r>
      <rPr>
        <sz val="11"/>
        <color rgb="FFFF0000"/>
        <rFont val="Calibri"/>
        <family val="2"/>
        <scheme val="minor"/>
      </rPr>
      <t xml:space="preserve">Jeff La Fortune /574-262-2518 </t>
    </r>
    <r>
      <rPr>
        <sz val="11"/>
        <color theme="1"/>
        <rFont val="Calibri"/>
        <family val="2"/>
        <scheme val="minor"/>
      </rPr>
      <t>/ Q# LTRN011624D</t>
    </r>
  </si>
  <si>
    <t xml:space="preserve">DONE#144133 </t>
  </si>
  <si>
    <t>BMOU5181080</t>
  </si>
  <si>
    <t>C041CB</t>
  </si>
  <si>
    <t>COSU6371693730</t>
  </si>
  <si>
    <t xml:space="preserve">DONE#144410 </t>
  </si>
  <si>
    <t>TRHU5348030</t>
  </si>
  <si>
    <t>0a6fa1</t>
  </si>
  <si>
    <t>OOLU2730502161</t>
  </si>
  <si>
    <t>DONE#144641</t>
  </si>
  <si>
    <t xml:space="preserve">CSNU8483348 </t>
  </si>
  <si>
    <t xml:space="preserve"> 2/8</t>
  </si>
  <si>
    <t>11AE2A</t>
  </si>
  <si>
    <t>OOLU2730180050</t>
  </si>
  <si>
    <t>FFAU2668542</t>
  </si>
  <si>
    <t>B28754</t>
  </si>
  <si>
    <t>COSU6371795565</t>
  </si>
  <si>
    <t xml:space="preserve">DONE#145149 </t>
  </si>
  <si>
    <t>CICU6196920</t>
  </si>
  <si>
    <r>
      <rPr>
        <sz val="11"/>
        <color rgb="FFFF0000"/>
        <rFont val="Calibri"/>
        <family val="2"/>
        <scheme val="minor"/>
      </rPr>
      <t xml:space="preserve">1.5 hrs detention-9an-11:30an, 1 hr free </t>
    </r>
    <r>
      <rPr>
        <sz val="11"/>
        <color theme="1"/>
        <rFont val="Calibri"/>
        <family val="2"/>
        <scheme val="minor"/>
      </rPr>
      <t xml:space="preserve"> / QGD0563164/ </t>
    </r>
    <r>
      <rPr>
        <sz val="11"/>
        <color rgb="FFFF0000"/>
        <rFont val="Calibri"/>
        <family val="2"/>
        <charset val="134"/>
        <scheme val="minor"/>
      </rPr>
      <t xml:space="preserve"> Chassis split for SOC return to Railroad Storage &amp; Drayage Inc / pre-pull / yard storage</t>
    </r>
    <r>
      <rPr>
        <sz val="11"/>
        <color theme="1"/>
        <rFont val="Calibri"/>
        <family val="2"/>
        <scheme val="minor"/>
      </rPr>
      <t>/ Q# QDMY080423A/  Detention 1 hr free</t>
    </r>
  </si>
  <si>
    <t>DONE#144358</t>
  </si>
  <si>
    <t>SENT</t>
  </si>
  <si>
    <t>FFAU2813126</t>
  </si>
  <si>
    <t>D4FCF1  </t>
  </si>
  <si>
    <t xml:space="preserve">COSU6372409910  </t>
  </si>
  <si>
    <t>GAOU6019529</t>
  </si>
  <si>
    <t>0813163</t>
  </si>
  <si>
    <t xml:space="preserve">SMLMNJGF2A543500 </t>
  </si>
  <si>
    <t xml:space="preserve">DONE#144509 </t>
  </si>
  <si>
    <t>CAIU9951764</t>
  </si>
  <si>
    <t>0813078</t>
  </si>
  <si>
    <t xml:space="preserve">SMLMNJBC0B618600 </t>
  </si>
  <si>
    <t xml:space="preserve">DONE#144240 </t>
  </si>
  <si>
    <t>DFSU7072325</t>
  </si>
  <si>
    <t>0812936</t>
  </si>
  <si>
    <t xml:space="preserve">SMLMNJED3K135700 </t>
  </si>
  <si>
    <t xml:space="preserve">DONE#144507 </t>
  </si>
  <si>
    <t>TGBU8602186</t>
  </si>
  <si>
    <t>618ADF</t>
  </si>
  <si>
    <t xml:space="preserve">OOLU4120691180 </t>
  </si>
  <si>
    <t xml:space="preserve">DONE#144645 </t>
  </si>
  <si>
    <t>Blue Stars</t>
  </si>
  <si>
    <t>ZXJU0046706</t>
  </si>
  <si>
    <t>FCFS 8-1700</t>
  </si>
  <si>
    <t>Big Bend, WI 53103</t>
  </si>
  <si>
    <t>91F0FC</t>
  </si>
  <si>
    <r>
      <rPr>
        <sz val="11"/>
        <color rgb="FFFF0000"/>
        <rFont val="Calibri"/>
        <family val="2"/>
        <scheme val="minor"/>
      </rPr>
      <t>0.5 hr detention-7am-8:29am, 1 hour free. / Demurrage $150-2.6 卡车付了， Demurrage $150-2.5</t>
    </r>
    <r>
      <rPr>
        <sz val="11"/>
        <color theme="1"/>
        <rFont val="Calibri"/>
        <family val="2"/>
        <charset val="134"/>
        <scheme val="minor"/>
      </rPr>
      <t xml:space="preserve"> / 1-23 discharged / CMDUQGD0592579 / </t>
    </r>
    <r>
      <rPr>
        <sz val="11"/>
        <color rgb="FFFF0000"/>
        <rFont val="Calibri"/>
        <family val="2"/>
        <scheme val="minor"/>
      </rPr>
      <t xml:space="preserve">垫付H/C $65 to ETS / SOC return to Vaccarro/ re-route$250 &amp;  chassis split for SOC return </t>
    </r>
    <r>
      <rPr>
        <sz val="11"/>
        <color theme="1"/>
        <rFont val="Calibri"/>
        <family val="2"/>
        <charset val="134"/>
        <scheme val="minor"/>
      </rPr>
      <t>/ Q# WUH010824G / Detention 1 hr free</t>
    </r>
  </si>
  <si>
    <t>DONE#144351</t>
  </si>
  <si>
    <t>ZXJU0046732</t>
  </si>
  <si>
    <t>D131D4</t>
  </si>
  <si>
    <r>
      <rPr>
        <sz val="11"/>
        <color rgb="FFFF0000"/>
        <rFont val="Calibri"/>
        <family val="2"/>
        <scheme val="minor"/>
      </rPr>
      <t>Demurrage$150-2.6卡车付了 /</t>
    </r>
    <r>
      <rPr>
        <sz val="11"/>
        <color theme="1"/>
        <rFont val="Calibri"/>
        <family val="2"/>
        <scheme val="minor"/>
      </rPr>
      <t xml:space="preserve"> 1-23 discharged / CMDUQGD0592579/</t>
    </r>
    <r>
      <rPr>
        <sz val="11"/>
        <color rgb="FFFF0000"/>
        <rFont val="Calibri"/>
        <family val="2"/>
        <charset val="134"/>
        <scheme val="minor"/>
      </rPr>
      <t xml:space="preserve"> SOC return to Vaccarro/ re-route$250 &amp;  chassis split for SOC return </t>
    </r>
    <r>
      <rPr>
        <sz val="11"/>
        <color theme="1"/>
        <rFont val="Calibri"/>
        <family val="2"/>
        <scheme val="minor"/>
      </rPr>
      <t>/ Q# WUH010824G / Detention 1 hr free</t>
    </r>
  </si>
  <si>
    <t>DONE#144353</t>
  </si>
  <si>
    <t>FFAU2585772</t>
  </si>
  <si>
    <t>SAV-GEORGIA PORT</t>
  </si>
  <si>
    <t xml:space="preserve"> 2-8</t>
  </si>
  <si>
    <t>COSU6891672270/EMPTY NOTICE 2-7 5:30PM/DROP</t>
  </si>
  <si>
    <t xml:space="preserve">UETU5116931   </t>
  </si>
  <si>
    <t>SEAL# PENDING</t>
  </si>
  <si>
    <t xml:space="preserve"> 2-9</t>
  </si>
  <si>
    <t>COSU6891664210/OW/Q#NBJD110223B/EMPTY NOTICE 2-8 1:30</t>
  </si>
  <si>
    <t>CSNU7069457</t>
  </si>
  <si>
    <t>COSU6891664210/Q#NBJD110223B</t>
  </si>
  <si>
    <t>BSIU9635550</t>
  </si>
  <si>
    <t>8fd958</t>
  </si>
  <si>
    <t xml:space="preserve">COSU6371693732    </t>
  </si>
  <si>
    <t>1st Inv# 144808 and 2nd done</t>
  </si>
  <si>
    <t>MTPE24010040/4700-4800/ONEYTPED96553900</t>
  </si>
  <si>
    <t>TGBU4789680</t>
  </si>
  <si>
    <t>ABL WH 2/6</t>
  </si>
  <si>
    <t>FTL 2-15</t>
  </si>
  <si>
    <t>ABL/WEST BAN,WI,53095</t>
  </si>
  <si>
    <t>E62EC3</t>
  </si>
  <si>
    <t>OOLU2301116334/Q#YWHJ121523A/DEVAN 2.6</t>
  </si>
  <si>
    <t>A-Z/TRSD</t>
  </si>
  <si>
    <t>TRHU4366635</t>
  </si>
  <si>
    <t>8AM-3PM</t>
  </si>
  <si>
    <t>AB758E</t>
  </si>
  <si>
    <t>OOLU2730623470/Q#PGIL110123A</t>
  </si>
  <si>
    <t>TLLU6917945</t>
  </si>
  <si>
    <t>b03082</t>
  </si>
  <si>
    <t xml:space="preserve">COSU6372386993 </t>
  </si>
  <si>
    <t xml:space="preserve">DONE#144646 </t>
  </si>
  <si>
    <t>CICU5003288</t>
  </si>
  <si>
    <t>12:30pm</t>
  </si>
  <si>
    <t>中转港查验， 需要司机提货时拍照seal / CMDUXIA1240835 / SOC return to Conglobal Cincinnati / W23030601</t>
  </si>
  <si>
    <t xml:space="preserve">DONE#144215 </t>
  </si>
  <si>
    <t>MSMU5964428</t>
  </si>
  <si>
    <t>3CFF6C</t>
  </si>
  <si>
    <t>1-29 discharged / 177ODWDWQ12142V / Q# XBNG21423M/ Detention-2hrs free/ Q#   Detention 1 hr free</t>
  </si>
  <si>
    <t xml:space="preserve">DONE#144225 </t>
  </si>
  <si>
    <t>OOLU6756395</t>
  </si>
  <si>
    <t>ABL WH 2/15</t>
  </si>
  <si>
    <t>FTL 2-23</t>
  </si>
  <si>
    <t>8E7C46</t>
  </si>
  <si>
    <t>OOLU8895781640/Q#YWHJ121523A/DEVAN 2.16</t>
  </si>
  <si>
    <t>TGBU7976751</t>
  </si>
  <si>
    <t>WH CODE A106</t>
  </si>
  <si>
    <t xml:space="preserve">COSU6891663440/CUSTOMER PO#A106 </t>
  </si>
  <si>
    <t>OOCU7413100</t>
  </si>
  <si>
    <t>WH CODE A107</t>
  </si>
  <si>
    <t>COSU6891663480 /PO#A107</t>
  </si>
  <si>
    <t>OOLU8385729</t>
  </si>
  <si>
    <t>SEAL# NA165110</t>
  </si>
  <si>
    <t xml:space="preserve">COSU6371483800/Q#NBJD110223B/$260 DRY RUN </t>
  </si>
  <si>
    <t>TCKU6712940</t>
  </si>
  <si>
    <t>SEAL# NA157335</t>
  </si>
  <si>
    <t>OOCU7807058</t>
  </si>
  <si>
    <t xml:space="preserve"> 2-12</t>
  </si>
  <si>
    <t>COSU6891663500/PO#A106</t>
  </si>
  <si>
    <t>TCKU6468854</t>
  </si>
  <si>
    <t>cd9fab</t>
  </si>
  <si>
    <t xml:space="preserve">COSU6372386994 </t>
  </si>
  <si>
    <t xml:space="preserve">DONE#144635 </t>
  </si>
  <si>
    <t>GVTU5109086</t>
  </si>
  <si>
    <t>957bdc</t>
  </si>
  <si>
    <t>CMDUGGZ2031962</t>
  </si>
  <si>
    <t xml:space="preserve">DONE#144703 </t>
  </si>
  <si>
    <t>GVTU5109105</t>
  </si>
  <si>
    <t>911daa</t>
  </si>
  <si>
    <t>CMDUGGZ2031976 /在2-13号才给 pu#, abl extend lfd to 2-13 and billed to kok /</t>
  </si>
  <si>
    <t>DONE#144636</t>
  </si>
  <si>
    <t>CICU5019345</t>
  </si>
  <si>
    <r>
      <t xml:space="preserve">pre-pull, yard storage / 1-20 discharged /ONEYXMNDB2180600/ </t>
    </r>
    <r>
      <rPr>
        <sz val="11"/>
        <color rgb="FFFF0000"/>
        <rFont val="Calibri"/>
        <family val="2"/>
        <charset val="134"/>
        <scheme val="minor"/>
      </rPr>
      <t>SOC return to ITS ConGlobal Cincinnati/ W23030601</t>
    </r>
  </si>
  <si>
    <t>DONE#144213</t>
  </si>
  <si>
    <t>ONEU2228681</t>
  </si>
  <si>
    <t>Brighton, MI 48116</t>
  </si>
  <si>
    <r>
      <t xml:space="preserve"> ONEYXMNDB0043900 / COC / OW charge &amp; triaxle may apply -OW -20GP-39359 LBS</t>
    </r>
    <r>
      <rPr>
        <sz val="11"/>
        <color rgb="FFFF0000"/>
        <rFont val="Calibri"/>
        <family val="2"/>
        <scheme val="minor"/>
      </rPr>
      <t xml:space="preserve"> / Q# ASPD120623A</t>
    </r>
  </si>
  <si>
    <t>DONE#143842</t>
  </si>
  <si>
    <t>CSNU6636026</t>
  </si>
  <si>
    <t>DF20BF</t>
  </si>
  <si>
    <t>COSU6371693746</t>
  </si>
  <si>
    <t xml:space="preserve">DONE#144813 </t>
  </si>
  <si>
    <t>MATU2313000</t>
  </si>
  <si>
    <t>86AFC5</t>
  </si>
  <si>
    <t>MATS3957353000</t>
  </si>
  <si>
    <t xml:space="preserve">DONE#144966 </t>
  </si>
  <si>
    <t>XINYUE</t>
  </si>
  <si>
    <t>APHU6501109</t>
  </si>
  <si>
    <t xml:space="preserve"> CMA</t>
  </si>
  <si>
    <t>29F2B1</t>
  </si>
  <si>
    <t>CMDUCHN0769024</t>
  </si>
  <si>
    <t>DONE#144722</t>
  </si>
  <si>
    <t>FSCU8584527</t>
  </si>
  <si>
    <t>992CC5</t>
  </si>
  <si>
    <t>COSU6372473286</t>
  </si>
  <si>
    <t xml:space="preserve">DONE#144810 </t>
  </si>
  <si>
    <t xml:space="preserve">BEAU5572670 </t>
  </si>
  <si>
    <t>8AM DROP</t>
  </si>
  <si>
    <t>84E9E9</t>
  </si>
  <si>
    <t>OOLU2144819700/Q#YWHJ102623A/DROP $250/DEMURRAGE ABL PD</t>
  </si>
  <si>
    <t>CSNU7512014</t>
  </si>
  <si>
    <t>C43F7C</t>
  </si>
  <si>
    <t xml:space="preserve">COSU6372473284          </t>
  </si>
  <si>
    <t xml:space="preserve">DONE#144811 </t>
  </si>
  <si>
    <t>CBHU9166838</t>
  </si>
  <si>
    <t>C6209A</t>
  </si>
  <si>
    <t>COSU6372473287</t>
  </si>
  <si>
    <t>DONE#144812</t>
  </si>
  <si>
    <t>TGBU8593253</t>
  </si>
  <si>
    <t>543ca2</t>
  </si>
  <si>
    <t>COSU6372473288</t>
  </si>
  <si>
    <t xml:space="preserve">DONE#144368 </t>
  </si>
  <si>
    <t>CSNU6376818</t>
  </si>
  <si>
    <t>C9FDFB</t>
  </si>
  <si>
    <t>COSU6372473270</t>
  </si>
  <si>
    <t>DONE#144407</t>
  </si>
  <si>
    <t>TGBU4876384</t>
  </si>
  <si>
    <t>76627C</t>
  </si>
  <si>
    <t xml:space="preserve">COSU6372409918  </t>
  </si>
  <si>
    <t xml:space="preserve">DONE#145150 </t>
  </si>
  <si>
    <t>CSNU6093757</t>
  </si>
  <si>
    <t>24642D</t>
  </si>
  <si>
    <t xml:space="preserve">OOLU2730502160 </t>
  </si>
  <si>
    <t xml:space="preserve">DONE#144360 </t>
  </si>
  <si>
    <t xml:space="preserve">CICU5019514 </t>
  </si>
  <si>
    <t>1:30pm</t>
  </si>
  <si>
    <r>
      <t xml:space="preserve">1-20 discharged /ONEYXMNDB2180600/ </t>
    </r>
    <r>
      <rPr>
        <sz val="11"/>
        <color rgb="FFFF0000"/>
        <rFont val="Calibri"/>
        <family val="2"/>
        <charset val="134"/>
        <scheme val="minor"/>
      </rPr>
      <t>SOC return to ITS ConGlobal Cincinnati/ W23030601</t>
    </r>
  </si>
  <si>
    <t>DONE# 144214</t>
  </si>
  <si>
    <t>EMCU1723296</t>
  </si>
  <si>
    <t>MOBILE,AL</t>
  </si>
  <si>
    <t>Birmingham, AL 35203</t>
  </si>
  <si>
    <t>EGLV090300233342/PO # 33196/chassis 120</t>
  </si>
  <si>
    <t>iw</t>
  </si>
  <si>
    <t>SMCU1264689</t>
  </si>
  <si>
    <t xml:space="preserve">SMLMNJBC0B623200 </t>
  </si>
  <si>
    <t xml:space="preserve">DONE#144493 </t>
  </si>
  <si>
    <t>CSNU6705620</t>
  </si>
  <si>
    <t>c633f7</t>
  </si>
  <si>
    <t>OOLU2145161530</t>
  </si>
  <si>
    <t xml:space="preserve">DONE#144643 </t>
  </si>
  <si>
    <t>FFAU3335947</t>
  </si>
  <si>
    <t>7CCDD1</t>
  </si>
  <si>
    <t>OOLU2145161410</t>
  </si>
  <si>
    <t xml:space="preserve">DONE #144638 </t>
  </si>
  <si>
    <t>MAGU5225914</t>
  </si>
  <si>
    <t>7AE541</t>
  </si>
  <si>
    <t>OOLU2145161250 / 在 2-13号还没清关 -</t>
  </si>
  <si>
    <t>DONE#144639</t>
  </si>
  <si>
    <t>OOCU7619657</t>
  </si>
  <si>
    <t>F0D1B4</t>
  </si>
  <si>
    <t>OOLU2145161460 /broker 提供了错误pu# 导致没在 lfd 前og /</t>
  </si>
  <si>
    <t>DONE# 144853, DEM INV TO JL #144617</t>
  </si>
  <si>
    <t>DALA21839301</t>
  </si>
  <si>
    <t>1*40HQ TO WUHAN</t>
  </si>
  <si>
    <t>884504-1/25</t>
  </si>
  <si>
    <t>JAN 27 @8AM</t>
  </si>
  <si>
    <t>ERD JAN 23 6AM/CNTR#KOCU5162762/Q#EMBL011624A</t>
  </si>
  <si>
    <t>DALA21839300</t>
  </si>
  <si>
    <t xml:space="preserve">884503-1/18
</t>
  </si>
  <si>
    <t>JAN 19 @8AM</t>
  </si>
  <si>
    <t xml:space="preserve">1/18
</t>
  </si>
  <si>
    <t>ERD JAN 15 6AM/CNTR#DFSU6622031/Q#EMBL011624A</t>
  </si>
  <si>
    <t xml:space="preserve">CBHU9152460  </t>
  </si>
  <si>
    <t>NEED TO SEND EVANS</t>
  </si>
  <si>
    <t>GRAMD RAPIDS,MI,49512</t>
  </si>
  <si>
    <t>BOL TEL RLS</t>
  </si>
  <si>
    <t>COSU6374072440/Q#YWHJ010824A</t>
  </si>
  <si>
    <t>UETU5112540</t>
  </si>
  <si>
    <t>9CF167</t>
  </si>
  <si>
    <t xml:space="preserve">cosu6373127644            </t>
  </si>
  <si>
    <t xml:space="preserve">DONE#144814 </t>
  </si>
  <si>
    <t>DFSU1561334</t>
  </si>
  <si>
    <t>BF8CFA</t>
  </si>
  <si>
    <t>EMCU8820359</t>
  </si>
  <si>
    <t>EGLV090300230806/ALL-IN/po# 33004/chassis 120</t>
  </si>
  <si>
    <t>TGHU6902695</t>
  </si>
  <si>
    <t>608c15</t>
  </si>
  <si>
    <t>COSU6371800880 / examed</t>
  </si>
  <si>
    <t xml:space="preserve">DONE#144855 </t>
  </si>
  <si>
    <t>OOLU9070536</t>
  </si>
  <si>
    <t>2/8 arrived at ABL DOCK#7
FTL APPT TO CNEE /  2/13 9AM-12PM</t>
  </si>
  <si>
    <t>Fin whale
PINK / PPL# 51344</t>
  </si>
  <si>
    <t>ABL non-FBA</t>
  </si>
  <si>
    <r>
      <t>2-9 Finished devanning / 客户送到ABL仓库 / Transload / OOLU2144140010 / Q# WHAL122223A /  FTL $1650 / Fin whale drayage to ABL,</t>
    </r>
    <r>
      <rPr>
        <sz val="11"/>
        <color rgb="FFFF0000"/>
        <rFont val="Calibri"/>
        <family val="2"/>
        <scheme val="minor"/>
      </rPr>
      <t xml:space="preserve"> ABL only arrange devanning+palletize+ FTL delivery</t>
    </r>
    <r>
      <rPr>
        <sz val="11"/>
        <color theme="1"/>
        <rFont val="Calibri"/>
        <family val="2"/>
        <scheme val="minor"/>
      </rPr>
      <t xml:space="preserve"> 
Delivery address：
GAMEDAY COUTURE
614 Expressway Ct, Gaylord, MI 49735
Email：terri@gamedaycouture.com
抄送：zhang@blossom-nb.com; bonnie@blossom-nb.com
maggy@blossom-nb.com; Candy@finwhalelogistics.com
联系人:Terri Watts  电话: Tel: 989-858-4404</t>
    </r>
  </si>
  <si>
    <t xml:space="preserve">DONE#144400 </t>
  </si>
  <si>
    <t>PINK $1500</t>
  </si>
  <si>
    <t>OOCU7496640</t>
  </si>
  <si>
    <t>354fdc</t>
  </si>
  <si>
    <t>COSU6373148731</t>
  </si>
  <si>
    <t xml:space="preserve">DONE#144856 </t>
  </si>
  <si>
    <t>CSLU6319019</t>
  </si>
  <si>
    <r>
      <t xml:space="preserve">2-14 empty ready/ 1-30 discharged / Order#75507 / OOLU2730465130/ COC     / </t>
    </r>
    <r>
      <rPr>
        <sz val="11"/>
        <color rgb="FFFF0000"/>
        <rFont val="Calibri"/>
        <family val="2"/>
        <charset val="134"/>
        <scheme val="minor"/>
      </rPr>
      <t>Pending DO</t>
    </r>
    <r>
      <rPr>
        <sz val="11"/>
        <color theme="1"/>
        <rFont val="Calibri"/>
        <family val="2"/>
        <charset val="134"/>
        <scheme val="minor"/>
      </rPr>
      <t xml:space="preserve"> / Q# AS240115-2 / </t>
    </r>
    <r>
      <rPr>
        <sz val="11"/>
        <color theme="1"/>
        <rFont val="Calibri"/>
        <family val="2"/>
        <scheme val="minor"/>
      </rPr>
      <t>DROP double drayage / AS061623K</t>
    </r>
  </si>
  <si>
    <t xml:space="preserve">DONE#144357 </t>
  </si>
  <si>
    <t>MATU2576156</t>
  </si>
  <si>
    <t>2-7 DROP/DOCK#13</t>
  </si>
  <si>
    <t>37F6D9</t>
  </si>
  <si>
    <t xml:space="preserve">2-9 DEVANNING REPORT / MATS21387350000   / IG TO ITC, reroute $200+ chassis split </t>
  </si>
  <si>
    <t>DONE#144582</t>
  </si>
  <si>
    <t>EMCU1749731</t>
  </si>
  <si>
    <t>EGLV090300233112/PO # 33194 &amp; 33195/terminal 370</t>
  </si>
  <si>
    <t>EMCU8670428</t>
  </si>
  <si>
    <t>EGLV090300233112/PO # 33194 &amp; 33195</t>
  </si>
  <si>
    <t>TLLU4487043</t>
  </si>
  <si>
    <r>
      <t>26B16C</t>
    </r>
    <r>
      <rPr>
        <sz val="12"/>
        <color rgb="FF000000"/>
        <rFont val="Helvetica Neue"/>
        <family val="1"/>
        <charset val="1"/>
      </rPr>
      <t> </t>
    </r>
  </si>
  <si>
    <t>COSU6373262920</t>
  </si>
  <si>
    <t xml:space="preserve">DONE#144857 </t>
  </si>
  <si>
    <t>CSNU6161363</t>
  </si>
  <si>
    <t>6783d4</t>
  </si>
  <si>
    <t xml:space="preserve">COSU6373958660 </t>
  </si>
  <si>
    <t xml:space="preserve">DONE#144699 </t>
  </si>
  <si>
    <t>CSNU8498029</t>
  </si>
  <si>
    <t>8c2e23</t>
  </si>
  <si>
    <t>COSU6373830110</t>
  </si>
  <si>
    <t xml:space="preserve">DONE#144859 </t>
  </si>
  <si>
    <t>2*40HQ TO NINGBO</t>
  </si>
  <si>
    <t xml:space="preserve">ORDER#ORD375619
ORDER#ORD375484&amp;ORD377347 </t>
  </si>
  <si>
    <t>1/17 @8AM
1/17 @10AM</t>
  </si>
  <si>
    <t>1/17 3PM</t>
  </si>
  <si>
    <t>ORD375619-1/16
ORD375484&amp;ORD377347-1/16</t>
  </si>
  <si>
    <t>ORD375619-1/17
ORD375484&amp;ORD377347-1/17</t>
  </si>
  <si>
    <t xml:space="preserve">ERD Jan 13/CNTR#DFSU7263770&amp;DRYU9522890/REF#ORD375619&amp;ORD375484&amp;ORD377347 </t>
  </si>
  <si>
    <t>RICDLW384400</t>
  </si>
  <si>
    <t>20-&gt;40</t>
  </si>
  <si>
    <t>EVERGLADES to SHA</t>
  </si>
  <si>
    <t>IWS</t>
  </si>
  <si>
    <t>NEED TO DROP/WAITING CUSTOMER'S UPDATE/dry run 250/abl absorb pu detention 1 hour/USED TO BE RICDJH089700/export return/SPGLSED00002027/ $225 not used fee/</t>
  </si>
  <si>
    <t xml:space="preserve">JCR20240124300A </t>
  </si>
  <si>
    <t>DONE#144464</t>
  </si>
  <si>
    <t xml:space="preserve">                                                                                                                                                                                                                                                                                                                                                                                                                                                                                                                                               </t>
  </si>
  <si>
    <t>OOCU7883398</t>
  </si>
  <si>
    <t>3CDEE4</t>
  </si>
  <si>
    <t>OOLU2729632320/Q#GRLT010824A</t>
  </si>
  <si>
    <t xml:space="preserve">D
</t>
  </si>
  <si>
    <t>CSNU6986662</t>
  </si>
  <si>
    <t>9B1F37</t>
  </si>
  <si>
    <t xml:space="preserve">OOLU2730821770  </t>
  </si>
  <si>
    <t>FSCU8960440</t>
  </si>
  <si>
    <t>E094E9</t>
  </si>
  <si>
    <t>CCLU7324071</t>
  </si>
  <si>
    <t>4AB2FB</t>
  </si>
  <si>
    <t xml:space="preserve">OOLU2730820870  </t>
  </si>
  <si>
    <t>OOLU7846472</t>
  </si>
  <si>
    <t>2FFB28</t>
  </si>
  <si>
    <t>OOLU2730980020</t>
  </si>
  <si>
    <t>OOLU7929685</t>
  </si>
  <si>
    <t>971A04</t>
  </si>
  <si>
    <t>OOLU7933474</t>
  </si>
  <si>
    <t>8AD15B</t>
  </si>
  <si>
    <t>DRYU4554976</t>
  </si>
  <si>
    <t xml:space="preserve"> Newark De 19702</t>
  </si>
  <si>
    <r>
      <rPr>
        <sz val="10"/>
        <color rgb="FFFF0000"/>
        <rFont val="微软雅黑"/>
      </rPr>
      <t>6.25hrs detention-11am-6:15pm, 1 hour free.</t>
    </r>
    <r>
      <rPr>
        <sz val="10"/>
        <color indexed="8"/>
        <rFont val="微软雅黑"/>
      </rPr>
      <t xml:space="preserve"> / ZIMUSHH31136364 / received DO / 联系人:chong  li 联系方式:302-437-5378 地址:46 Albe Dr Newark De 19702 邮编:19702 邮箱:614570372@qq.com / Q# LNKT092723DE / Detention-1 hr free</t>
    </r>
  </si>
  <si>
    <t xml:space="preserve">DONE#144396 </t>
  </si>
  <si>
    <t>INKU6650432</t>
  </si>
  <si>
    <t>Newark De 19702</t>
  </si>
  <si>
    <t>2/12 at port tml
2/13 @ CES</t>
  </si>
  <si>
    <t>CES OG port tml 2/7
 OG from CES 2/13</t>
  </si>
  <si>
    <r>
      <rPr>
        <sz val="11"/>
        <color rgb="FFFF0000"/>
        <rFont val="Calibri"/>
        <family val="2"/>
        <scheme val="minor"/>
      </rPr>
      <t>6hrs detention, 11am-6pm,1 hour free / Exam site pickup surcharge $ 200 ( including picking up empty chassis )</t>
    </r>
    <r>
      <rPr>
        <sz val="11"/>
        <color theme="1"/>
        <rFont val="Calibri"/>
        <family val="2"/>
        <charset val="134"/>
        <scheme val="minor"/>
      </rPr>
      <t>/ MEDUEN048958 / received DO /  Q# LNKT092723DE / Detention-1 hr free</t>
    </r>
  </si>
  <si>
    <t>DONE#144587</t>
  </si>
  <si>
    <t>MAGU5361952</t>
  </si>
  <si>
    <t>Port of Tampa Ctn Tml</t>
  </si>
  <si>
    <t>2-13 empty ready/ OOLU2144736620 /Q# PGNE011924A /detention 2hrs free</t>
  </si>
  <si>
    <t xml:space="preserve">DONE#144398 </t>
  </si>
  <si>
    <t>CCLU7328499</t>
  </si>
  <si>
    <t>7DE984</t>
  </si>
  <si>
    <t>FSCU8759585</t>
  </si>
  <si>
    <t>D9DC28</t>
  </si>
  <si>
    <t>GCXU5439025</t>
  </si>
  <si>
    <t>984D29</t>
  </si>
  <si>
    <t>OOCU8300690</t>
  </si>
  <si>
    <t>134C83</t>
  </si>
  <si>
    <t>TGBU7787125</t>
  </si>
  <si>
    <t>BA8EEA</t>
  </si>
  <si>
    <t>CCLU5301082</t>
  </si>
  <si>
    <t>22D58B</t>
  </si>
  <si>
    <t>OOCU4961590</t>
  </si>
  <si>
    <t>A71F9F</t>
  </si>
  <si>
    <t>OOLU4307857</t>
  </si>
  <si>
    <t>2F40EB</t>
  </si>
  <si>
    <t>OOLU4355639</t>
  </si>
  <si>
    <t>97E9A8</t>
  </si>
  <si>
    <t>RFCU4108998</t>
  </si>
  <si>
    <t>B65405</t>
  </si>
  <si>
    <t>OOLU9376660</t>
  </si>
  <si>
    <t>D53F48</t>
  </si>
  <si>
    <t xml:space="preserve">OOLU2731287120  </t>
  </si>
  <si>
    <t>CSNU6475256</t>
  </si>
  <si>
    <t>7581DD</t>
  </si>
  <si>
    <t>OOLU2730924790</t>
  </si>
  <si>
    <t>TEMU8163653</t>
  </si>
  <si>
    <t>C63FE0</t>
  </si>
  <si>
    <t>TRHU6585843</t>
  </si>
  <si>
    <t xml:space="preserve">afternoon DROP </t>
  </si>
  <si>
    <t>2-20 empty ready/ COSU6372172210 /Q# PG080123F /detention 2hrs free</t>
  </si>
  <si>
    <t xml:space="preserve">DONE#144686 </t>
  </si>
  <si>
    <t>Geyun</t>
  </si>
  <si>
    <t>MATU2743232</t>
  </si>
  <si>
    <t>1dbf40</t>
  </si>
  <si>
    <t xml:space="preserve">MATS1382053000 </t>
  </si>
  <si>
    <t xml:space="preserve">DONE#145137 </t>
  </si>
  <si>
    <t>OOCU8700001</t>
  </si>
  <si>
    <t>ABL 2/10</t>
  </si>
  <si>
    <t>FTL 2-16</t>
  </si>
  <si>
    <t>ABL/WEST BEND,WI,53095</t>
  </si>
  <si>
    <t>C57081</t>
  </si>
  <si>
    <t>OOLU8895781650/Q#YWHJ121523A/DEVAN 2.11/2.25HR PU DET</t>
  </si>
  <si>
    <t>OOCU8571434</t>
  </si>
  <si>
    <t>cc8606</t>
  </si>
  <si>
    <t xml:space="preserve">OOLU2301372760  </t>
  </si>
  <si>
    <t xml:space="preserve">DONE#144503 </t>
  </si>
  <si>
    <t>BMOU4435111</t>
  </si>
  <si>
    <t xml:space="preserve">4pm DROP </t>
  </si>
  <si>
    <t>2-19 empty ready / ZIMUNGB20195947 / drop</t>
  </si>
  <si>
    <t xml:space="preserve">DONE#144540 </t>
  </si>
  <si>
    <t>TCKU6672087</t>
  </si>
  <si>
    <t>A181FE</t>
  </si>
  <si>
    <t xml:space="preserve">COSU6373511110   </t>
  </si>
  <si>
    <t xml:space="preserve">DONE#144496 </t>
  </si>
  <si>
    <t>FDCU0112870</t>
  </si>
  <si>
    <t>D12C65</t>
  </si>
  <si>
    <t>CICU4978474</t>
  </si>
  <si>
    <r>
      <t xml:space="preserve">2-5 discharged / HDMUXMNM84405100 / </t>
    </r>
    <r>
      <rPr>
        <sz val="11"/>
        <color rgb="FFFF0000"/>
        <rFont val="Calibri"/>
        <family val="2"/>
        <charset val="134"/>
        <scheme val="minor"/>
      </rPr>
      <t xml:space="preserve"> chassis split for SOC return to Complete Container Service</t>
    </r>
    <r>
      <rPr>
        <sz val="11"/>
        <color theme="1"/>
        <rFont val="Calibri"/>
        <family val="2"/>
        <charset val="134"/>
        <scheme val="minor"/>
      </rPr>
      <t xml:space="preserve"> / Q# ASPD122623A/ Detention 2 hrs free</t>
    </r>
  </si>
  <si>
    <t>DONE# 144487</t>
  </si>
  <si>
    <t>CICU4978577</t>
  </si>
  <si>
    <r>
      <t xml:space="preserve">2-4 discharged / HDMUXMNM84405100 / </t>
    </r>
    <r>
      <rPr>
        <sz val="11"/>
        <color rgb="FFFF0000"/>
        <rFont val="Calibri"/>
        <family val="2"/>
        <charset val="134"/>
        <scheme val="minor"/>
      </rPr>
      <t xml:space="preserve"> chassis split for SOC return to Complete Container Service</t>
    </r>
    <r>
      <rPr>
        <sz val="11"/>
        <color theme="1"/>
        <rFont val="Calibri"/>
        <family val="2"/>
        <charset val="134"/>
        <scheme val="minor"/>
      </rPr>
      <t xml:space="preserve"> / Q# ASPD122623A/ Detention 2 hrs free</t>
    </r>
  </si>
  <si>
    <t>DONE#14435</t>
  </si>
  <si>
    <t>BEAU5595167</t>
  </si>
  <si>
    <t>9417B5</t>
  </si>
  <si>
    <t>OOLU2301235906/Q#YWHJ121523A/Devan 2.12</t>
  </si>
  <si>
    <t>TLLU8586471</t>
  </si>
  <si>
    <t>从整柜直送转成拆送 / liuwen 发了 DO 给 weship， 没有cc 海运和我/</t>
  </si>
  <si>
    <t>DONE 146291</t>
  </si>
  <si>
    <t>EGHU8222563</t>
  </si>
  <si>
    <t>EGLV090300262040/PO#59969/exam $550</t>
  </si>
  <si>
    <t>SEGU5644999</t>
  </si>
  <si>
    <t>6:30AM</t>
  </si>
  <si>
    <t>KENOSHA,WI,53144</t>
  </si>
  <si>
    <t>YMJAE226153719/Q#LLG120623B/$75 HC/1HR PU DET</t>
  </si>
  <si>
    <t xml:space="preserve">DELIVERY+CUSTOM
</t>
  </si>
  <si>
    <t>OOCU6820796</t>
  </si>
  <si>
    <r>
      <t>EB97F5</t>
    </r>
    <r>
      <rPr>
        <sz val="12"/>
        <color rgb="FF000000"/>
        <rFont val="Segoe UI"/>
        <family val="2"/>
        <charset val="1"/>
      </rPr>
      <t> </t>
    </r>
  </si>
  <si>
    <t xml:space="preserve">OOLU2145003720          </t>
  </si>
  <si>
    <t>DONE#144967</t>
  </si>
  <si>
    <t>SEKU4364730</t>
  </si>
  <si>
    <t>9C7D94</t>
  </si>
  <si>
    <t>COSU6373127653</t>
  </si>
  <si>
    <t xml:space="preserve">DONE#144968 </t>
  </si>
  <si>
    <t>OOCU8258287</t>
  </si>
  <si>
    <t>9854AA</t>
  </si>
  <si>
    <t xml:space="preserve">cosu6373127651            </t>
  </si>
  <si>
    <t xml:space="preserve">DONE #144970 </t>
  </si>
  <si>
    <t>MATU2347268</t>
  </si>
  <si>
    <t>667E3B</t>
  </si>
  <si>
    <t>MATS8450196000</t>
  </si>
  <si>
    <t xml:space="preserve">DONE#144997 </t>
  </si>
  <si>
    <t>TXGU7250437</t>
  </si>
  <si>
    <t>APM TERMINAL</t>
  </si>
  <si>
    <t xml:space="preserve">EGLV143461803161/Q#GRLT020924A </t>
  </si>
  <si>
    <t>TGHU9580458</t>
  </si>
  <si>
    <t>ABAF5C</t>
  </si>
  <si>
    <t xml:space="preserve">cmduCHN0753762 </t>
  </si>
  <si>
    <t xml:space="preserve">DONE#145139 </t>
  </si>
  <si>
    <t>CSLU6113408</t>
  </si>
  <si>
    <t>liuwen sent to weship</t>
  </si>
  <si>
    <t>COSU6374234422 / 直送改成 拆柜 / arrive at ABL on 2-24 -2024</t>
  </si>
  <si>
    <t>1st inv# #144847  sent</t>
  </si>
  <si>
    <t>TRHU2691282</t>
  </si>
  <si>
    <t>Boston port-CONLEY MARINE TERMINAL</t>
  </si>
  <si>
    <t>HYANNIS, MA 02601</t>
  </si>
  <si>
    <r>
      <rPr>
        <sz val="11"/>
        <color rgb="FFFF0000"/>
        <rFont val="Calibri"/>
        <family val="2"/>
        <scheme val="minor"/>
      </rPr>
      <t xml:space="preserve">2-13 port terminal closed duet to weather / THC $ 52.33 </t>
    </r>
    <r>
      <rPr>
        <sz val="11"/>
        <color theme="1"/>
        <rFont val="Calibri"/>
        <family val="2"/>
        <scheme val="minor"/>
      </rPr>
      <t xml:space="preserve">/ ZIMUXIA8355220 / COC / </t>
    </r>
    <r>
      <rPr>
        <sz val="11"/>
        <color theme="1"/>
        <rFont val="Calibri"/>
        <family val="2"/>
        <charset val="134"/>
        <scheme val="minor"/>
      </rPr>
      <t xml:space="preserve"> Q# ASPD110823B / DETENTION-2 hrs free</t>
    </r>
  </si>
  <si>
    <t xml:space="preserve">DONE#144536 </t>
  </si>
  <si>
    <t>FCIU7556270</t>
  </si>
  <si>
    <t>999FE6</t>
  </si>
  <si>
    <t>YMJAW242563077/Q#APXL082423A</t>
  </si>
  <si>
    <t>DFSU7594567</t>
  </si>
  <si>
    <t>9207BB    </t>
  </si>
  <si>
    <t xml:space="preserve">COSU6373196010 </t>
  </si>
  <si>
    <t>DONE 146035</t>
  </si>
  <si>
    <t>SEGU2216071</t>
  </si>
  <si>
    <r>
      <rPr>
        <sz val="11"/>
        <color rgb="FFFF0000"/>
        <rFont val="Calibri"/>
        <family val="2"/>
        <scheme val="minor"/>
      </rPr>
      <t xml:space="preserve">2.75 hrs detention12:50pm-5:30pm, 2 hours free / </t>
    </r>
    <r>
      <rPr>
        <sz val="11"/>
        <rFont val="Calibri"/>
        <family val="2"/>
        <scheme val="minor"/>
      </rPr>
      <t>2-13 port terminal closed duet to weather</t>
    </r>
    <r>
      <rPr>
        <sz val="11"/>
        <color rgb="FFFF0000"/>
        <rFont val="Calibri"/>
        <family val="2"/>
        <scheme val="minor"/>
      </rPr>
      <t xml:space="preserve"> / THC $ 52.33 /</t>
    </r>
    <r>
      <rPr>
        <sz val="11"/>
        <color theme="1"/>
        <rFont val="Calibri"/>
        <family val="2"/>
        <scheme val="minor"/>
      </rPr>
      <t xml:space="preserve"> ZIMUXIA8355220 / COC / </t>
    </r>
    <r>
      <rPr>
        <sz val="11"/>
        <color theme="1"/>
        <rFont val="Calibri"/>
        <family val="2"/>
        <charset val="134"/>
        <scheme val="minor"/>
      </rPr>
      <t xml:space="preserve"> Q# ASPD110823B / DETENTION-2 hrs free</t>
    </r>
  </si>
  <si>
    <t xml:space="preserve">DONE##144399 </t>
  </si>
  <si>
    <t>GLOBAL PASS</t>
  </si>
  <si>
    <t>FCIU9575794</t>
  </si>
  <si>
    <t>PIERCE COUNTRY TERMINAL</t>
  </si>
  <si>
    <t>ALLSEASON</t>
  </si>
  <si>
    <t>LAKEWOOD,WA,98499</t>
  </si>
  <si>
    <t>MBL#OOLU2301312491/GPSS111023A/$200 DROP IF HAPPENS/0.75HR PU DET+0.5HR IG DET</t>
  </si>
  <si>
    <t>CSNU6307015</t>
  </si>
  <si>
    <t>MBL#OOLU2145375830/GPSS111023A/$200 DROP IF HAPPENS/1HR PU DET</t>
  </si>
  <si>
    <t>cif</t>
  </si>
  <si>
    <t>TCNU1155424</t>
  </si>
  <si>
    <t>9f9201</t>
  </si>
  <si>
    <t>MEDUX6026058</t>
  </si>
  <si>
    <t xml:space="preserve">DONE#145145 </t>
  </si>
  <si>
    <t>OOCU8936213</t>
  </si>
  <si>
    <t>6b3e09</t>
  </si>
  <si>
    <t>COSU6373150540</t>
  </si>
  <si>
    <t xml:space="preserve">DONE#144860 </t>
  </si>
  <si>
    <t>FSCU8667895</t>
  </si>
  <si>
    <t>E80647</t>
  </si>
  <si>
    <t xml:space="preserve">cosu6373748360          </t>
  </si>
  <si>
    <t xml:space="preserve">DONE#144972 </t>
  </si>
  <si>
    <t>TCNU6717329</t>
  </si>
  <si>
    <r>
      <rPr>
        <sz val="11"/>
        <color rgb="FFFF0000"/>
        <rFont val="Calibri"/>
        <family val="2"/>
        <scheme val="minor"/>
      </rPr>
      <t xml:space="preserve">per diem $330 </t>
    </r>
    <r>
      <rPr>
        <sz val="11"/>
        <color theme="1"/>
        <rFont val="Calibri"/>
        <family val="2"/>
        <charset val="134"/>
        <scheme val="minor"/>
      </rPr>
      <t>/ oneySGNDL7497602  /整柜改拆， 2-23-2024 收到改拆指令</t>
    </r>
    <r>
      <rPr>
        <sz val="11"/>
        <color theme="1"/>
        <rFont val="Calibri"/>
        <family val="2"/>
        <scheme val="minor"/>
      </rPr>
      <t>, $330 PER DIEM</t>
    </r>
  </si>
  <si>
    <t xml:space="preserve">DONE#145029 </t>
  </si>
  <si>
    <t>TRHU5149296</t>
  </si>
  <si>
    <t>BNSF?</t>
  </si>
  <si>
    <t>GRAND RAPIDS,MI,49512</t>
  </si>
  <si>
    <t>BOL ORIGINAL</t>
  </si>
  <si>
    <t>MEDUEN267897/Q#YWHJ010824A</t>
  </si>
  <si>
    <t>CICU4984836</t>
  </si>
  <si>
    <t>MASON,OH 45040</t>
  </si>
  <si>
    <r>
      <t xml:space="preserve"> CMDUXIA1262508  /</t>
    </r>
    <r>
      <rPr>
        <sz val="11"/>
        <color rgb="FFFF0000"/>
        <rFont val="Calibri"/>
        <family val="2"/>
        <charset val="134"/>
        <scheme val="minor"/>
      </rPr>
      <t xml:space="preserve"> SOC return to Conglobal Cincinnati- redelivery $125+ chassis split </t>
    </r>
  </si>
  <si>
    <t xml:space="preserve">DONE#144537 </t>
  </si>
  <si>
    <t>CAAU6151615</t>
  </si>
  <si>
    <t>NEW ORLEANS-NAPOLEON</t>
  </si>
  <si>
    <t>OOLU2145064490/Q#NBJD072423A</t>
  </si>
  <si>
    <t>CMAU7969176</t>
  </si>
  <si>
    <t>CMDUNGP0733891/Q#NBJD072423A</t>
  </si>
  <si>
    <t>OOLU6777382</t>
  </si>
  <si>
    <t>0923dd</t>
  </si>
  <si>
    <t>oolu2145144390</t>
  </si>
  <si>
    <t xml:space="preserve">DONE#144854 </t>
  </si>
  <si>
    <t>CMAU3301424</t>
  </si>
  <si>
    <t>37d339</t>
  </si>
  <si>
    <t xml:space="preserve">cmduGGZ2041629 </t>
  </si>
  <si>
    <t>DONE#144764</t>
  </si>
  <si>
    <t>TXGU5773362</t>
  </si>
  <si>
    <t>WESTMINSTER,MA 01473</t>
  </si>
  <si>
    <r>
      <rPr>
        <sz val="11"/>
        <color rgb="FFFF0000"/>
        <rFont val="Calibri"/>
        <family val="2"/>
        <scheme val="minor"/>
      </rPr>
      <t xml:space="preserve">Stop off fee $200 to deliver to the 2nd location-40 FRANCIS STREET,LEOMINSTER, MA / THC $71.46 </t>
    </r>
    <r>
      <rPr>
        <sz val="11"/>
        <color theme="1"/>
        <rFont val="Calibri"/>
        <family val="2"/>
        <charset val="134"/>
        <scheme val="minor"/>
      </rPr>
      <t xml:space="preserve">/ EGLV143351916246 / Q# WUH092623A-2 / </t>
    </r>
    <r>
      <rPr>
        <sz val="11"/>
        <color theme="1"/>
        <rFont val="Calibri"/>
        <family val="2"/>
        <scheme val="minor"/>
      </rPr>
      <t>detention 2 hrs free</t>
    </r>
  </si>
  <si>
    <t xml:space="preserve">DONE#144690 </t>
  </si>
  <si>
    <t>SUPERFYLG</t>
  </si>
  <si>
    <t>MSDU5396580</t>
  </si>
  <si>
    <t>GOODYEAR,AZ,85338</t>
  </si>
  <si>
    <t>MEDUEH641692/Q#SUFY020924A/CTF&amp;TMF ABL PD/0.5HR DETENTION</t>
  </si>
  <si>
    <t>DRAYAGE+CUSTOM</t>
  </si>
  <si>
    <t>TCNU2358832</t>
  </si>
  <si>
    <t>MEDUEH641718/Q#SUFY020924A/CTF&amp;TMF ABL PD</t>
  </si>
  <si>
    <t>FCIU7002129</t>
  </si>
  <si>
    <t>MEDUEH641700/Q#SUFY020924A/CTF&amp;TMF ABL PD</t>
  </si>
  <si>
    <t>TCNU6077854</t>
  </si>
  <si>
    <t>c9f8a7</t>
  </si>
  <si>
    <t>COSU6372386990  / 整柜直送改成拆柜</t>
  </si>
  <si>
    <t xml:space="preserve">DONE#144651 </t>
  </si>
  <si>
    <t>GVTU5109070</t>
  </si>
  <si>
    <t>CMDUGGZ2031974 / 客户最终还是选择 整柜直送，我们没有拆柜。</t>
  </si>
  <si>
    <t>CICU4984841</t>
  </si>
  <si>
    <r>
      <t>CMDUXIA1262508  /</t>
    </r>
    <r>
      <rPr>
        <sz val="11"/>
        <color rgb="FFFF0000"/>
        <rFont val="Calibri"/>
        <family val="2"/>
        <charset val="134"/>
        <scheme val="minor"/>
      </rPr>
      <t xml:space="preserve"> SOC return to Conglobal Cincinnati- redelivery $125+ chassis split </t>
    </r>
  </si>
  <si>
    <t>CICU4984857</t>
  </si>
  <si>
    <t xml:space="preserve">11:30AM </t>
  </si>
  <si>
    <t>OOCU6918421</t>
  </si>
  <si>
    <t>160b29</t>
  </si>
  <si>
    <t>OOLU8810704170 / pu# 给晚了，billed demurrage fee/</t>
  </si>
  <si>
    <t xml:space="preserve">DONE#144862 </t>
  </si>
  <si>
    <t>MATU2296957</t>
  </si>
  <si>
    <t>SHIPPER TRANSPORT EXPRESS(Z773)</t>
  </si>
  <si>
    <t>JCT</t>
  </si>
  <si>
    <t>VISTA,CA,92081</t>
  </si>
  <si>
    <t>MATS6097879000/Q#YWHJ013024A/EXAM $300-PX24009872/$175 CHASSIS FLIP/DRAYEGE UPDATED TO $950</t>
  </si>
  <si>
    <t>EGSU9055715</t>
  </si>
  <si>
    <t xml:space="preserve">GARDEN CITY TERMINAL </t>
  </si>
  <si>
    <t>SAVANNAH,GA,31322</t>
  </si>
  <si>
    <t>EGLV142350658113/Q#NBJD110223B/OW</t>
  </si>
  <si>
    <t>TLLU4077223</t>
  </si>
  <si>
    <t>CAAU6120466</t>
  </si>
  <si>
    <t>8FFD3A</t>
  </si>
  <si>
    <t>COSU6373127659</t>
  </si>
  <si>
    <t xml:space="preserve">DONE#144815 </t>
  </si>
  <si>
    <t>TLLU7839467</t>
  </si>
  <si>
    <t>EB0771</t>
  </si>
  <si>
    <t xml:space="preserve">oolu2731339530 </t>
  </si>
  <si>
    <t>DONE# 144701</t>
  </si>
  <si>
    <t>OOCU7284595</t>
  </si>
  <si>
    <t>9E82A6</t>
  </si>
  <si>
    <r>
      <rPr>
        <sz val="11"/>
        <color rgb="FFFF0000"/>
        <rFont val="Calibri"/>
        <family val="2"/>
        <scheme val="minor"/>
      </rPr>
      <t>pre-pull, yard storage</t>
    </r>
    <r>
      <rPr>
        <sz val="11"/>
        <color theme="1"/>
        <rFont val="Calibri"/>
        <family val="2"/>
        <charset val="134"/>
        <scheme val="minor"/>
      </rPr>
      <t xml:space="preserve"> / OOLU2731430610 /  COC
收货地址：Bing Decor LLC , 240 Juniper St Manteno IL 60950 , TEL:+ (1)8156083111</t>
    </r>
    <r>
      <rPr>
        <sz val="11"/>
        <color theme="1"/>
        <rFont val="Calibri"/>
        <family val="2"/>
        <scheme val="minor"/>
      </rPr>
      <t xml:space="preserve"> / Q# XBNG21423M, </t>
    </r>
  </si>
  <si>
    <t xml:space="preserve">DONE#144589 </t>
  </si>
  <si>
    <t>TCNU2543131</t>
  </si>
  <si>
    <t>cda878</t>
  </si>
  <si>
    <t>COSU6372386991 / 整柜直送 改拆 / liuwen发了 DO， 我就没有再发 DO</t>
  </si>
  <si>
    <t xml:space="preserve">DONE#144731 </t>
  </si>
  <si>
    <t>kraken</t>
  </si>
  <si>
    <t>SEGU6303831</t>
  </si>
  <si>
    <t>FE7602</t>
  </si>
  <si>
    <t>cmduNGP0804613  /要收 re route fee</t>
  </si>
  <si>
    <t xml:space="preserve">DONE#144816 </t>
  </si>
  <si>
    <t>CMAU4583488</t>
  </si>
  <si>
    <t>529C2A </t>
  </si>
  <si>
    <t>cmduNGP0839508  /收 overweight 钱</t>
  </si>
  <si>
    <t>DONE#144817</t>
  </si>
  <si>
    <t>OOCU7144720</t>
  </si>
  <si>
    <r>
      <t>A0E005</t>
    </r>
    <r>
      <rPr>
        <sz val="12"/>
        <color rgb="FF000000"/>
        <rFont val="Segoe UI"/>
        <family val="2"/>
        <charset val="1"/>
      </rPr>
      <t> </t>
    </r>
  </si>
  <si>
    <t xml:space="preserve">OOLU2145229950            </t>
  </si>
  <si>
    <t xml:space="preserve">DONE#144973 </t>
  </si>
  <si>
    <t>FSCU9941911</t>
  </si>
  <si>
    <r>
      <t xml:space="preserve">2-9 discharged / HDMUXMNM17769800  / </t>
    </r>
    <r>
      <rPr>
        <sz val="11"/>
        <color rgb="FFFF0000"/>
        <rFont val="Calibri"/>
        <family val="2"/>
        <charset val="134"/>
        <scheme val="minor"/>
      </rPr>
      <t xml:space="preserve">SOC return to Complete container Service / chassis split for SOC return </t>
    </r>
    <r>
      <rPr>
        <sz val="11"/>
        <color theme="1"/>
        <rFont val="Calibri"/>
        <family val="2"/>
        <scheme val="minor"/>
      </rPr>
      <t>/  Q# ASPD122623A/ Detention 2 hrs free</t>
    </r>
  </si>
  <si>
    <t>DONE#144359</t>
  </si>
  <si>
    <t>TRHU8550213</t>
  </si>
  <si>
    <t>95FED5</t>
  </si>
  <si>
    <t xml:space="preserve">COSU6374600290 </t>
  </si>
  <si>
    <t xml:space="preserve">DONE#144868 </t>
  </si>
  <si>
    <t>TGBU9295361</t>
  </si>
  <si>
    <t>E306FE </t>
  </si>
  <si>
    <t>OOLU2145220510</t>
  </si>
  <si>
    <t>DONE 145723</t>
  </si>
  <si>
    <t>DRYU6033848</t>
  </si>
  <si>
    <t>Byron Center, MI 49315</t>
  </si>
  <si>
    <r>
      <rPr>
        <sz val="11"/>
        <color rgb="FFFF0000"/>
        <rFont val="Calibri"/>
        <family val="2"/>
        <scheme val="minor"/>
      </rPr>
      <t>1.75hr PU Detention-1345- 1730, 2 hours free</t>
    </r>
    <r>
      <rPr>
        <sz val="11"/>
        <color theme="1"/>
        <rFont val="Calibri"/>
        <family val="2"/>
        <charset val="134"/>
        <scheme val="minor"/>
      </rPr>
      <t xml:space="preserve"> / pre-pull &amp; yard storage// ONEYXMNDB8181600    / COC /</t>
    </r>
    <r>
      <rPr>
        <sz val="11"/>
        <color theme="1"/>
        <rFont val="Calibri"/>
        <family val="2"/>
        <scheme val="minor"/>
      </rPr>
      <t>ASPD082923C / detention 2 hours free</t>
    </r>
  </si>
  <si>
    <t>DONE#144541</t>
  </si>
  <si>
    <t>TCKU6814200</t>
  </si>
  <si>
    <t>liuwen provided to weship</t>
  </si>
  <si>
    <t>COSU6372386992 / 整柜改拆柜</t>
  </si>
  <si>
    <t xml:space="preserve">DONE#144730 </t>
  </si>
  <si>
    <t>TGBU4423602</t>
  </si>
  <si>
    <r>
      <rPr>
        <sz val="11"/>
        <color rgb="FFFF0000"/>
        <rFont val="Calibri"/>
        <family val="2"/>
        <scheme val="minor"/>
      </rPr>
      <t>UP FLIP $115+ Chassis split</t>
    </r>
    <r>
      <rPr>
        <sz val="11"/>
        <color theme="1"/>
        <rFont val="Calibri"/>
        <family val="2"/>
        <charset val="134"/>
        <scheme val="minor"/>
      </rPr>
      <t xml:space="preserve"> / pre-pull &amp; yard storage/ ONEYXMNDB8181600    / COC / ASPD082923C / </t>
    </r>
    <r>
      <rPr>
        <sz val="11"/>
        <color rgb="FFFF0000"/>
        <rFont val="Calibri"/>
        <family val="2"/>
        <scheme val="minor"/>
      </rPr>
      <t>detention 2 hours free</t>
    </r>
  </si>
  <si>
    <t>DONE#144542</t>
  </si>
  <si>
    <t>TRHU6166301</t>
  </si>
  <si>
    <r>
      <rPr>
        <sz val="11"/>
        <color rgb="FFFF0000"/>
        <rFont val="Calibri"/>
        <family val="2"/>
        <scheme val="minor"/>
      </rPr>
      <t>chassis split pending proof</t>
    </r>
    <r>
      <rPr>
        <sz val="11"/>
        <color theme="1"/>
        <rFont val="Calibri"/>
        <family val="2"/>
        <charset val="134"/>
        <scheme val="minor"/>
      </rPr>
      <t xml:space="preserve"> / pre-pull, yard storage / ONEYXMNDB8181601 / COC /ASPD082923C / detention 2 hours free</t>
    </r>
  </si>
  <si>
    <t>DONE#144590</t>
  </si>
  <si>
    <t>y</t>
  </si>
  <si>
    <t>SZLU9501984</t>
  </si>
  <si>
    <t>40REHC</t>
  </si>
  <si>
    <t>SOUTH FLORIDA CONTAINER</t>
  </si>
  <si>
    <t>AN&amp;INV SENT TO CNEE</t>
  </si>
  <si>
    <t>CMDUTWN0829577</t>
  </si>
  <si>
    <t>CBHU9417384</t>
  </si>
  <si>
    <t>af4c45</t>
  </si>
  <si>
    <t xml:space="preserve">COSU6372386995 </t>
  </si>
  <si>
    <t>DONE#144767</t>
  </si>
  <si>
    <t>BMOU4733055</t>
  </si>
  <si>
    <t>9167F0</t>
  </si>
  <si>
    <t>COSU6373127673</t>
  </si>
  <si>
    <t>TCLU9746914</t>
  </si>
  <si>
    <t>C19F73</t>
  </si>
  <si>
    <t xml:space="preserve">COSU6374526288 </t>
  </si>
  <si>
    <t xml:space="preserve">DONE#144648 </t>
  </si>
  <si>
    <t>EGSU9162143</t>
  </si>
  <si>
    <t>GARDEN CITY TERMINAL</t>
  </si>
  <si>
    <t>EGLV142400015172/Q#NBJD110223B</t>
  </si>
  <si>
    <t>CSNU6447932</t>
  </si>
  <si>
    <t>COSU6374119242</t>
  </si>
  <si>
    <t xml:space="preserve">DONE#144766 </t>
  </si>
  <si>
    <t>OOLU9672831</t>
  </si>
  <si>
    <t>D95AB6</t>
  </si>
  <si>
    <t>COSU6374526313</t>
  </si>
  <si>
    <t xml:space="preserve">DONE#144700 </t>
  </si>
  <si>
    <t>FFAU3314728</t>
  </si>
  <si>
    <t>90FD59</t>
  </si>
  <si>
    <t xml:space="preserve">COSU6373150541 </t>
  </si>
  <si>
    <t>DONE# 144851</t>
  </si>
  <si>
    <t>SMCU1197220</t>
  </si>
  <si>
    <t>SMLUNJED3K508400</t>
  </si>
  <si>
    <t>DONE#144866</t>
  </si>
  <si>
    <t>SMCU1021544</t>
  </si>
  <si>
    <t>SMLUNJPU3A826700</t>
  </si>
  <si>
    <t xml:space="preserve">DONE#144765 </t>
  </si>
  <si>
    <t>CAAU5250146</t>
  </si>
  <si>
    <t xml:space="preserve">SMLMNJED3K151500 </t>
  </si>
  <si>
    <t xml:space="preserve">DONE#144850 </t>
  </si>
  <si>
    <t>SMCU1234750</t>
  </si>
  <si>
    <t xml:space="preserve">SMLMNJEB3D855200 </t>
  </si>
  <si>
    <t>DONE# 144702</t>
  </si>
  <si>
    <t>CSNU7608672</t>
  </si>
  <si>
    <t>9:30AM</t>
  </si>
  <si>
    <t>OOLU2145785090</t>
  </si>
  <si>
    <t>SMCU1195037</t>
  </si>
  <si>
    <t xml:space="preserve">SMLUNJBC3E005200  </t>
  </si>
  <si>
    <t>DONE#144921</t>
  </si>
  <si>
    <t>SMCU1074539</t>
  </si>
  <si>
    <t xml:space="preserve">SMLMNJGF2A545700 </t>
  </si>
  <si>
    <t>DONE#144759</t>
  </si>
  <si>
    <t>SMCU1219782</t>
  </si>
  <si>
    <t xml:space="preserve">SMLMNJGF2A544600 </t>
  </si>
  <si>
    <t>DONE# 144729</t>
  </si>
  <si>
    <t>SMCU1297384</t>
  </si>
  <si>
    <t xml:space="preserve">SMLMNJEB3D856300 </t>
  </si>
  <si>
    <t xml:space="preserve">DONE#144760 </t>
  </si>
  <si>
    <t>ONEU0643805</t>
  </si>
  <si>
    <t xml:space="preserve">ONEYCAND71326300/Q#TITN020624A </t>
  </si>
  <si>
    <t>SEKU4350192</t>
  </si>
  <si>
    <t>B77CE2</t>
  </si>
  <si>
    <t xml:space="preserve">OOLU8810703530 </t>
  </si>
  <si>
    <t>DONE# 144757</t>
  </si>
  <si>
    <t>CCLU7952859</t>
  </si>
  <si>
    <t>3F51C4</t>
  </si>
  <si>
    <t xml:space="preserve">OOLU2145314770 </t>
  </si>
  <si>
    <t>Done- 3/20</t>
  </si>
  <si>
    <t>TCKU6496157</t>
  </si>
  <si>
    <t>951CF7</t>
  </si>
  <si>
    <t xml:space="preserve">COSU6374526310 </t>
  </si>
  <si>
    <t>DONE#144732</t>
  </si>
  <si>
    <t>SEKU4645974</t>
  </si>
  <si>
    <t>BA5F23</t>
  </si>
  <si>
    <t>cosu6373924069</t>
  </si>
  <si>
    <t>DONE 145738</t>
  </si>
  <si>
    <t>TRHU4689577</t>
  </si>
  <si>
    <t>2E4FFA </t>
  </si>
  <si>
    <t xml:space="preserve">OOLU2145388310          </t>
  </si>
  <si>
    <t>DONE 145740</t>
  </si>
  <si>
    <t>TCNU6425712</t>
  </si>
  <si>
    <t>LAX EXAM</t>
  </si>
  <si>
    <t>FB7533</t>
  </si>
  <si>
    <t>CMDUCHN0807851  /要收 exam move 的费用</t>
  </si>
  <si>
    <t>TGBU8610601</t>
  </si>
  <si>
    <t xml:space="preserve">OOLU2731256500/Q#TITN020624A </t>
  </si>
  <si>
    <t>Voodi</t>
  </si>
  <si>
    <t>TCNU7576143</t>
  </si>
  <si>
    <t>B7A293</t>
  </si>
  <si>
    <t>cmduNGP0845822 / need to bill 1 day rail demurrage fee /</t>
  </si>
  <si>
    <t>DONE 146189</t>
  </si>
  <si>
    <t>FFAU3110534</t>
  </si>
  <si>
    <t xml:space="preserve">WESHIP </t>
  </si>
  <si>
    <t>37faf8</t>
  </si>
  <si>
    <t xml:space="preserve">COSU6373148732 </t>
  </si>
  <si>
    <t>1st INV#144928 and 2nd done</t>
  </si>
  <si>
    <t>CMAU3854203</t>
  </si>
  <si>
    <t xml:space="preserve">CMDUGGZ2041639 </t>
  </si>
  <si>
    <t xml:space="preserve">DONE#144755 </t>
  </si>
  <si>
    <t>TCNU4505948</t>
  </si>
  <si>
    <t>c2653f</t>
  </si>
  <si>
    <t xml:space="preserve">COSU6374494973   </t>
  </si>
  <si>
    <t>Done- 3/19</t>
  </si>
  <si>
    <t>OOLU9834911</t>
  </si>
  <si>
    <t>1ST 2/26
2ND 3/1</t>
  </si>
  <si>
    <t>10AM
7AM</t>
  </si>
  <si>
    <t>NORTHLAKE,IL,60164/KENOSHA,WI,53144</t>
  </si>
  <si>
    <t>OOLU2730156150/Q#LLG020824A/EXAM FEE $985+HC $50+COLODER HC $120+$120/$320 DROP/EMPTY PICK UP FROM 1ST CNEE ON FEB 27/2ND PREPULL&amp;$650 DROP FEE</t>
  </si>
  <si>
    <t>EISU8564820</t>
  </si>
  <si>
    <t>MOBILE, AL</t>
  </si>
  <si>
    <t>BALDWIN</t>
  </si>
  <si>
    <t>EGLV090300234160/PO#33200 /chassis $120</t>
  </si>
  <si>
    <t>EMCU8868136</t>
  </si>
  <si>
    <t>090300234152/PO#33199/CHASSIS $120</t>
  </si>
  <si>
    <t>MSMU1544160</t>
  </si>
  <si>
    <t>BNSF-ATL FAIRBURN</t>
  </si>
  <si>
    <t xml:space="preserve">PB Industries </t>
  </si>
  <si>
    <t xml:space="preserve"> ALPHARETTA, GA. 30005</t>
  </si>
  <si>
    <t>1BEC73</t>
  </si>
  <si>
    <t>2-9 discharged / MEDUX6115604 / Quotation#	SWNG122923A / Detention 1 hr free / AN SENT /  TLX HBL / SWB</t>
  </si>
  <si>
    <t>DONE#144691, chassis inv# 146256</t>
  </si>
  <si>
    <t>YMMU6030355</t>
  </si>
  <si>
    <t>775D08</t>
  </si>
  <si>
    <t>YMJAW242563162</t>
  </si>
  <si>
    <t>TCNU1949548</t>
  </si>
  <si>
    <t>8932DD</t>
  </si>
  <si>
    <t>YMJAW242563163</t>
  </si>
  <si>
    <t>BMOU6280770</t>
  </si>
  <si>
    <t>72621C</t>
  </si>
  <si>
    <t>YMJAW242563161</t>
  </si>
  <si>
    <t>BMOU5720710</t>
  </si>
  <si>
    <t>7F7C0F</t>
  </si>
  <si>
    <t>YMJAW242563160</t>
  </si>
  <si>
    <t>ZCSU7267302</t>
  </si>
  <si>
    <t>CATFISH</t>
  </si>
  <si>
    <r>
      <t xml:space="preserve">ORLANDO , FL 32824
</t>
    </r>
    <r>
      <rPr>
        <sz val="11"/>
        <color rgb="FFFF0000"/>
        <rFont val="Calibri"/>
        <family val="2"/>
        <scheme val="minor"/>
      </rPr>
      <t>change delivery address to: 4500 Epic Boulevard
Orlando, Florida 32819</t>
    </r>
    <r>
      <rPr>
        <sz val="11"/>
        <color theme="1"/>
        <rFont val="Calibri"/>
        <family val="2"/>
        <scheme val="minor"/>
      </rPr>
      <t xml:space="preserve"> 要RCVR确认收货地址</t>
    </r>
  </si>
  <si>
    <r>
      <rPr>
        <sz val="11"/>
        <rFont val="Calibri"/>
        <family val="2"/>
        <scheme val="minor"/>
      </rPr>
      <t>NO detention, no pre-pull &amp; yard storage / Forwarder paid SSL Demurrage /</t>
    </r>
    <r>
      <rPr>
        <sz val="11"/>
        <color rgb="FFFF0000"/>
        <rFont val="Calibri"/>
        <family val="2"/>
        <scheme val="minor"/>
      </rPr>
      <t xml:space="preserve"> trucker paid Port terminal storage $19.31</t>
    </r>
    <r>
      <rPr>
        <sz val="11"/>
        <color theme="1"/>
        <rFont val="Calibri"/>
        <family val="2"/>
        <scheme val="minor"/>
      </rPr>
      <t xml:space="preserve"> / NO PRE-PULL &amp; Yard storage cost &amp; charge / ZIMUXIA8358341 / Q# ASPD121823A / COC</t>
    </r>
  </si>
  <si>
    <t>DONE# 144843</t>
  </si>
  <si>
    <t>899.31</t>
  </si>
  <si>
    <t>ZIMU3148048</t>
  </si>
  <si>
    <r>
      <rPr>
        <sz val="11"/>
        <rFont val="Calibri"/>
        <family val="2"/>
        <scheme val="minor"/>
      </rPr>
      <t>NO detention, no pre-pull &amp; yard storage /Forwarder paid SSL Demurrage</t>
    </r>
    <r>
      <rPr>
        <sz val="11"/>
        <color rgb="FFFF0000"/>
        <rFont val="Calibri"/>
        <family val="2"/>
        <scheme val="minor"/>
      </rPr>
      <t xml:space="preserve">  /trucker paid Port terminal storage $19.31</t>
    </r>
    <r>
      <rPr>
        <sz val="11"/>
        <color theme="1"/>
        <rFont val="Calibri"/>
        <family val="2"/>
        <charset val="134"/>
        <scheme val="minor"/>
      </rPr>
      <t xml:space="preserve"> / NO PRE-PULL &amp; Yard storage cost &amp; charge/ZIMUXIA8358341 / Q# ASPD121823A / COC</t>
    </r>
  </si>
  <si>
    <t>DONE# 144844</t>
  </si>
  <si>
    <t>EGHU8235827</t>
  </si>
  <si>
    <t>EGLV090300234143/PO # 33197 &amp; 33198</t>
  </si>
  <si>
    <t>DONE#146468,  pending POD</t>
  </si>
  <si>
    <t>TCNU4994854</t>
  </si>
  <si>
    <t>CBHU8974153</t>
  </si>
  <si>
    <t>D9C66E</t>
  </si>
  <si>
    <t>COSU6374119241</t>
  </si>
  <si>
    <t>DONE#144955</t>
  </si>
  <si>
    <t>OOCU7606095</t>
  </si>
  <si>
    <t>COSU6373913122</t>
  </si>
  <si>
    <t>DONE 146113</t>
  </si>
  <si>
    <t>FCIU4255360</t>
  </si>
  <si>
    <r>
      <rPr>
        <sz val="11"/>
        <color rgb="FFFF0000"/>
        <rFont val="Calibri"/>
        <family val="2"/>
        <scheme val="minor"/>
      </rPr>
      <t>Flip at up $115+ chassis split when pickup</t>
    </r>
    <r>
      <rPr>
        <sz val="11"/>
        <color theme="1"/>
        <rFont val="Calibri"/>
        <family val="2"/>
        <charset val="134"/>
        <scheme val="minor"/>
      </rPr>
      <t xml:space="preserve">  /PRE-PULL, YARD STORAGE / </t>
    </r>
    <r>
      <rPr>
        <sz val="11"/>
        <color rgb="FFFF0000"/>
        <rFont val="Calibri"/>
        <family val="2"/>
        <scheme val="minor"/>
      </rPr>
      <t>PRE-PULL, YARD STORAGE</t>
    </r>
    <r>
      <rPr>
        <sz val="11"/>
        <color theme="1"/>
        <rFont val="Calibri"/>
        <family val="2"/>
        <charset val="134"/>
        <scheme val="minor"/>
      </rPr>
      <t xml:space="preserve"> / ONEYXMNDB8181600    / COC/ ASPD082923C / detention 2 hours free</t>
    </r>
  </si>
  <si>
    <t>DONE#144689</t>
  </si>
  <si>
    <t>OOCU7182000</t>
  </si>
  <si>
    <t>E-COMMERCE</t>
  </si>
  <si>
    <t xml:space="preserve">AMZ IUSJ </t>
  </si>
  <si>
    <t>2-26 确认不拆柜， 整柜直送 / COSU6375199790 / CO-LOADER: DE WELL / AN SENT / used ABLW Group as importer / confirmed 7501 / Customs released</t>
  </si>
  <si>
    <t>DONE# 144840, Duty inv# 144443</t>
  </si>
  <si>
    <t>CSNU8493114</t>
  </si>
  <si>
    <t>C0D2A3</t>
  </si>
  <si>
    <t xml:space="preserve">OOLU2730501454 </t>
  </si>
  <si>
    <t xml:space="preserve">DONE#145031 </t>
  </si>
  <si>
    <t>DFSU6016158</t>
  </si>
  <si>
    <t>SMLMNJPU3A854100</t>
  </si>
  <si>
    <t>DONE- 3/29- #146165</t>
  </si>
  <si>
    <t>Kraken</t>
  </si>
  <si>
    <t>CMAU6148469</t>
  </si>
  <si>
    <t>9C51E5 </t>
  </si>
  <si>
    <t>CMDUNGP0859664</t>
  </si>
  <si>
    <t xml:space="preserve">DONE#145144 </t>
  </si>
  <si>
    <t>CSNU6295655</t>
  </si>
  <si>
    <t>09222d</t>
  </si>
  <si>
    <t>oolu2731001970</t>
  </si>
  <si>
    <t xml:space="preserve">DONE#144956 </t>
  </si>
  <si>
    <t>TLLU5972887</t>
  </si>
  <si>
    <t>D181EC  </t>
  </si>
  <si>
    <t>COSU6373913120</t>
  </si>
  <si>
    <t>DONE 146100</t>
  </si>
  <si>
    <t>OOCU7229427</t>
  </si>
  <si>
    <t>B42598  </t>
  </si>
  <si>
    <t xml:space="preserve">cosu6375021927 </t>
  </si>
  <si>
    <t>DONE 146039</t>
  </si>
  <si>
    <t>OOCU7733530</t>
  </si>
  <si>
    <t>db2e9a</t>
  </si>
  <si>
    <t>COSU6374526287</t>
  </si>
  <si>
    <t xml:space="preserve">DONE#145063 </t>
  </si>
  <si>
    <t>CSNU7707187</t>
  </si>
  <si>
    <t>f8e32f</t>
  </si>
  <si>
    <t>COSU6373150542</t>
  </si>
  <si>
    <t>CSNU7316665</t>
  </si>
  <si>
    <t>8f788f</t>
  </si>
  <si>
    <t xml:space="preserve">OOLU2731503565 </t>
  </si>
  <si>
    <t xml:space="preserve">DONE#144958 </t>
  </si>
  <si>
    <t>CBHU9007923</t>
  </si>
  <si>
    <t>938b12</t>
  </si>
  <si>
    <t>OOLU2145810650 /在2-29号收到 late pu#/ 已经收了 rail dem inv/</t>
  </si>
  <si>
    <t xml:space="preserve">DONE#144959 </t>
  </si>
  <si>
    <t>CSNU7516909</t>
  </si>
  <si>
    <t>5F0E9A</t>
  </si>
  <si>
    <t xml:space="preserve">cosu6376295788          </t>
  </si>
  <si>
    <t>DONE 145110</t>
  </si>
  <si>
    <t>OOCU8290329</t>
  </si>
  <si>
    <t>82B400</t>
  </si>
  <si>
    <t xml:space="preserve">COSU6375534230          </t>
  </si>
  <si>
    <t>DONE 146389</t>
  </si>
  <si>
    <t>OOCU6961109</t>
  </si>
  <si>
    <t>cb1499</t>
  </si>
  <si>
    <t xml:space="preserve">COSU6375534370          </t>
  </si>
  <si>
    <t>DONE 145760</t>
  </si>
  <si>
    <t>CMAU7011341</t>
  </si>
  <si>
    <t>FENIX MARIN TERMINAL</t>
  </si>
  <si>
    <t>CMDUSHZ5900875/Q#SUFY020924A/CTF&amp;TMF ABL PD</t>
  </si>
  <si>
    <t>TGBU8726443</t>
  </si>
  <si>
    <t>791e7b</t>
  </si>
  <si>
    <t xml:space="preserve">cosu6373924074 / rail depart on 2-21 / </t>
  </si>
  <si>
    <t>DONE 145134</t>
  </si>
  <si>
    <t>FCIU9479276</t>
  </si>
  <si>
    <t>c9bac5</t>
  </si>
  <si>
    <t>COSU6374511906</t>
  </si>
  <si>
    <t>DONE- 3/26- #145719</t>
  </si>
  <si>
    <t>TGBU8807972</t>
  </si>
  <si>
    <t>82DECB</t>
  </si>
  <si>
    <t xml:space="preserve">cosu6374566681          </t>
  </si>
  <si>
    <t>DONE 145777</t>
  </si>
  <si>
    <t>EISU8287350</t>
  </si>
  <si>
    <t>EGLV142303266948</t>
  </si>
  <si>
    <t>EITU1244561</t>
  </si>
  <si>
    <t xml:space="preserve">EGLV142303266948 </t>
  </si>
  <si>
    <t>EMCU8320306</t>
  </si>
  <si>
    <t>TRHU6976112</t>
  </si>
  <si>
    <t>D721C0</t>
  </si>
  <si>
    <t>cosu6373924075</t>
  </si>
  <si>
    <t>DONE 145287</t>
  </si>
  <si>
    <t>FCIU7189560</t>
  </si>
  <si>
    <t>MBL#OOLU2145375831/GPSS111023A</t>
  </si>
  <si>
    <t>CSLU6052051</t>
  </si>
  <si>
    <t>AF546A</t>
  </si>
  <si>
    <t xml:space="preserve">COSU6374790803 </t>
  </si>
  <si>
    <t>DONE 146048</t>
  </si>
  <si>
    <t>FFAU3471310</t>
  </si>
  <si>
    <t>5CE617</t>
  </si>
  <si>
    <t xml:space="preserve">cosu6374566679          </t>
  </si>
  <si>
    <t>DONE 145784</t>
  </si>
  <si>
    <t>SMCU1263698</t>
  </si>
  <si>
    <t xml:space="preserve">SMLMNJEB3E307200 </t>
  </si>
  <si>
    <t xml:space="preserve">DONE#145057 </t>
  </si>
  <si>
    <t>SMCU1052740</t>
  </si>
  <si>
    <t xml:space="preserve">SMLMNJBC3E007400 </t>
  </si>
  <si>
    <t xml:space="preserve">DONE#145059 </t>
  </si>
  <si>
    <t>SMCU1091372</t>
  </si>
  <si>
    <t xml:space="preserve">SMLMNJED3K891200 </t>
  </si>
  <si>
    <t xml:space="preserve">DONE#144960 </t>
  </si>
  <si>
    <t>SMCU1178359</t>
  </si>
  <si>
    <t xml:space="preserve">SMLMNJBC3E009600 </t>
  </si>
  <si>
    <t>#144963没做完, 等 extra 1 box 的 billing instruction/ Done- 3/19</t>
  </si>
  <si>
    <t>CBHU9016838</t>
  </si>
  <si>
    <t>ABF4B4</t>
  </si>
  <si>
    <t xml:space="preserve">cosu6374566691          </t>
  </si>
  <si>
    <t>done 145132</t>
  </si>
  <si>
    <t>TLLU4401501</t>
  </si>
  <si>
    <t>A79F83</t>
  </si>
  <si>
    <t xml:space="preserve">cosu6374566698          </t>
  </si>
  <si>
    <t>done 145783</t>
  </si>
  <si>
    <t>DFSU7072773</t>
  </si>
  <si>
    <t xml:space="preserve">SMLMNJED3K900700    </t>
  </si>
  <si>
    <t xml:space="preserve">DONE#145061 </t>
  </si>
  <si>
    <t>TCNU5047541</t>
  </si>
  <si>
    <t>91ED2F</t>
  </si>
  <si>
    <t xml:space="preserve">CMDUGGZ2049837 </t>
  </si>
  <si>
    <t xml:space="preserve">DONE#144869 </t>
  </si>
  <si>
    <t>TGBU8600244</t>
  </si>
  <si>
    <t>AE37ED</t>
  </si>
  <si>
    <t xml:space="preserve">cosu6376295787          </t>
  </si>
  <si>
    <t>DONE 145108</t>
  </si>
  <si>
    <t>TGBU8839368</t>
  </si>
  <si>
    <t>55ef59</t>
  </si>
  <si>
    <t xml:space="preserve">cosu6376295786          </t>
  </si>
  <si>
    <t>DONE 145771</t>
  </si>
  <si>
    <t>SMCU1080700</t>
  </si>
  <si>
    <t>SMLMNJPU3A855200</t>
  </si>
  <si>
    <t xml:space="preserve">Done/ #145252 </t>
  </si>
  <si>
    <t>SMCU1076779</t>
  </si>
  <si>
    <t>SMLMNJEB3E306100</t>
  </si>
  <si>
    <t>DONE#145030</t>
  </si>
  <si>
    <t>OOCU7526997</t>
  </si>
  <si>
    <t>MBL#OOLU2145998460/GPSS111023A</t>
  </si>
  <si>
    <t>OOLU8640697</t>
  </si>
  <si>
    <t>MBL#OOLU2145782320/GPSS111023A</t>
  </si>
  <si>
    <t>BEAU5142915</t>
  </si>
  <si>
    <t>REQUESTED</t>
  </si>
  <si>
    <t>ZIMUNGB1180444/Q#NBJD072423A</t>
  </si>
  <si>
    <t>YMMU6921740</t>
  </si>
  <si>
    <t>YMJAW236850081/Q#CI-0512</t>
  </si>
  <si>
    <t>CMAU3441719</t>
  </si>
  <si>
    <t>18A512</t>
  </si>
  <si>
    <t xml:space="preserve">CMDUCHN0789987  </t>
  </si>
  <si>
    <t>TCKU7887963</t>
  </si>
  <si>
    <t>55ADF7</t>
  </si>
  <si>
    <t xml:space="preserve">cosu6374566689          </t>
  </si>
  <si>
    <t>done 145288</t>
  </si>
  <si>
    <t>FFAU2740190</t>
  </si>
  <si>
    <t>e1a967</t>
  </si>
  <si>
    <t xml:space="preserve">COSU6374494972 </t>
  </si>
  <si>
    <t xml:space="preserve">DONE#144961 </t>
  </si>
  <si>
    <t>EITU1521368</t>
  </si>
  <si>
    <t>EGLV090300258719/PO#33204</t>
  </si>
  <si>
    <t>DONE#145370</t>
  </si>
  <si>
    <t>TGBU6889441</t>
  </si>
  <si>
    <t>EGLV090300234178,PO # 33201,33202&amp;33203/chassis 120</t>
  </si>
  <si>
    <t xml:space="preserve">DONE#145372 </t>
  </si>
  <si>
    <t>GLCU4016640</t>
  </si>
  <si>
    <r>
      <t xml:space="preserve">2-27 discharged / QGD0631549/ </t>
    </r>
    <r>
      <rPr>
        <sz val="11"/>
        <color rgb="FFFF0000"/>
        <rFont val="Calibri"/>
        <family val="2"/>
        <scheme val="minor"/>
      </rPr>
      <t>Chassis split for SOC return to RSD Container Yard Services</t>
    </r>
    <r>
      <rPr>
        <sz val="11"/>
        <color theme="1"/>
        <rFont val="Calibri"/>
        <family val="2"/>
        <charset val="134"/>
        <scheme val="minor"/>
      </rPr>
      <t xml:space="preserve"> / Q# QDMY080423A/  Detention 1 hr free</t>
    </r>
  </si>
  <si>
    <t>DONE#145242</t>
  </si>
  <si>
    <t>FSCU8892920</t>
  </si>
  <si>
    <t>3/9 @8am 
Changed  to drop</t>
  </si>
  <si>
    <t xml:space="preserve">Walmart Delivery# 61083537 </t>
  </si>
  <si>
    <t>Walmart IND2n-
Plainfield, IN, 46168</t>
  </si>
  <si>
    <r>
      <rPr>
        <sz val="11"/>
        <color rgb="FFFF0000"/>
        <rFont val="Calibri"/>
        <family val="2"/>
        <scheme val="minor"/>
      </rPr>
      <t>3-11 empty ready / Chassis SPLIT for OG CN, Drop fee as double drayage, 1.5 hours detention 9am-11:30am,</t>
    </r>
    <r>
      <rPr>
        <sz val="11"/>
        <color theme="1"/>
        <rFont val="Calibri"/>
        <family val="2"/>
        <charset val="134"/>
        <scheme val="minor"/>
      </rPr>
      <t xml:space="preserve"> / 3-11 empty ready/  COSU6373543011 / 9360 AllPoints Pkwy. Suite 107 Plainfield, IN, 46168 / Q# LNKT071323P  $1100/ detention 1 hr free</t>
    </r>
  </si>
  <si>
    <t>DONE#145251</t>
  </si>
  <si>
    <t>TRHU4945848</t>
  </si>
  <si>
    <t>6EEC6B</t>
  </si>
  <si>
    <t xml:space="preserve">COSU6374526314 </t>
  </si>
  <si>
    <t>BEAU6237764</t>
  </si>
  <si>
    <t>C12ACC</t>
  </si>
  <si>
    <t>cosu6373924076</t>
  </si>
  <si>
    <t>done 145457</t>
  </si>
  <si>
    <t>OOCU7621783</t>
  </si>
  <si>
    <t>BF6012</t>
  </si>
  <si>
    <t>cosu6373924072</t>
  </si>
  <si>
    <t>done #145106</t>
  </si>
  <si>
    <t>CCLU7866283</t>
  </si>
  <si>
    <t>B02ABC</t>
  </si>
  <si>
    <r>
      <rPr>
        <sz val="11"/>
        <color rgb="FFFF0000"/>
        <rFont val="Calibri"/>
        <family val="2"/>
        <scheme val="minor"/>
      </rPr>
      <t xml:space="preserve">Demurrage $150-3.4 </t>
    </r>
    <r>
      <rPr>
        <sz val="11"/>
        <color theme="1"/>
        <rFont val="Calibri"/>
        <family val="2"/>
        <scheme val="minor"/>
      </rPr>
      <t>/ 2-20 discharged / COSU6373043630 /柜子+货件重量：13374kg
产品：Adult diaper</t>
    </r>
    <r>
      <rPr>
        <sz val="11"/>
        <color rgb="FFFF0000"/>
        <rFont val="Calibri"/>
        <family val="2"/>
        <charset val="134"/>
        <scheme val="minor"/>
      </rPr>
      <t xml:space="preserve"> /  Q# COCO011024A / Detention 1 hr free</t>
    </r>
  </si>
  <si>
    <t>DONE#144916 , Dem inv# 144801</t>
  </si>
  <si>
    <t>FCIU7194320</t>
  </si>
  <si>
    <t>ddcd5b</t>
  </si>
  <si>
    <t xml:space="preserve">COSU6374494974 </t>
  </si>
  <si>
    <t xml:space="preserve">DONE#144962 </t>
  </si>
  <si>
    <t>BEAU6286136</t>
  </si>
  <si>
    <t xml:space="preserve">SMLMNJGF2A571600 </t>
  </si>
  <si>
    <t>OOCU8553770</t>
  </si>
  <si>
    <t>9c8056</t>
  </si>
  <si>
    <t xml:space="preserve">COSU6373910719 </t>
  </si>
  <si>
    <t>DONE- 3/22/2024</t>
  </si>
  <si>
    <t>OOCU7204049</t>
  </si>
  <si>
    <t>07FF73</t>
  </si>
  <si>
    <t>COSU6374511904</t>
  </si>
  <si>
    <t xml:space="preserve">DONE- 3/26- #145721 </t>
  </si>
  <si>
    <t xml:space="preserve">CSNU6447470 </t>
  </si>
  <si>
    <t>D6D1F8</t>
  </si>
  <si>
    <t xml:space="preserve">OOLU2145575270  </t>
  </si>
  <si>
    <t xml:space="preserve">CSNU7209224 </t>
  </si>
  <si>
    <t>BB4960</t>
  </si>
  <si>
    <t>TGBU8591796</t>
  </si>
  <si>
    <t>FSCU8538218</t>
  </si>
  <si>
    <t>DETROIT MI 48209</t>
  </si>
  <si>
    <t>pu# 1393 for EXAM MOVING</t>
  </si>
  <si>
    <t xml:space="preserve"> 3/18 OG NS，
5/1 OG from Trans-Overseas Exam site</t>
  </si>
  <si>
    <r>
      <rPr>
        <sz val="11"/>
        <color rgb="FF0000CC"/>
        <rFont val="Calibri"/>
        <family val="2"/>
        <scheme val="minor"/>
      </rPr>
      <t>Per Irene, move to exam site double drayage /  3/18 to Trans-Overseas Exam site / Customs broker paid rail demurrage</t>
    </r>
    <r>
      <rPr>
        <sz val="11"/>
        <rFont val="Calibri"/>
        <family val="2"/>
        <charset val="134"/>
        <scheme val="minor"/>
      </rPr>
      <t xml:space="preserve">  / OOLU2731226792  / Q# LTRN011224A / Detention 1 hr free
收货地址：  7770 DIX AVE DETROIT MI 48209，USA, TEL:001 313 200 1200 联系人：Fatehi 
</t>
    </r>
    <r>
      <rPr>
        <sz val="11"/>
        <color rgb="FFFF0000"/>
        <rFont val="Calibri"/>
        <family val="2"/>
        <scheme val="minor"/>
      </rPr>
      <t>这是客户代理的电话和邮箱，在中国的，打这个电话或者发邮件预约：phone: 19817598185   fat7irashad@hotmail.com</t>
    </r>
  </si>
  <si>
    <t>DONE# 147984</t>
  </si>
  <si>
    <t>PCIU8926507</t>
  </si>
  <si>
    <t xml:space="preserve">ONEYNB3JIQ060700   </t>
  </si>
  <si>
    <t>DONE 145667</t>
  </si>
  <si>
    <t>CSNU8178832</t>
  </si>
  <si>
    <t>ECF947</t>
  </si>
  <si>
    <t xml:space="preserve">cosu6374840769          </t>
  </si>
  <si>
    <t>DONE 145756</t>
  </si>
  <si>
    <t>MSNU3249276</t>
  </si>
  <si>
    <t>7:30am</t>
  </si>
  <si>
    <t>917F4C</t>
  </si>
  <si>
    <t>MEDUET359266 / Contact Person:Marty Wu Cell: 630-857-8964</t>
  </si>
  <si>
    <t xml:space="preserve">DONE#144919 </t>
  </si>
  <si>
    <t>GLCU4016424</t>
  </si>
  <si>
    <t>5 hrs detention-9am -3pm, 1 hour free / QGD0631549/ Chassis split for SOC return to RSD Container Yard Services / Q# QDMY080423A/  Detention 1 hr free /  / redelivery $100</t>
  </si>
  <si>
    <t>DONE#145246</t>
  </si>
  <si>
    <t>FFAU3399957</t>
  </si>
  <si>
    <t xml:space="preserve">58B961   </t>
  </si>
  <si>
    <t>cosu6374790807 </t>
  </si>
  <si>
    <t>DONE 146108</t>
  </si>
  <si>
    <t>FSCU8580028</t>
  </si>
  <si>
    <t>58A1E9</t>
  </si>
  <si>
    <t xml:space="preserve">OOLU2145778700 </t>
  </si>
  <si>
    <t>DONE- 3/26-#145722</t>
  </si>
  <si>
    <t>OOLU6912245</t>
  </si>
  <si>
    <t>0b2101</t>
  </si>
  <si>
    <t xml:space="preserve">OOLU2145712920          </t>
  </si>
  <si>
    <t>INVOICE 145720</t>
  </si>
  <si>
    <t>GESU6863003</t>
  </si>
  <si>
    <t>F3FF96</t>
  </si>
  <si>
    <t xml:space="preserve">COSU6376450080          </t>
  </si>
  <si>
    <t>DONE 145787</t>
  </si>
  <si>
    <t>UETU5120124</t>
  </si>
  <si>
    <t>136B8B</t>
  </si>
  <si>
    <t xml:space="preserve">cosu6376450000          </t>
  </si>
  <si>
    <t>DONE 145462</t>
  </si>
  <si>
    <t>TCNU6593948</t>
  </si>
  <si>
    <t>F39684</t>
  </si>
  <si>
    <t xml:space="preserve">cosu6376450060          </t>
  </si>
  <si>
    <t>done -145460</t>
  </si>
  <si>
    <t>OOLU6930819</t>
  </si>
  <si>
    <t>CDF830</t>
  </si>
  <si>
    <t xml:space="preserve">cosu6376450005          </t>
  </si>
  <si>
    <t>DONE 145837</t>
  </si>
  <si>
    <t>CAAU6119906</t>
  </si>
  <si>
    <t>EE2BE0</t>
  </si>
  <si>
    <t xml:space="preserve">cosu6374840800          </t>
  </si>
  <si>
    <t>DONE 145463</t>
  </si>
  <si>
    <t>SEKU4052095</t>
  </si>
  <si>
    <t>F2CFDC</t>
  </si>
  <si>
    <t xml:space="preserve">cosu6376450007          </t>
  </si>
  <si>
    <t>DONE 145840</t>
  </si>
  <si>
    <t>FSCU8531316</t>
  </si>
  <si>
    <t>ED8D31</t>
  </si>
  <si>
    <t xml:space="preserve">cosu6374840760          </t>
  </si>
  <si>
    <t>DONE 145846</t>
  </si>
  <si>
    <t>UETU5613481</t>
  </si>
  <si>
    <t>CFADAF</t>
  </si>
  <si>
    <t xml:space="preserve">cosu6374840763          </t>
  </si>
  <si>
    <t>DONE 145850</t>
  </si>
  <si>
    <t>CSNU6266087</t>
  </si>
  <si>
    <t>F39F6D</t>
  </si>
  <si>
    <t xml:space="preserve">cosu6374840808          </t>
  </si>
  <si>
    <t>DONE 145851</t>
  </si>
  <si>
    <t>CSNU6003183</t>
  </si>
  <si>
    <t>1D0B47</t>
  </si>
  <si>
    <t xml:space="preserve">cosu6374840764          </t>
  </si>
  <si>
    <t>DONE 145464</t>
  </si>
  <si>
    <t>TGBU8564194</t>
  </si>
  <si>
    <t>31FEE6</t>
  </si>
  <si>
    <t xml:space="preserve">cosu6374840806          </t>
  </si>
  <si>
    <t>done 145853</t>
  </si>
  <si>
    <t>OOCU7360720</t>
  </si>
  <si>
    <t>8C13CD</t>
  </si>
  <si>
    <t xml:space="preserve">OOLU8810712050          </t>
  </si>
  <si>
    <t>done 145459</t>
  </si>
  <si>
    <t>OOCU7740015</t>
  </si>
  <si>
    <t>4e2bab</t>
  </si>
  <si>
    <t>OOLU2145809700</t>
  </si>
  <si>
    <t>UETU5884919</t>
  </si>
  <si>
    <t>4FCEC1</t>
  </si>
  <si>
    <t>OOLU2732285731</t>
  </si>
  <si>
    <t>FSCU8759780</t>
  </si>
  <si>
    <t>3773d5</t>
  </si>
  <si>
    <t>OOLU2732014696 / 要收 200 美金 re route fee</t>
  </si>
  <si>
    <t>DONE- 3/20/2024</t>
  </si>
  <si>
    <t>BMOU4947463</t>
  </si>
  <si>
    <t>FDA37D</t>
  </si>
  <si>
    <t>COSU6376064360 /卸下一部分货，然后weship 再带去 rfd2 / rfd2 的货都在前段，所以我们不得不把所有货物掏出来，收信越全款 Transloading fee /</t>
  </si>
  <si>
    <t>DONE 146383</t>
  </si>
  <si>
    <t>UETU5166043</t>
  </si>
  <si>
    <t>4749B5</t>
  </si>
  <si>
    <t xml:space="preserve">COSU6376125790  </t>
  </si>
  <si>
    <t>OL warehouse</t>
  </si>
  <si>
    <t>BSIU9662474</t>
  </si>
  <si>
    <t>ONEYSH2SN3290600 / 3-5-2024 还没上火车</t>
  </si>
  <si>
    <t>DONE 146179</t>
  </si>
  <si>
    <t>CMAU8875512</t>
  </si>
  <si>
    <t>5A8EA4</t>
  </si>
  <si>
    <t>CMDUGGZ2064166</t>
  </si>
  <si>
    <t>DONE- 3/26- #145724</t>
  </si>
  <si>
    <t>BEAU5777855</t>
  </si>
  <si>
    <t xml:space="preserve">15:00-15:30 DROP </t>
  </si>
  <si>
    <t>COWAN</t>
  </si>
  <si>
    <t>Hebron,KY 41048</t>
  </si>
  <si>
    <t>SPLIT *2 / 3-11 empty ready / pre-pull, yard storage  /COSU6374790805 /  Q# WUH010424B / Detention 1 hr free
整柜派送要提前预约，千万千万要按照预约时间派送。 不然 70个方，要罚违约金700美金。
WI34903212=H85524013834=1100件整柜
预约码：I1D5E8T9K029
预约网站：https://booking.winit.com.cn</t>
  </si>
  <si>
    <t>DONE#145307, per diem inv#146011</t>
  </si>
  <si>
    <t>ONEU2361185</t>
  </si>
  <si>
    <t>ELK GROVE VILLAGE, IL  60007</t>
  </si>
  <si>
    <t>2-25 discharged / ONEYXMNE11552800   / COC</t>
  </si>
  <si>
    <t>DONE# 144953</t>
  </si>
  <si>
    <t>GLCU4016620</t>
  </si>
  <si>
    <r>
      <rPr>
        <sz val="11"/>
        <color rgb="FFFF0000"/>
        <rFont val="Calibri"/>
        <family val="2"/>
        <scheme val="minor"/>
      </rPr>
      <t>0.75 hr detention- 9am-10:45am, 1 hour fre</t>
    </r>
    <r>
      <rPr>
        <sz val="11"/>
        <color theme="1"/>
        <rFont val="Calibri"/>
        <family val="2"/>
        <charset val="134"/>
        <scheme val="minor"/>
      </rPr>
      <t xml:space="preserve">e / 2-27 discharged / QGD0631549/ </t>
    </r>
    <r>
      <rPr>
        <sz val="11"/>
        <color rgb="FFFF0000"/>
        <rFont val="Calibri"/>
        <family val="2"/>
        <scheme val="minor"/>
      </rPr>
      <t>Chassis split for SOC return to RSD Container Yard Services</t>
    </r>
    <r>
      <rPr>
        <sz val="11"/>
        <color theme="1"/>
        <rFont val="Calibri"/>
        <family val="2"/>
        <charset val="134"/>
        <scheme val="minor"/>
      </rPr>
      <t xml:space="preserve"> / Q# QDMY080423A/  Detention 1 hr free</t>
    </r>
  </si>
  <si>
    <t>DONE#145055</t>
  </si>
  <si>
    <t>GLCU4016609</t>
  </si>
  <si>
    <r>
      <rPr>
        <sz val="11"/>
        <color rgb="FFFF0000"/>
        <rFont val="Calibri"/>
        <family val="2"/>
        <scheme val="minor"/>
      </rPr>
      <t>3 hrs detention-12pm-4pm, 1hr free</t>
    </r>
    <r>
      <rPr>
        <sz val="11"/>
        <color theme="1"/>
        <rFont val="Calibri"/>
        <family val="2"/>
        <charset val="134"/>
        <scheme val="minor"/>
      </rPr>
      <t xml:space="preserve">/ QGD0631549/ </t>
    </r>
    <r>
      <rPr>
        <sz val="11"/>
        <color rgb="FFFF0000"/>
        <rFont val="Calibri"/>
        <family val="2"/>
        <scheme val="minor"/>
      </rPr>
      <t>Chassis split for SOC return to RSD Container Yard Services</t>
    </r>
    <r>
      <rPr>
        <sz val="11"/>
        <color theme="1"/>
        <rFont val="Calibri"/>
        <family val="2"/>
        <charset val="134"/>
        <scheme val="minor"/>
      </rPr>
      <t xml:space="preserve"> / Q# QDMY080423A/  Detention 1 hr free</t>
    </r>
    <r>
      <rPr>
        <sz val="11"/>
        <color theme="1"/>
        <rFont val="Calibri"/>
        <family val="2"/>
        <scheme val="minor"/>
      </rPr>
      <t>/ redelivery + yard storage</t>
    </r>
  </si>
  <si>
    <t>DONE#145026</t>
  </si>
  <si>
    <t>GCXU5462196</t>
  </si>
  <si>
    <t>46AF03</t>
  </si>
  <si>
    <r>
      <rPr>
        <sz val="11"/>
        <color rgb="FFFF0000"/>
        <rFont val="Calibri"/>
        <family val="2"/>
        <scheme val="minor"/>
      </rPr>
      <t>pre-pull / yard storage</t>
    </r>
    <r>
      <rPr>
        <sz val="11"/>
        <color theme="1"/>
        <rFont val="Calibri"/>
        <family val="2"/>
        <charset val="134"/>
        <scheme val="minor"/>
      </rPr>
      <t xml:space="preserve"> / COSU6375375190 / Q# COCO011024A /Detention 1 hr free</t>
    </r>
  </si>
  <si>
    <t xml:space="preserve">DONE#145315 </t>
  </si>
  <si>
    <t>EMCU1733252</t>
  </si>
  <si>
    <t xml:space="preserve">DONE#145371 </t>
  </si>
  <si>
    <t>OOLU9685926</t>
  </si>
  <si>
    <t>BEAVERCREEK, OH 45440</t>
  </si>
  <si>
    <t>3-12 @2:45pm empty ready / OOLU8810694630 / Q# WUH121223C /  Detention 1 hr free / chassis split *2 / drop fee double drayage</t>
  </si>
  <si>
    <t>DONE#145342  , Dem inv#145013</t>
  </si>
  <si>
    <t>MSCU4988805</t>
  </si>
  <si>
    <t>SEATLLE TERMINAL 5</t>
  </si>
  <si>
    <t>MEDUGO700892/HC $80/CTS REF#CWHMF240100151</t>
  </si>
  <si>
    <t>CCLU7321278</t>
  </si>
  <si>
    <t>这个柜子里只有 self pu</t>
  </si>
  <si>
    <t>E9EC23</t>
  </si>
  <si>
    <t>oolu2731786430</t>
  </si>
  <si>
    <t>TRHU4525022</t>
  </si>
  <si>
    <t>ef7a33</t>
  </si>
  <si>
    <t>COSU6376497453</t>
  </si>
  <si>
    <t>DONE-3/20/2024</t>
  </si>
  <si>
    <t>CCLU7804403</t>
  </si>
  <si>
    <t>COSU6376481990</t>
  </si>
  <si>
    <t>DONE- 3/20</t>
  </si>
  <si>
    <t>SEGU4912335</t>
  </si>
  <si>
    <t>16308c</t>
  </si>
  <si>
    <t xml:space="preserve">COSU6374873341 </t>
  </si>
  <si>
    <t xml:space="preserve">DONE- 3/25 #145689 </t>
  </si>
  <si>
    <t>TRHU4653975</t>
  </si>
  <si>
    <t>CD13E3</t>
  </si>
  <si>
    <t>COSU6374819089</t>
  </si>
  <si>
    <t>DONE- 3/19</t>
  </si>
  <si>
    <t>OOCU8795964</t>
  </si>
  <si>
    <t>15BCC1</t>
  </si>
  <si>
    <t>COSU6374873342</t>
  </si>
  <si>
    <t>DONE- 4/3- #146352</t>
  </si>
  <si>
    <t>CBHU9084452</t>
  </si>
  <si>
    <t>B5E2DD</t>
  </si>
  <si>
    <t xml:space="preserve">COSU6374511905 </t>
  </si>
  <si>
    <t xml:space="preserve">Invoice- 3/27- #145739 </t>
  </si>
  <si>
    <t>OOCU8088426</t>
  </si>
  <si>
    <t>Hebron，KY 41048</t>
  </si>
  <si>
    <r>
      <rPr>
        <sz val="11"/>
        <color rgb="FFFF0000"/>
        <rFont val="Calibri"/>
        <family val="2"/>
        <scheme val="minor"/>
      </rPr>
      <t>chassis split *2/ double drayage for drop</t>
    </r>
    <r>
      <rPr>
        <sz val="11"/>
        <color theme="1"/>
        <rFont val="Calibri"/>
        <family val="2"/>
        <charset val="134"/>
        <scheme val="minor"/>
      </rPr>
      <t xml:space="preserve"> / 3-13 empty ready / COSU 6375255950 / Q# WUH010424B/ Detention 1 hr free
</t>
    </r>
    <r>
      <rPr>
        <sz val="11"/>
        <color rgb="FFFF0000"/>
        <rFont val="Calibri"/>
        <family val="2"/>
        <scheme val="minor"/>
      </rPr>
      <t>预约码：D1I5S9E1L291
预约网站：https://booking.winit.com.cn
要特别注意，一定要按照预约好的时间送仓，违约送仓会产生费用，我司不承担此费用</t>
    </r>
  </si>
  <si>
    <t>DONE# 145308</t>
  </si>
  <si>
    <t>KKTU7993313</t>
  </si>
  <si>
    <t>20DS</t>
  </si>
  <si>
    <t>ONEYXMNE04975500/Q#TITN020624A</t>
  </si>
  <si>
    <t>SMCU2029827</t>
  </si>
  <si>
    <t>CALHOUN</t>
  </si>
  <si>
    <t>Minneapolis, MN 55447</t>
  </si>
  <si>
    <r>
      <rPr>
        <sz val="11"/>
        <color rgb="FFFF0000"/>
        <rFont val="Calibri"/>
        <family val="2"/>
        <scheme val="minor"/>
      </rPr>
      <t xml:space="preserve">pre-pull， yard storage </t>
    </r>
    <r>
      <rPr>
        <sz val="11"/>
        <color theme="1"/>
        <rFont val="Calibri"/>
        <family val="2"/>
        <charset val="134"/>
        <scheme val="minor"/>
      </rPr>
      <t>/ SMLMNJBN3F318500 / Q# WUH010424H / Detention 1 hr free</t>
    </r>
  </si>
  <si>
    <t>DONE# 145365, disputing chassis SPLIT</t>
  </si>
  <si>
    <t>CCLU3889172</t>
  </si>
  <si>
    <t>ABL DOES NOT ARRANGE DELIVERY</t>
  </si>
  <si>
    <t>48F7AB</t>
  </si>
  <si>
    <t>2-28 discharged / CMDUQGD0582781 / only handling ， ISF, CUSTOMS CLEARANCE / AN SENT,  CI/PL sent / SOC instruction sent / SOC GL sent / Customs Released / TLX HBL</t>
  </si>
  <si>
    <t>DONE# 145297, Duty INV# 144559</t>
  </si>
  <si>
    <t>TCKU7270816</t>
  </si>
  <si>
    <t>CMDUSHZ6016888/Q#SUFY020924A</t>
  </si>
  <si>
    <t>OOLU8887650</t>
  </si>
  <si>
    <t>35D321</t>
  </si>
  <si>
    <t>COSU6376591490</t>
  </si>
  <si>
    <t>DONE- 4/8- #146579</t>
  </si>
  <si>
    <t>OOCU7256253</t>
  </si>
  <si>
    <t>F10AF4</t>
  </si>
  <si>
    <t>cosu6374840766 /</t>
  </si>
  <si>
    <t>DONE 145854</t>
  </si>
  <si>
    <t>CZZU3535970</t>
  </si>
  <si>
    <t>2A3DEC</t>
  </si>
  <si>
    <t>EMCU1541028</t>
  </si>
  <si>
    <t xml:space="preserve">DONE#145374 </t>
  </si>
  <si>
    <t>GVCU2217287</t>
  </si>
  <si>
    <t>48F1D1</t>
  </si>
  <si>
    <t>CICU6196896</t>
  </si>
  <si>
    <t>TTIS</t>
  </si>
  <si>
    <t>C288B3</t>
  </si>
  <si>
    <r>
      <rPr>
        <sz val="11"/>
        <color rgb="FFFF0000"/>
        <rFont val="Calibri"/>
        <family val="2"/>
        <scheme val="minor"/>
      </rPr>
      <t>THC $95 +  Admin fee 5% min $10</t>
    </r>
    <r>
      <rPr>
        <sz val="11"/>
        <color theme="1"/>
        <rFont val="Calibri"/>
        <family val="2"/>
        <charset val="134"/>
        <scheme val="minor"/>
      </rPr>
      <t xml:space="preserve">/ MAEU235020476 / Q# WUH010824G $850/ Detention 1 hr free / </t>
    </r>
    <r>
      <rPr>
        <sz val="11"/>
        <color rgb="FFFF0000"/>
        <rFont val="Calibri"/>
        <family val="2"/>
        <scheme val="minor"/>
      </rPr>
      <t>SOC return to ConGlobal Industries, Inc @ Cicero IL, 60804</t>
    </r>
  </si>
  <si>
    <t>DONE# 145143</t>
  </si>
  <si>
    <t>GLCU4016595</t>
  </si>
  <si>
    <r>
      <rPr>
        <sz val="11"/>
        <color rgb="FFFF0000"/>
        <rFont val="Calibri"/>
        <family val="2"/>
        <scheme val="minor"/>
      </rPr>
      <t>2.5 hrs detention-9am-12:30pm, 1 hour free</t>
    </r>
    <r>
      <rPr>
        <sz val="11"/>
        <color theme="1"/>
        <rFont val="Calibri"/>
        <family val="2"/>
        <charset val="134"/>
        <scheme val="minor"/>
      </rPr>
      <t xml:space="preserve"> / 3-11 翻车了 / 需要重新预约/ 2-27 discharged / QGD0631549/ </t>
    </r>
    <r>
      <rPr>
        <sz val="11"/>
        <color rgb="FFFF0000"/>
        <rFont val="Calibri"/>
        <family val="2"/>
        <scheme val="minor"/>
      </rPr>
      <t>Chassis split for SOC return to RSD Container Yard Services</t>
    </r>
    <r>
      <rPr>
        <sz val="11"/>
        <color theme="1"/>
        <rFont val="Calibri"/>
        <family val="2"/>
        <charset val="134"/>
        <scheme val="minor"/>
      </rPr>
      <t xml:space="preserve"> / Q# QDMY080423A/  Detention 1 hr free</t>
    </r>
  </si>
  <si>
    <t>DONE#145369</t>
  </si>
  <si>
    <t>MEDU4325877</t>
  </si>
  <si>
    <t>1F47D3</t>
  </si>
  <si>
    <t>2-26 discharged / MEDUET359266 / Contact Person:Marty Wu Cell: 630-857-8964</t>
  </si>
  <si>
    <t>DONE#145367</t>
  </si>
  <si>
    <t>MSNU3249208</t>
  </si>
  <si>
    <t>4C6A6A</t>
  </si>
  <si>
    <t>DONE#145368</t>
  </si>
  <si>
    <t>CSNU7284906</t>
  </si>
  <si>
    <t>378d11</t>
  </si>
  <si>
    <t>COSU6374831220</t>
  </si>
  <si>
    <t>CICU3749010</t>
  </si>
  <si>
    <t>A0FE81</t>
  </si>
  <si>
    <t>2-27 discharged / CMDUQGD0582781 / only handling ， ISF, CUSTOMS CLEARANCE / AN SENT,  CI/PL sent / SOC instruction sent / SOC GL sent / Customs Released / TLX HBL</t>
  </si>
  <si>
    <t>XHCU5471061</t>
  </si>
  <si>
    <t>A002CF</t>
  </si>
  <si>
    <t>XHCU5471502</t>
  </si>
  <si>
    <t>81D7BC</t>
  </si>
  <si>
    <t>DALA28036400</t>
  </si>
  <si>
    <t>1*40HQ TO QINGDAO</t>
  </si>
  <si>
    <t>2/3 @8AM</t>
  </si>
  <si>
    <t>ERD 1-30 6AM/CNTR#KOCU442851</t>
  </si>
  <si>
    <t>SMCU1204289</t>
  </si>
  <si>
    <t>SMLUTATU4A192700</t>
  </si>
  <si>
    <t>DONE- 3/29- #146167</t>
  </si>
  <si>
    <t>SMCU1057681</t>
  </si>
  <si>
    <t xml:space="preserve">SMLMNJGF2A557300  </t>
  </si>
  <si>
    <t xml:space="preserve">DONE- 4/2- #146292 </t>
  </si>
  <si>
    <t>SMCU1292649</t>
  </si>
  <si>
    <t xml:space="preserve">SMLUNJGF2A559500  </t>
  </si>
  <si>
    <t xml:space="preserve">DONE- 3/27- #145841 </t>
  </si>
  <si>
    <t>SMCU1243900</t>
  </si>
  <si>
    <t>SMLMNJBC3E014200</t>
  </si>
  <si>
    <t xml:space="preserve">DONE- 4/3- #146354 </t>
  </si>
  <si>
    <t>DALA25783900</t>
  </si>
  <si>
    <t>3*40HQ TO WUHAN</t>
  </si>
  <si>
    <t xml:space="preserve">885662
885663
885664 </t>
  </si>
  <si>
    <t>1/30
1/30
2/1</t>
  </si>
  <si>
    <t>KOCU5061221-1/30
KOCU4616599-1/30
TEMU6186855-1/31</t>
  </si>
  <si>
    <t>KOCU5061221-1/30
KOCU4616599-1/30
TEMU6186855-2/1</t>
  </si>
  <si>
    <t>ERD 1-30 6AM/CNTR#KOCU5061221&amp;&amp;KOCU4616599&amp;TEMU6186855($50 ST)</t>
  </si>
  <si>
    <t>KOCU4369689</t>
  </si>
  <si>
    <t>MTPE24010094/5700-5800/HDMUTPEM25311800</t>
  </si>
  <si>
    <t>KKFU9147156</t>
  </si>
  <si>
    <t>8AM-4:30PM</t>
  </si>
  <si>
    <t>AUBURN HILLS,MI,48326</t>
  </si>
  <si>
    <r>
      <rPr>
        <sz val="11"/>
        <color rgb="FFFF0000"/>
        <rFont val="Calibri"/>
        <family val="2"/>
        <scheme val="minor"/>
      </rPr>
      <t xml:space="preserve">要退运，COSCO-CC5506936222  </t>
    </r>
    <r>
      <rPr>
        <sz val="11"/>
        <color theme="1"/>
        <rFont val="Calibri"/>
        <family val="2"/>
        <charset val="134"/>
        <scheme val="minor"/>
      </rPr>
      <t xml:space="preserve">/ EXAM /ONEYNB3JD0504400 /Q#YWHJ020624A/CLEAN TRUCK FEE $20/DRAYAGE TO EXAM SITE $500/TAIL EXAM $875/$1514.5 EXAM FEE </t>
    </r>
  </si>
  <si>
    <t>DONE#149299</t>
  </si>
  <si>
    <t>DALA00666000</t>
  </si>
  <si>
    <t>2/24 8AM</t>
  </si>
  <si>
    <t>ERD FEB 20 6AM/CNTR#KOCU483022/Q#CI-0515/PREPULL</t>
  </si>
  <si>
    <t>DALA24418200</t>
  </si>
  <si>
    <t>4*40HQ TO WUHAN</t>
  </si>
  <si>
    <t>886216
886217
886222
886223</t>
  </si>
  <si>
    <t>2/13
2/13
2/14</t>
  </si>
  <si>
    <t>FEB 17 @8AM</t>
  </si>
  <si>
    <t>2/13
2/13
2/14
2/15</t>
  </si>
  <si>
    <t>ERD Feb 13 6AM/CNTR#/ORDER#886216-KOCU4902885&amp;886217-KOCU4782624&amp;886222-HMMU6154786&amp;886223-KOCU487041/SPLIT TO DALA24418201</t>
  </si>
  <si>
    <t>1*40HQ TO NINGBO</t>
  </si>
  <si>
    <t>FEB 12 @3PM</t>
  </si>
  <si>
    <r>
      <rPr>
        <sz val="11"/>
        <color rgb="FF000000"/>
        <rFont val="Calibri"/>
        <family val="2"/>
      </rPr>
      <t xml:space="preserve">ERD FEB 08/CNTR#OOCU7418225/Q#PGIL020124A/ </t>
    </r>
    <r>
      <rPr>
        <sz val="11"/>
        <color rgb="FFFF0000"/>
        <rFont val="Calibri"/>
        <family val="2"/>
      </rPr>
      <t>AES CUT OFF FEB 18</t>
    </r>
  </si>
  <si>
    <t>EXPORT D+AES</t>
  </si>
  <si>
    <t>2/19 3PM</t>
  </si>
  <si>
    <t>ERD FEB 15/CNTR#OOCU8258287/SPGLSTD00002388</t>
  </si>
  <si>
    <t>MSMU8546735</t>
  </si>
  <si>
    <t>A91002</t>
  </si>
  <si>
    <t>MEDU X6163307/</t>
  </si>
  <si>
    <t>MATU2563858</t>
  </si>
  <si>
    <t>BILLERICA,MA,01821</t>
  </si>
  <si>
    <t xml:space="preserve">MATS8184619000/Q#YWHJ012224A </t>
  </si>
  <si>
    <t>DFSU6849278</t>
  </si>
  <si>
    <t>liuwen sent pu</t>
  </si>
  <si>
    <t xml:space="preserve">cosu6373924070 / 整柜直送改拆柜  在3-6-2024 转给我          </t>
  </si>
  <si>
    <t>done 145161</t>
  </si>
  <si>
    <t>TCNU1972091</t>
  </si>
  <si>
    <t>pu# sent by liuwen</t>
  </si>
  <si>
    <t>cosu6374566688          /整柜改拆</t>
  </si>
  <si>
    <t>DONE 145858</t>
  </si>
  <si>
    <t>CCLU7602974</t>
  </si>
  <si>
    <t>cosu6374566678 /整柜直送改拆柜 在3-6-2024 转给我</t>
  </si>
  <si>
    <t>DONE 145467</t>
  </si>
  <si>
    <t>UETU5110548</t>
  </si>
  <si>
    <t xml:space="preserve">cosu6374566692   / 整柜直送改拆柜  在3-6-2024 转给我                  </t>
  </si>
  <si>
    <t>DONE 145861</t>
  </si>
  <si>
    <t>CSNU6527555</t>
  </si>
  <si>
    <t>cosu6374566677          /整柜改拆</t>
  </si>
  <si>
    <t>DONE 145886</t>
  </si>
  <si>
    <t>TDRU7461428</t>
  </si>
  <si>
    <t>HOUSTON</t>
  </si>
  <si>
    <t>DFW Handle</t>
  </si>
  <si>
    <t>MAGNOLIA TX 77354</t>
  </si>
  <si>
    <t>Customs released, Customer own contianer</t>
  </si>
  <si>
    <t>Doesn't need to return</t>
  </si>
  <si>
    <r>
      <rPr>
        <sz val="11"/>
        <color rgb="FFFF0000"/>
        <rFont val="Calibri"/>
        <family val="2"/>
        <scheme val="minor"/>
      </rPr>
      <t>Customs released / AN SENT / Received TLX HBL / Docs fee $75</t>
    </r>
    <r>
      <rPr>
        <sz val="11"/>
        <color theme="1"/>
        <rFont val="Calibri"/>
        <family val="2"/>
        <charset val="134"/>
        <scheme val="minor"/>
      </rPr>
      <t xml:space="preserve"> / CMDUQGD0614603  / ORD FILE ISF, CUSTOMS ENTYR AND DUTY CONFIRMATION /  DFW ARRANGE DELIVEYR</t>
    </r>
    <r>
      <rPr>
        <sz val="11"/>
        <color theme="1"/>
        <rFont val="Calibri"/>
        <family val="2"/>
        <scheme val="minor"/>
      </rPr>
      <t xml:space="preserve"> / Customer OWN SOC doesn't need to return.</t>
    </r>
  </si>
  <si>
    <t>DONE#144692, Duty INV# 144556</t>
  </si>
  <si>
    <t>CBHU8971093</t>
  </si>
  <si>
    <t>CBC1FB</t>
  </si>
  <si>
    <t xml:space="preserve">cosu6375255914 </t>
  </si>
  <si>
    <t>DONE 147107</t>
  </si>
  <si>
    <t>FCIU9479126</t>
  </si>
  <si>
    <t xml:space="preserve">CF75A9  </t>
  </si>
  <si>
    <t xml:space="preserve">cosu6375255913 </t>
  </si>
  <si>
    <t>DONE 146115</t>
  </si>
  <si>
    <t>9 Fang</t>
  </si>
  <si>
    <t>FFAU3541758</t>
  </si>
  <si>
    <t>EF6ABD</t>
  </si>
  <si>
    <t>COSU6374869650</t>
  </si>
  <si>
    <t>SY</t>
  </si>
  <si>
    <t>OOCU8392017</t>
  </si>
  <si>
    <t>OOLU2145927700/HC TO PICO</t>
  </si>
  <si>
    <t>TRHU7962704</t>
  </si>
  <si>
    <t>11am-12pm DROP</t>
  </si>
  <si>
    <t>Tampa, FL 33634</t>
  </si>
  <si>
    <r>
      <rPr>
        <sz val="11"/>
        <color rgb="FFFF0000"/>
        <rFont val="Calibri"/>
        <family val="2"/>
        <scheme val="minor"/>
      </rPr>
      <t>3-18 EMPTY READY / PRE-PULL, YARD STORAGE, Port Pudetention( if any), Empty return detention if any, potential per diem if any</t>
    </r>
    <r>
      <rPr>
        <sz val="11"/>
        <color theme="1"/>
        <rFont val="Calibri"/>
        <family val="2"/>
        <charset val="134"/>
        <scheme val="minor"/>
      </rPr>
      <t xml:space="preserve"> / EGLV149400179393 / 请不要做预提，提前联系收货人确认收货时间，提柜和派送时间有了请及时告知我们</t>
    </r>
  </si>
  <si>
    <t>DONE#145311</t>
  </si>
  <si>
    <t>EGSU9388315</t>
  </si>
  <si>
    <t>1pm DROP</t>
  </si>
  <si>
    <t>3-20 empty ready / EGLV143471160467</t>
  </si>
  <si>
    <t xml:space="preserve">DONE#145921 </t>
  </si>
  <si>
    <t>GLCU4016580</t>
  </si>
  <si>
    <t>Springville, UT 84663</t>
  </si>
  <si>
    <r>
      <rPr>
        <sz val="11"/>
        <color rgb="FF0000CC"/>
        <rFont val="Calibri"/>
        <family val="2"/>
        <scheme val="minor"/>
      </rPr>
      <t>redelivery $125 + yard storage for depot closed during weekend and brought ctnr to carrier's yard /</t>
    </r>
    <r>
      <rPr>
        <sz val="11"/>
        <color rgb="FFFF0000"/>
        <rFont val="Calibri"/>
        <family val="2"/>
        <scheme val="minor"/>
      </rPr>
      <t xml:space="preserve"> 1.5 hr detention-9am- 11:30am, 1 hr free / Weekend delviery $165 / Pre-pull, yard stroage </t>
    </r>
    <r>
      <rPr>
        <sz val="11"/>
        <color theme="1"/>
        <rFont val="Calibri"/>
        <family val="2"/>
        <scheme val="minor"/>
      </rPr>
      <t xml:space="preserve">/ QGD0668457 / </t>
    </r>
    <r>
      <rPr>
        <sz val="11"/>
        <color rgb="FFFF0000"/>
        <rFont val="Calibri"/>
        <family val="2"/>
        <scheme val="minor"/>
      </rPr>
      <t xml:space="preserve">Chassis split for SOC return to RSD Container Yard Services / </t>
    </r>
    <r>
      <rPr>
        <sz val="11"/>
        <color theme="1"/>
        <rFont val="Calibri"/>
        <family val="2"/>
        <scheme val="minor"/>
      </rPr>
      <t>Q# XB021924B /  Detention 1 hr</t>
    </r>
  </si>
  <si>
    <t>DONE#145383</t>
  </si>
  <si>
    <t>GLCU4016384</t>
  </si>
  <si>
    <r>
      <rPr>
        <sz val="11"/>
        <color rgb="FF0000CC"/>
        <rFont val="Calibri"/>
        <family val="2"/>
        <scheme val="minor"/>
      </rPr>
      <t>redelivery $125 + yard storage for depot closed during weekend and brought ctnr to carrier's yard</t>
    </r>
    <r>
      <rPr>
        <sz val="11"/>
        <color rgb="FFFF0000"/>
        <rFont val="Calibri"/>
        <family val="2"/>
        <scheme val="minor"/>
      </rPr>
      <t xml:space="preserve"> /2.75 hrs dention, 11:30-1515,1 hr free / Weekend delviery $165 / Pre-pull, yard stroage </t>
    </r>
    <r>
      <rPr>
        <sz val="11"/>
        <color theme="1"/>
        <rFont val="Calibri"/>
        <family val="2"/>
        <scheme val="minor"/>
      </rPr>
      <t xml:space="preserve">/ QGD0668457 / </t>
    </r>
    <r>
      <rPr>
        <sz val="11"/>
        <color rgb="FFFF0000"/>
        <rFont val="Calibri"/>
        <family val="2"/>
        <scheme val="minor"/>
      </rPr>
      <t>Chassis split for SOC return to RSD Container Yard Services / Q# XB021924B /  Detention 1 hr</t>
    </r>
  </si>
  <si>
    <t xml:space="preserve">DONE#145384 </t>
  </si>
  <si>
    <t>OOCU8815090</t>
  </si>
  <si>
    <t>9E8C3E</t>
  </si>
  <si>
    <t xml:space="preserve">OOLU2732391580  </t>
  </si>
  <si>
    <t>OOLU9278509</t>
  </si>
  <si>
    <t>A2CCEB</t>
  </si>
  <si>
    <t>BMOU5513517</t>
  </si>
  <si>
    <t>d5229b</t>
  </si>
  <si>
    <t>OOLU4114744665</t>
  </si>
  <si>
    <t>DONE- 4/9-  #146626</t>
  </si>
  <si>
    <t>CCLU7488178</t>
  </si>
  <si>
    <t>11DBFE</t>
  </si>
  <si>
    <t xml:space="preserve">COSU6374869651 </t>
  </si>
  <si>
    <t>TRHU6932388</t>
  </si>
  <si>
    <t>5F31BD</t>
  </si>
  <si>
    <t xml:space="preserve">cosu6376827325          </t>
  </si>
  <si>
    <t>done 145889</t>
  </si>
  <si>
    <t>CBHU9543280</t>
  </si>
  <si>
    <t>77BAAA</t>
  </si>
  <si>
    <t xml:space="preserve">cosu6376827323          </t>
  </si>
  <si>
    <t>DONE 147091</t>
  </si>
  <si>
    <t>OOCU7184723</t>
  </si>
  <si>
    <t>0F6949</t>
  </si>
  <si>
    <t>OOLU2733086110</t>
  </si>
  <si>
    <t>OOLU4928915</t>
  </si>
  <si>
    <t>d02ebf</t>
  </si>
  <si>
    <t xml:space="preserve">OOLU2732684320 </t>
  </si>
  <si>
    <t>DONE- 3/27- #145745</t>
  </si>
  <si>
    <t>OOCU7827624</t>
  </si>
  <si>
    <t>2A2488</t>
  </si>
  <si>
    <t xml:space="preserve">OOLU2732684321 </t>
  </si>
  <si>
    <t>DONE- 3/27- #145750</t>
  </si>
  <si>
    <t>TGHU6653083</t>
  </si>
  <si>
    <t>49BCFC</t>
  </si>
  <si>
    <t>COSU6376786361</t>
  </si>
  <si>
    <t>DONE 146393</t>
  </si>
  <si>
    <t>TLLU4416292</t>
  </si>
  <si>
    <t>NORTHLAKE,IL,60614</t>
  </si>
  <si>
    <t>YMJAW226481588/Q#LLG022024A-COLODER HC$120+ABL HC $50</t>
  </si>
  <si>
    <t>SMCU1037746</t>
  </si>
  <si>
    <t>SMLUNJED3K978100</t>
  </si>
  <si>
    <t xml:space="preserve">DONE- 3/27- #145747 </t>
  </si>
  <si>
    <t>SMCU1304077</t>
  </si>
  <si>
    <t>SMLUNJPT2D765300</t>
  </si>
  <si>
    <t>DONE- 3/25 #145687</t>
  </si>
  <si>
    <t>OOCU7363478</t>
  </si>
  <si>
    <t>F1CFC7</t>
  </si>
  <si>
    <t>OOLU2145881660</t>
  </si>
  <si>
    <t>TCNU3063116</t>
  </si>
  <si>
    <t>YMJAW236852911</t>
  </si>
  <si>
    <t>TRHU6049820</t>
  </si>
  <si>
    <t>OOLU2145920630/HC TO PICO</t>
  </si>
  <si>
    <t>OOLU6880981</t>
  </si>
  <si>
    <t>TCNU6303334</t>
  </si>
  <si>
    <t>207D7E</t>
  </si>
  <si>
    <t>CMDUGGZ2071923</t>
  </si>
  <si>
    <t xml:space="preserve">DONE- 3/27- #145844 </t>
  </si>
  <si>
    <t>FCIU9524987</t>
  </si>
  <si>
    <t>513E0F</t>
  </si>
  <si>
    <t xml:space="preserve">COSU6376114800          </t>
  </si>
  <si>
    <t>DONE 145896</t>
  </si>
  <si>
    <t>EISU8315452</t>
  </si>
  <si>
    <t>2.25 hrs detention-9am-12:15pm / 090300263691/po#33205 / q# SAUL111323A</t>
  </si>
  <si>
    <t>DONE# 146187</t>
  </si>
  <si>
    <t>SEGU4583245</t>
  </si>
  <si>
    <t>CSNU7011943</t>
  </si>
  <si>
    <t>EE0D15</t>
  </si>
  <si>
    <t xml:space="preserve">OOLU2145817420          </t>
  </si>
  <si>
    <t>DONE 145906</t>
  </si>
  <si>
    <t>SMCU1015984</t>
  </si>
  <si>
    <t xml:space="preserve">SMLMNJED4A002700 </t>
  </si>
  <si>
    <t>DONE- 3/27-  #145849</t>
  </si>
  <si>
    <t>FFAU2353632</t>
  </si>
  <si>
    <t>na 电商组发的</t>
  </si>
  <si>
    <t>COSU6374873340 / 整柜 改成 拆 / 3-21 是 street turn/ 16 號被拒</t>
  </si>
  <si>
    <t xml:space="preserve">DONE- 3/27- #145742 </t>
  </si>
  <si>
    <t>HLBU3145342</t>
  </si>
  <si>
    <t xml:space="preserve">0700-1300, </t>
  </si>
  <si>
    <r>
      <t xml:space="preserve">HLCUKUL240154897/PO#60092 / </t>
    </r>
    <r>
      <rPr>
        <sz val="11"/>
        <color rgb="FFFF0000"/>
        <rFont val="Calibri"/>
        <family val="2"/>
        <scheme val="minor"/>
      </rPr>
      <t>pierpass+ CTF</t>
    </r>
  </si>
  <si>
    <t>DONE#146418</t>
  </si>
  <si>
    <t>FANU1590952</t>
  </si>
  <si>
    <t>Arlington, AZ 85322</t>
  </si>
  <si>
    <r>
      <t xml:space="preserve">HLCUKUL240105821/po#59982 / </t>
    </r>
    <r>
      <rPr>
        <sz val="11"/>
        <color rgb="FFFF0000"/>
        <rFont val="Calibri"/>
        <family val="2"/>
        <scheme val="minor"/>
      </rPr>
      <t>pierpass+ CTF</t>
    </r>
  </si>
  <si>
    <t xml:space="preserve">DONE#146421 </t>
  </si>
  <si>
    <t>CAXU9858838</t>
  </si>
  <si>
    <t>SANFORD, FL 32771</t>
  </si>
  <si>
    <r>
      <t xml:space="preserve">ZIMUXIA8362781   / Q# ASPD022224A /  Detention 2 hours free / </t>
    </r>
    <r>
      <rPr>
        <sz val="11"/>
        <color rgb="FFFF0000"/>
        <rFont val="Calibri"/>
        <family val="2"/>
        <scheme val="minor"/>
      </rPr>
      <t>SOC Return to ACCEPTANCCE</t>
    </r>
    <r>
      <rPr>
        <sz val="11"/>
        <color theme="1"/>
        <rFont val="Calibri"/>
        <family val="2"/>
        <scheme val="minor"/>
      </rPr>
      <t xml:space="preserve">
</t>
    </r>
    <r>
      <rPr>
        <sz val="11"/>
        <color rgb="FF0000CC"/>
        <rFont val="Calibri"/>
        <family val="2"/>
        <scheme val="minor"/>
      </rPr>
      <t xml:space="preserve"> 客户正确邮箱更新为：
savannah@venturecirclellc.com  其它不变</t>
    </r>
  </si>
  <si>
    <t>DONE#146309</t>
  </si>
  <si>
    <t>CAXU8174384</t>
  </si>
  <si>
    <t xml:space="preserve">8am-10am </t>
  </si>
  <si>
    <t xml:space="preserve">DONE#146117 </t>
  </si>
  <si>
    <t>KKTU8113109</t>
  </si>
  <si>
    <t>pre-pull &amp; yard storage/ ONEYXMNE09401800   / COC/ Q#ASPD082923C</t>
  </si>
  <si>
    <t xml:space="preserve">DONE#145716 </t>
  </si>
  <si>
    <t>ONEU2356785</t>
  </si>
  <si>
    <t>chassis split for Container was mounted on a bad order chassis / up flip $115 / pre-pull &amp; yard storage / ONEYXMNE09401800   / COC/ Q#ASPD082923C</t>
  </si>
  <si>
    <t>DONE#145717</t>
  </si>
  <si>
    <t>ONEU2357251</t>
  </si>
  <si>
    <t xml:space="preserve"> pre-pull &amp; yard storage/ONEYXMNE09401800   / COC / Q#ASPD082923C</t>
  </si>
  <si>
    <t>DONE# 145386</t>
  </si>
  <si>
    <t>JIUMAO</t>
  </si>
  <si>
    <t>FFAU3203555</t>
  </si>
  <si>
    <t>b5a493</t>
  </si>
  <si>
    <t>COSU6375958580</t>
  </si>
  <si>
    <t>DONE 146178</t>
  </si>
  <si>
    <t>CMAU6269985</t>
  </si>
  <si>
    <t>f6971c</t>
  </si>
  <si>
    <t>CMDUGGZ2072156</t>
  </si>
  <si>
    <t>DONE- 3/28- #146069</t>
  </si>
  <si>
    <t>SLSU6334480</t>
  </si>
  <si>
    <t>TTI TERMINAL</t>
  </si>
  <si>
    <t>INGLEWOOD,CA,90301</t>
  </si>
  <si>
    <t>MEDUGW056840/Q#WUH011824F/HC $36</t>
  </si>
  <si>
    <t>FFAU3812736</t>
  </si>
  <si>
    <t>MEDUGW056840/Q#WUH011824F</t>
  </si>
  <si>
    <t>EMCU8534632</t>
  </si>
  <si>
    <t>EGLV090300258727/PO33206,33027</t>
  </si>
  <si>
    <t>DONE#146437</t>
  </si>
  <si>
    <t>MOAU5816649</t>
  </si>
  <si>
    <t>PORT LIBERTY BAYONNE TERMINAL</t>
  </si>
  <si>
    <t>BUFFALO,NY.41221</t>
  </si>
  <si>
    <t>ONEYSH3ET2563800/Q#LLG030624A</t>
  </si>
  <si>
    <t>EMCU1721061</t>
  </si>
  <si>
    <t>FXLU2155883</t>
  </si>
  <si>
    <r>
      <rPr>
        <sz val="11"/>
        <color rgb="FFFF0000"/>
        <rFont val="Calibri"/>
        <family val="2"/>
        <scheme val="minor"/>
      </rPr>
      <t xml:space="preserve">pre-pull, yard storage </t>
    </r>
    <r>
      <rPr>
        <sz val="11"/>
        <color theme="1"/>
        <rFont val="Calibri"/>
        <family val="2"/>
        <scheme val="minor"/>
      </rPr>
      <t>/YMJAW228240834  /</t>
    </r>
    <r>
      <rPr>
        <sz val="11"/>
        <color rgb="FFFF0000"/>
        <rFont val="Calibri"/>
        <family val="2"/>
        <scheme val="minor"/>
      </rPr>
      <t xml:space="preserve"> chassis split $ 125  for SOC return to Conglobal Cincinnati</t>
    </r>
  </si>
  <si>
    <t>DONE# 146315, pending trucker inv</t>
  </si>
  <si>
    <t>EMCU8944468</t>
  </si>
  <si>
    <t>Great Falls MT 59405</t>
  </si>
  <si>
    <t>3-25 @3:09 PM EXAM HOLD REMOVED</t>
  </si>
  <si>
    <r>
      <rPr>
        <sz val="11"/>
        <color rgb="FFFF0000"/>
        <rFont val="Calibri"/>
        <family val="2"/>
        <scheme val="minor"/>
      </rPr>
      <t xml:space="preserve">Emodal Demurrage $165 / </t>
    </r>
    <r>
      <rPr>
        <sz val="11"/>
        <rFont val="Calibri"/>
        <family val="2"/>
        <scheme val="minor"/>
      </rPr>
      <t>3-25 @3:09 PM  EXAM RELEASED</t>
    </r>
    <r>
      <rPr>
        <sz val="11"/>
        <color theme="1"/>
        <rFont val="Calibri"/>
        <family val="2"/>
        <scheme val="minor"/>
      </rPr>
      <t xml:space="preserve"> / EGLV090400029542/po#60230  / </t>
    </r>
    <r>
      <rPr>
        <sz val="11"/>
        <color rgb="FFFF0000"/>
        <rFont val="Calibri"/>
        <family val="2"/>
        <scheme val="minor"/>
      </rPr>
      <t>EXAM fee $550</t>
    </r>
  </si>
  <si>
    <t xml:space="preserve">DONE#146423 </t>
  </si>
  <si>
    <t>MSDU6015435</t>
  </si>
  <si>
    <t>CSX Louisville</t>
  </si>
  <si>
    <t>Louisville KY 40223</t>
  </si>
  <si>
    <t>R00117121266</t>
  </si>
  <si>
    <r>
      <rPr>
        <sz val="11"/>
        <color rgb="FFFF0000"/>
        <rFont val="Calibri"/>
        <family val="2"/>
        <scheme val="minor"/>
      </rPr>
      <t>2.25 hrs detention-1030AM-2:40PM, 2 hours free / OW $200</t>
    </r>
    <r>
      <rPr>
        <sz val="11"/>
        <color theme="1"/>
        <rFont val="Calibri"/>
        <family val="2"/>
        <charset val="134"/>
        <scheme val="minor"/>
      </rPr>
      <t xml:space="preserve"> / MEDUET346446   / 1X40HQ-  20185 KGS- OW /  SWNG021924B / </t>
    </r>
    <r>
      <rPr>
        <sz val="11"/>
        <color theme="1"/>
        <rFont val="Calibri"/>
        <family val="2"/>
        <scheme val="minor"/>
      </rPr>
      <t>DETENTION 2 HRS FREE</t>
    </r>
  </si>
  <si>
    <t>DONE# 146119</t>
  </si>
  <si>
    <t>RFCU5000101</t>
  </si>
  <si>
    <t>CB3FB3</t>
  </si>
  <si>
    <t>OOLU2146034790</t>
  </si>
  <si>
    <t>DONE- 4/4- #146382</t>
  </si>
  <si>
    <t>YMMU6135612</t>
  </si>
  <si>
    <t>BEAU6287744</t>
  </si>
  <si>
    <t xml:space="preserve">SMLUNJBC3E011600     </t>
  </si>
  <si>
    <t>DONE- 4/1- #146266</t>
  </si>
  <si>
    <t>CAIU9920104</t>
  </si>
  <si>
    <t>SMLUNJPU3A998300</t>
  </si>
  <si>
    <t>DONE- 4/1- #146264</t>
  </si>
  <si>
    <t>EMCU8802822</t>
  </si>
  <si>
    <t>RIO EVANS</t>
  </si>
  <si>
    <t>EGLV142303449058/Q#NBJD110223B</t>
  </si>
  <si>
    <t>EMCU8945382</t>
  </si>
  <si>
    <t>TCLU5194756</t>
  </si>
  <si>
    <t>E56C4E</t>
  </si>
  <si>
    <r>
      <rPr>
        <sz val="11"/>
        <rFont val="Calibri"/>
        <family val="2"/>
        <scheme val="minor"/>
      </rPr>
      <t>3-8 disharged /</t>
    </r>
    <r>
      <rPr>
        <sz val="11"/>
        <color rgb="FFFF0000"/>
        <rFont val="Calibri"/>
        <family val="2"/>
        <scheme val="minor"/>
      </rPr>
      <t xml:space="preserve"> DOC FEE $65</t>
    </r>
    <r>
      <rPr>
        <sz val="11"/>
        <color theme="1"/>
        <rFont val="Calibri"/>
        <family val="2"/>
        <charset val="134"/>
        <scheme val="minor"/>
      </rPr>
      <t xml:space="preserve"> / MAEU235225194 /AN SENT</t>
    </r>
    <r>
      <rPr>
        <sz val="11"/>
        <color theme="1"/>
        <rFont val="Calibri"/>
        <family val="2"/>
        <scheme val="minor"/>
      </rPr>
      <t xml:space="preserve"> / TLX HBL / Cutoms Rls / SOC letter sent</t>
    </r>
  </si>
  <si>
    <t>DONE#146184, Duty INV# 144558</t>
  </si>
  <si>
    <t>MSMU4303125</t>
  </si>
  <si>
    <t>64FEF7</t>
  </si>
  <si>
    <t>MEDUET566100/HC $18</t>
  </si>
  <si>
    <t>TGBU4167990</t>
  </si>
  <si>
    <t>MIAMI, FL PORT</t>
  </si>
  <si>
    <t>WEST PALM BEACH, FL 33413</t>
  </si>
  <si>
    <t>CMDUNGP0877778/Q#YWHJ012224B</t>
  </si>
  <si>
    <t>OOCU8283628</t>
  </si>
  <si>
    <t>7E67F7</t>
  </si>
  <si>
    <t>COSU6377693894</t>
  </si>
  <si>
    <t>DONE 146397</t>
  </si>
  <si>
    <t>BMOU5028701</t>
  </si>
  <si>
    <t xml:space="preserve">C31C9B </t>
  </si>
  <si>
    <t>OOLU2732973140</t>
  </si>
  <si>
    <t>OOCU6727913</t>
  </si>
  <si>
    <t xml:space="preserve">BFEBCC </t>
  </si>
  <si>
    <t>TCKU7677123</t>
  </si>
  <si>
    <t xml:space="preserve">E5B337 </t>
  </si>
  <si>
    <t>TRHU7039404</t>
  </si>
  <si>
    <t xml:space="preserve">BE41D7 </t>
  </si>
  <si>
    <t>CAAU6001467</t>
  </si>
  <si>
    <t>EGLV090300260136/po#33208</t>
  </si>
  <si>
    <t>DONE#146353</t>
  </si>
  <si>
    <t>CICU5019387</t>
  </si>
  <si>
    <r>
      <t xml:space="preserve">chassis split OG NS /pre-pull, yard storage  / CMDUXIA1279305 </t>
    </r>
    <r>
      <rPr>
        <sz val="11"/>
        <color rgb="FFFF0000"/>
        <rFont val="Calibri"/>
        <family val="2"/>
        <scheme val="minor"/>
      </rPr>
      <t>/ Chassis split for SOC return to ITC Conglobal Cincinnati</t>
    </r>
  </si>
  <si>
    <t xml:space="preserve">DONE#146413， pending trucker inv </t>
  </si>
  <si>
    <t>BK# DALA91805800
CTNR# KOCU2132907</t>
  </si>
  <si>
    <t>ETD 3-29</t>
  </si>
  <si>
    <t>Tacoma port</t>
  </si>
  <si>
    <t>Beaverton, OR, 97008</t>
  </si>
  <si>
    <t>SI Cut-off
2024-03-28 16:00</t>
  </si>
  <si>
    <t>3/29 @16:00</t>
  </si>
  <si>
    <r>
      <rPr>
        <sz val="11"/>
        <color rgb="FFFF0000"/>
        <rFont val="Calibri"/>
        <family val="2"/>
        <scheme val="minor"/>
      </rPr>
      <t>EXAM FEE $475 -Pre-pull / re-route &amp; Yard storage / 1hr IG detention-07:26 out 09:19, 1 hour free. / 3-28 EXAM HOLD</t>
    </r>
    <r>
      <rPr>
        <sz val="11"/>
        <color theme="1"/>
        <rFont val="Calibri"/>
        <family val="2"/>
        <scheme val="minor"/>
      </rPr>
      <t xml:space="preserve"> / EXPORT / EXW enquiry from Tacoma to Nansha, 做订舱，报关+卡车 / 20GP / 3000 KGS / Q# WUH031224R
补充报关抬头EIN如下
公司名：Winsway LLC   税号EIN：37-1931003
8140 SW Nimbus Ave  unit 5-c, Beaverton, OR, 97008
Contact：:Jenny
Phone：5035160267
Empty pu 2024/03/22 06:00</t>
    </r>
  </si>
  <si>
    <t xml:space="preserve">DONE#146395 </t>
  </si>
  <si>
    <t>CCLU7674676</t>
  </si>
  <si>
    <t>87A1DD</t>
  </si>
  <si>
    <t>OOLU2146203820/Q#PV110123A</t>
  </si>
  <si>
    <t>CSNU6633773</t>
  </si>
  <si>
    <t>783a43</t>
  </si>
  <si>
    <t>COSU6376229390</t>
  </si>
  <si>
    <t>DONE- 4/10- #146670</t>
  </si>
  <si>
    <t xml:space="preserve">HYUZSS093050 </t>
  </si>
  <si>
    <t>trailer</t>
  </si>
  <si>
    <t>客户被amazon 拒收的货在3-24-2024送到abl WH。 我们拆柜打板。卖价在 one drive folder 里。</t>
  </si>
  <si>
    <t>FFAU3340558</t>
  </si>
  <si>
    <t>OOLU2731893060/Q#TITN020624A</t>
  </si>
  <si>
    <t>YMMU6282974</t>
  </si>
  <si>
    <t>HUSKY TERMINAL</t>
  </si>
  <si>
    <t>YMJAW226492200/GPSS111023A/2.75HRS PU DET</t>
  </si>
  <si>
    <t>SEGU6121945</t>
  </si>
  <si>
    <t>YMJAW226492214/GPSS111023A</t>
  </si>
  <si>
    <t>FXLU2155836</t>
  </si>
  <si>
    <r>
      <t>pre-pull, yard storage /YMJAW228240834  /</t>
    </r>
    <r>
      <rPr>
        <sz val="11"/>
        <color rgb="FFFF0000"/>
        <rFont val="Calibri"/>
        <family val="2"/>
        <scheme val="minor"/>
      </rPr>
      <t xml:space="preserve"> chassis split $ 125  for SOC return to Conglobal Cincinnati</t>
    </r>
  </si>
  <si>
    <t>DONE#146317, pending trucker inv  &amp; POD</t>
  </si>
  <si>
    <t>PVXU5520772</t>
  </si>
  <si>
    <t>客户 ftl 送到 abl 仓库的。我们没做 drayage</t>
  </si>
  <si>
    <t>DONE 147093</t>
  </si>
  <si>
    <t>HLBU2080592</t>
  </si>
  <si>
    <t>9-10am</t>
  </si>
  <si>
    <t>Roy, WA 98589</t>
  </si>
  <si>
    <r>
      <rPr>
        <sz val="11"/>
        <color rgb="FFFF0000"/>
        <rFont val="Calibri"/>
        <family val="2"/>
        <scheme val="minor"/>
      </rPr>
      <t>4.5 hrs IG Detention-08:20 out 13:40, 1 hr free  / 2.25 hrs pu detentin-From Husky in 05:30 out 08:45 -1 hr free</t>
    </r>
    <r>
      <rPr>
        <sz val="11"/>
        <color theme="1"/>
        <rFont val="Calibri"/>
        <family val="2"/>
        <scheme val="minor"/>
      </rPr>
      <t>/ HLCUKUL240130827/PO# 60193  / Quotation# 0412SL0IW</t>
    </r>
  </si>
  <si>
    <t xml:space="preserve">DONE#146429 </t>
  </si>
  <si>
    <t>CNIU2458199</t>
  </si>
  <si>
    <t>8am-1pm</t>
  </si>
  <si>
    <t>605E7E</t>
  </si>
  <si>
    <r>
      <rPr>
        <sz val="11"/>
        <color rgb="FFFF0000"/>
        <rFont val="Calibri"/>
        <family val="2"/>
        <scheme val="minor"/>
      </rPr>
      <t xml:space="preserve">0.25 hr detention-7:16am-9:30am, 2 hours free </t>
    </r>
    <r>
      <rPr>
        <sz val="11"/>
        <color theme="1"/>
        <rFont val="Calibri"/>
        <family val="2"/>
        <scheme val="minor"/>
      </rPr>
      <t xml:space="preserve">/ YMJAW228240972    / </t>
    </r>
    <r>
      <rPr>
        <sz val="11"/>
        <color rgb="FFFF0000"/>
        <rFont val="Calibri"/>
        <family val="2"/>
        <scheme val="minor"/>
      </rPr>
      <t xml:space="preserve">Chassis split for SOC return to Complete Container Depot+  BN HUDSON surcharge $200 for chassis return to  BN HUDSON  </t>
    </r>
    <r>
      <rPr>
        <sz val="11"/>
        <color theme="1"/>
        <rFont val="Calibri"/>
        <family val="2"/>
        <scheme val="minor"/>
      </rPr>
      <t xml:space="preserve"> </t>
    </r>
    <r>
      <rPr>
        <sz val="11"/>
        <color theme="1"/>
        <rFont val="Calibri"/>
        <family val="2"/>
        <charset val="134"/>
        <scheme val="minor"/>
      </rPr>
      <t>/  Q# ASPD122623A/ Detention 2hrs free</t>
    </r>
  </si>
  <si>
    <t>DONE# #146651</t>
  </si>
  <si>
    <t>MAGU5335336</t>
  </si>
  <si>
    <t>F36C74</t>
  </si>
  <si>
    <t>CMDUCHN0886625</t>
  </si>
  <si>
    <t>DONE 146387</t>
  </si>
  <si>
    <t>MEDU7560015</t>
  </si>
  <si>
    <t>12:30PM</t>
  </si>
  <si>
    <t>Federal Heights, CO, 80260</t>
  </si>
  <si>
    <t>4382790</t>
  </si>
  <si>
    <r>
      <rPr>
        <sz val="11"/>
        <color rgb="FFFF0000"/>
        <rFont val="Calibri"/>
        <family val="2"/>
        <scheme val="minor"/>
      </rPr>
      <t>2.5 hrs detention-13:35-17:00, 1 hour free</t>
    </r>
    <r>
      <rPr>
        <sz val="11"/>
        <color theme="1"/>
        <rFont val="Calibri"/>
        <family val="2"/>
        <charset val="134"/>
        <scheme val="minor"/>
      </rPr>
      <t xml:space="preserve"> / 177OCACAQ2765V / Q# LTRN013024D /  $430 / detention 1 hr free </t>
    </r>
  </si>
  <si>
    <t xml:space="preserve">DONE#146384  </t>
  </si>
  <si>
    <t>EITU1561951</t>
  </si>
  <si>
    <t>EGLV143463721528</t>
  </si>
  <si>
    <t>DONE- 4/22  #147127</t>
  </si>
  <si>
    <t>PCIU2813020</t>
  </si>
  <si>
    <r>
      <rPr>
        <sz val="11"/>
        <color rgb="FFFF0000"/>
        <rFont val="Calibri"/>
        <family val="2"/>
        <scheme val="minor"/>
      </rPr>
      <t>Damage from IG EIR</t>
    </r>
    <r>
      <rPr>
        <sz val="11"/>
        <color theme="1"/>
        <rFont val="Calibri"/>
        <family val="2"/>
        <scheme val="minor"/>
      </rPr>
      <t xml:space="preserve"> /pre-pull, yard storage  /CMDUXIA1278056  / </t>
    </r>
    <r>
      <rPr>
        <sz val="11"/>
        <color rgb="FFFF0000"/>
        <rFont val="Calibri"/>
        <family val="2"/>
        <scheme val="minor"/>
      </rPr>
      <t xml:space="preserve">SOC return to Conglobal Cincinnati- redelivery $125+ chassis split </t>
    </r>
    <r>
      <rPr>
        <sz val="11"/>
        <color theme="1"/>
        <rFont val="Calibri"/>
        <family val="2"/>
        <scheme val="minor"/>
      </rPr>
      <t>/ Q#W23030601 / Detention 1 hr free</t>
    </r>
  </si>
  <si>
    <t>DONE#146646, pending trucker inv</t>
  </si>
  <si>
    <t>HHXU3264782</t>
  </si>
  <si>
    <t>25C904</t>
  </si>
  <si>
    <t>3-10 discharged /MAEU235225331 / AN SENT / SOC return to Vaccaro / SOC letter sent / TLX HBL sent / Customs RLS</t>
  </si>
  <si>
    <t xml:space="preserve">DONE# 146185, Duty INV#144647 </t>
  </si>
  <si>
    <t>PCIU2798796</t>
  </si>
  <si>
    <r>
      <t xml:space="preserve">pre-pull, yard storage  / CMDUXIA1279305 </t>
    </r>
    <r>
      <rPr>
        <sz val="11"/>
        <color rgb="FFFF0000"/>
        <rFont val="Calibri"/>
        <family val="2"/>
        <scheme val="minor"/>
      </rPr>
      <t>/ Chassis split for SOC return to ITC Conglobal Cincinnati</t>
    </r>
  </si>
  <si>
    <t xml:space="preserve">DONE#146415, pending  trucker inv </t>
  </si>
  <si>
    <t>HHXU3264761</t>
  </si>
  <si>
    <t>0BB3AA</t>
  </si>
  <si>
    <t>3-10 discharged / MAEU235225331 / AN SENT / SOC return to Vaccaro / SOC letter sent / TLX HBL sent / Customs RLS</t>
  </si>
  <si>
    <t xml:space="preserve"> DONE# 146185, Duty INV#144647 </t>
  </si>
  <si>
    <t>ONEU1360501</t>
  </si>
  <si>
    <t>ONEYSH3SM4083700 / 在 3-20号还没上火车</t>
  </si>
  <si>
    <t>DONE 146407</t>
  </si>
  <si>
    <t>CAIU7865857</t>
  </si>
  <si>
    <t>PVXU5518944</t>
  </si>
  <si>
    <r>
      <rPr>
        <sz val="11"/>
        <color rgb="FF000000"/>
        <rFont val="Calibri"/>
        <family val="2"/>
        <scheme val="minor"/>
      </rPr>
      <t xml:space="preserve">CMDUSHZ6041499 </t>
    </r>
    <r>
      <rPr>
        <sz val="11"/>
        <color rgb="FFFF0000"/>
        <rFont val="Calibri"/>
        <family val="2"/>
        <scheme val="minor"/>
      </rPr>
      <t>不用做DO</t>
    </r>
  </si>
  <si>
    <t>CSNU6346114</t>
  </si>
  <si>
    <t>159de0</t>
  </si>
  <si>
    <t>COSU6377057671</t>
  </si>
  <si>
    <t>DONE- 4/19 #147119</t>
  </si>
  <si>
    <t>MSMU6747350</t>
  </si>
  <si>
    <t xml:space="preserve">0600-0900am </t>
  </si>
  <si>
    <t>RIO</t>
  </si>
  <si>
    <t>75F0F4</t>
  </si>
  <si>
    <r>
      <rPr>
        <sz val="11"/>
        <rFont val="Calibri"/>
        <family val="2"/>
        <scheme val="minor"/>
      </rPr>
      <t xml:space="preserve">PRE-PULL, YARD STORAGE </t>
    </r>
    <r>
      <rPr>
        <sz val="11"/>
        <color rgb="FFFF0000"/>
        <rFont val="Calibri"/>
        <family val="2"/>
        <scheme val="minor"/>
      </rPr>
      <t>/ 付给co-loader chassis+ISPS $128,收5%手续费per Jack</t>
    </r>
    <r>
      <rPr>
        <sz val="11"/>
        <color theme="1"/>
        <rFont val="Calibri"/>
        <family val="2"/>
        <charset val="134"/>
        <scheme val="minor"/>
      </rPr>
      <t xml:space="preserve"> / MEDUEG133907</t>
    </r>
  </si>
  <si>
    <t>DONE#146391</t>
  </si>
  <si>
    <t>CCLU7354878</t>
  </si>
  <si>
    <t xml:space="preserve">638E25 </t>
  </si>
  <si>
    <t>COSU6377565197/ Pending DO</t>
  </si>
  <si>
    <t>OOCU7260700</t>
  </si>
  <si>
    <t>538c0e</t>
  </si>
  <si>
    <t>COSU6377057670</t>
  </si>
  <si>
    <t>DONE- 4/16 #146963</t>
  </si>
  <si>
    <t>TGBU4336956</t>
  </si>
  <si>
    <t xml:space="preserve">EGLV090400010662/po# 33209 </t>
  </si>
  <si>
    <t>DONE#146467</t>
  </si>
  <si>
    <t>ZCSU7640972</t>
  </si>
  <si>
    <t>CSX Charlotte, NC</t>
  </si>
  <si>
    <t xml:space="preserve">China Grove, NC, 28023    </t>
  </si>
  <si>
    <t>pre-pull, yard storage / ZIMUNGB20279389 / Q# VIEG082923A / Detention 1hr free</t>
  </si>
  <si>
    <t>DONE#146473</t>
  </si>
  <si>
    <t>OOCU8335228</t>
  </si>
  <si>
    <t>5786A6</t>
  </si>
  <si>
    <t>COSU6377942346</t>
  </si>
  <si>
    <t>DONE 147094</t>
  </si>
  <si>
    <t>YMMU6395034</t>
  </si>
  <si>
    <t>YMJAW242563236/Q#APXL082423A</t>
  </si>
  <si>
    <t>BEAU4320313</t>
  </si>
  <si>
    <t>YMJAW242563264/Q#APXL082423A</t>
  </si>
  <si>
    <t>TRSD</t>
  </si>
  <si>
    <t>YMMU6162557</t>
  </si>
  <si>
    <t>YMJAW242563237/Q#APXL082423A</t>
  </si>
  <si>
    <t>MSDU7444516</t>
  </si>
  <si>
    <t>R00117596106</t>
  </si>
  <si>
    <t>2.25hrs detention-8am-12:15pm, 2 hours free. / pre-pull &amp; yard storage / OW FEE/ 177UBJBJN9B715A/ 1X40HQ-  23021 KGS- OW /  SWNG021924B / DETENTION 2 HRS FREE</t>
  </si>
  <si>
    <t>DONE#146718</t>
  </si>
  <si>
    <t>TCNU5028623</t>
  </si>
  <si>
    <t>COSU6377142662</t>
  </si>
  <si>
    <t>DONE147096</t>
  </si>
  <si>
    <t>PCIU2819369</t>
  </si>
  <si>
    <r>
      <rPr>
        <sz val="11"/>
        <color rgb="FFFF0000"/>
        <rFont val="Calibri"/>
        <family val="2"/>
        <scheme val="minor"/>
      </rPr>
      <t>Damage from IG EIR</t>
    </r>
    <r>
      <rPr>
        <sz val="11"/>
        <color theme="1"/>
        <rFont val="Calibri"/>
        <family val="2"/>
        <scheme val="minor"/>
      </rPr>
      <t xml:space="preserve"> / CMDUXIA1278056  / </t>
    </r>
    <r>
      <rPr>
        <sz val="11"/>
        <color rgb="FFFF0000"/>
        <rFont val="Calibri"/>
        <family val="2"/>
        <scheme val="minor"/>
      </rPr>
      <t xml:space="preserve">SOC return to Conglobal Cincinnati- redelivery $125+ chassis split </t>
    </r>
    <r>
      <rPr>
        <sz val="11"/>
        <color theme="1"/>
        <rFont val="Calibri"/>
        <family val="2"/>
        <scheme val="minor"/>
      </rPr>
      <t>/ Q#W23030601 / Detention 1 hr free</t>
    </r>
  </si>
  <si>
    <t xml:space="preserve">DONE#146645 , pending trucker inv  </t>
  </si>
  <si>
    <t>SMCU1227432</t>
  </si>
  <si>
    <t>SM Line</t>
  </si>
  <si>
    <t>SMLMNJED4A361100</t>
  </si>
  <si>
    <t>DONE- 4/22 #147126</t>
  </si>
  <si>
    <t>KOCU5056903</t>
  </si>
  <si>
    <t>HDMUSHAZ40181100</t>
  </si>
  <si>
    <t>DALA98750400</t>
  </si>
  <si>
    <t>1*40HQ TO SHANGHAI</t>
  </si>
  <si>
    <t>3/2 @8AM</t>
  </si>
  <si>
    <t>ERD FEB 27 6AM/CNTR#KOCU4235904</t>
  </si>
  <si>
    <t>UETU5188058</t>
  </si>
  <si>
    <t>B2F0A6</t>
  </si>
  <si>
    <t>COSU6378636230</t>
  </si>
  <si>
    <t>DONE- 4/29 #147488</t>
  </si>
  <si>
    <t>OOCU8592118</t>
  </si>
  <si>
    <t>98861d</t>
  </si>
  <si>
    <t>OOLU2146410500</t>
  </si>
  <si>
    <t>OOCU8592118 #148570</t>
  </si>
  <si>
    <t>SMCU1188573</t>
  </si>
  <si>
    <t>SMLMNJBC3E048200</t>
  </si>
  <si>
    <t xml:space="preserve">DONE- 4/19 #147122 </t>
  </si>
  <si>
    <t>SMCU1227772</t>
  </si>
  <si>
    <t>SMLMNJED4A243700</t>
  </si>
  <si>
    <t xml:space="preserve">DONE- 4/19 #147123 </t>
  </si>
  <si>
    <t>EMCU8532007</t>
  </si>
  <si>
    <t>EGLV143463721536</t>
  </si>
  <si>
    <t>DONE- 4/19 #147124</t>
  </si>
  <si>
    <t>TCNU6074752</t>
  </si>
  <si>
    <t>C2AC70</t>
  </si>
  <si>
    <t>COSU6378044983</t>
  </si>
  <si>
    <t>DONE 147103</t>
  </si>
  <si>
    <t>CCLU7323563</t>
  </si>
  <si>
    <t>MDW2</t>
  </si>
  <si>
    <t>808E5D</t>
  </si>
  <si>
    <t>COSU6378543085</t>
  </si>
  <si>
    <t>OOCU8718628</t>
  </si>
  <si>
    <t>BC1ADA</t>
  </si>
  <si>
    <t>COSU6378157314</t>
  </si>
  <si>
    <t>DONE 147643</t>
  </si>
  <si>
    <t>TEMU7994307</t>
  </si>
  <si>
    <t>C250FD</t>
  </si>
  <si>
    <t>COSU6378043657</t>
  </si>
  <si>
    <t>TRHU4367550</t>
  </si>
  <si>
    <t>COSU6378543084</t>
  </si>
  <si>
    <t>DONE 147106</t>
  </si>
  <si>
    <t>TIIU4031880</t>
  </si>
  <si>
    <t xml:space="preserve">EGLV142400115843/Q#NBJD110223B    </t>
  </si>
  <si>
    <t>INV SENT TO CUSTOMER/PENDING INV FROM TRUCKER</t>
  </si>
  <si>
    <t>TIIU4024026</t>
  </si>
  <si>
    <t>TIIU4027175</t>
  </si>
  <si>
    <t xml:space="preserve">EGLV142303380104     </t>
  </si>
  <si>
    <t>TIIU4028818</t>
  </si>
  <si>
    <t>TLLU5426084</t>
  </si>
  <si>
    <t xml:space="preserve">EGLV142303380066     </t>
  </si>
  <si>
    <t>EMCU8873889</t>
  </si>
  <si>
    <t>DALA61304300</t>
  </si>
  <si>
    <t>3/8 @8AM</t>
  </si>
  <si>
    <t>ERD MAR 04/CNTR#TCNU790171/Q#CI-0515</t>
  </si>
  <si>
    <t>MEDU9492814</t>
  </si>
  <si>
    <t>MEDUEX323425/6350-6250</t>
  </si>
  <si>
    <t>DONE#14798, disputing trucker inv</t>
  </si>
  <si>
    <t>FCIU9795696</t>
  </si>
  <si>
    <t>CN Rail- Harvey</t>
  </si>
  <si>
    <t>OOLU2146426350</t>
  </si>
  <si>
    <t>DONE- 4/29 #147491</t>
  </si>
  <si>
    <t>BMOU5123632</t>
  </si>
  <si>
    <t>DF605B</t>
  </si>
  <si>
    <t>COSU6378157300</t>
  </si>
  <si>
    <t>DONE 147644</t>
  </si>
  <si>
    <t>CSNU6170642</t>
  </si>
  <si>
    <t>98ff3f</t>
  </si>
  <si>
    <t>COSU6378031588</t>
  </si>
  <si>
    <t xml:space="preserve">DONE- 4/19 #147121 </t>
  </si>
  <si>
    <t>SEGU4292229</t>
  </si>
  <si>
    <t>9C643E</t>
  </si>
  <si>
    <t>COSU6378044958</t>
  </si>
  <si>
    <t>DONE 147100</t>
  </si>
  <si>
    <t>CSNU6441343</t>
  </si>
  <si>
    <t>1af391</t>
  </si>
  <si>
    <t>COSU6378633510</t>
  </si>
  <si>
    <t>DONE- 4/23 #147232</t>
  </si>
  <si>
    <t>UETU5380780</t>
  </si>
  <si>
    <t>COSU6378044954</t>
  </si>
  <si>
    <t>GCXU5444000</t>
  </si>
  <si>
    <t>96AEB7</t>
  </si>
  <si>
    <t>COSU6378044968</t>
  </si>
  <si>
    <t>BMOU4893460</t>
  </si>
  <si>
    <t>DAF1EF</t>
  </si>
  <si>
    <t>COSU6378543086</t>
  </si>
  <si>
    <t>DONE 147102</t>
  </si>
  <si>
    <t>MATU2342158</t>
  </si>
  <si>
    <t xml:space="preserve">MATSON </t>
  </si>
  <si>
    <t>4199DE</t>
  </si>
  <si>
    <t>MATS3326294000</t>
  </si>
  <si>
    <t>DONE 147098</t>
  </si>
  <si>
    <t>TGBU8645613</t>
  </si>
  <si>
    <t>7eeec6</t>
  </si>
  <si>
    <t>COSU6378043656</t>
  </si>
  <si>
    <t xml:space="preserve">DONE- 4/22 #147125 </t>
  </si>
  <si>
    <t>TIIU4020123</t>
  </si>
  <si>
    <t xml:space="preserve">EGLV142400061646   </t>
  </si>
  <si>
    <t>DONE- 5/9 #147722</t>
  </si>
  <si>
    <t>TIIU4026219</t>
  </si>
  <si>
    <t>TIIU4031426</t>
  </si>
  <si>
    <t xml:space="preserve">EGLV142400265667    </t>
  </si>
  <si>
    <t>TIIU4027792</t>
  </si>
  <si>
    <t>DFSU7584580</t>
  </si>
  <si>
    <t>WNGU2369263</t>
  </si>
  <si>
    <t>Dropped</t>
  </si>
  <si>
    <t>Salt Lake City, UT 84119</t>
  </si>
  <si>
    <r>
      <t xml:space="preserve">4/26 empty ready / Free Drop zone /Dry run cost $204 / ONEYXMNE17729600   /  </t>
    </r>
    <r>
      <rPr>
        <sz val="11"/>
        <color rgb="FFFF0000"/>
        <rFont val="Calibri"/>
        <family val="2"/>
        <scheme val="minor"/>
      </rPr>
      <t>chassis split for SOC return to RSD / Q# ASPD021924D</t>
    </r>
  </si>
  <si>
    <t>DONE#147989 pending  trucker inv</t>
  </si>
  <si>
    <t>DALA08172000</t>
  </si>
  <si>
    <t>9:15AM</t>
  </si>
  <si>
    <t>3/16 @8AM</t>
  </si>
  <si>
    <t>ERD MAR 12/CNTR#TCNU8385692/$200 STOP OFF/1HR DET</t>
  </si>
  <si>
    <t>3*40HQ TO QINGDAO</t>
  </si>
  <si>
    <t>888798 
888799 
889072</t>
  </si>
  <si>
    <t>3/14
3/14
3/14</t>
  </si>
  <si>
    <t>3/18 @3PM</t>
  </si>
  <si>
    <t>3/13 ST
3/13 ST
3/13 ST</t>
  </si>
  <si>
    <t>ERD 3-14/CNTR#OOCU7256253&amp;CCLU7488178&amp;CSNU6003183</t>
  </si>
  <si>
    <t>3/8 @5PM</t>
  </si>
  <si>
    <t>ERD MAR 04/CNTR#CSNU6649450/Q#EMBL102723A</t>
  </si>
  <si>
    <t>DALA26072100</t>
  </si>
  <si>
    <t>2*40HQ TO WUHAN</t>
  </si>
  <si>
    <t>888625
888626</t>
  </si>
  <si>
    <t>3/6
3/6</t>
  </si>
  <si>
    <t>3/9 @8AM</t>
  </si>
  <si>
    <t>ERD MAR 05/CNTR#TCNU570796&amp;CAIU748270</t>
  </si>
  <si>
    <t>E-DONE</t>
  </si>
  <si>
    <t xml:space="preserve">BK# NAM6775658 -CTNR# CMAU4173890  </t>
  </si>
  <si>
    <t>PORT LIBERTY NEW YORK</t>
  </si>
  <si>
    <t>3/12 @10am</t>
  </si>
  <si>
    <t>Fieldsboro, NJ 08505</t>
  </si>
  <si>
    <t>ERD 3/11</t>
  </si>
  <si>
    <t>3/15 @4PM</t>
  </si>
  <si>
    <r>
      <rPr>
        <sz val="11"/>
        <color rgb="FFFF0000"/>
        <rFont val="Calibri"/>
        <family val="2"/>
        <scheme val="minor"/>
      </rPr>
      <t xml:space="preserve">0.25 hr detention fee -9:20am-10:40am, 1 hour free / photo fee $10 </t>
    </r>
    <r>
      <rPr>
        <sz val="11"/>
        <color theme="1"/>
        <rFont val="Calibri"/>
        <family val="2"/>
        <scheme val="minor"/>
      </rPr>
      <t>/ SO： NAM6775658 , EXPORT /  只做卡车，不订舱 / Q#CHUA011824A / detention 1 hr free
和仓库沟通装柜时间，确认具体装柜时间， 装完后拍</t>
    </r>
    <r>
      <rPr>
        <sz val="11"/>
        <color rgb="FF0000CC"/>
        <rFont val="Calibri"/>
        <family val="2"/>
        <scheme val="minor"/>
      </rPr>
      <t>柜子 柜门和封条照片， 提货单签字回传</t>
    </r>
    <r>
      <rPr>
        <sz val="11"/>
        <color theme="1"/>
        <rFont val="Calibri"/>
        <family val="2"/>
        <scheme val="minor"/>
      </rPr>
      <t xml:space="preserve">
</t>
    </r>
    <r>
      <rPr>
        <sz val="11"/>
        <color rgb="FFFF0000"/>
        <rFont val="Calibri"/>
        <family val="2"/>
        <scheme val="minor"/>
      </rPr>
      <t>请用提货单去提货，和司机说不要用SO去仓库提货！！</t>
    </r>
  </si>
  <si>
    <t>DONE#145164</t>
  </si>
  <si>
    <t xml:space="preserve">BK# NAM6775658 -CTNR# TCNU4018976 </t>
  </si>
  <si>
    <t xml:space="preserve"> 3/12 @11am </t>
  </si>
  <si>
    <r>
      <rPr>
        <sz val="11"/>
        <color rgb="FFFF0000"/>
        <rFont val="Calibri"/>
        <family val="2"/>
        <scheme val="minor"/>
      </rPr>
      <t>0.75hr detention fee -10:50am-12:35 pm, 1 hour free / photo fee $10</t>
    </r>
    <r>
      <rPr>
        <sz val="11"/>
        <color theme="1"/>
        <rFont val="Calibri"/>
        <family val="2"/>
        <scheme val="minor"/>
      </rPr>
      <t xml:space="preserve"> / SO： NAM6775658 , EXPORT /  只做卡车，不订舱 / Q#CHUA011824A / detention 1 hr free
和仓库沟通装柜时间，确认具体装柜时间， 装完后拍</t>
    </r>
    <r>
      <rPr>
        <sz val="11"/>
        <color rgb="FF0000CC"/>
        <rFont val="Calibri"/>
        <family val="2"/>
        <scheme val="minor"/>
      </rPr>
      <t>柜子 柜门和封条照片， 提货单签字回传</t>
    </r>
    <r>
      <rPr>
        <sz val="11"/>
        <color theme="1"/>
        <rFont val="Calibri"/>
        <family val="2"/>
        <scheme val="minor"/>
      </rPr>
      <t xml:space="preserve">
</t>
    </r>
    <r>
      <rPr>
        <sz val="11"/>
        <color rgb="FFFF0000"/>
        <rFont val="Calibri"/>
        <family val="2"/>
        <scheme val="minor"/>
      </rPr>
      <t>请用提货单去提货，和司机说不要用SO去仓库提货！！</t>
    </r>
  </si>
  <si>
    <t>DONE#145165</t>
  </si>
  <si>
    <t xml:space="preserve">BK# NAM6775658- CTNR# CMAU5456533 </t>
  </si>
  <si>
    <t>3/13 @10am</t>
  </si>
  <si>
    <r>
      <t>SO： NAM6775658 , EXPORT /  只做卡车，不订舱 / Q#CHUA011824A / detention 1 hr free
和仓库沟通装柜时间，确认具体装柜时间， 装完后拍</t>
    </r>
    <r>
      <rPr>
        <sz val="11"/>
        <color rgb="FF0000CC"/>
        <rFont val="Calibri"/>
        <family val="2"/>
        <scheme val="minor"/>
      </rPr>
      <t>柜子 柜门和封条照片， 提货单签字回传</t>
    </r>
    <r>
      <rPr>
        <sz val="11"/>
        <color theme="1"/>
        <rFont val="Calibri"/>
        <family val="2"/>
        <scheme val="minor"/>
      </rPr>
      <t xml:space="preserve">
</t>
    </r>
    <r>
      <rPr>
        <sz val="11"/>
        <color rgb="FFFF0000"/>
        <rFont val="Calibri"/>
        <family val="2"/>
        <scheme val="minor"/>
      </rPr>
      <t>请用提货单去提货，和司机说不要用SO去仓库提货！！</t>
    </r>
  </si>
  <si>
    <t>DONE#145166</t>
  </si>
  <si>
    <t>GLDU3580496</t>
  </si>
  <si>
    <r>
      <rPr>
        <sz val="11"/>
        <color rgb="FFFF0000"/>
        <rFont val="Calibri"/>
        <family val="2"/>
        <scheme val="minor"/>
      </rPr>
      <t>UP chassis flip $115+ chassis split for OG from UP rail</t>
    </r>
    <r>
      <rPr>
        <sz val="11"/>
        <color theme="1"/>
        <rFont val="Calibri"/>
        <family val="2"/>
        <scheme val="minor"/>
      </rPr>
      <t xml:space="preserve"> / 3-29 discharged/ HDMUXMNM46915600  / </t>
    </r>
    <r>
      <rPr>
        <sz val="11"/>
        <color rgb="FFFF0000"/>
        <rFont val="Calibri"/>
        <family val="2"/>
        <scheme val="minor"/>
      </rPr>
      <t xml:space="preserve"> reroute $225+ chassis split will apply for SOC return to Vacarro. </t>
    </r>
  </si>
  <si>
    <t>DONE# #147142, pending trucker inv</t>
  </si>
  <si>
    <t>ALEXBEST</t>
  </si>
  <si>
    <t>OOLU9378600</t>
  </si>
  <si>
    <t>PIERE COUNTY TERMINAL</t>
  </si>
  <si>
    <t>OOLU2301888690/Q#GPSS111023A -- 司机打算4-29号拿柜子- 等客户回邮件来确认appt/ 還櫃</t>
  </si>
  <si>
    <t>DONE- 5/9 #147737</t>
  </si>
  <si>
    <t>CBHU9190428</t>
  </si>
  <si>
    <t>OOLU2301706660/Q#GPSS111023A</t>
  </si>
  <si>
    <t>OOLU6813453</t>
  </si>
  <si>
    <t>OOLU2301888691/Q#GPSS111023A / 司机打算4-30号去拿柜-等客户确认appt time</t>
  </si>
  <si>
    <t xml:space="preserve">DONE- 5/15 #148137 </t>
  </si>
  <si>
    <t>CAIU7282398</t>
  </si>
  <si>
    <t>24E6EB</t>
  </si>
  <si>
    <t>YMJAW242563544</t>
  </si>
  <si>
    <t>DFSU7452500</t>
  </si>
  <si>
    <t>10am-4pm</t>
  </si>
  <si>
    <t>WAYNE, IN 46803</t>
  </si>
  <si>
    <t>161FC8</t>
  </si>
  <si>
    <r>
      <rPr>
        <sz val="11"/>
        <color rgb="FFFF0000"/>
        <rFont val="Calibri"/>
        <family val="2"/>
        <scheme val="minor"/>
      </rPr>
      <t>0.5 hr detention-9am-10:40am, 1 hour free</t>
    </r>
    <r>
      <rPr>
        <sz val="11"/>
        <color theme="1"/>
        <rFont val="Calibri"/>
        <family val="2"/>
        <scheme val="minor"/>
      </rPr>
      <t xml:space="preserve"> / COSU6379617940 / COC /  Q# ASPD010824A, detention 1 hr free</t>
    </r>
  </si>
  <si>
    <t xml:space="preserve">DONE#147527 </t>
  </si>
  <si>
    <t>GLOBAL FREIGHT</t>
  </si>
  <si>
    <t>CMAU5688781</t>
  </si>
  <si>
    <t xml:space="preserve">ABL/NORTHLAKE,IL,60164
</t>
  </si>
  <si>
    <t>CMDUSHZ6053441/Q#GFS032724A/Devan 4.11</t>
  </si>
  <si>
    <t>DONE# 149058</t>
  </si>
  <si>
    <t>TIIU4313369</t>
  </si>
  <si>
    <t>97B81D</t>
  </si>
  <si>
    <t>CMDUSHZ6053441/Q#GFS032724A/REPACKING $5 FOR DAMAGED CTN+FEDEX $25/FEDEX TRACKING#776037487975</t>
  </si>
  <si>
    <t>DONE# 149059</t>
  </si>
  <si>
    <t>BK# 6381530020, CTNR# FFAU2891197</t>
  </si>
  <si>
    <t>ETD 4-24</t>
  </si>
  <si>
    <t>Customer handle</t>
  </si>
  <si>
    <t>ERD 4/13</t>
  </si>
  <si>
    <t>4/19 @ 16:00</t>
  </si>
  <si>
    <t>EXPORT /只做订舱&amp; 报关， 不做装柜 bill to WUH
AES &amp; SI submitted</t>
  </si>
  <si>
    <t>DONE# 147756</t>
  </si>
  <si>
    <t>CMAU5638440</t>
  </si>
  <si>
    <t>LONG BEACH -SHIPPERS TRANSPORT EXPRESS</t>
  </si>
  <si>
    <t>CITY OF INDUSTRY, CA 91745</t>
  </si>
  <si>
    <r>
      <rPr>
        <sz val="11"/>
        <color rgb="FFFF0000"/>
        <rFont val="Calibri"/>
        <family val="2"/>
        <scheme val="minor"/>
      </rPr>
      <t xml:space="preserve">pier pass $71.14+ CTF$20 </t>
    </r>
    <r>
      <rPr>
        <sz val="11"/>
        <color theme="1"/>
        <rFont val="Calibri"/>
        <family val="2"/>
        <scheme val="minor"/>
      </rPr>
      <t>/ QGD0728583    / Importer: ABLW /</t>
    </r>
    <r>
      <rPr>
        <sz val="11"/>
        <color rgb="FFFF0000"/>
        <rFont val="Calibri"/>
        <family val="2"/>
        <scheme val="minor"/>
      </rPr>
      <t xml:space="preserve"> ISF on file / AN SENT /</t>
    </r>
    <r>
      <rPr>
        <sz val="11"/>
        <color theme="1"/>
        <rFont val="Calibri"/>
        <family val="2"/>
        <scheme val="minor"/>
      </rPr>
      <t xml:space="preserve"> Confirmed 7501 / Customs released / TLX MBL // Q# VLOG032024A / Detention 2 hrs free / 900 TURNBULL CANYON RD, CITY OF INDUSTRY, CA 91745 此票收货人联系方式请查收 谢谢
william@welhome.biz;monica@welhome.biz</t>
    </r>
  </si>
  <si>
    <t>DONE# 147757, Duty Inv# 146578, dispute trucker inv</t>
  </si>
  <si>
    <t>Blue Star</t>
  </si>
  <si>
    <t>ZXJU0104546</t>
  </si>
  <si>
    <t>BIG BEND, WI 53103</t>
  </si>
  <si>
    <t>7E5846</t>
  </si>
  <si>
    <t>4-5 discharged / THC $65 +  Admin fee 5% min $10 / CMDUQGD0714700 / Re-route $225+ chassis split for SOC return to Vaccaro / Q# WUH010824G, Detention 1 hr free
联系人：Chad Hodach LLC 联系方式：1-262-510-5261
地址：S86W22400 EDGEWOOD AVE,BIG BEND, WI 53103件数：121件  毛重：29000 KGS  方数：204 CBM</t>
  </si>
  <si>
    <t xml:space="preserve">DONE#147529 </t>
  </si>
  <si>
    <t>ZXJU0104551</t>
  </si>
  <si>
    <t>7F22C3</t>
  </si>
  <si>
    <t>4-5 discharged /CMDUQGD0714700 / Re-route $225+ chassis split for SOC return to  Great Lakes Kwik Space-Aurora, IL 6050 / Q# WUH010824G, Detention 1 hr free
联系人：Chad Hodach LLC 联系方式：1-262-510-5261
地址：S86W22400 EDGEWOOD AVE,BIG BEND, WI 53103件数：121件  毛重：29000 KGS  方数：204 CBM</t>
  </si>
  <si>
    <t>DONE#147530</t>
  </si>
  <si>
    <t>ZXJU0104567</t>
  </si>
  <si>
    <t>7F7D46</t>
  </si>
  <si>
    <t>4-5 discharged /CMDUQGD0714700  / Re-route $225+ chassis split for SOC  return to  Great Lakes Kwik Space-Aurora, IL 6050 / Q# WUH010824G, Detention 1 hr free
联系人：Chad Hodach LLC 联系方式：1-262-510-5261
地址：S86W22400 EDGEWOOD AVE,BIG BEND, WI 53103件数：121件  毛重：29000 KGS  方数：204 CBM</t>
  </si>
  <si>
    <t xml:space="preserve">DONE#147532 </t>
  </si>
  <si>
    <t>CICU4993735</t>
  </si>
  <si>
    <r>
      <t>4-8 discharged / CMDUXIA1301720   /  C</t>
    </r>
    <r>
      <rPr>
        <sz val="11"/>
        <color rgb="FFFF0000"/>
        <rFont val="Calibri"/>
        <family val="2"/>
        <scheme val="minor"/>
      </rPr>
      <t xml:space="preserve">hassis split fo SOC reutrn to RSD SLC / </t>
    </r>
    <r>
      <rPr>
        <sz val="11"/>
        <color theme="1"/>
        <rFont val="Calibri"/>
        <family val="2"/>
        <scheme val="minor"/>
      </rPr>
      <t>Q# ASPD021924D</t>
    </r>
    <r>
      <rPr>
        <sz val="11"/>
        <color theme="1"/>
        <rFont val="Calibri"/>
        <family val="2"/>
        <scheme val="minor"/>
      </rPr>
      <t xml:space="preserve"> / Detention 1 Hr free</t>
    </r>
  </si>
  <si>
    <t>DONE#147528</t>
  </si>
  <si>
    <t>GCXU5104422</t>
  </si>
  <si>
    <t xml:space="preserve">Southaven, MS 38671 </t>
  </si>
  <si>
    <t>D0D0BE</t>
  </si>
  <si>
    <r>
      <t xml:space="preserve">4-14 discharged </t>
    </r>
    <r>
      <rPr>
        <sz val="11"/>
        <color rgb="FFFF0000"/>
        <rFont val="Calibri"/>
        <family val="2"/>
        <scheme val="minor"/>
      </rPr>
      <t>/OW cost $200</t>
    </r>
    <r>
      <rPr>
        <sz val="11"/>
        <rFont val="Calibri"/>
        <family val="2"/>
        <scheme val="minor"/>
      </rPr>
      <t xml:space="preserve"> / OOLU8810746700 / Q# LNKT101223MS / Detention 2 hrs free / 先预约后派送 麻烦按ETA+7备约 /</t>
    </r>
    <r>
      <rPr>
        <sz val="11"/>
        <color rgb="FFFF0000"/>
        <rFont val="Calibri"/>
        <family val="2"/>
        <scheme val="minor"/>
      </rPr>
      <t xml:space="preserve">Online 预约， https://app.shipsage.com/dispatch， 看文件 </t>
    </r>
    <r>
      <rPr>
        <sz val="11"/>
        <rFont val="Calibri"/>
        <family val="2"/>
        <scheme val="minor"/>
      </rPr>
      <t>/  地址：8835 Commerce Dr, STE 103, Southaven, MS 38671</t>
    </r>
  </si>
  <si>
    <t>DONE#147683</t>
  </si>
  <si>
    <t>DALA52839400</t>
  </si>
  <si>
    <t>11:15AM</t>
  </si>
  <si>
    <t>AURORA,IL.60542</t>
  </si>
  <si>
    <t>3/30 @8AM</t>
  </si>
  <si>
    <t>ERD MAR 26/CNTR#KOCU4483388/Q#CI-0515/0.5HR DET</t>
  </si>
  <si>
    <t>EISU9304909</t>
  </si>
  <si>
    <t xml:space="preserve">LIBERTYVILLE,IL,60048
</t>
  </si>
  <si>
    <t>EGLV142451368439/Q#CI-0512/$250 DRY RUN+1HR PU DET</t>
  </si>
  <si>
    <t>CICU4994264</t>
  </si>
  <si>
    <t>NS-Cincinnati</t>
  </si>
  <si>
    <r>
      <rPr>
        <sz val="11"/>
        <color rgb="FFFF0000"/>
        <rFont val="Calibri"/>
        <family val="2"/>
        <scheme val="minor"/>
      </rPr>
      <t>pre-pull &amp; yard storage</t>
    </r>
    <r>
      <rPr>
        <sz val="11"/>
        <color theme="1"/>
        <rFont val="Calibri"/>
        <family val="2"/>
        <scheme val="minor"/>
      </rPr>
      <t xml:space="preserve"> / HDMUXMNM26003400   /</t>
    </r>
    <r>
      <rPr>
        <sz val="11"/>
        <color rgb="FFFF0000"/>
        <rFont val="Calibri"/>
        <family val="2"/>
        <scheme val="minor"/>
      </rPr>
      <t xml:space="preserve">   SOC return to ConGlobal Cincinnati</t>
    </r>
    <r>
      <rPr>
        <sz val="11"/>
        <color theme="1"/>
        <rFont val="Calibri"/>
        <family val="2"/>
        <scheme val="minor"/>
      </rPr>
      <t>/ Q#W23030601 / Detention 1 hr free</t>
    </r>
  </si>
  <si>
    <t>DONE# 147991</t>
  </si>
  <si>
    <t>4*40HQ TO WUH</t>
  </si>
  <si>
    <t>889766
889768
889769
889947</t>
  </si>
  <si>
    <t>3/21
3/21
3/22
3/22</t>
  </si>
  <si>
    <t>5/25 @3PM</t>
  </si>
  <si>
    <t>3/21
3/21
3/21 ST
3/21 ST</t>
  </si>
  <si>
    <t>ERD Mar 21/CNTR#FCIU958705&amp;CSNU8155708&amp;FFAU2353632&amp;BMOU4947463</t>
  </si>
  <si>
    <t>3*40HQ TO SHANGHAI</t>
  </si>
  <si>
    <t xml:space="preserve">891303
891769 
891305 </t>
  </si>
  <si>
    <t>4/4
4/9
4/8</t>
  </si>
  <si>
    <t>4/8 @3PM</t>
  </si>
  <si>
    <t>4/3
4/8
4/8</t>
  </si>
  <si>
    <t>ERD APR 04/CNTR#OOCU8335228&amp;CSNU6170642&amp;BMOU5123632</t>
  </si>
  <si>
    <t>DALA53797300</t>
  </si>
  <si>
    <t>2*40HQ TO QINGDAO</t>
  </si>
  <si>
    <t xml:space="preserve">891304
892402 </t>
  </si>
  <si>
    <t>4/18
4/18</t>
  </si>
  <si>
    <t>4/20 @8AM</t>
  </si>
  <si>
    <t>ERD 04-16/CNTR#TCNU6810724&amp;GAOU6190681</t>
  </si>
  <si>
    <t>4/22 @3PM</t>
  </si>
  <si>
    <t>4-19 ST</t>
  </si>
  <si>
    <t>ERD 4-18/CNTR#CSNU6948976</t>
  </si>
  <si>
    <t>CICU4994480</t>
  </si>
  <si>
    <t>pre-pull &amp; yard storage / HDMUXMNM26003400   / SOC return to ConGlobal Cincinnati/ Q#W23030601 / Detention 1 hr free</t>
  </si>
  <si>
    <t>DONE#147758</t>
  </si>
  <si>
    <t>OOLU9587112</t>
  </si>
  <si>
    <t>FC53FD</t>
  </si>
  <si>
    <r>
      <t>4-14 discharged /OOLU8810746720 / Q# LNKT101223MS / Detention 2 hrs free / 先预约后派送 麻烦按ETA+7备约 /</t>
    </r>
    <r>
      <rPr>
        <sz val="11"/>
        <color rgb="FFFF0000"/>
        <rFont val="Calibri"/>
        <family val="2"/>
        <scheme val="minor"/>
      </rPr>
      <t xml:space="preserve">/Online 预约， https://app.shipsage.com/dispatch， 看文件 / </t>
    </r>
    <r>
      <rPr>
        <sz val="11"/>
        <color theme="1"/>
        <rFont val="Calibri"/>
        <family val="2"/>
        <scheme val="minor"/>
      </rPr>
      <t>地址：8835 Commerce Dr, STE 103, Southaven, MS 38671</t>
    </r>
  </si>
  <si>
    <t xml:space="preserve">DONE#147688 </t>
  </si>
  <si>
    <t>H&amp;H</t>
  </si>
  <si>
    <t>FSCU8564979</t>
  </si>
  <si>
    <t>4/30 (APPT sent to CNEE- 4/25)</t>
  </si>
  <si>
    <t>ATLANTA,GA,30349</t>
  </si>
  <si>
    <t>Q#HNH032524A -ONEYXMNE25079300 4/30看可不可以送 -- drop service 要收 double drayage</t>
  </si>
  <si>
    <t>PREPAID INV#146257</t>
  </si>
  <si>
    <t>HANGZHOU QINLIN</t>
  </si>
  <si>
    <t>CAIU8960078</t>
  </si>
  <si>
    <t>LBCT- PIER E (WAC8)</t>
  </si>
  <si>
    <t>WHITTIER,CA,90606</t>
  </si>
  <si>
    <t>CMDUCHN0966256/ EGLV143457954095/Q#VLOG022124A之前的--要收 CTF 20 美金。 和 pier pass fee 71.14美金</t>
  </si>
  <si>
    <t>DONE- 5/15 #148176</t>
  </si>
  <si>
    <t>TLLU4628687</t>
  </si>
  <si>
    <t>MAHER TERMINAL</t>
  </si>
  <si>
    <t>SECAUCUS,NJ,07094</t>
  </si>
  <si>
    <r>
      <rPr>
        <sz val="11"/>
        <color rgb="FF000000"/>
        <rFont val="Calibri"/>
        <family val="2"/>
      </rPr>
      <t xml:space="preserve">CMDUCHN0906483/Q#WUHO041524A/ </t>
    </r>
    <r>
      <rPr>
        <sz val="11"/>
        <color rgb="FFFF0000"/>
        <rFont val="Calibri"/>
        <family val="2"/>
      </rPr>
      <t>入仓前请提前三个工作日发此邮箱告知预计送仓时</t>
    </r>
    <r>
      <rPr>
        <sz val="11"/>
        <color rgb="FF000000"/>
        <rFont val="Calibri"/>
        <family val="2"/>
      </rPr>
      <t>间- sent</t>
    </r>
  </si>
  <si>
    <t xml:space="preserve">JIESENMEI </t>
  </si>
  <si>
    <t>MATU2738200</t>
  </si>
  <si>
    <t>DA40B6</t>
  </si>
  <si>
    <t>MATS1845279000/Q#WUH032624F-chassis repo on return</t>
  </si>
  <si>
    <t>DONE- 5/10 #147736</t>
  </si>
  <si>
    <t>FFAU3191916</t>
  </si>
  <si>
    <t>CHICAGO IL 60618</t>
  </si>
  <si>
    <r>
      <rPr>
        <sz val="11"/>
        <color rgb="FFFF0000"/>
        <rFont val="Calibri"/>
        <family val="2"/>
        <scheme val="minor"/>
      </rPr>
      <t>1HR IG Detention-3:59pm-6:59pm / 3.75 hrs detention-9am-2:40pm / Chassis split for IG CN /  Chassis split for OG CN</t>
    </r>
    <r>
      <rPr>
        <sz val="11"/>
        <color theme="1"/>
        <rFont val="Calibri"/>
        <family val="2"/>
        <scheme val="minor"/>
      </rPr>
      <t xml:space="preserve"> / MBL# OOLU2734850140 / Q# kjec032124A / detention 2 hrs free</t>
    </r>
  </si>
  <si>
    <t>DONE# 146906</t>
  </si>
  <si>
    <t>TCLU1817159</t>
  </si>
  <si>
    <t>a30aa1</t>
  </si>
  <si>
    <t>COSU6381128300</t>
  </si>
  <si>
    <t>SMCU1265052</t>
  </si>
  <si>
    <t>CN RAIL JOLIET</t>
  </si>
  <si>
    <t>SMLMNJBC3B448300</t>
  </si>
  <si>
    <t>WSRU4234167</t>
  </si>
  <si>
    <t>5FF5DC</t>
  </si>
  <si>
    <t>CMDUNGP0982374</t>
  </si>
  <si>
    <t>TDSU8038570</t>
  </si>
  <si>
    <t>BB8F0E</t>
  </si>
  <si>
    <t>CMDUNGP0989783</t>
  </si>
  <si>
    <t>OOCU8106160</t>
  </si>
  <si>
    <t>24D6AA</t>
  </si>
  <si>
    <t>COSU6379399190</t>
  </si>
  <si>
    <t>OOLU9858718</t>
  </si>
  <si>
    <t>09EC41</t>
  </si>
  <si>
    <t>OOLU8810740980</t>
  </si>
  <si>
    <t>DONE- 5/7  #147794</t>
  </si>
  <si>
    <t>OOLU9247961</t>
  </si>
  <si>
    <t>416d95</t>
  </si>
  <si>
    <t>OOLU8810738550</t>
  </si>
  <si>
    <t>OOCU7411262</t>
  </si>
  <si>
    <t>B1F1F9</t>
  </si>
  <si>
    <t>OOLU8810739180</t>
  </si>
  <si>
    <t>DONE- 5/10 #147908</t>
  </si>
  <si>
    <t>SEGU4930405</t>
  </si>
  <si>
    <t>de5e95</t>
  </si>
  <si>
    <t>OOLU8810739650</t>
  </si>
  <si>
    <t>DONE- 5/10  #147905</t>
  </si>
  <si>
    <t>CSLU6226404</t>
  </si>
  <si>
    <t>fe7625</t>
  </si>
  <si>
    <t>COSU6379264420</t>
  </si>
  <si>
    <t>DONE- 4/29 #147487</t>
  </si>
  <si>
    <t>OOCU6500370</t>
  </si>
  <si>
    <t>042bcc</t>
  </si>
  <si>
    <t>OOLU2301879640</t>
  </si>
  <si>
    <t>DONE- 5/9 #147797</t>
  </si>
  <si>
    <t>TGBU8548510</t>
  </si>
  <si>
    <t>c58fe5</t>
  </si>
  <si>
    <t>OOLU4121050050</t>
  </si>
  <si>
    <t>DONE- 4/24 #147301</t>
  </si>
  <si>
    <t>FFAU3488205</t>
  </si>
  <si>
    <t>00558e</t>
  </si>
  <si>
    <t>COSU6379442920</t>
  </si>
  <si>
    <t>DONE- 5/9 #147903</t>
  </si>
  <si>
    <t>OOLU9389930</t>
  </si>
  <si>
    <t>8b5f64</t>
  </si>
  <si>
    <t>COSU6379399400</t>
  </si>
  <si>
    <t xml:space="preserve">DONE- 5/14 #148106 </t>
  </si>
  <si>
    <t>CSNU6199517</t>
  </si>
  <si>
    <t>364a1f</t>
  </si>
  <si>
    <t>COSU6379030230</t>
  </si>
  <si>
    <t>DONE- 5/7 #147793</t>
  </si>
  <si>
    <t xml:space="preserve">CAIU2920566 </t>
  </si>
  <si>
    <t>5D7CF6</t>
  </si>
  <si>
    <r>
      <t xml:space="preserve">MEDUOC394345 / </t>
    </r>
    <r>
      <rPr>
        <sz val="11"/>
        <color rgb="FFFF0000"/>
        <rFont val="Calibri"/>
        <family val="2"/>
        <scheme val="minor"/>
      </rPr>
      <t xml:space="preserve">OW-21,308.86KGS-20GP/ </t>
    </r>
    <r>
      <rPr>
        <sz val="11"/>
        <rFont val="Calibri"/>
        <family val="2"/>
        <scheme val="minor"/>
      </rPr>
      <t>Q# 032</t>
    </r>
    <r>
      <rPr>
        <sz val="11"/>
        <color theme="1"/>
        <rFont val="Calibri"/>
        <family val="2"/>
        <scheme val="minor"/>
      </rPr>
      <t>90PG-IW $1150 all-in rate, 1300 all in except for bnsf lpc/up g4 / if chassis prepaid, we will waive $80 chassis fee</t>
    </r>
  </si>
  <si>
    <t>DONE# 147752</t>
  </si>
  <si>
    <t>OOCU6966142</t>
  </si>
  <si>
    <t>C45EFD</t>
  </si>
  <si>
    <t>OOLU2301932180</t>
  </si>
  <si>
    <t>DONE- 5/1 #147512</t>
  </si>
  <si>
    <t>MEDU2603578</t>
  </si>
  <si>
    <t>5CFB57</t>
  </si>
  <si>
    <r>
      <t xml:space="preserve">MEDUOC394345 / </t>
    </r>
    <r>
      <rPr>
        <sz val="11"/>
        <color rgb="FFFF0000"/>
        <rFont val="Calibri"/>
        <family val="2"/>
        <scheme val="minor"/>
      </rPr>
      <t>OW-21,354.01 KGS-40GP</t>
    </r>
    <r>
      <rPr>
        <sz val="11"/>
        <color theme="1"/>
        <rFont val="Calibri"/>
        <family val="2"/>
        <scheme val="minor"/>
      </rPr>
      <t>/ / Q# 03290PG-IW $1150 all-in rate, 1300 all in except for bnsf lpc/up g4 / if chassis prepaid, we will waive $80 chassis fee</t>
    </r>
  </si>
  <si>
    <t>DONE# 147753</t>
  </si>
  <si>
    <t>OOCU7348529</t>
  </si>
  <si>
    <t>59047D</t>
  </si>
  <si>
    <t>OOLU4121050370</t>
  </si>
  <si>
    <t>DONE- 4/26 #147410</t>
  </si>
  <si>
    <t>OOLU6968558</t>
  </si>
  <si>
    <t>4DCFBF</t>
  </si>
  <si>
    <t>OOLU4121050380</t>
  </si>
  <si>
    <t>DONE- 5/1 #147514</t>
  </si>
  <si>
    <t>BMOU5330645</t>
  </si>
  <si>
    <t>54bb84</t>
  </si>
  <si>
    <t>OOLU2146692400</t>
  </si>
  <si>
    <t>OOCU8988500</t>
  </si>
  <si>
    <t>19C381</t>
  </si>
  <si>
    <t>COSU6379826180</t>
  </si>
  <si>
    <t xml:space="preserve">DONE- 5/1 #147507 </t>
  </si>
  <si>
    <t>FDCU0110332</t>
  </si>
  <si>
    <t>f92bfd</t>
  </si>
  <si>
    <t>COSU6379826470 / 查bnsf网页没显示，直到23号才发现已经有lfd 了/</t>
  </si>
  <si>
    <t xml:space="preserve">DONE- 5/17 #148220 </t>
  </si>
  <si>
    <t>BSIU9402728</t>
  </si>
  <si>
    <t>148cff</t>
  </si>
  <si>
    <t>COSU6379826230</t>
  </si>
  <si>
    <t>DONE- 5/2 #147640</t>
  </si>
  <si>
    <t>ZCSU6713035</t>
  </si>
  <si>
    <t>d8738a</t>
  </si>
  <si>
    <t>ZIMUSHH31217288</t>
  </si>
  <si>
    <t>DONE- 5/7 #147795</t>
  </si>
  <si>
    <t>ZCSU6518580</t>
  </si>
  <si>
    <t>d9bcab</t>
  </si>
  <si>
    <t>ZIMUSHH31217279</t>
  </si>
  <si>
    <t>DONE- 5/10 #147930</t>
  </si>
  <si>
    <t>ZCSU7154250</t>
  </si>
  <si>
    <t>D88104</t>
  </si>
  <si>
    <t>ZIMUSHH31220974</t>
  </si>
  <si>
    <t>ZCSU7261710</t>
  </si>
  <si>
    <t>9D9B33</t>
  </si>
  <si>
    <t>ZIMUSHH31216423</t>
  </si>
  <si>
    <t>DONE- 5/1 #147510</t>
  </si>
  <si>
    <t>FFAU2359902</t>
  </si>
  <si>
    <t>9e2ae8</t>
  </si>
  <si>
    <t>COSU6379572119</t>
  </si>
  <si>
    <t xml:space="preserve">DONE- 5/9 #147931 </t>
  </si>
  <si>
    <t>OOLU9773971</t>
  </si>
  <si>
    <t>6C72C8</t>
  </si>
  <si>
    <t>OOLU8810742911</t>
  </si>
  <si>
    <t xml:space="preserve">DONE- 5/14 #148049 </t>
  </si>
  <si>
    <t>APHU6746436</t>
  </si>
  <si>
    <t>d9a78f</t>
  </si>
  <si>
    <t>CMDUSHZ6115315</t>
  </si>
  <si>
    <t>DONE- 5/7 #147798</t>
  </si>
  <si>
    <t>OOLU9784831</t>
  </si>
  <si>
    <t>OOLU8810742910</t>
  </si>
  <si>
    <t>DFSU7448140</t>
  </si>
  <si>
    <t>6A6B20</t>
  </si>
  <si>
    <t>OOLU8810744680</t>
  </si>
  <si>
    <t>OOCU7016756</t>
  </si>
  <si>
    <t>57A113</t>
  </si>
  <si>
    <t>OOLU8810742912</t>
  </si>
  <si>
    <t>done- 5/15 #148155</t>
  </si>
  <si>
    <t>OOCU7060255</t>
  </si>
  <si>
    <t>9A41A0</t>
  </si>
  <si>
    <t>OOLU2302010820</t>
  </si>
  <si>
    <t>OOLU4932160</t>
  </si>
  <si>
    <t>A24FDE</t>
  </si>
  <si>
    <t>OOLU2302010740</t>
  </si>
  <si>
    <t>DONE- 5/17  #148217</t>
  </si>
  <si>
    <t>OOLU9514559</t>
  </si>
  <si>
    <t>6C906E</t>
  </si>
  <si>
    <t>OOLU2146749900</t>
  </si>
  <si>
    <t>sy</t>
  </si>
  <si>
    <t>DONE- 5/30 #148614</t>
  </si>
  <si>
    <t>OOCU7714253</t>
  </si>
  <si>
    <t>7C726E</t>
  </si>
  <si>
    <t>OOLU8810751760</t>
  </si>
  <si>
    <t>DONE- 5/14 #148051</t>
  </si>
  <si>
    <t>OOLU9370472</t>
  </si>
  <si>
    <t>750F3E </t>
  </si>
  <si>
    <t>OOLU2146875220</t>
  </si>
  <si>
    <t>DONE- 5/14 #148044</t>
  </si>
  <si>
    <t>OOCU8468684</t>
  </si>
  <si>
    <t>ABA509</t>
  </si>
  <si>
    <t>OOLU8810747641</t>
  </si>
  <si>
    <t>OOLU4929193</t>
  </si>
  <si>
    <t>fbe37b</t>
  </si>
  <si>
    <t>OOLU8810745481</t>
  </si>
  <si>
    <t>DONE- 5/14 #147983</t>
  </si>
  <si>
    <t>OOLU9302626</t>
  </si>
  <si>
    <t>A78D0F</t>
  </si>
  <si>
    <t>OOLU8810739181</t>
  </si>
  <si>
    <t>DONE- 5/10 #147904</t>
  </si>
  <si>
    <t>TGBU5016685</t>
  </si>
  <si>
    <t>90D473 </t>
  </si>
  <si>
    <t>OOLU8810755750</t>
  </si>
  <si>
    <t>DONE- 5/17 #148218</t>
  </si>
  <si>
    <t>ZCSU7106083</t>
  </si>
  <si>
    <t>272f09</t>
  </si>
  <si>
    <t>ZIMUSHH31222119</t>
  </si>
  <si>
    <t>done- 5/15  #148161</t>
  </si>
  <si>
    <t>ZCSU7416290</t>
  </si>
  <si>
    <t>4db2ff</t>
  </si>
  <si>
    <t>ZIMUSHH31225234</t>
  </si>
  <si>
    <t>DONE- 5/23 #148384</t>
  </si>
  <si>
    <t>ZCSU7261860</t>
  </si>
  <si>
    <t>264B3C</t>
  </si>
  <si>
    <t>ZIMUSHH31222116</t>
  </si>
  <si>
    <t xml:space="preserve">DONE- 5/14 #148045 </t>
  </si>
  <si>
    <t>OOCU8864366</t>
  </si>
  <si>
    <t>aa6216</t>
  </si>
  <si>
    <t>OOLU8810744130</t>
  </si>
  <si>
    <t>OOLU6964589</t>
  </si>
  <si>
    <t>C03844</t>
  </si>
  <si>
    <t xml:space="preserve">DONE- 5/31 #148688 </t>
  </si>
  <si>
    <t>OOLU8810854</t>
  </si>
  <si>
    <t>c80482</t>
  </si>
  <si>
    <t>OOLU2735284241</t>
  </si>
  <si>
    <t xml:space="preserve">DONE- OOLU8810854 #148608 </t>
  </si>
  <si>
    <t>OOLU6861620</t>
  </si>
  <si>
    <t>FD4522</t>
  </si>
  <si>
    <t>OOLU8810757660</t>
  </si>
  <si>
    <t>TRHU5971461</t>
  </si>
  <si>
    <t>D4D657</t>
  </si>
  <si>
    <t>OOLU2735284240</t>
  </si>
  <si>
    <t>DONE- 5/31  #148698</t>
  </si>
  <si>
    <t>TEMU6434885</t>
  </si>
  <si>
    <t>4E0EFF</t>
  </si>
  <si>
    <t>OOLU4121258020</t>
  </si>
  <si>
    <t>DONE -  5/30 #148612</t>
  </si>
  <si>
    <t>FCIU9529211</t>
  </si>
  <si>
    <t>1c54d3</t>
  </si>
  <si>
    <t>OOLU8810755760</t>
  </si>
  <si>
    <t>DONE- 5/30 #148659</t>
  </si>
  <si>
    <t>CSNU8034769</t>
  </si>
  <si>
    <t>8C1B9E</t>
  </si>
  <si>
    <t>OOLU2147024990</t>
  </si>
  <si>
    <t xml:space="preserve">DONE- 5/30 #148670 </t>
  </si>
  <si>
    <t>FCIU7094151</t>
  </si>
  <si>
    <t>8ADAEB</t>
  </si>
  <si>
    <t>OOLU2302049810</t>
  </si>
  <si>
    <t>DONE- 5/24 #148489</t>
  </si>
  <si>
    <t>SEGU5334252</t>
  </si>
  <si>
    <t>3F8287</t>
  </si>
  <si>
    <t>ZIMUSHH31229152</t>
  </si>
  <si>
    <t>DONE- 5/17 #148255</t>
  </si>
  <si>
    <t>TCLU5370243</t>
  </si>
  <si>
    <t>3EE535</t>
  </si>
  <si>
    <t>ZIMUSHH31229153</t>
  </si>
  <si>
    <t>DONE- 5/23  #148386</t>
  </si>
  <si>
    <t>TGBU7263426</t>
  </si>
  <si>
    <t>23F06C</t>
  </si>
  <si>
    <t xml:space="preserve">ZIMUSHH31226751 </t>
  </si>
  <si>
    <t>DONE- 5/21 #148258</t>
  </si>
  <si>
    <t>ZCSU7921645</t>
  </si>
  <si>
    <t>2405D6</t>
  </si>
  <si>
    <t>ZIMUSHH31226749</t>
  </si>
  <si>
    <t>CSNU7358207</t>
  </si>
  <si>
    <t>83e9eb</t>
  </si>
  <si>
    <t>OOLU4121260740</t>
  </si>
  <si>
    <t>DONE- 5/31 #148693</t>
  </si>
  <si>
    <t>SKYU2869830</t>
  </si>
  <si>
    <t>EVANSVILLE INDIANA,KY,47711</t>
  </si>
  <si>
    <t>CMDUQGD0719561/Q#NBJD121523A- 目前in transit 終點在KY- 要注意LFD</t>
  </si>
  <si>
    <t>SKYU2869953</t>
  </si>
  <si>
    <t>CMDUQGD0719567/Q#NBJD121523A</t>
  </si>
  <si>
    <t>NINGBO NAUHUA</t>
  </si>
  <si>
    <t>MSKU1382407</t>
  </si>
  <si>
    <t xml:space="preserve">MOBILE </t>
  </si>
  <si>
    <t>MAUE236527700</t>
  </si>
  <si>
    <t>MRKU4777353</t>
  </si>
  <si>
    <t>TTNU1119395</t>
  </si>
  <si>
    <t>MIAMI POMTOC (PORT)</t>
  </si>
  <si>
    <t>AN SENT TO CNEE- SENT</t>
  </si>
  <si>
    <t>MAEU236527373</t>
  </si>
  <si>
    <t>ILL $50 TO WUH DONE- 5/15 #148168</t>
  </si>
  <si>
    <t>GCXU5755867</t>
  </si>
  <si>
    <t>MAEU236596204</t>
  </si>
  <si>
    <t>ILL $50 TO WUH- DONE- 5/15 #148169</t>
  </si>
  <si>
    <t>MRKU5071309</t>
  </si>
  <si>
    <t>MOBILE (PORT)</t>
  </si>
  <si>
    <t>MAEU237019920</t>
  </si>
  <si>
    <t>ILL $50 TO WUH/ DONE- 5/15 #148171</t>
  </si>
  <si>
    <t>MSKU0208941</t>
  </si>
  <si>
    <t>PONU8213902</t>
  </si>
  <si>
    <t>TRHU4322581</t>
  </si>
  <si>
    <t>99586e</t>
  </si>
  <si>
    <t>COSU6378678820</t>
  </si>
  <si>
    <t>CCLU7348659</t>
  </si>
  <si>
    <t>B87072</t>
  </si>
  <si>
    <t>COSU6379812180</t>
  </si>
  <si>
    <t>DRYU9731349</t>
  </si>
  <si>
    <t>B52B1F</t>
  </si>
  <si>
    <t>COSU6379812184</t>
  </si>
  <si>
    <t>TRHU5271750</t>
  </si>
  <si>
    <t>BAB03C</t>
  </si>
  <si>
    <t>COSU6379812186</t>
  </si>
  <si>
    <t>SEGU6601163</t>
  </si>
  <si>
    <t>B49FC0</t>
  </si>
  <si>
    <t>COSU6378743244</t>
  </si>
  <si>
    <t>CSNU7618731</t>
  </si>
  <si>
    <t>9FE204</t>
  </si>
  <si>
    <t>COSU6378743238</t>
  </si>
  <si>
    <t>TEMU6552126</t>
  </si>
  <si>
    <t>A11297</t>
  </si>
  <si>
    <t>COSU6378743233</t>
  </si>
  <si>
    <t>TGBU7963271</t>
  </si>
  <si>
    <t>4F1C9B</t>
  </si>
  <si>
    <t>OOLU2146443910</t>
  </si>
  <si>
    <t>FSCU8996205</t>
  </si>
  <si>
    <t>8E86D2</t>
  </si>
  <si>
    <t>CMDUNGP0989904</t>
  </si>
  <si>
    <t>MATU2787380</t>
  </si>
  <si>
    <t>MATS</t>
  </si>
  <si>
    <t>34e25b</t>
  </si>
  <si>
    <t>MATS7397337000</t>
  </si>
  <si>
    <t>FSCU8899503</t>
  </si>
  <si>
    <t xml:space="preserve">COSU6380643300 </t>
  </si>
  <si>
    <t>CCLU7441463</t>
  </si>
  <si>
    <t>6F121B</t>
  </si>
  <si>
    <t>COSU6379674753</t>
  </si>
  <si>
    <t>CSNU6117479</t>
  </si>
  <si>
    <t>904EFB</t>
  </si>
  <si>
    <t>COSU6379674755</t>
  </si>
  <si>
    <t>OOCU7335985</t>
  </si>
  <si>
    <t>987E96</t>
  </si>
  <si>
    <t>COSU6379674763</t>
  </si>
  <si>
    <t>FFAU2445066</t>
  </si>
  <si>
    <t>B3D0C3</t>
  </si>
  <si>
    <t>COSU6379674760</t>
  </si>
  <si>
    <t>CCLU7607560</t>
  </si>
  <si>
    <t>c5584f</t>
  </si>
  <si>
    <t>COSU6380395470</t>
  </si>
  <si>
    <t>OOCU7267880</t>
  </si>
  <si>
    <t>1FCA81</t>
  </si>
  <si>
    <t>COSU6378818629</t>
  </si>
  <si>
    <t>OOCU7659829</t>
  </si>
  <si>
    <t>69A8A9</t>
  </si>
  <si>
    <t>COSU6378818632</t>
  </si>
  <si>
    <t>TGBU9305372</t>
  </si>
  <si>
    <t>4D0079</t>
  </si>
  <si>
    <t>COSU6378818631</t>
  </si>
  <si>
    <t>FCIU9874840</t>
  </si>
  <si>
    <t>203A23</t>
  </si>
  <si>
    <t>COSU6378818630</t>
  </si>
  <si>
    <t>CCLU7630533</t>
  </si>
  <si>
    <t>DCFD6B</t>
  </si>
  <si>
    <t>COSU6378818634</t>
  </si>
  <si>
    <t>BMOU5671678</t>
  </si>
  <si>
    <t>4A7477</t>
  </si>
  <si>
    <t>COSU6378818639</t>
  </si>
  <si>
    <t>MATU2325839</t>
  </si>
  <si>
    <t>0D03F7</t>
  </si>
  <si>
    <t>MATS1355209000</t>
  </si>
  <si>
    <t>UETU5199730</t>
  </si>
  <si>
    <t>BB4AC2</t>
  </si>
  <si>
    <t>COSU6380323572</t>
  </si>
  <si>
    <t>SEKU4016734</t>
  </si>
  <si>
    <t>22C2B6</t>
  </si>
  <si>
    <t>COSU6380323553</t>
  </si>
  <si>
    <t>FFAU2691060</t>
  </si>
  <si>
    <t>248C37</t>
  </si>
  <si>
    <t>COSU6380323576</t>
  </si>
  <si>
    <t>FFAU3591620</t>
  </si>
  <si>
    <t>25554D</t>
  </si>
  <si>
    <t>COSU6380323577</t>
  </si>
  <si>
    <t>OOCU7499700</t>
  </si>
  <si>
    <t>26C4AC</t>
  </si>
  <si>
    <t>COSU6380323610</t>
  </si>
  <si>
    <t>TGBU8793755</t>
  </si>
  <si>
    <t>BCD616</t>
  </si>
  <si>
    <t>COSU6380323558</t>
  </si>
  <si>
    <t>UETU5116870</t>
  </si>
  <si>
    <t>C39B31</t>
  </si>
  <si>
    <t>COSU6380323559</t>
  </si>
  <si>
    <t>OOCU8407307</t>
  </si>
  <si>
    <t>FBA506</t>
  </si>
  <si>
    <t>COSU6380323575</t>
  </si>
  <si>
    <t>CCLU7776678</t>
  </si>
  <si>
    <t>2799F3</t>
  </si>
  <si>
    <t>COSU6380323573</t>
  </si>
  <si>
    <t>BMOU5518421</t>
  </si>
  <si>
    <t>e09a35</t>
  </si>
  <si>
    <t>COSU6379750433</t>
  </si>
  <si>
    <t>BSIU9600940</t>
  </si>
  <si>
    <t>0B797F</t>
  </si>
  <si>
    <t>COSU6379674764</t>
  </si>
  <si>
    <t>OOCU7933420</t>
  </si>
  <si>
    <t>E5D9CE</t>
  </si>
  <si>
    <t>COSU6379674769</t>
  </si>
  <si>
    <t>TCKU7626086</t>
  </si>
  <si>
    <t>CMDUNGP1004461</t>
  </si>
  <si>
    <t>CHINAINTEROCEAN</t>
  </si>
  <si>
    <t>BK# DALA33000400, CTNR# HMMU6385091</t>
  </si>
  <si>
    <t>4/27 @8AM</t>
  </si>
  <si>
    <r>
      <t xml:space="preserve">0.5 hr detention-11PM-1:20PM-2 hrs free / ERD 4-23/ CTNR# HMMU6385091 / </t>
    </r>
    <r>
      <rPr>
        <sz val="11"/>
        <color rgb="FFFF0000"/>
        <rFont val="Calibri"/>
        <family val="2"/>
        <scheme val="minor"/>
      </rPr>
      <t xml:space="preserve">chassis split for OG from Conglobal Joliet </t>
    </r>
  </si>
  <si>
    <t>DONE# 147761</t>
  </si>
  <si>
    <t>GLDU4097667</t>
  </si>
  <si>
    <t>5E45A3</t>
  </si>
  <si>
    <r>
      <t xml:space="preserve">MEDUOC394345/ </t>
    </r>
    <r>
      <rPr>
        <sz val="11"/>
        <color rgb="FFFF0000"/>
        <rFont val="Calibri"/>
        <family val="2"/>
        <scheme val="minor"/>
      </rPr>
      <t xml:space="preserve"> OW-21,354.01KGS- 20GP</t>
    </r>
    <r>
      <rPr>
        <sz val="11"/>
        <color theme="1"/>
        <rFont val="Calibri"/>
        <family val="2"/>
        <scheme val="minor"/>
      </rPr>
      <t>/ Q# 03290PG-IW $1150 all-in rate, 1300 all in except for bnsf lpc/up g4 / if chassis prepaid, we will waive $80 chassis fee</t>
    </r>
  </si>
  <si>
    <t>DONE# 147754</t>
  </si>
  <si>
    <t>EMCU8394269</t>
  </si>
  <si>
    <t>DROP 9AM-12PM</t>
  </si>
  <si>
    <t>EGLV143471164144 / DROP / 4/24 empty ready</t>
  </si>
  <si>
    <t xml:space="preserve">DONE#147524 </t>
  </si>
  <si>
    <t>TEMU6650457</t>
  </si>
  <si>
    <t xml:space="preserve">6AM-8AM </t>
  </si>
  <si>
    <t xml:space="preserve">4.26 morning truck issue rescheduled to 4.29 / pre-pull &amp; yard storage / ZIMUXIA8364399    / COC </t>
  </si>
  <si>
    <t xml:space="preserve">DONE#147759 </t>
  </si>
  <si>
    <t>JPCU2302922</t>
  </si>
  <si>
    <t>40OS</t>
  </si>
  <si>
    <t>189B46</t>
  </si>
  <si>
    <r>
      <rPr>
        <sz val="11"/>
        <color rgb="FF0000CC"/>
        <rFont val="Calibri"/>
        <family val="2"/>
        <scheme val="minor"/>
      </rPr>
      <t xml:space="preserve">redelivery $200 for taking CTNR back to our yard and wait foir SOC insturction to return again / 4-29 received SOC return instruction / pre-pull &amp; yard storage / co-loader HC $85+ 5%Admin(min $10) </t>
    </r>
    <r>
      <rPr>
        <sz val="11"/>
        <color theme="1"/>
        <rFont val="Calibri"/>
        <family val="2"/>
        <scheme val="minor"/>
      </rPr>
      <t xml:space="preserve">/ MAEU236678418 / </t>
    </r>
    <r>
      <rPr>
        <sz val="11"/>
        <color rgb="FFFF0000"/>
        <rFont val="Calibri"/>
        <family val="2"/>
        <scheme val="minor"/>
      </rPr>
      <t>chassis split for SOC return to NLN  / Q# WUH010824G, Detention 1 hr free</t>
    </r>
    <r>
      <rPr>
        <sz val="11"/>
        <color theme="1"/>
        <rFont val="Calibri"/>
        <family val="2"/>
        <scheme val="minor"/>
      </rPr>
      <t xml:space="preserve">
联系人：Chad Hodach LLC 联系方式：1-262-510-5261
地址：S86W22400 EDGEWOOD AVE,BIG BEND, WI 53103</t>
    </r>
  </si>
  <si>
    <t xml:space="preserve">DONE# 147809, May have per diem </t>
  </si>
  <si>
    <t>EGSU9187239</t>
  </si>
  <si>
    <t>Norfolk-NIT terminal</t>
  </si>
  <si>
    <t>OX FORD ,NC 27565</t>
  </si>
  <si>
    <t>EGLV143400107083 / Q# WUH031324A,  Detention-2 hrs free</t>
  </si>
  <si>
    <t>DONE# 147850</t>
  </si>
  <si>
    <t>EMCU8576155</t>
  </si>
  <si>
    <t>OAKLAND- Ben E. Nutter Terminal</t>
  </si>
  <si>
    <t>090400029550/po#60457</t>
  </si>
  <si>
    <t>EITU9228715</t>
  </si>
  <si>
    <t xml:space="preserve">ROY, WA 98580 </t>
  </si>
  <si>
    <t>090400045725/ PO# 60550  /Customer PO No. 123914</t>
  </si>
  <si>
    <t>EMCU1500590</t>
  </si>
  <si>
    <t>090400049992 / PO# 60555 /  Customer PO# . 123937</t>
  </si>
  <si>
    <t>EMCU8444518</t>
  </si>
  <si>
    <t>ETD 4-6</t>
  </si>
  <si>
    <t>PENDING</t>
  </si>
  <si>
    <t>090400061887 / PO# 60789 / Received ISF</t>
  </si>
  <si>
    <t>SEGU6854412</t>
  </si>
  <si>
    <t>10:30am</t>
  </si>
  <si>
    <t>17299F</t>
  </si>
  <si>
    <t>YMLUW202174995/MTPE24030097/4900-5000/HC $65</t>
  </si>
  <si>
    <t>DONE#  149047</t>
  </si>
  <si>
    <t xml:space="preserve">BK# NAM6855313, CTNR# APHU7006326 </t>
  </si>
  <si>
    <t>ETD 5/6</t>
  </si>
  <si>
    <t>NEW YORK, NY
MAHER TERMINAL</t>
  </si>
  <si>
    <t>ERD 4/22</t>
  </si>
  <si>
    <t>Maher TML C/O 4/30 @19:00
Port C/O 5/2@16:00
Doc C/O  5/1@17:00</t>
  </si>
  <si>
    <r>
      <t xml:space="preserve">EXPORT/ 只做卡车，订舱和报关客户自己负责/ 
</t>
    </r>
    <r>
      <rPr>
        <sz val="11"/>
        <color rgb="FF0000CC"/>
        <rFont val="Calibri"/>
        <family val="2"/>
        <scheme val="minor"/>
      </rPr>
      <t>和仓库沟通装柜时间，确认具体装柜时间， 装完后拍柜子 柜门和封条照片， 提货单签字回传</t>
    </r>
    <r>
      <rPr>
        <sz val="11"/>
        <color theme="1"/>
        <rFont val="Calibri"/>
        <family val="2"/>
        <scheme val="minor"/>
      </rPr>
      <t xml:space="preserve">
</t>
    </r>
    <r>
      <rPr>
        <sz val="11"/>
        <color rgb="FFFF0000"/>
        <rFont val="Calibri"/>
        <family val="2"/>
        <scheme val="minor"/>
      </rPr>
      <t>请用提货单去提货，和司机说不要用SO去仓库提货！！</t>
    </r>
    <r>
      <rPr>
        <sz val="11"/>
        <color theme="1"/>
        <rFont val="Calibri"/>
        <family val="2"/>
        <scheme val="minor"/>
      </rPr>
      <t xml:space="preserve">
 / Q#CHUA011824A / detention 1 hr free</t>
    </r>
  </si>
  <si>
    <t>DONE# 147992</t>
  </si>
  <si>
    <t xml:space="preserve">NEW BK# 6381952680 for  COSCO DENMARK 058W / 
</t>
  </si>
  <si>
    <t>ETD 4/24</t>
  </si>
  <si>
    <t>Port C/O 4/19 @ 16:00
DOC C/O 4/18 @14:00 CST</t>
  </si>
  <si>
    <r>
      <rPr>
        <sz val="11"/>
        <rFont val="Calibri"/>
        <family val="2"/>
        <scheme val="minor"/>
      </rPr>
      <t xml:space="preserve">Cancelled backup booking 2nd BK# 6382754320 for COSCO SHIPPING ALPS 035W / OLD BK# 6381825810 Cancelled </t>
    </r>
    <r>
      <rPr>
        <sz val="11"/>
        <color theme="1"/>
        <rFont val="Calibri"/>
        <family val="2"/>
        <scheme val="minor"/>
      </rPr>
      <t xml:space="preserve">-- /只做订舱&amp; 报关， 不做装柜 bill to WUH, 用客户的合约号 SC# HUN23366 / Ship name Voyage: COSCO DENMARK 058W
</t>
    </r>
    <r>
      <rPr>
        <sz val="11"/>
        <color rgb="FFFF0000"/>
        <rFont val="Calibri"/>
        <family val="2"/>
        <scheme val="minor"/>
      </rPr>
      <t>2nd BK# 6382754320 for COSCO SHIPPING ALPS 035W</t>
    </r>
    <r>
      <rPr>
        <sz val="11"/>
        <color theme="1"/>
        <rFont val="Calibri"/>
        <family val="2"/>
        <scheme val="minor"/>
      </rPr>
      <t xml:space="preserve"> / </t>
    </r>
    <r>
      <rPr>
        <sz val="11"/>
        <color rgb="FFFF0000"/>
        <rFont val="Calibri"/>
        <family val="2"/>
        <scheme val="minor"/>
      </rPr>
      <t>ETD 5.1/  erd 4/20, Port Cut-off 4/26@16:00 /  Docs cut-off 4.25 @2pm</t>
    </r>
  </si>
  <si>
    <t>DONE#147496,</t>
  </si>
  <si>
    <t xml:space="preserve">BK# NAM6852191, CTNR# CMAU9233841  </t>
  </si>
  <si>
    <t>ERD 4/15</t>
  </si>
  <si>
    <r>
      <rPr>
        <sz val="11"/>
        <color rgb="FFFF0000"/>
        <rFont val="Calibri"/>
        <family val="2"/>
        <scheme val="minor"/>
      </rPr>
      <t>ABL filed AES, ITN: X20240419264011 / 1hr detention-: 9:20am-11:10am, 1 hour free</t>
    </r>
    <r>
      <rPr>
        <sz val="11"/>
        <color theme="1"/>
        <rFont val="Calibri"/>
        <family val="2"/>
        <scheme val="minor"/>
      </rPr>
      <t xml:space="preserve"> / EXPORT/ 只做卡车，订舱和报关客户自己负责/ 
</t>
    </r>
    <r>
      <rPr>
        <sz val="11"/>
        <color rgb="FF0000CC"/>
        <rFont val="Calibri"/>
        <family val="2"/>
        <scheme val="minor"/>
      </rPr>
      <t>和仓库沟通装柜时间，确认具体装柜时间， 装完后拍柜子 柜门和封条照片， 提货单签字回传</t>
    </r>
    <r>
      <rPr>
        <sz val="11"/>
        <color theme="1"/>
        <rFont val="Calibri"/>
        <family val="2"/>
        <scheme val="minor"/>
      </rPr>
      <t xml:space="preserve">
</t>
    </r>
    <r>
      <rPr>
        <sz val="11"/>
        <color rgb="FFFF0000"/>
        <rFont val="Calibri"/>
        <family val="2"/>
        <scheme val="minor"/>
      </rPr>
      <t>请用提货单去提货，和司机说不要用SO去仓库提货！！
 / Q#CHUA011824A / detention 1 hr free</t>
    </r>
  </si>
  <si>
    <t>DONE#147247</t>
  </si>
  <si>
    <t>BK# NAM6852191, CTNR# SEKU5808150</t>
  </si>
  <si>
    <r>
      <rPr>
        <sz val="11"/>
        <color rgb="FFFF0000"/>
        <rFont val="Calibri"/>
        <family val="2"/>
        <scheme val="minor"/>
      </rPr>
      <t>ABL filed AES, ITN: X20240419264011 / 0.5 hr detention-9:30am-11:00am, 1 hour free</t>
    </r>
    <r>
      <rPr>
        <sz val="11"/>
        <color theme="1"/>
        <rFont val="Calibri"/>
        <family val="2"/>
        <scheme val="minor"/>
      </rPr>
      <t xml:space="preserve"> / EXPORT/ 只做卡车，订舱和报关客户自己负责/ 
</t>
    </r>
    <r>
      <rPr>
        <sz val="11"/>
        <color rgb="FF0000CC"/>
        <rFont val="Calibri"/>
        <family val="2"/>
        <scheme val="minor"/>
      </rPr>
      <t>和仓库沟通装柜时间，确认具体装柜时间， 装完后拍柜子 柜门和封条照片， 提货单签字回传</t>
    </r>
    <r>
      <rPr>
        <sz val="11"/>
        <color theme="1"/>
        <rFont val="Calibri"/>
        <family val="2"/>
        <scheme val="minor"/>
      </rPr>
      <t xml:space="preserve">
</t>
    </r>
    <r>
      <rPr>
        <sz val="11"/>
        <color rgb="FFFF0000"/>
        <rFont val="Calibri"/>
        <family val="2"/>
        <scheme val="minor"/>
      </rPr>
      <t>请用提货单去提货，和司机说不要用SO去仓库提货！！</t>
    </r>
    <r>
      <rPr>
        <sz val="11"/>
        <color theme="1"/>
        <rFont val="Calibri"/>
        <family val="2"/>
        <scheme val="minor"/>
      </rPr>
      <t xml:space="preserve">
 / Q#CHUA011824A / detention 1 hr free</t>
    </r>
  </si>
  <si>
    <t>DONE#147248</t>
  </si>
  <si>
    <t>BK# 6383190550, CTNR# CSNU7610284</t>
  </si>
  <si>
    <t xml:space="preserve"> NS Livernois/ Detroit</t>
  </si>
  <si>
    <t>FREEDOM1</t>
  </si>
  <si>
    <t xml:space="preserve">Trans-Overseas Corporation
28000 Goddard Rd.
Romulus, Mi48174 </t>
  </si>
  <si>
    <t>ERD 4/25</t>
  </si>
  <si>
    <t>Rail cut-off 4/29 @17:00 EST
Port cut-off 5/10 @16:00
SI cut-off 5/9 @14:00 CST</t>
  </si>
  <si>
    <r>
      <t xml:space="preserve">原CTNR# KKFU9147156, Exam不通过转出口 / UQI 报7512，做Exam转出口 / Detroit to Ningbo,via Long beach-LBCT / </t>
    </r>
    <r>
      <rPr>
        <sz val="11"/>
        <color rgb="FFFF0000"/>
        <rFont val="Calibri"/>
        <family val="2"/>
        <scheme val="minor"/>
      </rPr>
      <t>开船要跟EVA讲</t>
    </r>
  </si>
  <si>
    <t>DONE#149300</t>
  </si>
  <si>
    <t>TEMU5329777</t>
  </si>
  <si>
    <t>LENOIR.NC,28645</t>
  </si>
  <si>
    <t xml:space="preserve">CMDUSCX0102026/Q#SPLL120623A/OW </t>
  </si>
  <si>
    <r>
      <rPr>
        <sz val="11"/>
        <color rgb="FF000000"/>
        <rFont val="Calibri"/>
        <family val="2"/>
        <scheme val="minor"/>
      </rPr>
      <t>TEMU3108490-</t>
    </r>
    <r>
      <rPr>
        <b/>
        <sz val="11"/>
        <color rgb="FFFF0000"/>
        <rFont val="Calibri"/>
        <family val="2"/>
        <scheme val="minor"/>
      </rPr>
      <t>canceled</t>
    </r>
  </si>
  <si>
    <t>CHARLESTON,SC</t>
  </si>
  <si>
    <t>CMDUSCX0102130/Q#SPLL120623A/OW  -- 客户在 4-26号取消订单</t>
  </si>
  <si>
    <t>DRYU2927833</t>
  </si>
  <si>
    <t>WANDO WELCH TERMINAL</t>
  </si>
  <si>
    <t>CMDUSCX0102060</t>
  </si>
  <si>
    <t>DONE- 6/3 #148797</t>
  </si>
  <si>
    <t>temu</t>
  </si>
  <si>
    <t>CAIU9297925</t>
  </si>
  <si>
    <t>ABL fedex</t>
  </si>
  <si>
    <t>C28315</t>
  </si>
  <si>
    <t xml:space="preserve">MATS7329943000 </t>
  </si>
  <si>
    <t>CAIU9287001</t>
  </si>
  <si>
    <t>075F62</t>
  </si>
  <si>
    <t xml:space="preserve">MATS7667804000 </t>
  </si>
  <si>
    <t>MATU2596830</t>
  </si>
  <si>
    <t>544F75</t>
  </si>
  <si>
    <t>MATS4765657000 /收贴标 （ 0.5 x 3 张）美金</t>
  </si>
  <si>
    <t>MATU2683160</t>
  </si>
  <si>
    <t>EDB2BE</t>
  </si>
  <si>
    <t xml:space="preserve">MATS7099928000 </t>
  </si>
  <si>
    <t>MATU2717228</t>
  </si>
  <si>
    <t>BFC76C</t>
  </si>
  <si>
    <t>MATS7374294000 / 收label fee 4 x $0.5 = 2</t>
  </si>
  <si>
    <t>MATU2759389</t>
  </si>
  <si>
    <t>BFD54D</t>
  </si>
  <si>
    <t xml:space="preserve">MATS9018524000 </t>
  </si>
  <si>
    <t>MATU2777145</t>
  </si>
  <si>
    <t>6pm</t>
  </si>
  <si>
    <t>abl fedex</t>
  </si>
  <si>
    <t>MATS6402202000 / 客户自己 FTL 送到 ABL 仓库。/ trl$ 5828</t>
  </si>
  <si>
    <t>ZIMU1356166</t>
  </si>
  <si>
    <t>ZIMUXIA8366638</t>
  </si>
  <si>
    <t xml:space="preserve">CSNU7508483  </t>
  </si>
  <si>
    <t>LONG BEACH -PCT</t>
  </si>
  <si>
    <t>ECOMMERCE HANDLE</t>
  </si>
  <si>
    <t>AMZ GYR3</t>
  </si>
  <si>
    <r>
      <t xml:space="preserve">COSU6378822710 / Importer: ABLW / </t>
    </r>
    <r>
      <rPr>
        <sz val="11"/>
        <color rgb="FFFF0000"/>
        <rFont val="Calibri"/>
        <family val="2"/>
        <scheme val="minor"/>
      </rPr>
      <t xml:space="preserve">ISF on file / AN SENT/ Confirmed 7501 / Customs released </t>
    </r>
    <r>
      <rPr>
        <sz val="11"/>
        <color theme="1"/>
        <rFont val="Calibri"/>
        <family val="2"/>
        <scheme val="minor"/>
      </rPr>
      <t>/ TLX MBL / ABL OCEAN  报关， ECOMMERCE 派送</t>
    </r>
  </si>
  <si>
    <t xml:space="preserve">DONE#147036, Duty Inv# 146565 </t>
  </si>
  <si>
    <t>BK# 6383190550, CTNR# CSNU7977460</t>
  </si>
  <si>
    <t>BMOU5163804</t>
  </si>
  <si>
    <t>BCE4F5  </t>
  </si>
  <si>
    <t>COSU6378381003</t>
  </si>
  <si>
    <t xml:space="preserve">DONE </t>
  </si>
  <si>
    <t>WBPU7013555</t>
  </si>
  <si>
    <t>B5A686  </t>
  </si>
  <si>
    <t>COSU6378381001</t>
  </si>
  <si>
    <t>CSNU6948976</t>
  </si>
  <si>
    <t>D9085F  </t>
  </si>
  <si>
    <t>COSU6378381014</t>
  </si>
  <si>
    <t>DONE 147792</t>
  </si>
  <si>
    <t>RAVU6704667</t>
  </si>
  <si>
    <t>AFB4D3</t>
  </si>
  <si>
    <t>CMDUNGP1002262 / soc</t>
  </si>
  <si>
    <t>Wayota</t>
  </si>
  <si>
    <t>OOCU8497430</t>
  </si>
  <si>
    <t xml:space="preserve">0144F8   </t>
  </si>
  <si>
    <t>COSU6380418260</t>
  </si>
  <si>
    <t>FSCU7061368</t>
  </si>
  <si>
    <t xml:space="preserve">BNSF-Kansas City-J177 </t>
  </si>
  <si>
    <t>Linn, Kansas 66953</t>
  </si>
  <si>
    <t>44A764</t>
  </si>
  <si>
    <r>
      <rPr>
        <sz val="11"/>
        <rFont val="Calibri"/>
        <family val="2"/>
        <scheme val="minor"/>
      </rPr>
      <t xml:space="preserve">No detention / MBL# YMJAW240333412 / </t>
    </r>
    <r>
      <rPr>
        <sz val="11"/>
        <color theme="1"/>
        <rFont val="Calibri"/>
        <family val="2"/>
        <scheme val="minor"/>
      </rPr>
      <t xml:space="preserve"> 不要预提 / Q# WOIL031124A $1380 / detention 2 hrs free</t>
    </r>
  </si>
  <si>
    <t xml:space="preserve">DONE#147099 </t>
  </si>
  <si>
    <t>XHCU2589929</t>
  </si>
  <si>
    <t xml:space="preserve">East Chicago IN 46312 </t>
  </si>
  <si>
    <t xml:space="preserve">29025B </t>
  </si>
  <si>
    <r>
      <t>pre-pull &amp; yard storage / MAEU236841017 / SOC return to Conglobal FOREST VIEW</t>
    </r>
    <r>
      <rPr>
        <sz val="11"/>
        <color rgb="FFFF0000"/>
        <rFont val="Calibri"/>
        <family val="2"/>
        <scheme val="minor"/>
      </rPr>
      <t xml:space="preserve"> </t>
    </r>
    <r>
      <rPr>
        <sz val="11"/>
        <color theme="1"/>
        <rFont val="Calibri"/>
        <family val="2"/>
        <scheme val="minor"/>
      </rPr>
      <t>/   OW  20GP / 19137 KGS / Q# WUH101223F $950 Including 2-day chassis, 1-hour detention and OW fee / 1 hr free /</t>
    </r>
    <r>
      <rPr>
        <sz val="11"/>
        <color rgb="FFFF0000"/>
        <rFont val="Calibri"/>
        <family val="2"/>
        <scheme val="minor"/>
      </rPr>
      <t xml:space="preserve"> re-route $200+ chassis split for SOC return to Conglobal Forest View</t>
    </r>
  </si>
  <si>
    <t>DONE# 149046</t>
  </si>
  <si>
    <t>XHCU2571679</t>
  </si>
  <si>
    <t>A000CE</t>
  </si>
  <si>
    <r>
      <t xml:space="preserve">4-9 discharged / MAEU236099273 / </t>
    </r>
    <r>
      <rPr>
        <sz val="11"/>
        <color rgb="FFFF0000"/>
        <rFont val="Calibri"/>
        <family val="2"/>
        <scheme val="minor"/>
      </rPr>
      <t>OW  20GP / 19137 KGS</t>
    </r>
    <r>
      <rPr>
        <sz val="11"/>
        <color theme="1"/>
        <rFont val="Calibri"/>
        <family val="2"/>
        <scheme val="minor"/>
      </rPr>
      <t xml:space="preserve"> / Q# WUH101223F $950 Including 2-day chassis, 1-hour detention and OW fee / 1 hr free / </t>
    </r>
    <r>
      <rPr>
        <sz val="11"/>
        <color rgb="FFFF0000"/>
        <rFont val="Calibri"/>
        <family val="2"/>
        <scheme val="minor"/>
      </rPr>
      <t>re-route $200+ chassis split for SOC return to Conglobal Forest View</t>
    </r>
  </si>
  <si>
    <t xml:space="preserve">DONE#147387 </t>
  </si>
  <si>
    <t>MRKU5438734</t>
  </si>
  <si>
    <t xml:space="preserve">Ellsworth,MI 49729 </t>
  </si>
  <si>
    <t>702058</t>
  </si>
  <si>
    <t>exam fee  $525/$175 re-delivery fee for bring it back to carrier’ yard and return it on next day, re-route $150 + chassis split for return to ITI , 2 hrs detention-8:20-11:20am, 1 hrs free /  Demurrage $750-5.1 billed/ MBL# 235837322 / Q# QDZX012624A / DETENTION 1 HR FREE/ COC/ 这票送货前，提前预约送货哈，防止仓库没人收货
联系人：David Michael
Michael Enterprises Inc.
Cell 231 675-9158     P 231 599-3145</t>
  </si>
  <si>
    <t>DONE# 147932, Dem Inv#147551</t>
  </si>
  <si>
    <t>OOCU8156325</t>
  </si>
  <si>
    <t xml:space="preserve">LONG BEACH -Shippers Transport Express </t>
  </si>
  <si>
    <t>4/17 Dropped</t>
  </si>
  <si>
    <t>7am-1:30pm
APPt# 36363</t>
  </si>
  <si>
    <t>7776 Tippecanoe Ave,San Bernardino,CA,92410</t>
  </si>
  <si>
    <t>4-19 empty ready / Drop fee $ 360 / Pier pass $71.14 + CTF $20 / OOLU2735078680 / Q# XB041524A, Detention 2 hours free</t>
  </si>
  <si>
    <t>DONE#147590</t>
  </si>
  <si>
    <t>GLCU4018617</t>
  </si>
  <si>
    <r>
      <rPr>
        <sz val="11"/>
        <color rgb="FFFF0000"/>
        <rFont val="Calibri"/>
        <family val="2"/>
        <scheme val="minor"/>
      </rPr>
      <t>1.75hr detention- 9am-11:45am</t>
    </r>
    <r>
      <rPr>
        <sz val="11"/>
        <color theme="1"/>
        <rFont val="Calibri"/>
        <family val="2"/>
        <scheme val="minor"/>
      </rPr>
      <t xml:space="preserve"> /QGD0700475 / </t>
    </r>
    <r>
      <rPr>
        <sz val="11"/>
        <color rgb="FFFF0000"/>
        <rFont val="Calibri"/>
        <family val="2"/>
        <scheme val="minor"/>
      </rPr>
      <t>SOC return to RSD Container yard services</t>
    </r>
    <r>
      <rPr>
        <sz val="11"/>
        <color theme="1"/>
        <rFont val="Calibri"/>
        <family val="2"/>
        <scheme val="minor"/>
      </rPr>
      <t>/ Q# QDMY080423A/  Detention 1 hr free</t>
    </r>
  </si>
  <si>
    <t>DONE#147597</t>
  </si>
  <si>
    <t xml:space="preserve">Shenzhen RQ </t>
  </si>
  <si>
    <t>WHSU5169330</t>
  </si>
  <si>
    <t>OAKLAND CA-SSA terminal</t>
  </si>
  <si>
    <t>Elk grove,CA 95624</t>
  </si>
  <si>
    <r>
      <rPr>
        <sz val="11"/>
        <color rgb="FFFF0000"/>
        <rFont val="Calibri"/>
        <family val="2"/>
        <scheme val="minor"/>
      </rPr>
      <t>1.25 hrs detention- 10:00-13:15, 2 hours free</t>
    </r>
    <r>
      <rPr>
        <sz val="11"/>
        <color theme="1"/>
        <rFont val="Calibri"/>
        <family val="2"/>
        <scheme val="minor"/>
      </rPr>
      <t xml:space="preserve"> / WHLC025E563930    / Q# WUHO040824G, detention 2 hrs free / </t>
    </r>
    <r>
      <rPr>
        <sz val="11"/>
        <color rgb="FFFF0000"/>
        <rFont val="Calibri"/>
        <family val="2"/>
        <scheme val="minor"/>
      </rPr>
      <t>TOLL &amp; GATE FEE $100</t>
    </r>
  </si>
  <si>
    <t>DONE# 148500</t>
  </si>
  <si>
    <t>GLCU4018772</t>
  </si>
  <si>
    <t xml:space="preserve"> Keyword Trucking</t>
  </si>
  <si>
    <r>
      <t xml:space="preserve">1.5hrs detention-1PM-3:35PM, 1 hr free / QGD0700475 / </t>
    </r>
    <r>
      <rPr>
        <sz val="11"/>
        <color rgb="FFFF0000"/>
        <rFont val="Calibri"/>
        <family val="2"/>
        <scheme val="minor"/>
      </rPr>
      <t>SOC return to RSD Container yard services</t>
    </r>
    <r>
      <rPr>
        <sz val="11"/>
        <color theme="1"/>
        <rFont val="Calibri"/>
        <family val="2"/>
        <scheme val="minor"/>
      </rPr>
      <t xml:space="preserve"> / OW 40HQ - 22079.2KGS / Q# QDMY080423A-1  / Detention 1 hr free /</t>
    </r>
    <r>
      <rPr>
        <sz val="11"/>
        <color rgb="FFFF0000"/>
        <rFont val="Calibri"/>
        <family val="2"/>
        <scheme val="minor"/>
      </rPr>
      <t xml:space="preserve"> Tri-Axle $300, Flip $125+ chassis split $95*2</t>
    </r>
  </si>
  <si>
    <t xml:space="preserve">DONE#147604 </t>
  </si>
  <si>
    <t>CEOU2202795</t>
  </si>
  <si>
    <t>DROP-9AM-3:30PM PST</t>
  </si>
  <si>
    <t xml:space="preserve">Bellevue WA,98004 </t>
  </si>
  <si>
    <r>
      <rPr>
        <sz val="11"/>
        <color rgb="FFFF0000"/>
        <rFont val="Calibri"/>
        <family val="2"/>
        <scheme val="minor"/>
      </rPr>
      <t xml:space="preserve">Sat 5-4 empty ready  / re-route $275+ chassis split  for empty return to Affordable Storage Containers / </t>
    </r>
    <r>
      <rPr>
        <sz val="11"/>
        <color rgb="FF0000CC"/>
        <rFont val="Calibri"/>
        <family val="2"/>
        <scheme val="minor"/>
      </rPr>
      <t>DROP FEE $300</t>
    </r>
    <r>
      <rPr>
        <sz val="11"/>
        <color rgb="FFFF0000"/>
        <rFont val="Calibri"/>
        <family val="2"/>
        <scheme val="minor"/>
      </rPr>
      <t xml:space="preserve"> / 2hr pu detention-6.45am-9:45am, 1 hr free / pre-pull &amp; yard storage / </t>
    </r>
    <r>
      <rPr>
        <sz val="11"/>
        <color theme="1"/>
        <rFont val="Calibri"/>
        <family val="2"/>
        <scheme val="minor"/>
      </rPr>
      <t xml:space="preserve"> / BL#CHN0958927 / </t>
    </r>
    <r>
      <rPr>
        <sz val="11"/>
        <color rgb="FFFF0000"/>
        <rFont val="Calibri"/>
        <family val="2"/>
        <scheme val="minor"/>
      </rPr>
      <t>COC</t>
    </r>
    <r>
      <rPr>
        <sz val="11"/>
        <color theme="1"/>
        <rFont val="Calibri"/>
        <family val="2"/>
        <scheme val="minor"/>
      </rPr>
      <t xml:space="preserve"> / Q# WOIL070623, $600+ Residential $175 / Detention 1 hr free</t>
    </r>
  </si>
  <si>
    <t>DONE# 149048</t>
  </si>
  <si>
    <t>DRYU2262147</t>
  </si>
  <si>
    <t>LAX- APM  TMLS</t>
  </si>
  <si>
    <t>LAS VEGAS NV 89118</t>
  </si>
  <si>
    <r>
      <rPr>
        <sz val="11"/>
        <color rgb="FFFF0000"/>
        <rFont val="Calibri"/>
        <family val="2"/>
        <scheme val="minor"/>
      </rPr>
      <t>Pier pass $35.57 + CTF $10</t>
    </r>
    <r>
      <rPr>
        <sz val="11"/>
        <color theme="1"/>
        <rFont val="Calibri"/>
        <family val="2"/>
        <scheme val="minor"/>
      </rPr>
      <t xml:space="preserve"> / EGLV140457040927 / COC / Q# XB032824A,  Detention 2 hours free</t>
    </r>
  </si>
  <si>
    <t xml:space="preserve">CSNU6740621 </t>
  </si>
  <si>
    <t>3822F8</t>
  </si>
  <si>
    <t>COSU6378868920/Q#YWHJ121523A</t>
  </si>
  <si>
    <t>FCIU3970575</t>
  </si>
  <si>
    <t xml:space="preserve">Oxford, MI 48371 </t>
  </si>
  <si>
    <t>NS PU# 4285</t>
  </si>
  <si>
    <t xml:space="preserve">NS LFD 4/23
EXAM SITE LFD 5/9
</t>
  </si>
  <si>
    <t>4/29 OG From NS
5/9 OG From Exam site</t>
  </si>
  <si>
    <r>
      <rPr>
        <sz val="11"/>
        <color rgb="FF0000CC"/>
        <rFont val="Calibri"/>
        <family val="2"/>
        <scheme val="minor"/>
      </rPr>
      <t>pre-pull &amp; yard storage for PU from EXAM site / Rail demurrage $700-4.29</t>
    </r>
    <r>
      <rPr>
        <sz val="11"/>
        <color rgb="FFFF0000"/>
        <rFont val="Calibri"/>
        <family val="2"/>
        <scheme val="minor"/>
      </rPr>
      <t xml:space="preserve"> / ABL arranges EXAM movement / EXAM HOLD at Detorit,  </t>
    </r>
    <r>
      <rPr>
        <sz val="11"/>
        <color theme="1"/>
        <rFont val="Calibri"/>
        <family val="2"/>
        <scheme val="minor"/>
      </rPr>
      <t>/ QGD0666365 /  EXAM HOLD at Detroit/</t>
    </r>
    <r>
      <rPr>
        <sz val="11"/>
        <color rgb="FFFF0000"/>
        <rFont val="Calibri"/>
        <family val="2"/>
        <scheme val="minor"/>
      </rPr>
      <t xml:space="preserve"> Chassis split for SOC return to ITI Intermodal-Detroit</t>
    </r>
    <r>
      <rPr>
        <sz val="11"/>
        <color theme="1"/>
        <rFont val="Calibri"/>
        <family val="2"/>
        <scheme val="minor"/>
      </rPr>
      <t xml:space="preserve"> / Q# XB030124A / Detention 1 hr free / </t>
    </r>
    <r>
      <rPr>
        <sz val="11"/>
        <color rgb="FF0000CC"/>
        <rFont val="Calibri"/>
        <family val="2"/>
        <scheme val="minor"/>
      </rPr>
      <t xml:space="preserve">if not return on same day, redelivery $175+ yard storage will apply/ </t>
    </r>
    <r>
      <rPr>
        <sz val="11"/>
        <color theme="1"/>
        <rFont val="Calibri"/>
        <family val="2"/>
        <scheme val="minor"/>
      </rPr>
      <t xml:space="preserve">
TRANS-OVERSEAS
28000 GODDARD RD, ROMULUS, MI 48174
734-857-7977
SSTIEGEMEIER@TRANS-OVERSEAS.COM
EXAM SITE-Trans overseas
Customszoom-Daisy,
Exam site-Trans-Overseas-Phil 248-982-8597</t>
    </r>
  </si>
  <si>
    <t>OOCU6965167</t>
  </si>
  <si>
    <t>4228F9</t>
  </si>
  <si>
    <r>
      <rPr>
        <sz val="11"/>
        <color rgb="FFFF0000"/>
        <rFont val="Calibri"/>
        <family val="2"/>
        <scheme val="minor"/>
      </rPr>
      <t>Demurrage $150-4.30</t>
    </r>
    <r>
      <rPr>
        <sz val="11"/>
        <color theme="1"/>
        <rFont val="Calibri"/>
        <family val="2"/>
        <scheme val="minor"/>
      </rPr>
      <t xml:space="preserve"> / COSU6379539420 / 整柜直送
 / Q# WUH010824G, Detention 1 hr free
Address: S86W22400 Edgewood Ave, Big Bend, WI 53103
Recipient's name: Chad Hodach 
Contact number: 262-510-5261</t>
    </r>
  </si>
  <si>
    <t>DONE# 147810</t>
  </si>
  <si>
    <t>YIXIN</t>
  </si>
  <si>
    <t>BMOU4674693</t>
  </si>
  <si>
    <t>CMDUCHN0906184/Q#WUHO041524A --在4-23客户确认double delivery fee 来 drop 柜子 / /Q#WUHO041524A --在4-23客户确认double delivery fee 来 drop 柜子 / BMOU4674693- 周一回客戶</t>
  </si>
  <si>
    <t>DONE- 5/10 #147738</t>
  </si>
  <si>
    <t>DFSU7074210</t>
  </si>
  <si>
    <t>LBCT LLC</t>
  </si>
  <si>
    <t>Fontana, CA 92336</t>
  </si>
  <si>
    <t>COSU6381216520, Pier pass + CTF, drop off, 5/13 empty ready</t>
  </si>
  <si>
    <t>TGHU9785273</t>
  </si>
  <si>
    <t>AT CALCARTAGE</t>
  </si>
  <si>
    <t>Whittier, CA 90606</t>
  </si>
  <si>
    <t>COSU6381520270, Pier pass + CTF， Calcartage cet exam</t>
  </si>
  <si>
    <t xml:space="preserve"> OOLU8828642</t>
  </si>
  <si>
    <t>10am DROP</t>
  </si>
  <si>
    <t>72B92C</t>
  </si>
  <si>
    <r>
      <rPr>
        <sz val="11"/>
        <color rgb="FFFF0000"/>
        <rFont val="Calibri"/>
        <family val="2"/>
        <scheme val="minor"/>
      </rPr>
      <t>5.10 @ 2:34pm emtpy readyDROP /  OW $250</t>
    </r>
    <r>
      <rPr>
        <sz val="11"/>
        <color theme="1"/>
        <rFont val="Calibri"/>
        <family val="2"/>
        <scheme val="minor"/>
      </rPr>
      <t xml:space="preserve"> / 40HQ / 21479KGS  /COSU6380753740 / 派送地址：谷仓
</t>
    </r>
    <r>
      <rPr>
        <sz val="11"/>
        <color rgb="FFFF0000"/>
        <rFont val="Calibri"/>
        <family val="2"/>
        <scheme val="minor"/>
      </rPr>
      <t>5/8 received APPT link.</t>
    </r>
    <r>
      <rPr>
        <sz val="11"/>
        <color theme="1"/>
        <rFont val="Calibri"/>
        <family val="2"/>
        <scheme val="minor"/>
      </rPr>
      <t xml:space="preserve">
PG2403210018  OOLU8828642
预约单YY202405080055, 新增成功
预约链接：https://oms.goodcang.com/inbound_order_booking/landing_page?booking_code=I9J0VL28FD</t>
    </r>
  </si>
  <si>
    <t>BEAU4294430</t>
  </si>
  <si>
    <t>9ED871</t>
  </si>
  <si>
    <t>YMJAW242563545</t>
  </si>
  <si>
    <t>DONE- 5/15 #148165</t>
  </si>
  <si>
    <t>BEAU5117363</t>
  </si>
  <si>
    <t>sent pu#</t>
  </si>
  <si>
    <t>NA received payment</t>
  </si>
  <si>
    <t xml:space="preserve"> C9D2BF</t>
  </si>
  <si>
    <t>5-8 discharged /COSU6382409160 / SWB / TLX HBL / 要问CNEE 收钱</t>
  </si>
  <si>
    <t>BEAU6024075</t>
  </si>
  <si>
    <t>AN&amp;HC TO CNEE</t>
  </si>
  <si>
    <t>BDC8E3</t>
  </si>
  <si>
    <t>COSU6379776470 / received payment from CNEE / PU# SENT OUT / BOL TEL RLS</t>
  </si>
  <si>
    <t>DONE# 147015</t>
  </si>
  <si>
    <t>CBHU9123034</t>
  </si>
  <si>
    <t xml:space="preserve">OOLU4121280580    </t>
  </si>
  <si>
    <t>BEAU5767610</t>
  </si>
  <si>
    <t>OOLU2146894270/ 5/17 empty reaady</t>
  </si>
  <si>
    <t>DONE# 148498</t>
  </si>
  <si>
    <t>BEAU6155795</t>
  </si>
  <si>
    <t>16D9CC</t>
  </si>
  <si>
    <t>OOLU2147386750</t>
  </si>
  <si>
    <t>BEAU6191730</t>
  </si>
  <si>
    <t>ED35CD</t>
  </si>
  <si>
    <t>OOLU8810782293</t>
  </si>
  <si>
    <t>BMOU5071185</t>
  </si>
  <si>
    <t>CAA3B1</t>
  </si>
  <si>
    <t>OOLU8810789840</t>
  </si>
  <si>
    <t>BMOU5129820</t>
  </si>
  <si>
    <t>3a7ea8</t>
  </si>
  <si>
    <t>OOLU2147401550</t>
  </si>
  <si>
    <t>DRYU9811418</t>
  </si>
  <si>
    <t>29A0A3</t>
  </si>
  <si>
    <t>4-20 discharged /YMJAW240334901/ROH022924A/5500-5600 / TLX RLS MBL / AN SENT / Confirmed 7501</t>
  </si>
  <si>
    <t>DONE#148809</t>
  </si>
  <si>
    <t>CAIU4509214</t>
  </si>
  <si>
    <t>280CF1</t>
  </si>
  <si>
    <t>COSU6382219719</t>
  </si>
  <si>
    <t>CBHU9109648</t>
  </si>
  <si>
    <t>C8D3EA</t>
  </si>
  <si>
    <t>OOLU2737322490</t>
  </si>
  <si>
    <t>TCKU7057821</t>
  </si>
  <si>
    <t xml:space="preserve">CMDUCHN0875532    </t>
  </si>
  <si>
    <t>TGBU5520000</t>
  </si>
  <si>
    <t>UP MEMPHIS</t>
  </si>
  <si>
    <t>devanning</t>
  </si>
  <si>
    <t>NTG</t>
  </si>
  <si>
    <r>
      <t xml:space="preserve">Transload / YMJAW232539683
ABL 要网上预约final delivery for  Atlanta, GA 30336 &amp; Flower Mound, TX 75028
NTG 安排final delviery
</t>
    </r>
    <r>
      <rPr>
        <b/>
        <u/>
        <sz val="11"/>
        <color rgb="FFFF0000"/>
        <rFont val="Calibri"/>
        <family val="2"/>
        <scheme val="minor"/>
      </rPr>
      <t xml:space="preserve">Atlanta, GA has 17 pallets.  </t>
    </r>
    <r>
      <rPr>
        <sz val="11"/>
        <color theme="1"/>
        <rFont val="Calibri"/>
        <family val="2"/>
        <scheme val="minor"/>
      </rPr>
      <t xml:space="preserve">
</t>
    </r>
    <r>
      <rPr>
        <b/>
        <sz val="11"/>
        <color theme="1"/>
        <rFont val="Calibri"/>
        <family val="2"/>
        <scheme val="minor"/>
      </rPr>
      <t>Memphis TN to 2075 maple ave, Atlanta, GA 30336  NTG# 7619384</t>
    </r>
    <r>
      <rPr>
        <sz val="11"/>
        <color theme="1"/>
        <rFont val="Calibri"/>
        <family val="2"/>
        <scheme val="minor"/>
      </rPr>
      <t xml:space="preserve">
APPT# Z2TB07 /  Delivery APPT : 5/23 13:30-14:30/  Remarks: IOKZM661-240508-2001, 
</t>
    </r>
    <r>
      <rPr>
        <b/>
        <u/>
        <sz val="11"/>
        <color rgb="FFFF0000"/>
        <rFont val="Calibri"/>
        <family val="2"/>
        <scheme val="minor"/>
      </rPr>
      <t xml:space="preserve">Flower Mound, TX has 11 pallets. </t>
    </r>
    <r>
      <rPr>
        <sz val="11"/>
        <color theme="1"/>
        <rFont val="Calibri"/>
        <family val="2"/>
        <scheme val="minor"/>
      </rPr>
      <t xml:space="preserve">
</t>
    </r>
    <r>
      <rPr>
        <b/>
        <sz val="11"/>
        <color theme="1"/>
        <rFont val="Calibri"/>
        <family val="2"/>
        <scheme val="minor"/>
      </rPr>
      <t>Memphis TN to 709 Enterprise Drive,Suite 200, Flower Mound, TX 75028 NTG# 7619369</t>
    </r>
    <r>
      <rPr>
        <sz val="11"/>
        <color theme="1"/>
        <rFont val="Calibri"/>
        <family val="2"/>
        <scheme val="minor"/>
      </rPr>
      <t xml:space="preserve">
 APPT# Z74V85 /  Delivery APPT : 5/26 10:00-11:00/  Remarks: IOKZM661-240508-2003</t>
    </r>
  </si>
  <si>
    <t>DONE#149113</t>
  </si>
  <si>
    <t>Memphis Transload</t>
  </si>
  <si>
    <t>CCLU7367875</t>
  </si>
  <si>
    <t>B1CC60</t>
  </si>
  <si>
    <t>OOLU2736156208</t>
  </si>
  <si>
    <t>CAIU4236383</t>
  </si>
  <si>
    <t>SMLMNJGF2A610700</t>
  </si>
  <si>
    <t>CCLU7758020</t>
  </si>
  <si>
    <t>2CC104</t>
  </si>
  <si>
    <t>COSU6381050139</t>
  </si>
  <si>
    <t>CMAU7803797</t>
  </si>
  <si>
    <t>GAOU6206601</t>
  </si>
  <si>
    <t>SMYRNA,GA,30082</t>
  </si>
  <si>
    <t>HDMUSZPM33697300/Q#GPSS030524A, prepull+yard stg</t>
  </si>
  <si>
    <t>TGHU6641591</t>
  </si>
  <si>
    <t>MATS5437432000 / trailer 7572129 for 25plts</t>
  </si>
  <si>
    <t>CBHU5526448</t>
  </si>
  <si>
    <t>ALL Points</t>
  </si>
  <si>
    <t>MADISON HEIGHTS, MI 48071</t>
  </si>
  <si>
    <r>
      <t xml:space="preserve">empty ready 5/15  / HDMUXMNM75504100   </t>
    </r>
    <r>
      <rPr>
        <sz val="11"/>
        <color rgb="FFFF0000"/>
        <rFont val="Calibri"/>
        <family val="2"/>
        <scheme val="minor"/>
      </rPr>
      <t xml:space="preserve">/ Chassis split for SOC return to Conglobal Detroit </t>
    </r>
    <r>
      <rPr>
        <sz val="11"/>
        <color theme="1"/>
        <rFont val="Calibri"/>
        <family val="2"/>
        <scheme val="minor"/>
      </rPr>
      <t>/ Q# ASPD032024A, detention 1 hr free, $200 drop fee</t>
    </r>
  </si>
  <si>
    <t>OOLU4349981</t>
  </si>
  <si>
    <t>cet exam</t>
  </si>
  <si>
    <t>5-8 discharged / COSU6381908540 / SWB / TLX HBL / 要问CNEE 收钱 $5145 / EMAIL ADDRESS FOR AN / EXAM FEE BILLED</t>
  </si>
  <si>
    <t>DONE#147979, Exam inv# 148256</t>
  </si>
  <si>
    <t>NYKU5153212</t>
  </si>
  <si>
    <t>ONEYSZPE56110700</t>
  </si>
  <si>
    <t>CSNU6683481</t>
  </si>
  <si>
    <t>E80A8E</t>
  </si>
  <si>
    <t>COSU6381050138</t>
  </si>
  <si>
    <t>CCLU3511536</t>
  </si>
  <si>
    <t>7549710</t>
  </si>
  <si>
    <r>
      <rPr>
        <sz val="11"/>
        <color rgb="FFFF0000"/>
        <rFont val="Calibri"/>
        <family val="2"/>
        <scheme val="minor"/>
      </rPr>
      <t>redelivery $ 200 + yard storage for taking it back to our yard and return after weekend due to Conglobal closes during weekend</t>
    </r>
    <r>
      <rPr>
        <sz val="11"/>
        <color theme="1"/>
        <rFont val="Calibri"/>
        <family val="2"/>
        <scheme val="minor"/>
      </rPr>
      <t xml:space="preserve"> /  ONEYXMNE28629700  </t>
    </r>
    <r>
      <rPr>
        <sz val="11"/>
        <color rgb="FFFF0000"/>
        <rFont val="Calibri"/>
        <family val="2"/>
        <scheme val="minor"/>
      </rPr>
      <t xml:space="preserve">/ re-route $200+ chassis split for SOC return to Cong lobal Forest View </t>
    </r>
  </si>
  <si>
    <t>DONE# 148407</t>
  </si>
  <si>
    <t>CCLU3720958</t>
  </si>
  <si>
    <r>
      <t xml:space="preserve">5-5 discharged / ONEYXMNE36017400 / </t>
    </r>
    <r>
      <rPr>
        <sz val="11"/>
        <color rgb="FFFF0000"/>
        <rFont val="Calibri"/>
        <family val="2"/>
        <scheme val="minor"/>
      </rPr>
      <t xml:space="preserve">re-route $200+ chassis split for SOC return to Conglobal Forest View </t>
    </r>
  </si>
  <si>
    <t>d</t>
  </si>
  <si>
    <t>CCLU3906686</t>
  </si>
  <si>
    <t>afternoon</t>
  </si>
  <si>
    <t>4-18 discharged / HDMUXMNM01715400    / Chassis plit for SOC return to Conglolbal Detorit/ Q# ASPD090523B, $175 redelivery fee</t>
  </si>
  <si>
    <t>CSNU7032442</t>
  </si>
  <si>
    <t>AN DONE</t>
  </si>
  <si>
    <t>CCC4CF</t>
  </si>
  <si>
    <t>OOLU2737588770</t>
  </si>
  <si>
    <t>CSNU7079120</t>
  </si>
  <si>
    <t>8f9958</t>
  </si>
  <si>
    <t>COSU6382550520</t>
  </si>
  <si>
    <t>DONE- 6/19</t>
  </si>
  <si>
    <t>CSNU7089263</t>
  </si>
  <si>
    <t>74554E</t>
  </si>
  <si>
    <t>OOLU2735412560</t>
  </si>
  <si>
    <t>DONE- 5/14 #148120</t>
  </si>
  <si>
    <t>CSNU7583743</t>
  </si>
  <si>
    <t xml:space="preserve">5FE45A  </t>
  </si>
  <si>
    <t>COSU6381396640</t>
  </si>
  <si>
    <t>CSNU7589401</t>
  </si>
  <si>
    <t>F566E8</t>
  </si>
  <si>
    <t>COSU6381394841</t>
  </si>
  <si>
    <t>CSNU7754764</t>
  </si>
  <si>
    <t>8CFDF3</t>
  </si>
  <si>
    <t>OOLU2735699980</t>
  </si>
  <si>
    <t>OOCL LOGISTICS</t>
  </si>
  <si>
    <t>CICU4984883</t>
  </si>
  <si>
    <t>ITS Y309</t>
  </si>
  <si>
    <t>BGZ</t>
  </si>
  <si>
    <t>SAN JOSE CA 95131</t>
  </si>
  <si>
    <t>YMJAW236882227/pier pass 45， battery project</t>
  </si>
  <si>
    <t>CICU4993843     </t>
  </si>
  <si>
    <r>
      <t xml:space="preserve">4-17 discharged / HDMUXMNM26449600 / </t>
    </r>
    <r>
      <rPr>
        <sz val="11"/>
        <color rgb="FF0000CC"/>
        <rFont val="Calibri"/>
        <family val="2"/>
        <scheme val="minor"/>
      </rPr>
      <t>SOC return to Conglobal Cincinnati</t>
    </r>
    <r>
      <rPr>
        <sz val="11"/>
        <color theme="1"/>
        <rFont val="Calibri"/>
        <family val="2"/>
        <scheme val="minor"/>
      </rPr>
      <t xml:space="preserve"> / Q#W23030601 / Detention 1 hr free</t>
    </r>
  </si>
  <si>
    <t>DONE#147993</t>
  </si>
  <si>
    <t>CICU4993885</t>
  </si>
  <si>
    <r>
      <t xml:space="preserve">4-17 discharged / HDMUXMNM26449600 / </t>
    </r>
    <r>
      <rPr>
        <sz val="11"/>
        <color rgb="FF0000CC"/>
        <rFont val="Calibri"/>
        <family val="2"/>
        <scheme val="minor"/>
      </rPr>
      <t xml:space="preserve">SOC return to Conglobal Cincinnati </t>
    </r>
    <r>
      <rPr>
        <sz val="11"/>
        <color theme="1"/>
        <rFont val="Calibri"/>
        <family val="2"/>
        <scheme val="minor"/>
      </rPr>
      <t xml:space="preserve"> </t>
    </r>
    <r>
      <rPr>
        <sz val="11"/>
        <color rgb="FFFF0000"/>
        <rFont val="Calibri"/>
        <family val="2"/>
        <scheme val="minor"/>
      </rPr>
      <t xml:space="preserve"> </t>
    </r>
    <r>
      <rPr>
        <sz val="11"/>
        <color theme="1"/>
        <rFont val="Calibri"/>
        <family val="2"/>
        <scheme val="minor"/>
      </rPr>
      <t>/ Q#W23030601 / Detention 1 hr free</t>
    </r>
  </si>
  <si>
    <t>DONE#147994</t>
  </si>
  <si>
    <t>CICU4994201</t>
  </si>
  <si>
    <t>UP-KANSAS CITY</t>
  </si>
  <si>
    <t>HORIZION</t>
  </si>
  <si>
    <t xml:space="preserve">KANSAS CITY, MO 64106 </t>
  </si>
  <si>
    <r>
      <t>ONEYXMNE32448800 / Q# ASPD091323MO / Detention 1 hr free /</t>
    </r>
    <r>
      <rPr>
        <sz val="11"/>
        <color rgb="FFFF0000"/>
        <rFont val="Calibri"/>
        <family val="2"/>
        <scheme val="minor"/>
      </rPr>
      <t xml:space="preserve"> SOC return to TSL Nicholson</t>
    </r>
  </si>
  <si>
    <t>DONE# 119448</t>
  </si>
  <si>
    <t>ONEU9042615</t>
  </si>
  <si>
    <t>40HR-NOR</t>
  </si>
  <si>
    <t>DROP by 3pm</t>
  </si>
  <si>
    <t>NORTH AURORA,IL,60542</t>
  </si>
  <si>
    <t>‘7372229</t>
  </si>
  <si>
    <t xml:space="preserve">5-6 empty ready/ DROP double drayage / ONEYTS3TW2475300/Q#LLG041524A / TLX HBL / Customs released / </t>
  </si>
  <si>
    <t>DONE#148808</t>
  </si>
  <si>
    <t>CUSTOM+DRAYAGE</t>
  </si>
  <si>
    <t>CICU6471350</t>
  </si>
  <si>
    <t>9am </t>
  </si>
  <si>
    <r>
      <rPr>
        <sz val="11"/>
        <color rgb="FFFF0000"/>
        <rFont val="Calibri"/>
        <family val="2"/>
        <scheme val="minor"/>
      </rPr>
      <t>2 hrs detention-9am-12pm, 1 hour free</t>
    </r>
    <r>
      <rPr>
        <sz val="11"/>
        <color theme="1"/>
        <rFont val="Calibri"/>
        <family val="2"/>
        <scheme val="minor"/>
      </rPr>
      <t xml:space="preserve"> / MBL# QGD0735167 /</t>
    </r>
    <r>
      <rPr>
        <sz val="11"/>
        <color rgb="FFFF0000"/>
        <rFont val="Calibri"/>
        <family val="2"/>
        <scheme val="minor"/>
      </rPr>
      <t xml:space="preserve"> Chassis split for SOC return to RSD Container Yard Services</t>
    </r>
    <r>
      <rPr>
        <sz val="11"/>
        <color theme="1"/>
        <rFont val="Calibri"/>
        <family val="2"/>
        <scheme val="minor"/>
      </rPr>
      <t>/ Q# QDMY080423A/  Detention 1 hr free</t>
    </r>
  </si>
  <si>
    <t>DONE#  148697</t>
  </si>
  <si>
    <t>CICU6471391</t>
  </si>
  <si>
    <r>
      <rPr>
        <sz val="11"/>
        <color rgb="FFFF0000"/>
        <rFont val="Calibri"/>
        <family val="2"/>
        <scheme val="minor"/>
      </rPr>
      <t>2 hrs free-8am-11am, 1 hour free</t>
    </r>
    <r>
      <rPr>
        <sz val="11"/>
        <color theme="1"/>
        <rFont val="Calibri"/>
        <family val="2"/>
        <scheme val="minor"/>
      </rPr>
      <t xml:space="preserve"> / MBL# QGD0735167 /</t>
    </r>
    <r>
      <rPr>
        <sz val="11"/>
        <color rgb="FFFF0000"/>
        <rFont val="Calibri"/>
        <family val="2"/>
        <scheme val="minor"/>
      </rPr>
      <t xml:space="preserve"> Chassis split for SOC return to RSD Container Yard Services </t>
    </r>
  </si>
  <si>
    <t>DONE# 148687</t>
  </si>
  <si>
    <t>CICU6471534</t>
  </si>
  <si>
    <r>
      <rPr>
        <sz val="11"/>
        <color rgb="FFFF0000"/>
        <rFont val="Calibri"/>
        <family val="2"/>
        <scheme val="minor"/>
      </rPr>
      <t>2 hrs detention-9am-12pm, 1 hour free / pre-pull &amp; yard storage</t>
    </r>
    <r>
      <rPr>
        <sz val="11"/>
        <color theme="1"/>
        <rFont val="Calibri"/>
        <family val="2"/>
        <scheme val="minor"/>
      </rPr>
      <t xml:space="preserve"> / MBL# QGD0735167 /</t>
    </r>
    <r>
      <rPr>
        <sz val="11"/>
        <color rgb="FFFF0000"/>
        <rFont val="Calibri"/>
        <family val="2"/>
        <scheme val="minor"/>
      </rPr>
      <t xml:space="preserve"> Chassis split for SOC return to RSD Container Yard Services / Pending DO</t>
    </r>
    <r>
      <rPr>
        <sz val="11"/>
        <color theme="1"/>
        <rFont val="Calibri"/>
        <family val="2"/>
        <scheme val="minor"/>
      </rPr>
      <t xml:space="preserve"> / Q# QDMY080423A/  Detention 1 hr free</t>
    </r>
  </si>
  <si>
    <t>DONE# 148691</t>
  </si>
  <si>
    <t>CICU6471658</t>
  </si>
  <si>
    <r>
      <t>MBL# QGD0735167 /</t>
    </r>
    <r>
      <rPr>
        <sz val="11"/>
        <color rgb="FFFF0000"/>
        <rFont val="Calibri"/>
        <family val="2"/>
        <scheme val="minor"/>
      </rPr>
      <t xml:space="preserve"> Chassis split for SOC return to RSD Container Yard Services </t>
    </r>
    <r>
      <rPr>
        <sz val="11"/>
        <color theme="1"/>
        <rFont val="Calibri"/>
        <family val="2"/>
        <scheme val="minor"/>
      </rPr>
      <t>/ Q# QDMY080423A/  Detention 1 hr free</t>
    </r>
  </si>
  <si>
    <t>DONE# 148690</t>
  </si>
  <si>
    <t>CAIU9969845</t>
  </si>
  <si>
    <t>HDMUSZPM33697300/Q#GPSS030524A prepull+yard stg</t>
  </si>
  <si>
    <t>CSNU7977449</t>
  </si>
  <si>
    <t>改拆</t>
  </si>
  <si>
    <t>ABL FBA MDW2</t>
  </si>
  <si>
    <t>COSU6380323578</t>
  </si>
  <si>
    <t>CSNU8548433</t>
  </si>
  <si>
    <t>e692a5</t>
  </si>
  <si>
    <t>COSU6381996130</t>
  </si>
  <si>
    <t>DFSU7024055</t>
  </si>
  <si>
    <t>0ace50</t>
  </si>
  <si>
    <t>COSU6381050135</t>
  </si>
  <si>
    <t>MEDU8718091</t>
  </si>
  <si>
    <t>CSX-CLEVELAND OH</t>
  </si>
  <si>
    <t xml:space="preserve">SOLON, OHIO 44139 </t>
  </si>
  <si>
    <t xml:space="preserve"> R00119258422</t>
  </si>
  <si>
    <r>
      <rPr>
        <sz val="11"/>
        <color rgb="FFFF0000"/>
        <rFont val="Calibri"/>
        <family val="2"/>
        <scheme val="minor"/>
      </rPr>
      <t xml:space="preserve">4.75hrs detention-7:30am-1:10pm, 1 hour free </t>
    </r>
    <r>
      <rPr>
        <sz val="11"/>
        <color theme="1"/>
        <rFont val="Calibri"/>
        <family val="2"/>
        <scheme val="minor"/>
      </rPr>
      <t>/ MEDUX6510630 / Q# SWNG031924A / Detention 1 hr free, prepull+storage</t>
    </r>
  </si>
  <si>
    <t>DONE#148901, disputing chassis fee</t>
  </si>
  <si>
    <t>DFSU7304415</t>
  </si>
  <si>
    <t>A9AFBD</t>
  </si>
  <si>
    <t>OOLU2737197660</t>
  </si>
  <si>
    <t>DFSU7445814</t>
  </si>
  <si>
    <t>003f15</t>
  </si>
  <si>
    <t>COSU6383822020</t>
  </si>
  <si>
    <t>EGSU9051535</t>
  </si>
  <si>
    <t>d49a9b</t>
  </si>
  <si>
    <t>EGLV143460296567</t>
  </si>
  <si>
    <t>CSNU6898978</t>
  </si>
  <si>
    <t>NS-CLEVELAND OH</t>
  </si>
  <si>
    <t>DROP 2pm-6pm</t>
  </si>
  <si>
    <t xml:space="preserve">Continuum </t>
  </si>
  <si>
    <t>Berea, OH 44017</t>
  </si>
  <si>
    <r>
      <rPr>
        <sz val="11"/>
        <color rgb="FFFF0000"/>
        <rFont val="Calibri"/>
        <family val="2"/>
        <scheme val="minor"/>
      </rPr>
      <t>Drop $150</t>
    </r>
    <r>
      <rPr>
        <sz val="11"/>
        <color theme="1"/>
        <rFont val="Calibri"/>
        <family val="2"/>
        <charset val="134"/>
        <scheme val="minor"/>
      </rPr>
      <t xml:space="preserve"> / OOLU2735254960 / Q# WOIL041724B / Detention 1 hr free / </t>
    </r>
    <r>
      <rPr>
        <sz val="11"/>
        <color rgb="FFFF0000"/>
        <rFont val="Calibri"/>
        <family val="2"/>
        <scheme val="minor"/>
      </rPr>
      <t>potential per diem</t>
    </r>
    <r>
      <rPr>
        <sz val="11"/>
        <color theme="1"/>
        <rFont val="Calibri"/>
        <family val="2"/>
        <scheme val="minor"/>
      </rPr>
      <t xml:space="preserve">
/ </t>
    </r>
    <r>
      <rPr>
        <sz val="11"/>
        <color rgb="FF0000CC"/>
        <rFont val="Calibri"/>
        <family val="2"/>
        <scheme val="minor"/>
      </rPr>
      <t>plans to unload by 5/14 or 5/16</t>
    </r>
  </si>
  <si>
    <t>DONE# 148781 ,  pending trucker inv</t>
  </si>
  <si>
    <t>FAMU8267763</t>
  </si>
  <si>
    <t>7C3C4B</t>
  </si>
  <si>
    <t xml:space="preserve">MATS1035890000 </t>
  </si>
  <si>
    <t>FFAU1698630</t>
  </si>
  <si>
    <t>f89c6c</t>
  </si>
  <si>
    <t>OOLU2735634888</t>
  </si>
  <si>
    <t>FFAU3289008</t>
  </si>
  <si>
    <t>1728AD</t>
  </si>
  <si>
    <t>OOLU4121040060</t>
  </si>
  <si>
    <t>FFAU3527343</t>
  </si>
  <si>
    <t>9069F2</t>
  </si>
  <si>
    <t>OOLU2147489670</t>
  </si>
  <si>
    <t>FSCU8981530</t>
  </si>
  <si>
    <t>89C74A</t>
  </si>
  <si>
    <t>OOLU8810780130</t>
  </si>
  <si>
    <t>AN SENT, HC INV SENT</t>
  </si>
  <si>
    <t>88486A</t>
  </si>
  <si>
    <r>
      <t xml:space="preserve">COSU6380558330 / </t>
    </r>
    <r>
      <rPr>
        <sz val="11"/>
        <color rgb="FFFF0000"/>
        <rFont val="Calibri"/>
        <family val="2"/>
        <scheme val="minor"/>
      </rPr>
      <t>received HC payment</t>
    </r>
    <r>
      <rPr>
        <sz val="11"/>
        <color theme="1"/>
        <rFont val="Calibri"/>
        <family val="2"/>
        <scheme val="minor"/>
      </rPr>
      <t>/ 可以发pu# /  PU# SENT / BOL TEL RLS</t>
    </r>
  </si>
  <si>
    <t xml:space="preserve">DONE#146913 </t>
  </si>
  <si>
    <t>GAOU7057647</t>
  </si>
  <si>
    <t>f6d546</t>
  </si>
  <si>
    <t xml:space="preserve">ZIMUSHH31241834 </t>
  </si>
  <si>
    <t>GLDU7603922</t>
  </si>
  <si>
    <t>777f1a</t>
  </si>
  <si>
    <t xml:space="preserve">MEDUES926453 </t>
  </si>
  <si>
    <t>GLDU9459732</t>
  </si>
  <si>
    <t>F7699F</t>
  </si>
  <si>
    <t>MEDUOX222179 / not SOC / / Q# 03290PG-IW $1150 all-in rate, 1300 all in except for bnsf lpc/up g4 / if chassis prepaid, we will waive $80 chassis fee</t>
  </si>
  <si>
    <t>DONE# 148679</t>
  </si>
  <si>
    <t>HYJU1084643</t>
  </si>
  <si>
    <t>50BB51</t>
  </si>
  <si>
    <t>CMDUNGP1031299</t>
  </si>
  <si>
    <t>JXLU6172990</t>
  </si>
  <si>
    <t>220a84</t>
  </si>
  <si>
    <t>ZIMUSHH31241749</t>
  </si>
  <si>
    <t>FSCU7138285</t>
  </si>
  <si>
    <t>NS-APPLIANCE PARK</t>
  </si>
  <si>
    <t xml:space="preserve">CMDUNGP0975941       / Q#  SWNG021924B, Detention 2 hrs free </t>
  </si>
  <si>
    <t>DONE#148993, disputing trucker inv</t>
  </si>
  <si>
    <t>JXLU6174587</t>
  </si>
  <si>
    <t>bccc8c</t>
  </si>
  <si>
    <t>ZIMUSHH31234505</t>
  </si>
  <si>
    <t>DONE- 5/23 #148383</t>
  </si>
  <si>
    <t>JXLU6178793</t>
  </si>
  <si>
    <t>BCD23F</t>
  </si>
  <si>
    <t>ZIMUSHH31234512</t>
  </si>
  <si>
    <t>MAGU5497363</t>
  </si>
  <si>
    <t>CF79AB</t>
  </si>
  <si>
    <t>ZIMUSHH31240305</t>
  </si>
  <si>
    <t>TEMU-DE WELL</t>
  </si>
  <si>
    <t>MATU2303784</t>
  </si>
  <si>
    <t>ABL Fedex</t>
  </si>
  <si>
    <t>3F07D8</t>
  </si>
  <si>
    <t xml:space="preserve">MATS8331934000 </t>
  </si>
  <si>
    <t>MATU2526242</t>
  </si>
  <si>
    <t>F75739</t>
  </si>
  <si>
    <t xml:space="preserve">MATS2021926000 </t>
  </si>
  <si>
    <t>MATU2530704</t>
  </si>
  <si>
    <t>3F0A6D</t>
  </si>
  <si>
    <t>MATS5454460000</t>
  </si>
  <si>
    <t>MATU2562553</t>
  </si>
  <si>
    <t>EDBF43</t>
  </si>
  <si>
    <t xml:space="preserve">MATS4959149000 </t>
  </si>
  <si>
    <t>MSMU5943678</t>
  </si>
  <si>
    <t xml:space="preserve"> R00119258237</t>
  </si>
  <si>
    <r>
      <rPr>
        <sz val="11"/>
        <color rgb="FFFF0000"/>
        <rFont val="Calibri"/>
        <family val="2"/>
        <scheme val="minor"/>
      </rPr>
      <t>4.5hrs detention- 7:30am-12:58pm, 1 hour free</t>
    </r>
    <r>
      <rPr>
        <sz val="11"/>
        <color theme="1"/>
        <rFont val="Calibri"/>
        <family val="2"/>
        <scheme val="minor"/>
      </rPr>
      <t>/ MEDUX6510630 / Q# SWNG031924A / Detention 1 hr free; prepull + storage</t>
    </r>
  </si>
  <si>
    <t>DONE#148902</t>
  </si>
  <si>
    <t>MEDU7959999</t>
  </si>
  <si>
    <t>Breinigsville, PA 18031</t>
  </si>
  <si>
    <t>R00119258273</t>
  </si>
  <si>
    <r>
      <t xml:space="preserve">4-30 discharged MEDUX6510630 / Q# SWNG031924A / Detention 1 hr free
</t>
    </r>
    <r>
      <rPr>
        <sz val="11"/>
        <color rgb="FFFF0000"/>
        <rFont val="Calibri"/>
        <family val="2"/>
        <scheme val="minor"/>
      </rPr>
      <t>New delivery address:
Home Depot C/O NXTPoint Logistics
861 Nestle Way, Breinigsville, PA 18031
Attn: Ray Martinez 484-638-3594
Email: Rmartinez@nxtpointlogistics.com</t>
    </r>
    <r>
      <rPr>
        <sz val="11"/>
        <color theme="1"/>
        <rFont val="Calibri"/>
        <family val="2"/>
        <scheme val="minor"/>
      </rPr>
      <t xml:space="preserve">
Receiving hours M-F 8AM-3PM
Required to make APPT 2 business days in advance</t>
    </r>
  </si>
  <si>
    <t>DONE#148206</t>
  </si>
  <si>
    <t>MATU2580428</t>
  </si>
  <si>
    <t>08E8AC</t>
  </si>
  <si>
    <t xml:space="preserve">MATS2894147000 </t>
  </si>
  <si>
    <t>EMCU1679275</t>
  </si>
  <si>
    <t>PO# 60789/090400063740</t>
  </si>
  <si>
    <t>MATU2604073</t>
  </si>
  <si>
    <t>3F0330</t>
  </si>
  <si>
    <t>MATU3616742000</t>
  </si>
  <si>
    <t>MATU2637518</t>
  </si>
  <si>
    <t>79F1C2</t>
  </si>
  <si>
    <t xml:space="preserve">MATS7766829000 </t>
  </si>
  <si>
    <t>FANU3333887</t>
  </si>
  <si>
    <t>?</t>
  </si>
  <si>
    <t>HLCUKUL240405128 PO# 60894</t>
  </si>
  <si>
    <t>MATU2728897</t>
  </si>
  <si>
    <t>AE3347</t>
  </si>
  <si>
    <t xml:space="preserve">MATS2547611000 </t>
  </si>
  <si>
    <t>MATU2737060</t>
  </si>
  <si>
    <t>a3a5bc</t>
  </si>
  <si>
    <t>MATU7397437000</t>
  </si>
  <si>
    <t>OOCU9086855</t>
  </si>
  <si>
    <t>NS ATLANTA</t>
  </si>
  <si>
    <t>AIPHARETTA,GA,30004</t>
  </si>
  <si>
    <t>OOLU2302076772</t>
  </si>
  <si>
    <t>MATU2738745</t>
  </si>
  <si>
    <t>C64ED2</t>
  </si>
  <si>
    <t>MATS2277985000</t>
  </si>
  <si>
    <t>MATU2743839</t>
  </si>
  <si>
    <t>28DAA3</t>
  </si>
  <si>
    <t xml:space="preserve">MATS7939432000 </t>
  </si>
  <si>
    <t>TGBU8839521</t>
  </si>
  <si>
    <t>BNSF-Kansas city</t>
  </si>
  <si>
    <t>COSU6381810260 / SWB/ ISF ON FILE / AN SENT/Q#PV110123A, 1 hr free, drayage 460. reroute $100</t>
  </si>
  <si>
    <t>DONE#148998</t>
  </si>
  <si>
    <t>TGCU0005779</t>
  </si>
  <si>
    <t xml:space="preserve">8A144A </t>
  </si>
  <si>
    <r>
      <rPr>
        <sz val="11"/>
        <color rgb="FFFF0000"/>
        <rFont val="Calibri"/>
        <family val="2"/>
        <scheme val="minor"/>
      </rPr>
      <t>chassis split for returning to Transpec Leasing INC , 0.5 hr detention-11:30am-1pm, 1 hour free</t>
    </r>
    <r>
      <rPr>
        <sz val="11"/>
        <color theme="1"/>
        <rFont val="Calibri"/>
        <family val="2"/>
        <scheme val="minor"/>
      </rPr>
      <t xml:space="preserve"> / COSU6381810260 / SWB/ ISF ON FILE / AN SENT/Q#PV110123A, 1 hr free, drayage 460. reroute $100</t>
    </r>
  </si>
  <si>
    <t>DONE# 149001</t>
  </si>
  <si>
    <t>SEKU5985496</t>
  </si>
  <si>
    <t xml:space="preserve">CMDUNGP0975943   / Q#  SWNG021924B, Detention 2 hrs free </t>
  </si>
  <si>
    <t>DONE#148984, disputing trucker inv</t>
  </si>
  <si>
    <t>CMAU8595194</t>
  </si>
  <si>
    <t xml:space="preserve">CMDUQGD0773293        / Q#  SWNG021924B, Detention 2 hrs free </t>
  </si>
  <si>
    <t>DONE#148985, disputing trucker inv</t>
  </si>
  <si>
    <t>SUPERFLYG</t>
  </si>
  <si>
    <t>MSMU8644011</t>
  </si>
  <si>
    <t>LAX-APM TERMINAL</t>
  </si>
  <si>
    <r>
      <rPr>
        <sz val="11"/>
        <color rgb="FFFF0000"/>
        <rFont val="Calibri"/>
        <family val="2"/>
        <scheme val="minor"/>
      </rPr>
      <t xml:space="preserve">Pier pass $71.14+ CTF $20 </t>
    </r>
    <r>
      <rPr>
        <sz val="11"/>
        <color theme="1"/>
        <rFont val="Calibri"/>
        <family val="2"/>
        <scheme val="minor"/>
      </rPr>
      <t xml:space="preserve">/ MEDUES977431 / TLX RLS / </t>
    </r>
    <r>
      <rPr>
        <sz val="11"/>
        <color rgb="FFFF0000"/>
        <rFont val="Calibri"/>
        <family val="2"/>
        <scheme val="minor"/>
      </rPr>
      <t>Pending Erica sent out AN with docs to Haste</t>
    </r>
  </si>
  <si>
    <t>DONE# 148769</t>
  </si>
  <si>
    <t>MSDU1008135</t>
  </si>
  <si>
    <t>DONE# 148680</t>
  </si>
  <si>
    <t>CAIU7178450</t>
  </si>
  <si>
    <t>HDMUSZPM33697300 prepull+yard stg</t>
  </si>
  <si>
    <t>MSDU4001710</t>
  </si>
  <si>
    <t>FF785E</t>
  </si>
  <si>
    <t>DONE#148681</t>
  </si>
  <si>
    <t>GAOU6224713</t>
  </si>
  <si>
    <t>HDMUNKGM74594900</t>
  </si>
  <si>
    <t>NWRU8505040</t>
  </si>
  <si>
    <t>1817a2</t>
  </si>
  <si>
    <t>CMDUNGP1029453</t>
  </si>
  <si>
    <t>AIM PACIFIC</t>
  </si>
  <si>
    <t>FFAU1129572</t>
  </si>
  <si>
    <t>bnsf corwith</t>
  </si>
  <si>
    <t>VERNON HILL 60161</t>
  </si>
  <si>
    <t>BDA020</t>
  </si>
  <si>
    <t>YMJAW240334813</t>
  </si>
  <si>
    <t>CSNU6018178</t>
  </si>
  <si>
    <t xml:space="preserve">19901D          </t>
  </si>
  <si>
    <t xml:space="preserve">OOLU8810781720  /from Shanghai to Chicago/ SR-$5150 all-in ( O/F+AMS ) per container by OOCL via LB,ETD 4/30 to ETA 5/25 / ISF ON FILE </t>
  </si>
  <si>
    <t>DONE# 149215</t>
  </si>
  <si>
    <t>OOCU6536619</t>
  </si>
  <si>
    <t>OOLU8810782290</t>
  </si>
  <si>
    <t>HASU4466987</t>
  </si>
  <si>
    <t>MAEU237751843</t>
  </si>
  <si>
    <t>ILL $50 TO WUH - done</t>
  </si>
  <si>
    <t>TGBU2186564</t>
  </si>
  <si>
    <t xml:space="preserve">OOLU2302076772， chassis split </t>
  </si>
  <si>
    <t>OOCU6851251</t>
  </si>
  <si>
    <t xml:space="preserve">OOLU2735769120  </t>
  </si>
  <si>
    <t>OOCU7391232</t>
  </si>
  <si>
    <t>C5878C</t>
  </si>
  <si>
    <t>OOLU2736395500 remember to send pod &amp; invoice</t>
  </si>
  <si>
    <t xml:space="preserve">DONE- 6/10 #149187 </t>
  </si>
  <si>
    <t>OOCU7395710</t>
  </si>
  <si>
    <t>6CDB06</t>
  </si>
  <si>
    <t>OOLU2147386730</t>
  </si>
  <si>
    <t>OOCU7494858</t>
  </si>
  <si>
    <t>60D85C</t>
  </si>
  <si>
    <t>COSU6381394867</t>
  </si>
  <si>
    <t>KKFU8161761</t>
  </si>
  <si>
    <t>BEAU5605671</t>
  </si>
  <si>
    <t>OOLU8810757390</t>
  </si>
  <si>
    <t>KOCU4205690</t>
  </si>
  <si>
    <t>HDMUNKGM38890900</t>
  </si>
  <si>
    <t>KOCU4251926</t>
  </si>
  <si>
    <t>HDMUNKGM02782800, reroute+split</t>
  </si>
  <si>
    <t>KOCU4373190</t>
  </si>
  <si>
    <t>HDMUNKGM18299300</t>
  </si>
  <si>
    <t>KOCU4526617</t>
  </si>
  <si>
    <t>HDMUNKGM19508700</t>
  </si>
  <si>
    <t>TLLU5635280</t>
  </si>
  <si>
    <t>OOCU7627950</t>
  </si>
  <si>
    <t>E91AF5</t>
  </si>
  <si>
    <t>OOLU2302207800</t>
  </si>
  <si>
    <t>OOCU7719213</t>
  </si>
  <si>
    <t>A30C03</t>
  </si>
  <si>
    <t>COSU6381394824</t>
  </si>
  <si>
    <t>OOCU7794285</t>
  </si>
  <si>
    <t>C8F465</t>
  </si>
  <si>
    <t>COSU6382367370 / Q# XBNG21423M</t>
  </si>
  <si>
    <t>DONE# 148705</t>
  </si>
  <si>
    <t>OOCU7819260</t>
  </si>
  <si>
    <t>98183C</t>
  </si>
  <si>
    <t xml:space="preserve">COSU6380778520 / AN SENT / HC $50 / received HC payment  / PU# SENT /  </t>
  </si>
  <si>
    <t>DONE#147244</t>
  </si>
  <si>
    <t>OOCU8261721</t>
  </si>
  <si>
    <t>CBEB80</t>
  </si>
  <si>
    <t>COSU6382219710</t>
  </si>
  <si>
    <t>OOCU8520020</t>
  </si>
  <si>
    <t>6F2D6A</t>
  </si>
  <si>
    <t>OOLU4054009213</t>
  </si>
  <si>
    <t>OOCU8954217</t>
  </si>
  <si>
    <t>A70CC1</t>
  </si>
  <si>
    <t>OOCU8900416</t>
  </si>
  <si>
    <t>0E6BAD</t>
  </si>
  <si>
    <t>COSU6382644880 / ISF ON FILE / Pending TLX RLS / /Q#PV110123A, 1 hr free, drayage 460. reroute $100</t>
  </si>
  <si>
    <t>DONE# 149003</t>
  </si>
  <si>
    <t>OOLU6983017</t>
  </si>
  <si>
    <t>C94E87</t>
  </si>
  <si>
    <t>COSU6382219696</t>
  </si>
  <si>
    <t>MATU2585543</t>
  </si>
  <si>
    <t>MATS1131613000 / trailer # 1030 for 23 plts</t>
  </si>
  <si>
    <t>OOLU8872100</t>
  </si>
  <si>
    <t>E2C430 </t>
  </si>
  <si>
    <t>OOLU2736022756</t>
  </si>
  <si>
    <t>OOLU9902770</t>
  </si>
  <si>
    <t>C38673</t>
  </si>
  <si>
    <t>OOLU2736192671</t>
  </si>
  <si>
    <t xml:space="preserve">MATU2641781 </t>
  </si>
  <si>
    <t>MATS9222573000 / trailer # 1020 for 22 plts / 在5-13号 5pm 到 ABL</t>
  </si>
  <si>
    <t>MATU2656478 </t>
  </si>
  <si>
    <t>ALG FTL</t>
  </si>
  <si>
    <t>LAX Transload</t>
  </si>
  <si>
    <r>
      <rPr>
        <sz val="11"/>
        <color rgb="FFFF0000"/>
        <rFont val="Calibri"/>
        <family val="2"/>
        <scheme val="minor"/>
      </rPr>
      <t xml:space="preserve">Pier pass $71.17 + CTF $20 paid </t>
    </r>
    <r>
      <rPr>
        <sz val="11"/>
        <color theme="1"/>
        <rFont val="Calibri"/>
        <family val="2"/>
        <scheme val="minor"/>
      </rPr>
      <t>/ Transload / MATS7593907000 /</t>
    </r>
    <r>
      <rPr>
        <sz val="11"/>
        <color rgb="FFFF0000"/>
        <rFont val="Calibri"/>
        <family val="2"/>
        <scheme val="minor"/>
      </rPr>
      <t xml:space="preserve"> pending PU location</t>
    </r>
    <r>
      <rPr>
        <sz val="11"/>
        <color theme="1"/>
        <rFont val="Calibri"/>
        <family val="2"/>
        <scheme val="minor"/>
      </rPr>
      <t xml:space="preserve"> / 
/ </t>
    </r>
    <r>
      <rPr>
        <sz val="11"/>
        <color rgb="FFFF0000"/>
        <rFont val="Calibri"/>
        <family val="2"/>
        <scheme val="minor"/>
      </rPr>
      <t>LAX transload all in $1900, FTL delivery $5300/FTL, detention 75/ hr, 1 hr free</t>
    </r>
    <r>
      <rPr>
        <sz val="11"/>
        <color theme="1"/>
        <rFont val="Calibri"/>
        <family val="2"/>
        <scheme val="minor"/>
      </rPr>
      <t xml:space="preserve">
地址:7591 Tyler Blvd Ste 1 Mentor OH 44060
联系人:Jon Mcknight
联系方式:440-226-4664
品名：毛巾   总件数：500件
</t>
    </r>
    <r>
      <rPr>
        <sz val="11"/>
        <color rgb="FFFF0000"/>
        <rFont val="Calibri"/>
        <family val="2"/>
        <scheme val="minor"/>
      </rPr>
      <t>ABL 派车自提</t>
    </r>
  </si>
  <si>
    <t>DONE# 148782</t>
  </si>
  <si>
    <t>SEGU2900192</t>
  </si>
  <si>
    <t>EF7445</t>
  </si>
  <si>
    <t>DONE#148682</t>
  </si>
  <si>
    <t>MATU2703306</t>
  </si>
  <si>
    <t xml:space="preserve">MATS5813870000 </t>
  </si>
  <si>
    <t>SEGU5275205</t>
  </si>
  <si>
    <t>12e30b</t>
  </si>
  <si>
    <t>ZIMUSHH31241845</t>
  </si>
  <si>
    <t>TCKU7976280</t>
  </si>
  <si>
    <t>F3BAD9</t>
  </si>
  <si>
    <t>COSU6381394829</t>
  </si>
  <si>
    <t>TCLU1622650</t>
  </si>
  <si>
    <t>df52e8</t>
  </si>
  <si>
    <t>COSU6381405980</t>
  </si>
  <si>
    <t>TCLU8800965</t>
  </si>
  <si>
    <t>116AE9</t>
  </si>
  <si>
    <t xml:space="preserve">MATS9160166000 </t>
  </si>
  <si>
    <t>TCNU2300548</t>
  </si>
  <si>
    <t>f5e272</t>
  </si>
  <si>
    <t>ZIMUSHH31241842</t>
  </si>
  <si>
    <t>MATU2747407</t>
  </si>
  <si>
    <t>MATS4926364000 / trailer 7591530 with 26plts</t>
  </si>
  <si>
    <t>TCNU2705905</t>
  </si>
  <si>
    <t>6EAEDF</t>
  </si>
  <si>
    <t>OOLU8810782294</t>
  </si>
  <si>
    <t>TEMU5377100</t>
  </si>
  <si>
    <t>928DC4</t>
  </si>
  <si>
    <t>DONE#148683</t>
  </si>
  <si>
    <t>TEMU6305131</t>
  </si>
  <si>
    <t>668FA6</t>
  </si>
  <si>
    <t>COSU6381050132</t>
  </si>
  <si>
    <t>TEMU6744664</t>
  </si>
  <si>
    <t>ce9d73</t>
  </si>
  <si>
    <t>ZIMUSHH31240289</t>
  </si>
  <si>
    <t>DONE- 6/5 #148883</t>
  </si>
  <si>
    <t>TEMU7338485</t>
  </si>
  <si>
    <t>88C3EE</t>
  </si>
  <si>
    <t>COSU6381368822</t>
  </si>
  <si>
    <t>MSKU0141410</t>
  </si>
  <si>
    <t>MAEU237991519</t>
  </si>
  <si>
    <t>CSNU8133102</t>
  </si>
  <si>
    <t xml:space="preserve"> COSU6382499380 / MTPE24040132/4550-4450 /</t>
  </si>
  <si>
    <t>DONE#148812</t>
  </si>
  <si>
    <t>CAAU7195069</t>
  </si>
  <si>
    <r>
      <rPr>
        <sz val="11"/>
        <color rgb="FFFF0000"/>
        <rFont val="Calibri"/>
        <family val="2"/>
        <scheme val="minor"/>
      </rPr>
      <t>pier pass $71.14 + CTF $20 paid</t>
    </r>
    <r>
      <rPr>
        <sz val="11"/>
        <color theme="1"/>
        <rFont val="Calibri"/>
        <family val="2"/>
        <scheme val="minor"/>
      </rPr>
      <t xml:space="preserve"> / MEDUES913931, 2xISFs on file / Q# SUFY020924A / </t>
    </r>
  </si>
  <si>
    <t>DONE# 149057</t>
  </si>
  <si>
    <t>TEMU7915150</t>
  </si>
  <si>
    <t>832A0B</t>
  </si>
  <si>
    <t>COSU6381996090</t>
  </si>
  <si>
    <t>CAAU5044192</t>
  </si>
  <si>
    <t>CANCELLED</t>
  </si>
  <si>
    <t>HDMUSZPM71583100</t>
  </si>
  <si>
    <t>TEMU7995345</t>
  </si>
  <si>
    <t>d70974</t>
  </si>
  <si>
    <t>OOLU8810786661</t>
  </si>
  <si>
    <t>ONEU1089555</t>
  </si>
  <si>
    <t>UP EL PASO</t>
  </si>
  <si>
    <t>DFW handle</t>
  </si>
  <si>
    <t xml:space="preserve">EL PASO TX 79935 </t>
  </si>
  <si>
    <t>requested PU# to PRIME AGENCY, 要发pu#给DFW</t>
  </si>
  <si>
    <r>
      <t xml:space="preserve">客户的Customs Broker 付了EXAM fee / ONEYNB3BFT578600/ </t>
    </r>
    <r>
      <rPr>
        <sz val="11"/>
        <color rgb="FFFF0000"/>
        <rFont val="Calibri"/>
        <family val="2"/>
        <scheme val="minor"/>
      </rPr>
      <t xml:space="preserve">ORD OCEAN only send out AN and pu. / </t>
    </r>
    <r>
      <rPr>
        <sz val="11"/>
        <color rgb="FF0000CC"/>
        <rFont val="Calibri"/>
        <family val="2"/>
        <scheme val="minor"/>
      </rPr>
      <t xml:space="preserve">H/C $35 </t>
    </r>
    <r>
      <rPr>
        <sz val="11"/>
        <color rgb="FFFF0000"/>
        <rFont val="Calibri"/>
        <family val="2"/>
        <scheme val="minor"/>
      </rPr>
      <t>/ TLX HBL, TLX MBL</t>
    </r>
  </si>
  <si>
    <t>DONE# 148776</t>
  </si>
  <si>
    <t>TGBU4365492</t>
  </si>
  <si>
    <t>E244D2</t>
  </si>
  <si>
    <t>COSU6381394869</t>
  </si>
  <si>
    <t>TGBU4748819</t>
  </si>
  <si>
    <t>5F3008</t>
  </si>
  <si>
    <t>OOLU8810755500</t>
  </si>
  <si>
    <t>TGBU4878556</t>
  </si>
  <si>
    <t>ADA6CA</t>
  </si>
  <si>
    <t>TGBU5035664</t>
  </si>
  <si>
    <t>b1e191</t>
  </si>
  <si>
    <t>OOLU2147159160</t>
  </si>
  <si>
    <t>TGBU5957705</t>
  </si>
  <si>
    <t>EDD48B</t>
  </si>
  <si>
    <t>ZIMUSHH31240247</t>
  </si>
  <si>
    <t>DONE- 5/24 #148490</t>
  </si>
  <si>
    <t>TGBU8027750</t>
  </si>
  <si>
    <t>ff3fa1</t>
  </si>
  <si>
    <t>EGLV143456326091</t>
  </si>
  <si>
    <t>TGBU8722010</t>
  </si>
  <si>
    <t>F40AD6</t>
  </si>
  <si>
    <t>OOLU2737412910</t>
  </si>
  <si>
    <t xml:space="preserve">CAAU7136451 </t>
  </si>
  <si>
    <t xml:space="preserve">Joliet, IL 60431 </t>
  </si>
  <si>
    <t>B3CC57</t>
  </si>
  <si>
    <t>Drop  fee $175 / OW $ 250 / MEDUOX348792 / 客户自己约APPT</t>
  </si>
  <si>
    <t>DONE#149220</t>
  </si>
  <si>
    <t>TGHU9666079</t>
  </si>
  <si>
    <t>A9C3FA</t>
  </si>
  <si>
    <t xml:space="preserve">MATS9154565000 </t>
  </si>
  <si>
    <t>TGHU9715907</t>
  </si>
  <si>
    <t>609E3F</t>
  </si>
  <si>
    <t>OOLU2736503660 remember to send pod &amp; invoice</t>
  </si>
  <si>
    <t>TLLU5374020</t>
  </si>
  <si>
    <t>ceb3bd</t>
  </si>
  <si>
    <t>ZIMUSHH31240317</t>
  </si>
  <si>
    <t>CICU4994460</t>
  </si>
  <si>
    <t>5/24 SXJD PU from CK yard</t>
  </si>
  <si>
    <t>JACKSON, TN 38305
Changed to OH 43551</t>
  </si>
  <si>
    <t>5/17 OG from BNSF
5/24 OG from CK yard</t>
  </si>
  <si>
    <t>Customer returns SOC</t>
  </si>
  <si>
    <r>
      <rPr>
        <sz val="11"/>
        <color rgb="FFFF0000"/>
        <rFont val="Calibri"/>
        <family val="2"/>
        <scheme val="minor"/>
      </rPr>
      <t xml:space="preserve">pre-pull,  yard storage / chassis split </t>
    </r>
    <r>
      <rPr>
        <sz val="11"/>
        <color theme="1"/>
        <rFont val="Calibri"/>
        <family val="2"/>
        <scheme val="minor"/>
      </rPr>
      <t xml:space="preserve">/ 5-29 Cargo Zoom returned empty chassis to CK yard since they don't have license to get entered in rail yard to return chassis / 5-24 Cargp Zoom picked up the container from CK yard/ MAEU238175560  / </t>
    </r>
    <r>
      <rPr>
        <strike/>
        <sz val="11"/>
        <color theme="1"/>
        <rFont val="Calibri"/>
        <family val="2"/>
        <scheme val="minor"/>
      </rPr>
      <t>Chassis split for SOC return to Conglobal Memphis</t>
    </r>
    <r>
      <rPr>
        <sz val="11"/>
        <color theme="1"/>
        <rFont val="Calibri"/>
        <family val="2"/>
        <scheme val="minor"/>
      </rPr>
      <t xml:space="preserve"> / / Q# ASPD021924C,</t>
    </r>
    <r>
      <rPr>
        <sz val="11"/>
        <color rgb="FFFF0000"/>
        <rFont val="Calibri"/>
        <family val="2"/>
        <scheme val="minor"/>
      </rPr>
      <t xml:space="preserve"> $750 /  prepull + yard storage / terminate chassis only $150</t>
    </r>
  </si>
  <si>
    <t>DONE# 149339</t>
  </si>
  <si>
    <t>TLLU8343276</t>
  </si>
  <si>
    <t>CE8BE6</t>
  </si>
  <si>
    <t>ZIMUSHH31240338</t>
  </si>
  <si>
    <t>kaiya</t>
  </si>
  <si>
    <t>TRHU4300237</t>
  </si>
  <si>
    <t>81d854</t>
  </si>
  <si>
    <t xml:space="preserve">COSU6382427260 </t>
  </si>
  <si>
    <t xml:space="preserve">OOCU7795928 </t>
  </si>
  <si>
    <t>OOLU4121040060, prepull, yard storage, 3hrs detention</t>
  </si>
  <si>
    <t>TRHU4505319</t>
  </si>
  <si>
    <t xml:space="preserve">0E1E54 </t>
  </si>
  <si>
    <t>OOLU2735634889</t>
  </si>
  <si>
    <t>TRHU4641906</t>
  </si>
  <si>
    <t xml:space="preserve">6232CA  </t>
  </si>
  <si>
    <t>COSU6381396641</t>
  </si>
  <si>
    <t>TRHU6393080</t>
  </si>
  <si>
    <t>ABL Fba</t>
  </si>
  <si>
    <t>BC707A</t>
  </si>
  <si>
    <t>OOLU4121207380</t>
  </si>
  <si>
    <t>TRHU8403552</t>
  </si>
  <si>
    <t>c73610</t>
  </si>
  <si>
    <t xml:space="preserve">MATS2714364000  </t>
  </si>
  <si>
    <t>UETU5180669</t>
  </si>
  <si>
    <t>92B99E</t>
  </si>
  <si>
    <t>OOLU8810772330</t>
  </si>
  <si>
    <t>WBPU7039626</t>
  </si>
  <si>
    <t>98ac9f</t>
  </si>
  <si>
    <t>OOLU2147401510</t>
  </si>
  <si>
    <t>DFSU7753993</t>
  </si>
  <si>
    <t>WANHAI</t>
  </si>
  <si>
    <t>SAVANNAH PORT-Garden City Terminals</t>
  </si>
  <si>
    <t>ALPHARETTA, GA 30004</t>
  </si>
  <si>
    <r>
      <rPr>
        <sz val="11"/>
        <color rgb="FFFF0000"/>
        <rFont val="Calibri"/>
        <family val="2"/>
        <scheme val="minor"/>
      </rPr>
      <t>1 hr detention- 9am-12pm, 2 hours free</t>
    </r>
    <r>
      <rPr>
        <sz val="11"/>
        <color theme="1"/>
        <rFont val="Calibri"/>
        <family val="2"/>
        <scheme val="minor"/>
      </rPr>
      <t xml:space="preserve"> / WHLC025E568502 / Q# HYD022024C / Detention 2 hrs free / </t>
    </r>
    <r>
      <rPr>
        <sz val="11"/>
        <color rgb="FFFF0000"/>
        <rFont val="Calibri"/>
        <family val="2"/>
        <scheme val="minor"/>
      </rPr>
      <t>pre-pull ,yard storage</t>
    </r>
    <r>
      <rPr>
        <sz val="11"/>
        <color theme="1"/>
        <rFont val="Calibri"/>
        <family val="2"/>
        <scheme val="minor"/>
      </rPr>
      <t xml:space="preserve"> / </t>
    </r>
  </si>
  <si>
    <t>DONE#149269</t>
  </si>
  <si>
    <t>WSRU4234383</t>
  </si>
  <si>
    <t>E0E611</t>
  </si>
  <si>
    <t>CMDUNGP1031225</t>
  </si>
  <si>
    <t>ZCSU7054924</t>
  </si>
  <si>
    <t>39fa80</t>
  </si>
  <si>
    <t>ZIMUSHH31248448</t>
  </si>
  <si>
    <t>OOCU8892619</t>
  </si>
  <si>
    <t>CN RAIL</t>
  </si>
  <si>
    <t>OOLU2147775810</t>
  </si>
  <si>
    <t>FFAU3786318</t>
  </si>
  <si>
    <t>R00119743164</t>
  </si>
  <si>
    <r>
      <t>pre-pull &amp; yard storage / MEDUX6577712/ Q# SWNG031924A / Detention 1 hr free</t>
    </r>
    <r>
      <rPr>
        <sz val="11"/>
        <color rgb="FFFF0000"/>
        <rFont val="Calibri"/>
        <family val="2"/>
        <scheme val="minor"/>
      </rPr>
      <t xml:space="preserve">
New delivery address:
Home Depot C/O NXTPoint Logistics
861 Nestle Way, Breinigsville, PA 18031
Attn: Ray Martinez 484-638-3594861 Nestle Way</t>
    </r>
    <r>
      <rPr>
        <sz val="11"/>
        <color theme="1"/>
        <rFont val="Calibri"/>
        <family val="2"/>
        <scheme val="minor"/>
      </rPr>
      <t xml:space="preserve">
Receiving hours M-F 8AM-3PM
Required to make APPT 2 business days in advance</t>
    </r>
  </si>
  <si>
    <t>DON# 148900</t>
  </si>
  <si>
    <t>ZCSU7518100</t>
  </si>
  <si>
    <t>39DAFF</t>
  </si>
  <si>
    <t>ZIMUSHH31248452</t>
  </si>
  <si>
    <t>ZCSU7692446</t>
  </si>
  <si>
    <t>ZIMUSHH31248432</t>
  </si>
  <si>
    <t>ZCSU7717518</t>
  </si>
  <si>
    <t>3a9ec3</t>
  </si>
  <si>
    <t>HMMU6312876</t>
  </si>
  <si>
    <t>OOLU0126470</t>
  </si>
  <si>
    <t>ZCSU7741730</t>
  </si>
  <si>
    <t>1a4439</t>
  </si>
  <si>
    <t>ZIMUSHH31253416</t>
  </si>
  <si>
    <t>TEMU5578044</t>
  </si>
  <si>
    <t>BNSF Minneapolis,MN</t>
  </si>
  <si>
    <t xml:space="preserve">WAUSAU, WI, 54403 </t>
  </si>
  <si>
    <t>31B9AB</t>
  </si>
  <si>
    <r>
      <rPr>
        <sz val="11"/>
        <color rgb="FFFF0000"/>
        <rFont val="Calibri"/>
        <family val="2"/>
        <scheme val="minor"/>
      </rPr>
      <t xml:space="preserve">6-7 Released for delivery per 蔡龙杰  / pre-pull &amp; yard storage / </t>
    </r>
    <r>
      <rPr>
        <sz val="11"/>
        <rFont val="Calibri"/>
        <family val="2"/>
        <scheme val="minor"/>
      </rPr>
      <t xml:space="preserve">6-4 HOLD for delivery per 蔡龙杰  / W240337796 </t>
    </r>
    <r>
      <rPr>
        <sz val="11"/>
        <color theme="1"/>
        <rFont val="Calibri"/>
        <family val="2"/>
        <scheme val="minor"/>
      </rPr>
      <t>/ Q# LTRN040824AD, $1100/ detention 1 hr free</t>
    </r>
  </si>
  <si>
    <t>DONE#149443, disputing trucker inv</t>
  </si>
  <si>
    <t>ZCSU8996464</t>
  </si>
  <si>
    <t>21aa8c</t>
  </si>
  <si>
    <t>ZIMUSHH31240748</t>
  </si>
  <si>
    <t>C/O 5/15 3PM</t>
  </si>
  <si>
    <t>BKG# 6384005230</t>
  </si>
  <si>
    <t>OOLU9102870</t>
  </si>
  <si>
    <t>OOLU2146443850</t>
  </si>
  <si>
    <t>DONE# 148561</t>
  </si>
  <si>
    <t>BMOU4839155</t>
  </si>
  <si>
    <t>3BCCE0</t>
  </si>
  <si>
    <t>COSU6383154034</t>
  </si>
  <si>
    <t>BSIU9579816</t>
  </si>
  <si>
    <t>d76d60</t>
  </si>
  <si>
    <t>OOLU4121372240</t>
  </si>
  <si>
    <t>CBHU9473562</t>
  </si>
  <si>
    <t>CA7753</t>
  </si>
  <si>
    <t>COSU6382219721</t>
  </si>
  <si>
    <t>CCLU7323455</t>
  </si>
  <si>
    <t>1E9D26</t>
  </si>
  <si>
    <t>COSU6383154030</t>
  </si>
  <si>
    <t>RFCU4042822</t>
  </si>
  <si>
    <t>SMLMNJPU3B172200</t>
  </si>
  <si>
    <t>CCLU7676880</t>
  </si>
  <si>
    <t>F5991A</t>
  </si>
  <si>
    <t>COSU6381050108</t>
  </si>
  <si>
    <t>CCLU7801220</t>
  </si>
  <si>
    <t>2156E7</t>
  </si>
  <si>
    <t>COSU6383154033</t>
  </si>
  <si>
    <t>CCLU7881138</t>
  </si>
  <si>
    <t>AB66B7</t>
  </si>
  <si>
    <t>OOLU8810745110</t>
  </si>
  <si>
    <t>CSLU6136949</t>
  </si>
  <si>
    <t>07C7CD</t>
  </si>
  <si>
    <t>COSU6381394863</t>
  </si>
  <si>
    <t xml:space="preserve">FSCU8019038 </t>
  </si>
  <si>
    <t>Drop by 1pm</t>
  </si>
  <si>
    <t xml:space="preserve">OOLU2147001380 / 6-5 Empty ready </t>
  </si>
  <si>
    <t>DONE# 149279</t>
  </si>
  <si>
    <t>CSLU6234550</t>
  </si>
  <si>
    <t>A462E8</t>
  </si>
  <si>
    <t>COSU6382219695</t>
  </si>
  <si>
    <t>SMCU1087752</t>
  </si>
  <si>
    <t>SMLMNJGF2A609100</t>
  </si>
  <si>
    <t>DONE- 5/31 #148699</t>
  </si>
  <si>
    <t>SMCU1091198</t>
  </si>
  <si>
    <t>0297725</t>
  </si>
  <si>
    <t>SMLMNJEB3E756300</t>
  </si>
  <si>
    <t>SMCU1111524</t>
  </si>
  <si>
    <t>SMLMNJED4A981200</t>
  </si>
  <si>
    <t>DONE- 5/24  #148488</t>
  </si>
  <si>
    <t>SMCU1130695</t>
  </si>
  <si>
    <t>SMLMNJEB3E691100</t>
  </si>
  <si>
    <t>SMCU1132213</t>
  </si>
  <si>
    <t>LGB-SSA Terminal</t>
  </si>
  <si>
    <t>11AM-3PM</t>
  </si>
  <si>
    <t>Phoenix, AZ 85009</t>
  </si>
  <si>
    <t xml:space="preserve"> pier pass $71.14 + CTF $20 /MBL# SMLMSZP4M1104100 / CTNR# SMCU1132213/ BL# HSZX00033577</t>
  </si>
  <si>
    <t>DONE#149219</t>
  </si>
  <si>
    <t xml:space="preserve">SMCU1132785 </t>
  </si>
  <si>
    <t>SMLUNJEB3E896100</t>
  </si>
  <si>
    <t>SMCU1184752</t>
  </si>
  <si>
    <t>SMLMNJEB3E542300</t>
  </si>
  <si>
    <t>SMCU1226499</t>
  </si>
  <si>
    <t>SMLMNJGF2A608700</t>
  </si>
  <si>
    <t xml:space="preserve">DONE- 5/31 #148696 </t>
  </si>
  <si>
    <t>SMCU1234149</t>
  </si>
  <si>
    <t>SMLMNJBC3E101600</t>
  </si>
  <si>
    <t>SMCU1237261</t>
  </si>
  <si>
    <t>SMLMNJED4C249100</t>
  </si>
  <si>
    <t>KOCU4163804</t>
  </si>
  <si>
    <t>KOCU4898996</t>
  </si>
  <si>
    <t>TCKU7350207</t>
  </si>
  <si>
    <t>APM PORT ELIZABETH</t>
  </si>
  <si>
    <t>EDISON,NJ,08817</t>
  </si>
  <si>
    <t>ZIMUSHH31210366, drop off</t>
  </si>
  <si>
    <t>CSNU6088128</t>
  </si>
  <si>
    <t>F0DEF0</t>
  </si>
  <si>
    <t>COSU6382219715</t>
  </si>
  <si>
    <t>CSNU6461709</t>
  </si>
  <si>
    <t>E6CA7C</t>
  </si>
  <si>
    <t>COSU6382767251</t>
  </si>
  <si>
    <t>CSNU7563259</t>
  </si>
  <si>
    <t>AE20A7</t>
  </si>
  <si>
    <t>COSU6382219699</t>
  </si>
  <si>
    <t>TCNU1696856</t>
  </si>
  <si>
    <t>MADISON, WI, 53718</t>
  </si>
  <si>
    <t>HDMUNKGM74535500</t>
  </si>
  <si>
    <t>CSNU7616997</t>
  </si>
  <si>
    <t>9B4128</t>
  </si>
  <si>
    <t>COSU6381323610</t>
  </si>
  <si>
    <t>CSNU7797909</t>
  </si>
  <si>
    <t>10044A</t>
  </si>
  <si>
    <t>COSU6382219717</t>
  </si>
  <si>
    <t xml:space="preserve">TCNU2924056 </t>
  </si>
  <si>
    <r>
      <rPr>
        <sz val="11"/>
        <color rgb="FFFF0000"/>
        <rFont val="Calibri"/>
        <family val="2"/>
        <scheme val="minor"/>
      </rPr>
      <t xml:space="preserve">pier pass $71.14 + CTF $20 </t>
    </r>
    <r>
      <rPr>
        <sz val="11"/>
        <color theme="1"/>
        <rFont val="Calibri"/>
        <family val="2"/>
        <scheme val="minor"/>
      </rPr>
      <t xml:space="preserve">/ MBL# MEDUVH415998 / CTNR# TCNU2924056 / HBL#HSZX00033613   HSZX00033614
BL# HSZX00033613, HSZX00033614
PO# AW0003DL, AW000661, AW0121AW, AW000662, AW0125AW, AW000666, AW000669, AW0146NF, AW0147NF, AW0118AW, AW0155NF, AW0145AW, AW000674, AW0001DL, AW0002DL
</t>
    </r>
  </si>
  <si>
    <t>DONE# 149217</t>
  </si>
  <si>
    <t>CSNU8048572</t>
  </si>
  <si>
    <t>86515D</t>
  </si>
  <si>
    <t>COSU6381394842</t>
  </si>
  <si>
    <t>TCNU4002352</t>
  </si>
  <si>
    <t>CSNU8140400</t>
  </si>
  <si>
    <t>dcbe31</t>
  </si>
  <si>
    <t>COSU6382316470</t>
  </si>
  <si>
    <t>CSNU8191372</t>
  </si>
  <si>
    <t>13D04D</t>
  </si>
  <si>
    <t>COSU6382219714</t>
  </si>
  <si>
    <t>DFSU6261710</t>
  </si>
  <si>
    <t>391BD6</t>
  </si>
  <si>
    <t>COSU6383154037</t>
  </si>
  <si>
    <t>TLLU7833387</t>
  </si>
  <si>
    <t>LGB-PCT Terminal</t>
  </si>
  <si>
    <t xml:space="preserve">GLENDALE CA 91203 </t>
  </si>
  <si>
    <r>
      <rPr>
        <sz val="11"/>
        <color rgb="FFFF0000"/>
        <rFont val="Calibri"/>
        <family val="2"/>
        <scheme val="minor"/>
      </rPr>
      <t>1.5 hrs detention-12:00-1520, 2hours free / pre-pull &amp; yard storage/ pier pass $71.14 + CTF $20 /</t>
    </r>
    <r>
      <rPr>
        <sz val="11"/>
        <color theme="1"/>
        <rFont val="Calibri"/>
        <family val="2"/>
        <scheme val="minor"/>
      </rPr>
      <t xml:space="preserve"> OOLU2736399770 / ETD 5-13 /  ISF on file /  AN SENT / Q# VLOG052124B</t>
    </r>
  </si>
  <si>
    <t>DONE#149336</t>
  </si>
  <si>
    <t>EMCU8968686</t>
  </si>
  <si>
    <t>969D37</t>
  </si>
  <si>
    <t>EGLV143460302923</t>
  </si>
  <si>
    <t>FCIU7589715</t>
  </si>
  <si>
    <t>A06567</t>
  </si>
  <si>
    <t>YMJAW242563536</t>
  </si>
  <si>
    <t>FCIU9830884</t>
  </si>
  <si>
    <t>616e32</t>
  </si>
  <si>
    <t>COSU6383154031</t>
  </si>
  <si>
    <t>FFAU3612701</t>
  </si>
  <si>
    <t>BF3361</t>
  </si>
  <si>
    <t>OOLU8810781670</t>
  </si>
  <si>
    <t>GAOU7052054</t>
  </si>
  <si>
    <t>d5c344</t>
  </si>
  <si>
    <t>ZIMUSHH31241825</t>
  </si>
  <si>
    <t>DONE- 7/7</t>
  </si>
  <si>
    <t>NYKU4309888</t>
  </si>
  <si>
    <t>CP BENSENVILLE</t>
  </si>
  <si>
    <t>WOOD DALE, IL 60191</t>
  </si>
  <si>
    <t>ONEYTA3ZI2191600</t>
  </si>
  <si>
    <t>MAGU5227497</t>
  </si>
  <si>
    <t>F7F3BC</t>
  </si>
  <si>
    <t>COSU6381368828</t>
  </si>
  <si>
    <t>MAGU5266940</t>
  </si>
  <si>
    <t>6B71EE</t>
  </si>
  <si>
    <t>COSU6381394827</t>
  </si>
  <si>
    <t>MAGU5761603</t>
  </si>
  <si>
    <t>A82193</t>
  </si>
  <si>
    <t>YMJAW242563537</t>
  </si>
  <si>
    <t>MATU2662845</t>
  </si>
  <si>
    <t>7811F0</t>
  </si>
  <si>
    <t>MATU3420337000</t>
  </si>
  <si>
    <t>ZCSU7968920</t>
  </si>
  <si>
    <t>CSX Fairburn</t>
  </si>
  <si>
    <t xml:space="preserve">Suwanee GA 30024 </t>
  </si>
  <si>
    <r>
      <rPr>
        <sz val="11"/>
        <color rgb="FFFF0000"/>
        <rFont val="Calibri"/>
        <family val="2"/>
        <scheme val="minor"/>
      </rPr>
      <t xml:space="preserve"> 2.5 hrs unloading detention- 12:50pm-05:24pm, 2 hours free.  / 1.5 hrs PU detention-8am-11:34am, 2 hours free</t>
    </r>
    <r>
      <rPr>
        <sz val="11"/>
        <color theme="1"/>
        <rFont val="Calibri"/>
        <family val="2"/>
        <scheme val="minor"/>
      </rPr>
      <t xml:space="preserve"> /  ZIMUNGB20265207 / 先预约后派送 麻烦按ETA+7备约 / Q# LTRN022224D / Detention-2 hrs free 尾端需要海外仓帮忙预约交仓；
1. 1、仓库预约可以安排在 https://app.shipsage.com/dispatch
预约最多可在一个工作日前安排/取消/重新安排。如有冲突/问题，请拨打 dispatch@gaatu.com 联系调度 （联系电话：888-566-8826）。 预约流程看word文件, online预约，https://app.shipsage.com/dispatch
看文件</t>
    </r>
  </si>
  <si>
    <t>DONE#149005</t>
  </si>
  <si>
    <t>MATU2707533</t>
  </si>
  <si>
    <t>47ACF2</t>
  </si>
  <si>
    <t xml:space="preserve">MATS4542369000 </t>
  </si>
  <si>
    <t>MSDU8425927</t>
  </si>
  <si>
    <t>5FD88E</t>
  </si>
  <si>
    <t>Still waiting for DO</t>
  </si>
  <si>
    <t>OOCU6511415</t>
  </si>
  <si>
    <t>E3113E</t>
  </si>
  <si>
    <t>COSU6383632570</t>
  </si>
  <si>
    <t>OOCU6805575</t>
  </si>
  <si>
    <t>340BB6</t>
  </si>
  <si>
    <t>COSU6381050107</t>
  </si>
  <si>
    <t>OOCU6844381</t>
  </si>
  <si>
    <t>OOLU2735686949</t>
  </si>
  <si>
    <t>OOCU7065806</t>
  </si>
  <si>
    <t>F3FFAA</t>
  </si>
  <si>
    <t>COSU6381050109</t>
  </si>
  <si>
    <t>OOCU7143827</t>
  </si>
  <si>
    <t>056C5D</t>
  </si>
  <si>
    <t>COSU6381394760</t>
  </si>
  <si>
    <t>OOCU8492700</t>
  </si>
  <si>
    <t>E34710</t>
  </si>
  <si>
    <t>COSU6382750970</t>
  </si>
  <si>
    <t>TGBU9253828</t>
  </si>
  <si>
    <t xml:space="preserve">DROP 8am- 8:30am </t>
  </si>
  <si>
    <t>IMC</t>
  </si>
  <si>
    <t>Online Seller/WINIT/001-8594850550-5601//2125 Gateway Blvd，Hebron，KY 41048</t>
  </si>
  <si>
    <t>Drop fee double drayage/ COSU6379024677   /  预约码：R1M5D9F6N850
预约网站：https://booking.winit.com.cn
这一票，到港后麻烦安排以最快的速度转运派送</t>
  </si>
  <si>
    <t>OOCU8743209</t>
  </si>
  <si>
    <t>40GHQ</t>
  </si>
  <si>
    <t>9am live</t>
  </si>
  <si>
    <r>
      <rPr>
        <sz val="11"/>
        <color rgb="FFFF0000"/>
        <rFont val="Calibri"/>
        <family val="2"/>
        <scheme val="minor"/>
      </rPr>
      <t>0.5 hr detention -9am-11:35am, 2 hours free.</t>
    </r>
    <r>
      <rPr>
        <sz val="11"/>
        <color theme="1"/>
        <rFont val="Calibri"/>
        <family val="2"/>
        <scheme val="minor"/>
      </rPr>
      <t>/ COSU 6381341690/ Q# HYD022024C / Detention 2 hrs free /
6.7 下午3:38 David改地址4300 Bankers Circle, 
Suite E, Atlanta GA 30360
Tel: 678-6878-655</t>
    </r>
  </si>
  <si>
    <t>DONE# 149437, pending trucker inv</t>
  </si>
  <si>
    <t xml:space="preserve">TGHU6191452 </t>
  </si>
  <si>
    <t>HOUSTON-BAYPORT CONTAINER TERMINAL</t>
  </si>
  <si>
    <t>DFW HANDLE</t>
  </si>
  <si>
    <t>CUSTOMS RELEASED</t>
  </si>
  <si>
    <r>
      <t xml:space="preserve">MAEU237761278  / DFW Handle delivery / </t>
    </r>
    <r>
      <rPr>
        <sz val="11"/>
        <color rgb="FFFF0000"/>
        <rFont val="Calibri"/>
        <family val="2"/>
        <scheme val="minor"/>
      </rPr>
      <t xml:space="preserve"> ABL ORD only handle Customs clearance</t>
    </r>
  </si>
  <si>
    <t>DONE# 148708</t>
  </si>
  <si>
    <t>CUSTOM</t>
  </si>
  <si>
    <t>OOCU8551356</t>
  </si>
  <si>
    <t>102B9A</t>
  </si>
  <si>
    <t>OOLU8810763551</t>
  </si>
  <si>
    <t>DONE- 125312</t>
  </si>
  <si>
    <t>OOCU8627955</t>
  </si>
  <si>
    <t>e84c2d</t>
  </si>
  <si>
    <t>OOLU8810794580</t>
  </si>
  <si>
    <t>OOCU8795840</t>
  </si>
  <si>
    <r>
      <t>F2B3A7</t>
    </r>
    <r>
      <rPr>
        <sz val="12"/>
        <color rgb="FFFF0000"/>
        <rFont val="Arial"/>
        <family val="2"/>
        <charset val="1"/>
      </rPr>
      <t> </t>
    </r>
  </si>
  <si>
    <t>OOLU2736801277</t>
  </si>
  <si>
    <t>OOCU8838813</t>
  </si>
  <si>
    <t>E097DC</t>
  </si>
  <si>
    <t>COSU6382595770</t>
  </si>
  <si>
    <t>TCKU6098493</t>
  </si>
  <si>
    <t>OOCU9003104</t>
  </si>
  <si>
    <t>1A25E6</t>
  </si>
  <si>
    <t>COSU6383154035</t>
  </si>
  <si>
    <t>OOCU9033285</t>
  </si>
  <si>
    <t>05C66A</t>
  </si>
  <si>
    <t>COSU6381394862</t>
  </si>
  <si>
    <t>OOLU8646036</t>
  </si>
  <si>
    <t>e7e993</t>
  </si>
  <si>
    <t>COSU6382752370</t>
  </si>
  <si>
    <t>TLNU2186623</t>
  </si>
  <si>
    <t xml:space="preserve">ZIMUXIA8367761     / COC /Q# ASPD022224A /  Detention 2 hours free / </t>
  </si>
  <si>
    <t>DONE# 148779</t>
  </si>
  <si>
    <t>OOLU9484829</t>
  </si>
  <si>
    <t>83784C</t>
  </si>
  <si>
    <t>OOLU8810763550</t>
  </si>
  <si>
    <t>DONE- 125334</t>
  </si>
  <si>
    <t>OOLU9513357</t>
  </si>
  <si>
    <t>6181D4</t>
  </si>
  <si>
    <t>COSU6382465050</t>
  </si>
  <si>
    <t>OOLU9757749</t>
  </si>
  <si>
    <t>A7B5EF</t>
  </si>
  <si>
    <t>COSU6382219711</t>
  </si>
  <si>
    <t>TRHU4912361</t>
  </si>
  <si>
    <t>PIERCE COUNTY TERMINAL</t>
  </si>
  <si>
    <t>LAKEWOOD, WA, 98499</t>
  </si>
  <si>
    <t>OOLU2302128780</t>
  </si>
  <si>
    <t>SEGU5261011</t>
  </si>
  <si>
    <t>6782A4</t>
  </si>
  <si>
    <t>COSU6381394866</t>
  </si>
  <si>
    <t>SEKU4569391</t>
  </si>
  <si>
    <t>DE05CE</t>
  </si>
  <si>
    <t>COSU6382767250</t>
  </si>
  <si>
    <t>SLSU8018943</t>
  </si>
  <si>
    <t>E840D1</t>
  </si>
  <si>
    <t>COSU6381394761</t>
  </si>
  <si>
    <t>TRLU9696622</t>
  </si>
  <si>
    <t>UNION PACIFIC - GLOBAL IIII</t>
  </si>
  <si>
    <t>LIBERTYVILLE IL 60048</t>
  </si>
  <si>
    <t>HdmuNBOZ02194500</t>
  </si>
  <si>
    <t>DONE- 5/15 #148177</t>
  </si>
  <si>
    <t>TCNU3738441</t>
  </si>
  <si>
    <t>E5E27B</t>
  </si>
  <si>
    <t>COSU6382465460</t>
  </si>
  <si>
    <t>TCNU6073566</t>
  </si>
  <si>
    <t>56ceb1</t>
  </si>
  <si>
    <t>OOLU8810786660</t>
  </si>
  <si>
    <t>TCNU6516704</t>
  </si>
  <si>
    <t>c7fa63</t>
  </si>
  <si>
    <t>OOLU8810797571</t>
  </si>
  <si>
    <t>TGBU7121632</t>
  </si>
  <si>
    <t>EGLV143460302932</t>
  </si>
  <si>
    <t>TGBU7938258</t>
  </si>
  <si>
    <t>E45CF4</t>
  </si>
  <si>
    <t>MEDUX6464788</t>
  </si>
  <si>
    <t>TGBU8644140</t>
  </si>
  <si>
    <t>AFA977</t>
  </si>
  <si>
    <t>COSU6381900010</t>
  </si>
  <si>
    <t>ZCSU6766061</t>
  </si>
  <si>
    <t>MIAMI-TPM terminal</t>
  </si>
  <si>
    <t>9am DROP</t>
  </si>
  <si>
    <t>Doral FL 33122</t>
  </si>
  <si>
    <r>
      <rPr>
        <sz val="11"/>
        <color rgb="FFFF0000"/>
        <rFont val="Calibri"/>
        <family val="2"/>
        <scheme val="minor"/>
      </rPr>
      <t xml:space="preserve">6-5 Empty ready  / stop off $75 for drop, no drop cost /Terminal fee $95.50 </t>
    </r>
    <r>
      <rPr>
        <sz val="11"/>
        <color theme="1"/>
        <rFont val="Calibri"/>
        <family val="2"/>
        <scheme val="minor"/>
      </rPr>
      <t xml:space="preserve">/ ZIMUXIA8367293 /  /地址：Skynet Worldwide Express
Isabel Lopez
8601 NW 27 ST,Doral FL 33122
ilopez@skynet.net
+17862011024 / </t>
    </r>
    <r>
      <rPr>
        <sz val="11"/>
        <color rgb="FFFF0000"/>
        <rFont val="Calibri"/>
        <family val="2"/>
        <scheme val="minor"/>
      </rPr>
      <t>Q# LTRN040624A / Detention 1hr free</t>
    </r>
  </si>
  <si>
    <t>DONE#149221</t>
  </si>
  <si>
    <t>TGBU8659480</t>
  </si>
  <si>
    <t>E72BA9</t>
  </si>
  <si>
    <t>COSU6381050128</t>
  </si>
  <si>
    <t>TIIU4426508</t>
  </si>
  <si>
    <t>9991EF</t>
  </si>
  <si>
    <t>ZCSU7653861</t>
  </si>
  <si>
    <t>MAHER TERMINALS at NY</t>
  </si>
  <si>
    <t>9am drop</t>
  </si>
  <si>
    <t>EDISON, NJ 08817</t>
  </si>
  <si>
    <t>ZIMUSHH31220733, drop fee</t>
  </si>
  <si>
    <t>TLLU7795040</t>
  </si>
  <si>
    <t>ff0626</t>
  </si>
  <si>
    <t>OOLU2736444830</t>
  </si>
  <si>
    <t>TRHU8743721</t>
  </si>
  <si>
    <t>E1EC6B</t>
  </si>
  <si>
    <t>COSU6381394865</t>
  </si>
  <si>
    <t>UETU5412867</t>
  </si>
  <si>
    <t>E722F5</t>
  </si>
  <si>
    <t>COSU6382219720</t>
  </si>
  <si>
    <t>UETU5955904</t>
  </si>
  <si>
    <t>7CCC75</t>
  </si>
  <si>
    <t>COSU6383831370</t>
  </si>
  <si>
    <t xml:space="preserve">temu </t>
  </si>
  <si>
    <t xml:space="preserve">MATS5437432000 </t>
  </si>
  <si>
    <t>YMMU6121671</t>
  </si>
  <si>
    <t xml:space="preserve">11am </t>
  </si>
  <si>
    <t>9D4F83</t>
  </si>
  <si>
    <t>YMJAW242563561</t>
  </si>
  <si>
    <t xml:space="preserve">TIIU5137428 </t>
  </si>
  <si>
    <t>JOLIET, IL 60431</t>
  </si>
  <si>
    <t>9376C6</t>
  </si>
  <si>
    <r>
      <rPr>
        <sz val="11"/>
        <color rgb="FFFF0000"/>
        <rFont val="Calibri"/>
        <family val="2"/>
        <scheme val="minor"/>
      </rPr>
      <t xml:space="preserve">Drop fee $175 </t>
    </r>
    <r>
      <rPr>
        <sz val="11"/>
        <color theme="1"/>
        <rFont val="Calibri"/>
        <family val="2"/>
        <scheme val="minor"/>
      </rPr>
      <t>/ MEDUOX366828, overweight / 客户自己预约</t>
    </r>
  </si>
  <si>
    <t>DONE#149280</t>
  </si>
  <si>
    <t>TGBU9279226</t>
  </si>
  <si>
    <t>FONTANA, CA 92336</t>
  </si>
  <si>
    <t>OOLU2737510860, 6/11 EMPTY READY</t>
  </si>
  <si>
    <t>FCIU7062299</t>
  </si>
  <si>
    <t>0398405</t>
  </si>
  <si>
    <r>
      <rPr>
        <sz val="11"/>
        <color rgb="FFFF0000"/>
        <rFont val="Calibri"/>
        <family val="2"/>
        <scheme val="minor"/>
      </rPr>
      <t>1.25 hrs detention-8:30am-11:42am, 1 hour free</t>
    </r>
    <r>
      <rPr>
        <sz val="11"/>
        <color theme="1"/>
        <rFont val="Calibri"/>
        <family val="2"/>
        <scheme val="minor"/>
      </rPr>
      <t>.  / QGD0776568 / Chassis split for SOC return to RSD Container Yard Services / Q# QDMY080423A/  Detention 1 hr free</t>
    </r>
  </si>
  <si>
    <t>DONE#149284</t>
  </si>
  <si>
    <t>FCIU7065615</t>
  </si>
  <si>
    <t>0398438</t>
  </si>
  <si>
    <r>
      <rPr>
        <sz val="11"/>
        <color rgb="FFFF0000"/>
        <rFont val="Calibri"/>
        <family val="2"/>
        <scheme val="minor"/>
      </rPr>
      <t>re-delivery $125 + yad storage  for The empty return depot will close when the driver gets back.  The empty container will be brought to the carrier’s yard and return on the next day</t>
    </r>
    <r>
      <rPr>
        <sz val="11"/>
        <color theme="1"/>
        <rFont val="Calibri"/>
        <family val="2"/>
        <scheme val="minor"/>
      </rPr>
      <t xml:space="preserve">. /  </t>
    </r>
    <r>
      <rPr>
        <sz val="11"/>
        <color rgb="FFFF0000"/>
        <rFont val="Calibri"/>
        <family val="2"/>
        <scheme val="minor"/>
      </rPr>
      <t xml:space="preserve">1.5 hrs detention-: 12:30-15:00, 1 hour free </t>
    </r>
    <r>
      <rPr>
        <sz val="11"/>
        <color theme="1"/>
        <rFont val="Calibri"/>
        <family val="2"/>
        <scheme val="minor"/>
      </rPr>
      <t xml:space="preserve">/ QGD0776568 / </t>
    </r>
    <r>
      <rPr>
        <sz val="11"/>
        <color rgb="FFFF0000"/>
        <rFont val="Calibri"/>
        <family val="2"/>
        <scheme val="minor"/>
      </rPr>
      <t>Chassis split for SOC return to RSD Container Yard Services / pre-pull &amp; yard storge</t>
    </r>
    <r>
      <rPr>
        <sz val="11"/>
        <color theme="1"/>
        <rFont val="Calibri"/>
        <family val="2"/>
        <scheme val="minor"/>
      </rPr>
      <t xml:space="preserve"> / Q# QDMY080423A/  Detention 1 hr free</t>
    </r>
  </si>
  <si>
    <t>DONE#149287</t>
  </si>
  <si>
    <t>FCIU7053276</t>
  </si>
  <si>
    <t xml:space="preserve">0398481  </t>
  </si>
  <si>
    <r>
      <rPr>
        <sz val="11"/>
        <color rgb="FFFF0000"/>
        <rFont val="Calibri"/>
        <family val="2"/>
        <scheme val="minor"/>
      </rPr>
      <t>0.75 hr detention-8:15am-10am, 1 hour free</t>
    </r>
    <r>
      <rPr>
        <sz val="11"/>
        <color theme="1"/>
        <rFont val="Calibri"/>
        <family val="2"/>
        <scheme val="minor"/>
      </rPr>
      <t xml:space="preserve"> / pre-pull &amp; yard storage / QGD0776568 / Chassis split for SOC return to RSD Container Yard Services / Q# QDMY080423A/  Detention 1 hr free</t>
    </r>
  </si>
  <si>
    <t>DONE#149289</t>
  </si>
  <si>
    <t xml:space="preserve">MSMU7856084 </t>
  </si>
  <si>
    <t>Miami-South Florida CTNR TML -N773.</t>
  </si>
  <si>
    <t>POMPANO FL 33069</t>
  </si>
  <si>
    <t xml:space="preserve"> pre-pull&amp; yard storage / Terminal fee $85 / MEDUOC768928 / Q# PGNE050924A / Detention 2 hrs free</t>
  </si>
  <si>
    <t>DONE# 149501</t>
  </si>
  <si>
    <t>ZCSU8934668</t>
  </si>
  <si>
    <t xml:space="preserve">Sanford, FL 32771                   </t>
  </si>
  <si>
    <r>
      <rPr>
        <sz val="11"/>
        <color rgb="FFFF0000"/>
        <rFont val="Calibri"/>
        <family val="2"/>
        <scheme val="minor"/>
      </rPr>
      <t xml:space="preserve">1 hr detention-8am-11am, 2 hours free </t>
    </r>
    <r>
      <rPr>
        <sz val="11"/>
        <color theme="1"/>
        <rFont val="Calibri"/>
        <family val="2"/>
        <scheme val="minor"/>
      </rPr>
      <t xml:space="preserve">/ ZIMUXIA8373882 / COC / OW-40HQ-20447KGS/ / Pending DO / Q# ASPD022224A /  Detention 2 hours free /  </t>
    </r>
    <r>
      <rPr>
        <sz val="11"/>
        <color rgb="FFFF0000"/>
        <rFont val="Calibri"/>
        <family val="2"/>
        <scheme val="minor"/>
      </rPr>
      <t>新联系方式</t>
    </r>
    <r>
      <rPr>
        <sz val="11"/>
        <color theme="1"/>
        <rFont val="Calibri"/>
        <family val="2"/>
        <scheme val="minor"/>
      </rPr>
      <t xml:space="preserve"> Venture Circle International, LLC 
 140 Maritime Drive Sanford, FL 32771
Office: (407) 677-6004 ext. 102
Direct: (407) 848-1393
ATTN: Morgan Lakner
morgan@venturecirclellc.com 
抄送邮箱：op1@rapidkind.com
                 op2@rapidkind.com</t>
    </r>
  </si>
  <si>
    <t>DONE# 149504</t>
  </si>
  <si>
    <t>ZIMU1374278</t>
  </si>
  <si>
    <t>Sanford, FL 32771                   </t>
  </si>
  <si>
    <r>
      <t xml:space="preserve">ZIMUXIA8373882  / COC / Pending DO/ Q# ASPD022224A /  Detention 2 hours free / 
</t>
    </r>
    <r>
      <rPr>
        <sz val="11"/>
        <color rgb="FFFF0000"/>
        <rFont val="Calibri"/>
        <family val="2"/>
        <scheme val="minor"/>
      </rPr>
      <t xml:space="preserve">新联系方式 </t>
    </r>
    <r>
      <rPr>
        <sz val="11"/>
        <color theme="1"/>
        <rFont val="Calibri"/>
        <family val="2"/>
        <scheme val="minor"/>
      </rPr>
      <t>Venture Circle International, LLC 
 140 Maritime Drive Sanford, FL 32771
Office: (407) 677-6004 ext. 102
Direct: (407) 848-1393
ATTN: Morgan Lakner
morgan@venturecirclellc.com 
抄送邮箱：op1@rapidkind.com
                 op2@rapidkind.com</t>
    </r>
  </si>
  <si>
    <t>DONE# 149505</t>
  </si>
  <si>
    <t>HLBU2920553</t>
  </si>
  <si>
    <t>NEW BKG &lt;91309877&gt; PO# 60895 /HLCUKUL240346033</t>
  </si>
  <si>
    <t>TGHU6578159</t>
  </si>
  <si>
    <t>D89566</t>
  </si>
  <si>
    <r>
      <rPr>
        <sz val="11"/>
        <color rgb="FFFF0000"/>
        <rFont val="Calibri"/>
        <family val="2"/>
        <scheme val="minor"/>
      </rPr>
      <t xml:space="preserve">0.5 hour detention / </t>
    </r>
    <r>
      <rPr>
        <sz val="11"/>
        <color rgb="FF0000CC"/>
        <rFont val="Calibri"/>
        <family val="2"/>
        <scheme val="minor"/>
      </rPr>
      <t>We will waive 1 day yard storage and chassis rental fore Saturday 6/8.</t>
    </r>
    <r>
      <rPr>
        <sz val="11"/>
        <color rgb="FFFF0000"/>
        <rFont val="Calibri"/>
        <family val="2"/>
        <scheme val="minor"/>
      </rPr>
      <t xml:space="preserve"> / pre-pull &amp; yard storage</t>
    </r>
    <r>
      <rPr>
        <sz val="11"/>
        <color theme="1"/>
        <rFont val="Calibri"/>
        <family val="2"/>
        <scheme val="minor"/>
      </rPr>
      <t xml:space="preserve"> /COSU6382950190 / pre-pull &amp; yard storage / Q# COCO011024A</t>
    </r>
  </si>
  <si>
    <t>DONE# 149340</t>
  </si>
  <si>
    <t>MSDU7682556</t>
  </si>
  <si>
    <t>APPT on 6/10, but dropped on 6/7</t>
  </si>
  <si>
    <t>F6849E</t>
  </si>
  <si>
    <t>6-12 empty ready / Drop fee $175 / MEDUHV529589, overweight / 客户自己预约</t>
  </si>
  <si>
    <t>DONE#149439</t>
  </si>
  <si>
    <t>OOLU9864916</t>
  </si>
  <si>
    <t>47A1CB</t>
  </si>
  <si>
    <t>OOLU2737038420</t>
  </si>
  <si>
    <t>TCNU3781258</t>
  </si>
  <si>
    <t>CSX-FAIRBURN</t>
  </si>
  <si>
    <t>ATLANTA, GA 30349</t>
  </si>
  <si>
    <t>CMDUXIA1325271</t>
  </si>
  <si>
    <t xml:space="preserve">SUPERFLYG </t>
  </si>
  <si>
    <t>FFAU5446810</t>
  </si>
  <si>
    <t>LAX- APM TML</t>
  </si>
  <si>
    <t>Customser</t>
  </si>
  <si>
    <t>GARDENA, CA 90248</t>
  </si>
  <si>
    <r>
      <rPr>
        <sz val="11"/>
        <color rgb="FFFF0000"/>
        <rFont val="Calibri"/>
        <family val="2"/>
        <scheme val="minor"/>
      </rPr>
      <t>DO fee $100 / Customer's warehouse Sojin handles delviery</t>
    </r>
    <r>
      <rPr>
        <sz val="11"/>
        <color theme="1"/>
        <rFont val="Calibri"/>
        <family val="2"/>
        <scheme val="minor"/>
      </rPr>
      <t xml:space="preserve"> / Pier pass $71.14+  CTF $20 / HLCUSZX2403CBKB6
Contact person: Leon Yao
Tel: 310-283-8186
Email: Leon Yao &lt;leonyao@sojingroup.com&gt;
Delivery address:
Sojin Group
500 E Gardena Blvd
GARDENA, CA 90248</t>
    </r>
  </si>
  <si>
    <t>DONE#149397</t>
  </si>
  <si>
    <t>RFCU4068529</t>
  </si>
  <si>
    <t>47879b</t>
  </si>
  <si>
    <t>COSU6383070390</t>
  </si>
  <si>
    <t>ZCSU7536335</t>
  </si>
  <si>
    <r>
      <t xml:space="preserve">ZIMUXIA8373665 / COC/ Q# ASPD022224A /  Detention 2 hours free / 
</t>
    </r>
    <r>
      <rPr>
        <sz val="11"/>
        <color rgb="FFFF0000"/>
        <rFont val="Calibri"/>
        <family val="2"/>
        <scheme val="minor"/>
      </rPr>
      <t xml:space="preserve">新联系方式 </t>
    </r>
    <r>
      <rPr>
        <sz val="11"/>
        <color theme="1"/>
        <rFont val="Calibri"/>
        <family val="2"/>
        <scheme val="minor"/>
      </rPr>
      <t>Venture Circle International, LLC 
 140 Maritime Drive Sanford, FL 32771
Office: (407) 677-6004 ext. 102
Direct: (407) 848-1393
ATTN: Morgan Lakner
morgan@venturecirclellc.com 
抄送邮箱：op1@rapidkind.com
                 op2@rapidkind.com</t>
    </r>
  </si>
  <si>
    <t>DONE# 149630</t>
  </si>
  <si>
    <t>ZIMU3177473</t>
  </si>
  <si>
    <t xml:space="preserve">Northstar Transport </t>
  </si>
  <si>
    <r>
      <t xml:space="preserve">ZIMUXIA8373665 / COC/ Q# ASPD022224A /  Detention 2 hours free /  OW -20GP -20906 KGS
</t>
    </r>
    <r>
      <rPr>
        <sz val="11"/>
        <color rgb="FFFF0000"/>
        <rFont val="Calibri"/>
        <family val="2"/>
        <scheme val="minor"/>
      </rPr>
      <t>新联系方式</t>
    </r>
    <r>
      <rPr>
        <sz val="11"/>
        <color theme="1"/>
        <rFont val="Calibri"/>
        <family val="2"/>
        <scheme val="minor"/>
      </rPr>
      <t xml:space="preserve"> Venture Circle International, LLC 
 140 Maritime Drive Sanford, FL 32771
Office: (407) 677-6004 ext. 102
Direct: (407) 848-1393
ATTN: Morgan Lakner
morgan@venturecirclellc.com 
抄送邮箱：op1@rapidkind.com
                 op2@rapidkind.com</t>
    </r>
  </si>
  <si>
    <t>DONE# 149631</t>
  </si>
  <si>
    <t>GCXU5268494</t>
  </si>
  <si>
    <t>WBCT</t>
  </si>
  <si>
    <t>FREE HAND COLLECT HDL FEE $50 FROM CNEE</t>
  </si>
  <si>
    <t>ONEYTPEE35815400 / INV SENT</t>
  </si>
  <si>
    <t>DONE# 148860</t>
  </si>
  <si>
    <t>NYKU4711752</t>
  </si>
  <si>
    <t>TCLU8570348</t>
  </si>
  <si>
    <t>TRHU3873846</t>
  </si>
  <si>
    <t>Tampa  port</t>
  </si>
  <si>
    <t xml:space="preserve">SANFORD, FL 32771 </t>
  </si>
  <si>
    <r>
      <rPr>
        <sz val="11"/>
        <color rgb="FFFF0000"/>
        <rFont val="Calibri"/>
        <family val="2"/>
        <scheme val="minor"/>
      </rPr>
      <t>stop off fee $150 and yard storage for bring empty container to carrier’s yard and return  on the next day will apply.</t>
    </r>
    <r>
      <rPr>
        <sz val="11"/>
        <color theme="1"/>
        <rFont val="Calibri"/>
        <family val="2"/>
        <scheme val="minor"/>
      </rPr>
      <t xml:space="preserve"> / B/L#237301634 / COC / Q# QDM240311-1  $780 / detention 2 hours free</t>
    </r>
  </si>
  <si>
    <t>DONE# 149503. pending trucker inv</t>
  </si>
  <si>
    <t>FFAU3450658</t>
  </si>
  <si>
    <t>N/A, ONLY SENT AN</t>
  </si>
  <si>
    <t>7E0C7C</t>
  </si>
  <si>
    <t>COSU6383860360 / AN SENT</t>
  </si>
  <si>
    <t>DONE#149330</t>
  </si>
  <si>
    <t xml:space="preserve">MSDU8179253 </t>
  </si>
  <si>
    <t>CSX-COLUMBS OH</t>
  </si>
  <si>
    <t>WHEELING, WV 26003</t>
  </si>
  <si>
    <t>R00120145117</t>
  </si>
  <si>
    <r>
      <rPr>
        <sz val="11"/>
        <color rgb="FFFF0000"/>
        <rFont val="Calibri"/>
        <family val="2"/>
        <scheme val="minor"/>
      </rPr>
      <t>stop off fee $100 will apply due to the receiver changed delivery address after driver arrived at their warehouse</t>
    </r>
    <r>
      <rPr>
        <sz val="11"/>
        <color theme="1"/>
        <rFont val="Calibri"/>
        <family val="2"/>
        <scheme val="minor"/>
      </rPr>
      <t xml:space="preserve"> / 6-12 changed delivery address to 3601 Eoff Street. After driver arrival. / </t>
    </r>
    <r>
      <rPr>
        <sz val="11"/>
        <color rgb="FFFF0000"/>
        <rFont val="Calibri"/>
        <family val="2"/>
        <scheme val="minor"/>
      </rPr>
      <t>pre-pull &amp;  yard storage</t>
    </r>
    <r>
      <rPr>
        <sz val="11"/>
        <color theme="1"/>
        <rFont val="Calibri"/>
        <family val="2"/>
        <scheme val="minor"/>
      </rPr>
      <t xml:space="preserve"> /MEDUOX410667 / Q# PGNE051024A, Detention 1 hour free 
42 38TH STREET WHEELING, WV 26003
tel：1-800-504-7054  / Josh --Office: 304-232-2321
Mobile:304-650-0960
Email：joshc@panhandlecr.com</t>
    </r>
  </si>
  <si>
    <t>DONE# 149532</t>
  </si>
  <si>
    <t>TGHU1926837</t>
  </si>
  <si>
    <t>Portland, OR port- Terminal 6</t>
  </si>
  <si>
    <t>Bridgetown</t>
  </si>
  <si>
    <t xml:space="preserve">9740 SW HILLMAN COURT SUITE 220 WILSONVILLE, OR 97070 </t>
  </si>
  <si>
    <t>Customer clears demurrage through 6/20</t>
  </si>
  <si>
    <t>MEDUVH417648 / Q# WOIL061424A, 1 hour free</t>
  </si>
  <si>
    <t>DONE# 149960</t>
  </si>
  <si>
    <t xml:space="preserve">CWWU8240744  </t>
  </si>
  <si>
    <t>ck</t>
  </si>
  <si>
    <t>POOLER, GA, 31322</t>
  </si>
  <si>
    <t>MAEU278490475 / request POD</t>
  </si>
  <si>
    <t>done#150370</t>
  </si>
  <si>
    <t>OOCU8924969</t>
  </si>
  <si>
    <t xml:space="preserve">Shipshewana IN 46565 </t>
  </si>
  <si>
    <t>pre-pull ,yard storage, chassis split for OG from CN  / no detention  / OOLU2147775840 / Q# LTRN031924F, $1080 / detention 1 hr</t>
  </si>
  <si>
    <t>DONE# 149531</t>
  </si>
  <si>
    <t>CCLU7360063</t>
  </si>
  <si>
    <t>DROP 11:00-11:30</t>
  </si>
  <si>
    <t>IMCC</t>
  </si>
  <si>
    <t>HETRON, KY 41048</t>
  </si>
  <si>
    <r>
      <rPr>
        <sz val="11"/>
        <color rgb="FF000000"/>
        <rFont val="Calibri"/>
        <family val="2"/>
        <scheme val="minor"/>
      </rPr>
      <t xml:space="preserve">6-19 empty ready / PRE-PULL &amp; YARD STORAGE / </t>
    </r>
    <r>
      <rPr>
        <sz val="11"/>
        <color rgb="FFFF0000"/>
        <rFont val="Calibri"/>
        <family val="2"/>
        <scheme val="minor"/>
      </rPr>
      <t>chasiss split for OG from NS / DROP fee double dray /</t>
    </r>
    <r>
      <rPr>
        <sz val="11"/>
        <color rgb="FF000000"/>
        <rFont val="Calibri"/>
        <family val="2"/>
        <scheme val="minor"/>
      </rPr>
      <t xml:space="preserve"> COSU6382088002, WINIT
需要预约派送，违约派送将产生费用
WI36213016==H85524047217 ==1249件
预约码： M1H5V9I9I883
预约网站：https://booking.winit.com.cn/</t>
    </r>
  </si>
  <si>
    <t>Done #149792              Done #154166</t>
  </si>
  <si>
    <t xml:space="preserve">MSMU5169221 </t>
  </si>
  <si>
    <t> 8:30am</t>
  </si>
  <si>
    <t>R00120145015</t>
  </si>
  <si>
    <t>6-12 changed delivery address to 3601 Eoff Street /MEDUOX411269 // Q# PGNE051024A, Detention 1 hour free /
42 38TH STREET WHEELING, WV 26003
tel：1-800-504-7054  / / Josh --Office: 304-232-2321
Mobile:304-650-0960
Email：joshc@panhandlecr.comm</t>
  </si>
  <si>
    <t>DONE#149628</t>
  </si>
  <si>
    <r>
      <t>MEDU8591052</t>
    </r>
    <r>
      <rPr>
        <sz val="8"/>
        <color rgb="FF242424"/>
        <rFont val="Segoe UI"/>
        <family val="2"/>
      </rPr>
      <t xml:space="preserve"> </t>
    </r>
  </si>
  <si>
    <t>R00120145004</t>
  </si>
  <si>
    <r>
      <rPr>
        <sz val="11"/>
        <color rgb="FF0000CC"/>
        <rFont val="Calibri"/>
        <family val="2"/>
        <scheme val="minor"/>
      </rPr>
      <t>0.75hr detention- 1pm-2:50pm.</t>
    </r>
    <r>
      <rPr>
        <sz val="11"/>
        <color rgb="FFFF0000"/>
        <rFont val="Calibri"/>
        <family val="2"/>
        <scheme val="minor"/>
      </rPr>
      <t xml:space="preserve"> / Redelivery $150+ yard storage for brought the empty container to carrier's yard and returned on the next day due to no availalbe empty return reservaiton on 6/12</t>
    </r>
    <r>
      <rPr>
        <sz val="11"/>
        <color theme="1"/>
        <rFont val="Calibri"/>
        <family val="2"/>
        <scheme val="minor"/>
      </rPr>
      <t xml:space="preserve"> / 6-12 changed delivery address to 3601 Eoff Street /MEDUOX410048 // Q# PGNE051024A, Detention 1 hour free /
42 38TH STREET WHEELING, WV 26003
tel：1-800-504-7054  / / Josh --Office: 304-232-2321
Mobile:304-650-0960
Email：joshc@panhandlecr.com</t>
    </r>
  </si>
  <si>
    <t>DONE# 149533</t>
  </si>
  <si>
    <t>MATU2327410</t>
  </si>
  <si>
    <t>19A740</t>
  </si>
  <si>
    <t xml:space="preserve">MATS2125139000 </t>
  </si>
  <si>
    <t>EMCU8652580</t>
  </si>
  <si>
    <t>EGLV142452205398, Overweight-20780 kgs</t>
  </si>
  <si>
    <t>Done #150317</t>
  </si>
  <si>
    <t>SUPERLINKING</t>
  </si>
  <si>
    <t>NYKU4762390</t>
  </si>
  <si>
    <t>PORT LIBERTY BAYONNE</t>
  </si>
  <si>
    <t>Guardian logistics solution Charlotte, NC 28208</t>
  </si>
  <si>
    <t>T-FORCE</t>
  </si>
  <si>
    <t>Watertown WI 53094</t>
  </si>
  <si>
    <t>ONEYTPEE33903700/ LCL</t>
  </si>
  <si>
    <t>ZXJU0131222</t>
  </si>
  <si>
    <t>4625AD</t>
  </si>
  <si>
    <r>
      <t xml:space="preserve"> CMDUQGD0859270 /</t>
    </r>
    <r>
      <rPr>
        <sz val="11"/>
        <color rgb="FFFF0000"/>
        <rFont val="Calibri"/>
        <family val="2"/>
        <scheme val="minor"/>
      </rPr>
      <t xml:space="preserve"> re-route $200 +  chassis split for SOC return to Vaccaro</t>
    </r>
    <r>
      <rPr>
        <sz val="11"/>
        <color theme="1"/>
        <rFont val="Calibri"/>
        <family val="2"/>
        <scheme val="minor"/>
      </rPr>
      <t>/ Q# WUH010824G, $850/ Detention 1 hr free</t>
    </r>
  </si>
  <si>
    <t>DONE# 149572, pending trucker inv</t>
  </si>
  <si>
    <t>DRYU9641754</t>
  </si>
  <si>
    <t>0704629</t>
  </si>
  <si>
    <r>
      <rPr>
        <sz val="11"/>
        <color rgb="FFFF0000"/>
        <rFont val="Calibri"/>
        <family val="2"/>
        <scheme val="minor"/>
      </rPr>
      <t>0.25 hr detention-9:54-11:09, 1 hour free.</t>
    </r>
    <r>
      <rPr>
        <sz val="11"/>
        <color theme="1"/>
        <rFont val="Calibri"/>
        <family val="2"/>
        <scheme val="minor"/>
      </rPr>
      <t xml:space="preserve"> /SMLMTAYH4E841100 / Q# WUH010824G, $850/ Detention 1 hr free</t>
    </r>
  </si>
  <si>
    <t>DONE# 149571</t>
  </si>
  <si>
    <t>BMOU4324859</t>
  </si>
  <si>
    <t>8:30am-5pm</t>
  </si>
  <si>
    <t>9334B7</t>
  </si>
  <si>
    <t>177UGCGCN10150A， overweight/客户自己预约</t>
  </si>
  <si>
    <t>DONE# 149440</t>
  </si>
  <si>
    <t>MEDU7984688</t>
  </si>
  <si>
    <t>CB9559</t>
  </si>
  <si>
    <t>pre-pull &amp; yard storage / MEDUOX578257, overweight/ 客户自己预约</t>
  </si>
  <si>
    <t>DONE# 149656</t>
  </si>
  <si>
    <t>MATU2731247</t>
  </si>
  <si>
    <t>B8DFB8</t>
  </si>
  <si>
    <t xml:space="preserve">MATS4879238000 </t>
  </si>
  <si>
    <t>SMCU1055821</t>
  </si>
  <si>
    <t>0704497</t>
  </si>
  <si>
    <t>pre-pull, yard storage / SMLUSHFO4C341700 , overweight/ 客户自己预约</t>
  </si>
  <si>
    <t>DONE# 149654</t>
  </si>
  <si>
    <t>MATU2671343</t>
  </si>
  <si>
    <t>A897CC</t>
  </si>
  <si>
    <t xml:space="preserve">MATS5284985000 </t>
  </si>
  <si>
    <t xml:space="preserve">KOCU4457497 </t>
  </si>
  <si>
    <t>05659+9</t>
  </si>
  <si>
    <t>MBL# HDMUTPEM77885000  /Revised subject HBL# MTPE24050032 /  OLD MTPE24040168 / AUTOSPEC INC. KEL TO Chicago
HMM S/R-$4450 / C $4350， ONE MANEUVER V-070E 
KEL ETC 05/03， KAO ETD 05/08
CHI ETA 06/01 via TCM 05/25  / Customs RLS</t>
  </si>
  <si>
    <t>DONE# 149675</t>
  </si>
  <si>
    <t>TIIU4564385</t>
  </si>
  <si>
    <t>C89C2C</t>
  </si>
  <si>
    <t>OOLU2148076600</t>
  </si>
  <si>
    <t>TCNU7384900</t>
  </si>
  <si>
    <t>606680 </t>
  </si>
  <si>
    <t>CMDUNGP1155732</t>
  </si>
  <si>
    <t>FFAU1518213</t>
  </si>
  <si>
    <t xml:space="preserve">0A040D    </t>
  </si>
  <si>
    <t>YMJAW490453293</t>
  </si>
  <si>
    <t>GAOU7152449</t>
  </si>
  <si>
    <t>0088E9</t>
  </si>
  <si>
    <t>ZIMUSHH31241954</t>
  </si>
  <si>
    <t>TEMU6303592</t>
  </si>
  <si>
    <t>5121B2</t>
  </si>
  <si>
    <t>COSU6384712910  / AN SENT</t>
  </si>
  <si>
    <t>DONE# 149329</t>
  </si>
  <si>
    <t>OOCU6417100</t>
  </si>
  <si>
    <t>OOLU4121294700 / Overweight -21680 kgs</t>
  </si>
  <si>
    <t>Done #150329</t>
  </si>
  <si>
    <t>TCNU5042787</t>
  </si>
  <si>
    <r>
      <rPr>
        <sz val="11"/>
        <color rgb="FFFF0000"/>
        <rFont val="Calibri"/>
        <family val="2"/>
        <scheme val="minor"/>
      </rPr>
      <t>Chassis split for OG from CP rail / pre-pull &amp; yard storage</t>
    </r>
    <r>
      <rPr>
        <sz val="11"/>
        <color theme="1"/>
        <rFont val="Calibri"/>
        <family val="2"/>
        <scheme val="minor"/>
      </rPr>
      <t>/ HDMUTAOM96064400/ Q# WUH010824G, $850/ Detention 1 hr free</t>
    </r>
  </si>
  <si>
    <t>DONE# 149573</t>
  </si>
  <si>
    <t>BSIU9321673</t>
  </si>
  <si>
    <t>pre-pull / yard storage / HDMUTAOM19931400/ Q# WUH010824G, $850/ Detention 1 hr free</t>
  </si>
  <si>
    <t>DONE#149575, pending trucker inv</t>
  </si>
  <si>
    <t>BEAU5783924</t>
  </si>
  <si>
    <t>OOLU4121294700 / Overweight -21560 kgs</t>
  </si>
  <si>
    <t>Done #150334</t>
  </si>
  <si>
    <t>MSMU8809446 </t>
  </si>
  <si>
    <t>LGB-TTI terminal</t>
  </si>
  <si>
    <t>Customs released, duty inv sent</t>
  </si>
  <si>
    <r>
      <rPr>
        <sz val="11"/>
        <color rgb="FFFF0000"/>
        <rFont val="Calibri"/>
        <family val="2"/>
        <scheme val="minor"/>
      </rPr>
      <t>DO fee $100 / Customer's warehouse Sojin handles delviery /</t>
    </r>
    <r>
      <rPr>
        <sz val="11"/>
        <color theme="1"/>
        <rFont val="Calibri"/>
        <family val="2"/>
        <scheme val="minor"/>
      </rPr>
      <t>/ MEDUVH529756 
Contact person: Leon Yao
Tel: 310-283-8186
Email: Leon Yao &lt;leonyao@sojingroup.com&gt;
Delivery address:
Sojin Group
500 E Gardena Blvd
GARDENA, CA 90248</t>
    </r>
  </si>
  <si>
    <t>DONE#149434</t>
  </si>
  <si>
    <t>SKYU8193969</t>
  </si>
  <si>
    <t>170A7B</t>
  </si>
  <si>
    <t>CMDUNGP1110170</t>
  </si>
  <si>
    <t>ZCSU8847202</t>
  </si>
  <si>
    <t>002E91</t>
  </si>
  <si>
    <t>ZIMUSHH31241945</t>
  </si>
  <si>
    <t>GAOU7152639</t>
  </si>
  <si>
    <t>000A3B</t>
  </si>
  <si>
    <t>ZIMUSHH31241953</t>
  </si>
  <si>
    <t>BEAU5332068</t>
  </si>
  <si>
    <t>1df41b</t>
  </si>
  <si>
    <t>ZIMUSHH31241970</t>
  </si>
  <si>
    <t>RFCU4015431</t>
  </si>
  <si>
    <t>C36C41</t>
  </si>
  <si>
    <t>OOLU2147774710</t>
  </si>
  <si>
    <t>CSNU7298896</t>
  </si>
  <si>
    <t>ecb94e</t>
  </si>
  <si>
    <t>OOLU8810794570</t>
  </si>
  <si>
    <t>ZCSU7944677</t>
  </si>
  <si>
    <t>ZIMUXIA8375388 / COC / Q# ASPD032524A, Detention 2 hours free</t>
  </si>
  <si>
    <t>DONE# 149883, PENDING TRUCKER INV</t>
  </si>
  <si>
    <t>FANU3876483</t>
  </si>
  <si>
    <t>PETALUMA, CA 94952</t>
  </si>
  <si>
    <t>HLCUKUL240406226 PO# 60975</t>
  </si>
  <si>
    <t>TEMU6647200</t>
  </si>
  <si>
    <t>1E8158</t>
  </si>
  <si>
    <t>ZIMUSHH31241969</t>
  </si>
  <si>
    <t>CSNU7249470</t>
  </si>
  <si>
    <t>FB9F67</t>
  </si>
  <si>
    <t>COSU6383412590 / ETD 5-6/ from Qingdao to Chicago / SR-$5100 all-in ( O/F+AMS ) per container by COSCO via LB,ETD 5/6 to ETA 6/6</t>
  </si>
  <si>
    <t>DONE#149676</t>
  </si>
  <si>
    <t>YIXIN 桐乡意信</t>
  </si>
  <si>
    <t>GCXU5456824</t>
  </si>
  <si>
    <t>6/26 @19:00PDT</t>
  </si>
  <si>
    <t>ISA# 103006034980</t>
  </si>
  <si>
    <t>PAQS / NTG</t>
  </si>
  <si>
    <t>Transload to XLX7</t>
  </si>
  <si>
    <r>
      <t xml:space="preserve">COSU6385293570 / </t>
    </r>
    <r>
      <rPr>
        <sz val="11"/>
        <color rgb="FFFF0000"/>
        <rFont val="Calibri"/>
        <family val="2"/>
        <scheme val="minor"/>
      </rPr>
      <t xml:space="preserve">NTG LOAD# 7716921  /  ISA # 103006034980 </t>
    </r>
    <r>
      <rPr>
        <sz val="11"/>
        <color theme="1"/>
        <rFont val="Calibri"/>
        <family val="2"/>
        <scheme val="minor"/>
      </rPr>
      <t>/ 18 OZ PLTS / Pier pass &amp; CTF / Q# WUHO060724K</t>
    </r>
  </si>
  <si>
    <t>DONE# 15314</t>
  </si>
  <si>
    <t>TGBU7698244</t>
  </si>
  <si>
    <t>1 hr detention -11:07-13:13, 1 hour free. / OOLU4121539290/ Q# WUH010824G, $850/ Detention 1 hr free</t>
  </si>
  <si>
    <t>DONE# 149574</t>
  </si>
  <si>
    <t>MRKU4240488</t>
  </si>
  <si>
    <t>HOUSTON MSC BOSPHORUS</t>
  </si>
  <si>
    <t>MAEU238961264</t>
  </si>
  <si>
    <t>BILL $50 TO WUH/ CHANGE BILL TO RELIANCE CUSTOMS BROKERAGE #122874</t>
  </si>
  <si>
    <t>TRHU7400651</t>
  </si>
  <si>
    <t>14E86D</t>
  </si>
  <si>
    <t>COSU6383969010</t>
  </si>
  <si>
    <t>PVXU5523128</t>
  </si>
  <si>
    <t>WE DON'T NEED TO MAKE THE DO</t>
  </si>
  <si>
    <t>CMDUSHZ6261301</t>
  </si>
  <si>
    <t>CAIU9588448</t>
  </si>
  <si>
    <t>3BFA66</t>
  </si>
  <si>
    <t>MATS2429773000</t>
  </si>
  <si>
    <t xml:space="preserve"> OOCU7516345</t>
  </si>
  <si>
    <t>31B690</t>
  </si>
  <si>
    <t>COSU6384715150</t>
  </si>
  <si>
    <t>UETU6967480</t>
  </si>
  <si>
    <t>COSU6383936380</t>
  </si>
  <si>
    <t>CSNU7938268</t>
  </si>
  <si>
    <t>24b243</t>
  </si>
  <si>
    <t>COSU6384765120</t>
  </si>
  <si>
    <t>CSNU6470336</t>
  </si>
  <si>
    <t>COSU6381788270</t>
  </si>
  <si>
    <t>Done# 150387</t>
  </si>
  <si>
    <t>FCIU8995350</t>
  </si>
  <si>
    <t>Done#150375</t>
  </si>
  <si>
    <t>FSCU8838961</t>
  </si>
  <si>
    <t>done#150385</t>
  </si>
  <si>
    <t>PVXU5517357</t>
  </si>
  <si>
    <t>CMDUSHZ6261302</t>
  </si>
  <si>
    <t>PVXU5518902</t>
  </si>
  <si>
    <t>CMDUSHZ6261299</t>
  </si>
  <si>
    <t>PVXU5518883</t>
  </si>
  <si>
    <t>CMDUSHZ6261297</t>
  </si>
  <si>
    <t xml:space="preserve">MSNU7160295  </t>
  </si>
  <si>
    <t>0700-100</t>
  </si>
  <si>
    <t>Miamisburg, OH 45342</t>
  </si>
  <si>
    <r>
      <t xml:space="preserve">PRE-PULL &amp; YARD STORAGE / THC $65 /MEDUF1712209  / </t>
    </r>
    <r>
      <rPr>
        <sz val="11"/>
        <color rgb="FFFF0000"/>
        <rFont val="Calibri"/>
        <family val="2"/>
        <scheme val="minor"/>
      </rPr>
      <t>DDP</t>
    </r>
    <r>
      <rPr>
        <sz val="11"/>
        <color theme="1"/>
        <rFont val="Calibri"/>
        <family val="2"/>
        <scheme val="minor"/>
      </rPr>
      <t xml:space="preserve"> / Q# YH-0419, $550, detention-1 hr free,
派送地址：Jason Schultz  /216-235-2424 / Alex 937.207.2916
Think Patented
2490 Cross Pointe Miamisburg, OH 45342</t>
    </r>
  </si>
  <si>
    <t>DONE# 149795, duty inv sent</t>
  </si>
  <si>
    <t>MATU2276014</t>
  </si>
  <si>
    <t xml:space="preserve">0A682F </t>
  </si>
  <si>
    <t>MATS2218817000</t>
  </si>
  <si>
    <t>CAAU7470406</t>
  </si>
  <si>
    <t>DAF354</t>
  </si>
  <si>
    <t>MEDUZU028672, OVERWEIGHT / 客户自己预约</t>
  </si>
  <si>
    <t>DONE# 149657</t>
  </si>
  <si>
    <t>HYJU1084469</t>
  </si>
  <si>
    <t xml:space="preserve">Grandville, MI  49418 </t>
  </si>
  <si>
    <t>1139400</t>
  </si>
  <si>
    <r>
      <rPr>
        <sz val="11"/>
        <color rgb="FFFF0000"/>
        <rFont val="Calibri"/>
        <family val="2"/>
        <scheme val="minor"/>
      </rPr>
      <t>1.5 hr detention-8:15am-10:50am, 1 hour free</t>
    </r>
    <r>
      <rPr>
        <sz val="11"/>
        <color theme="1"/>
        <rFont val="Calibri"/>
        <family val="2"/>
        <scheme val="minor"/>
      </rPr>
      <t xml:space="preserve">./ pre-pull ,yard storage /  ONEYNB4BF4774700  / Q# AIMP052924B, $1000 / Detention 1 hr free /
Contact Harry Dong, Tel: 917-209-7017
Delivery Address: RiverTown Crossings 3668 Rivertown Pkwy SW
Grandville, MI  49418 USA / </t>
    </r>
    <r>
      <rPr>
        <sz val="11"/>
        <color rgb="FFFF0000"/>
        <rFont val="Calibri"/>
        <family val="2"/>
        <scheme val="minor"/>
      </rPr>
      <t>soc return to Gate-in #: YXCHI21RG
Depot:Lawndale Trucking Inc.
Add:3405 S Lawndale Ave, Chicago, IL 60623
Tel:773-247-2097
Email:Chicago@lawndaletruckinginc.com</t>
    </r>
  </si>
  <si>
    <t>DONE# 149658</t>
  </si>
  <si>
    <t>ONEYXMNE417888005  / reroute $200 + chassis split for returning SOC to Conglobal Forest View / Q# ASPD082923C, Detention 2 hrs free</t>
  </si>
  <si>
    <t>DONE# 149667</t>
  </si>
  <si>
    <t>CCLU3754428</t>
  </si>
  <si>
    <t>ONEYXMNE417888005  /reroute $200 + chassis split for returning SOC to Conglobal Forest View / Q# ASPD082923C, Detention 2 hrs free</t>
  </si>
  <si>
    <t>done #149670</t>
  </si>
  <si>
    <t>MATU2584640</t>
  </si>
  <si>
    <t>95A240</t>
  </si>
  <si>
    <t xml:space="preserve">MATS8723559000 </t>
  </si>
  <si>
    <t>MATU2777633</t>
  </si>
  <si>
    <t>970B02</t>
  </si>
  <si>
    <t>MATS9921050000</t>
  </si>
  <si>
    <t>MATU2319271</t>
  </si>
  <si>
    <t>5FA18B</t>
  </si>
  <si>
    <t xml:space="preserve">MATS6606829000 </t>
  </si>
  <si>
    <t>MRKU8504001</t>
  </si>
  <si>
    <t>East Chicago IN 46312</t>
  </si>
  <si>
    <t xml:space="preserve">E83B66 </t>
  </si>
  <si>
    <r>
      <rPr>
        <sz val="11"/>
        <color rgb="FFFF0000"/>
        <rFont val="Calibri"/>
        <family val="2"/>
        <scheme val="minor"/>
      </rPr>
      <t xml:space="preserve"> re-route $125, chassis split  for return to Maersk Depot</t>
    </r>
    <r>
      <rPr>
        <sz val="11"/>
        <color rgb="FF000000"/>
        <rFont val="Calibri"/>
        <family val="2"/>
        <scheme val="minor"/>
      </rPr>
      <t xml:space="preserve">  /  MAEU238314290 / OW -20GP -19401 KGS / COC / Quotation#	WUH240515-1, $580+ </t>
    </r>
    <r>
      <rPr>
        <sz val="11"/>
        <color rgb="FFFF0000"/>
        <rFont val="Calibri"/>
        <family val="2"/>
        <scheme val="minor"/>
      </rPr>
      <t>OW $250</t>
    </r>
    <r>
      <rPr>
        <sz val="11"/>
        <color rgb="FF000000"/>
        <rFont val="Calibri"/>
        <family val="2"/>
        <scheme val="minor"/>
      </rPr>
      <t xml:space="preserve"> / Detention-2 hours free / TLX HBL</t>
    </r>
  </si>
  <si>
    <t>Done #149793</t>
  </si>
  <si>
    <t>MATU2704318</t>
  </si>
  <si>
    <t>LGB-Shippers Transport Express Z773</t>
  </si>
  <si>
    <t>8AM-12PM</t>
  </si>
  <si>
    <t>TRANSLOAD TO OH 44060</t>
  </si>
  <si>
    <t>MATS5448873000 / FTL 5300/4800 / 6-23PU from PAQS /28 PLTS / Pier pass &amp; CTF</t>
  </si>
  <si>
    <t>DONE# 149958</t>
  </si>
  <si>
    <t>FCIU9616511</t>
  </si>
  <si>
    <t xml:space="preserve"> 2x chassis spit /  pre-pull and yard storage / COSU6383352700/ Q# WUH010824G, $850/ Detention 1 hr free</t>
  </si>
  <si>
    <t>DONE# 149888</t>
  </si>
  <si>
    <t>不要发POD给客户</t>
  </si>
  <si>
    <t>PVXU5520561</t>
  </si>
  <si>
    <t>CMDUSHZ6261298</t>
  </si>
  <si>
    <t>PVXU5517341</t>
  </si>
  <si>
    <t>CMDUSHZ6261296</t>
  </si>
  <si>
    <t xml:space="preserve">CAIU2995009  </t>
  </si>
  <si>
    <t>LGB-SSA TERMINAL PIER A</t>
  </si>
  <si>
    <t>N/A, ONLY SENT AN, bill CNEE H/C $50</t>
  </si>
  <si>
    <t>AN SENT, INV SENT, 已收款</t>
  </si>
  <si>
    <t xml:space="preserve">NJED4D161200   </t>
  </si>
  <si>
    <t>DONE# 149334</t>
  </si>
  <si>
    <t>JXLU6212007</t>
  </si>
  <si>
    <t>5b600c</t>
  </si>
  <si>
    <t>ZIMUSHH31242017</t>
  </si>
  <si>
    <t>ZCSU7491903</t>
  </si>
  <si>
    <t>0A7B10</t>
  </si>
  <si>
    <t>ZIMUSHH31242009</t>
  </si>
  <si>
    <t>DONE- 150271</t>
  </si>
  <si>
    <t>HYJU1084514</t>
  </si>
  <si>
    <t>1139408</t>
  </si>
  <si>
    <r>
      <rPr>
        <sz val="11"/>
        <color rgb="FFFF0000"/>
        <rFont val="Calibri"/>
        <family val="2"/>
        <scheme val="minor"/>
      </rPr>
      <t>Layover $400+ detention 7 hours -10:40 AM central time ( 11:40 AM EST) -6:46PM Central Time ( 7:46PM EST ), 1 hour free.</t>
    </r>
    <r>
      <rPr>
        <sz val="11"/>
        <color theme="1"/>
        <rFont val="Calibri"/>
        <family val="2"/>
        <scheme val="minor"/>
      </rPr>
      <t xml:space="preserve">/  driver arrived at 11:35am / ONEYNB4BF4774700  / Q# AIMP052924B, $1000 / Detention 1 hr free / </t>
    </r>
    <r>
      <rPr>
        <sz val="11"/>
        <color rgb="FFFF0000"/>
        <rFont val="Calibri"/>
        <family val="2"/>
        <scheme val="minor"/>
      </rPr>
      <t>soc return to Gate-in #: YXCHI21RG
Depot:Lawndale Trucking Inc.
Add:3405 S Lawndale Ave, Chicago, IL 60623
Tel:773-247-2097
Email:Chicago@lawndaletruckinginc.com</t>
    </r>
  </si>
  <si>
    <t>DONE# 149659</t>
  </si>
  <si>
    <t>SMCU1278810</t>
  </si>
  <si>
    <t>0301741</t>
  </si>
  <si>
    <t>SMLMNJGF2A614400</t>
  </si>
  <si>
    <t>CIPU5142068</t>
  </si>
  <si>
    <t>MIAMI, FL, 33166</t>
  </si>
  <si>
    <t>MAEU239014497</t>
  </si>
  <si>
    <t>KW</t>
  </si>
  <si>
    <t>Done #150397</t>
  </si>
  <si>
    <t>CIPU5110013</t>
  </si>
  <si>
    <t>Miami POMTOC</t>
  </si>
  <si>
    <t>MAEU238689115</t>
  </si>
  <si>
    <t>Done #150401</t>
  </si>
  <si>
    <t>JXLU6214144</t>
  </si>
  <si>
    <t>0a7fa9</t>
  </si>
  <si>
    <t>ZIMUSHH31242004</t>
  </si>
  <si>
    <t xml:space="preserve">TRHU8781038 </t>
  </si>
  <si>
    <t>FL-PORT  EVERGLADES-O664</t>
  </si>
  <si>
    <t>DAVIE, FL 33324</t>
  </si>
  <si>
    <r>
      <rPr>
        <sz val="11"/>
        <color rgb="FFFF0000"/>
        <rFont val="Aptos"/>
        <family val="2"/>
      </rPr>
      <t>7/5 Empty ready  / 7-2 released for delivery  / HOLD for delviery / terminal fee $548.60</t>
    </r>
    <r>
      <rPr>
        <sz val="11"/>
        <color rgb="FF000000"/>
        <rFont val="Aptos"/>
        <family val="2"/>
      </rPr>
      <t xml:space="preserve"> / MEDUOX312798/ Q# WUHO052924C, detention 1 hr free, pu detention 2 hrs free</t>
    </r>
  </si>
  <si>
    <t>DONE#150712</t>
  </si>
  <si>
    <t>SMCU1281120</t>
  </si>
  <si>
    <t>0301283</t>
  </si>
  <si>
    <t>SMLMNJPU3B286100</t>
  </si>
  <si>
    <t>CAAU6783155</t>
  </si>
  <si>
    <t xml:space="preserve">HOUSTON ZIM NORFOLK </t>
  </si>
  <si>
    <t>MAEU239194604</t>
  </si>
  <si>
    <t>Done #150404</t>
  </si>
  <si>
    <t>MSKU8998565</t>
  </si>
  <si>
    <t>MAEU239194605</t>
  </si>
  <si>
    <t>Done #150543</t>
  </si>
  <si>
    <t>EMCU1846109</t>
  </si>
  <si>
    <t>PO# 60951 --&gt; 69896/EGLV090400093886</t>
  </si>
  <si>
    <t>PVXU5517260</t>
  </si>
  <si>
    <t>CMDUSHZ6261300</t>
  </si>
  <si>
    <t>WEDU1170961  </t>
  </si>
  <si>
    <t>D511A6</t>
  </si>
  <si>
    <r>
      <t xml:space="preserve">pre-pull &amp; yard storage / CMDUXIA1352419     / </t>
    </r>
    <r>
      <rPr>
        <sz val="11"/>
        <color rgb="FFFF0000"/>
        <rFont val="Calibri"/>
        <family val="2"/>
        <scheme val="minor"/>
      </rPr>
      <t xml:space="preserve">re-route $225+ chassis split for SOC return to Vacarro. </t>
    </r>
    <r>
      <rPr>
        <sz val="11"/>
        <color theme="1"/>
        <rFont val="Calibri"/>
        <family val="2"/>
        <scheme val="minor"/>
      </rPr>
      <t>/ Q# ASPD082923C, Detention 2 hrs free</t>
    </r>
  </si>
  <si>
    <t>DONE# 149884</t>
  </si>
  <si>
    <t>SEKU5551822</t>
  </si>
  <si>
    <t>LOVES PARK, IL 61111</t>
  </si>
  <si>
    <t>32C89D</t>
  </si>
  <si>
    <r>
      <rPr>
        <sz val="11"/>
        <color rgb="FFFF0000"/>
        <rFont val="Calibri"/>
        <family val="2"/>
        <scheme val="minor"/>
      </rPr>
      <t xml:space="preserve">Bnsf demurrage $150 -trucker paid / OW $ 350- 40HQ / 46,788.71 LBS </t>
    </r>
    <r>
      <rPr>
        <sz val="11"/>
        <color rgb="FF000000"/>
        <rFont val="Calibri"/>
        <family val="2"/>
        <scheme val="minor"/>
      </rPr>
      <t>/ CMDUNGP1156585 / Q# EVAN061324A, Detention-2 hrs free</t>
    </r>
  </si>
  <si>
    <t>DONE# 149890</t>
  </si>
  <si>
    <t>OOCU8688605</t>
  </si>
  <si>
    <t>9ceb54</t>
  </si>
  <si>
    <t>COSU6384264080</t>
  </si>
  <si>
    <t>OOCU7318416</t>
  </si>
  <si>
    <t>bcf4db</t>
  </si>
  <si>
    <t>OOLU8810803230</t>
  </si>
  <si>
    <t>TGBU4952756</t>
  </si>
  <si>
    <t>97FDC1</t>
  </si>
  <si>
    <t>OOLU8810803240</t>
  </si>
  <si>
    <t>FFAU2559480</t>
  </si>
  <si>
    <t>2f09a9</t>
  </si>
  <si>
    <t>COSU6383936390</t>
  </si>
  <si>
    <t>CMAU2833058</t>
  </si>
  <si>
    <t>NEW YORK PORT -
MAHER TERMINAL</t>
  </si>
  <si>
    <t>N/A, ABL 只清关，不派送</t>
  </si>
  <si>
    <t>Customs released</t>
  </si>
  <si>
    <t>CMDUQGD0799952   / ABLW / ISF ON FILE / ABL 只清关，不派送 / received CI/PL</t>
  </si>
  <si>
    <t>DONE#149599</t>
  </si>
  <si>
    <t>Customs only</t>
  </si>
  <si>
    <t xml:space="preserve">CMAU4915622 </t>
  </si>
  <si>
    <t>OOCU7587014</t>
  </si>
  <si>
    <t>BC4332</t>
  </si>
  <si>
    <t>COSU6384303502</t>
  </si>
  <si>
    <t xml:space="preserve">NINGBO NAUHUA </t>
  </si>
  <si>
    <t>MRSU5368141</t>
  </si>
  <si>
    <t>MSC JASPER VIII (PORT OF TAMPA)</t>
  </si>
  <si>
    <t>MAEU238905344</t>
  </si>
  <si>
    <t>Done #150544</t>
  </si>
  <si>
    <t>MRSU3127417</t>
  </si>
  <si>
    <t>BSIU2466124</t>
  </si>
  <si>
    <t>GAOU6016387</t>
  </si>
  <si>
    <t>pre-pull &amp; yard storage / MBL# SHFO4C349100, overweight/ 客户自己预约 / Q# LTRN051624D, 1 HOUR FREE DETENTION</t>
  </si>
  <si>
    <t>DONE# 150042</t>
  </si>
  <si>
    <t>BMOU5335441</t>
  </si>
  <si>
    <t>10b481</t>
  </si>
  <si>
    <t>OOLU8810803220</t>
  </si>
  <si>
    <t>TGBU7763720</t>
  </si>
  <si>
    <t>COSU6384682150</t>
  </si>
  <si>
    <t>JXLU6211886</t>
  </si>
  <si>
    <t xml:space="preserve">01291A </t>
  </si>
  <si>
    <t>ZIMUSHH31278062</t>
  </si>
  <si>
    <t>TRHU7251115</t>
  </si>
  <si>
    <t>Great Falls, MT</t>
  </si>
  <si>
    <t>BKG &lt;090400064924&gt; PO# 60896 --&gt; 60951</t>
  </si>
  <si>
    <t>OOLU6905734</t>
  </si>
  <si>
    <t>62e626</t>
  </si>
  <si>
    <t>OOLU8810806050</t>
  </si>
  <si>
    <t>DONE BUT ADDITIONAL CHARGES LATER</t>
  </si>
  <si>
    <t>CXDU2212210</t>
  </si>
  <si>
    <t>LAKELALD, FL 33801</t>
  </si>
  <si>
    <r>
      <t>COSU6383840430 /</t>
    </r>
    <r>
      <rPr>
        <sz val="11"/>
        <color rgb="FFFF0000"/>
        <rFont val="Calibri"/>
        <family val="2"/>
        <scheme val="minor"/>
      </rPr>
      <t xml:space="preserve"> empty ready 7/3</t>
    </r>
  </si>
  <si>
    <t>DONE# 150705</t>
  </si>
  <si>
    <t>SMCU1179951</t>
  </si>
  <si>
    <t>0962894</t>
  </si>
  <si>
    <t>SMLMNJGF2A616600</t>
  </si>
  <si>
    <t>FOREST</t>
  </si>
  <si>
    <t>CSNU6189036</t>
  </si>
  <si>
    <t>EE578C</t>
  </si>
  <si>
    <t>COSU6385293360</t>
  </si>
  <si>
    <t>CAIU9953788</t>
  </si>
  <si>
    <t>0963022</t>
  </si>
  <si>
    <t>SMLMNJGF2A615500</t>
  </si>
  <si>
    <t>SMCU1161377</t>
  </si>
  <si>
    <t>0962728</t>
  </si>
  <si>
    <t>SMLMNJPU3B278200</t>
  </si>
  <si>
    <t>SMCU1062409</t>
  </si>
  <si>
    <t>0962913</t>
  </si>
  <si>
    <t>SMLMNJED4C921500</t>
  </si>
  <si>
    <t>SMCU1189672</t>
  </si>
  <si>
    <t>0962889</t>
  </si>
  <si>
    <t>SMLMNJGF2A617700</t>
  </si>
  <si>
    <t>EMCU8721079</t>
  </si>
  <si>
    <t>EGLV140400921029， hold removed 6/28</t>
  </si>
  <si>
    <t>#151364</t>
  </si>
  <si>
    <t>TGBU4032320</t>
  </si>
  <si>
    <t>#151365</t>
  </si>
  <si>
    <t>TGBU9782082</t>
  </si>
  <si>
    <t>#151366</t>
  </si>
  <si>
    <t>CSNU8227259</t>
  </si>
  <si>
    <t>170c84</t>
  </si>
  <si>
    <t>COSU6385415480</t>
  </si>
  <si>
    <t>CSNU7792722</t>
  </si>
  <si>
    <t>B9758D</t>
  </si>
  <si>
    <t>COSU6383507431</t>
  </si>
  <si>
    <t>TCKU7811103</t>
  </si>
  <si>
    <t>A05CF9</t>
  </si>
  <si>
    <t>COSU6384303501</t>
  </si>
  <si>
    <t>TGBU9259913</t>
  </si>
  <si>
    <t>C385EE</t>
  </si>
  <si>
    <t>cosu6385537111</t>
  </si>
  <si>
    <t>CSLU6122457</t>
  </si>
  <si>
    <t>129f1f</t>
  </si>
  <si>
    <t>OOLU8810811210</t>
  </si>
  <si>
    <t>OOLU6759429</t>
  </si>
  <si>
    <t>3bd912</t>
  </si>
  <si>
    <t>OOLU8810809220</t>
  </si>
  <si>
    <t>TEMU6043094</t>
  </si>
  <si>
    <t>94663F</t>
  </si>
  <si>
    <t>COSU6383559300</t>
  </si>
  <si>
    <t>HLBU3249075</t>
  </si>
  <si>
    <t>ETD 4-15</t>
  </si>
  <si>
    <t>Birminghan, AL 35203</t>
  </si>
  <si>
    <t>NEW BKG &lt;10474302&gt; PO# 33210, 33211, 33212</t>
  </si>
  <si>
    <t>CAIU4301597</t>
  </si>
  <si>
    <t xml:space="preserve"> TGBU9634697</t>
  </si>
  <si>
    <t>PRSU8858232</t>
  </si>
  <si>
    <t>COSU6385008563</t>
  </si>
  <si>
    <t>TDSU8046678</t>
  </si>
  <si>
    <t>UP-Denver</t>
  </si>
  <si>
    <t>8am-4pm, live</t>
  </si>
  <si>
    <t>CHEYENNE, WY 82001</t>
  </si>
  <si>
    <t>ONEYXMNE54189700  / Chassis split for SOC return to Denver Intermodal Express / Q# WUHO042224B, $690-1 hour free</t>
  </si>
  <si>
    <t>DONE# 151360</t>
  </si>
  <si>
    <t>TCNU7143708</t>
  </si>
  <si>
    <t>Phoenix, AZ 85009 
 changed to Sojin-Gardena CA 90248</t>
  </si>
  <si>
    <r>
      <rPr>
        <sz val="11"/>
        <color rgb="FFFF0000"/>
        <rFont val="Calibri"/>
        <family val="2"/>
        <scheme val="minor"/>
      </rPr>
      <t>pier pass $71.14+ CTF $20</t>
    </r>
    <r>
      <rPr>
        <sz val="11"/>
        <color theme="1"/>
        <rFont val="Calibri"/>
        <family val="2"/>
        <scheme val="minor"/>
      </rPr>
      <t xml:space="preserve"> / MBL# MEDUVH575650 HBL'S # (HSZX00033758, HSZX00033810, HSZX00033830, HSZX00033808</t>
    </r>
  </si>
  <si>
    <t>DONE# 150646, Disputing trucker inv</t>
  </si>
  <si>
    <t>CSLU6337157</t>
  </si>
  <si>
    <t xml:space="preserve"> Shipshewana IN 46565</t>
  </si>
  <si>
    <r>
      <rPr>
        <sz val="11"/>
        <color rgb="FFFF0000"/>
        <rFont val="Calibri"/>
        <family val="2"/>
        <scheme val="minor"/>
      </rPr>
      <t>1.25 hrs PU Detention -2024-06-27 1:38 PM-3:53 PM, 1 hour free.</t>
    </r>
    <r>
      <rPr>
        <sz val="11"/>
        <color rgb="FF000000"/>
        <rFont val="Calibri"/>
        <family val="2"/>
        <scheme val="minor"/>
      </rPr>
      <t xml:space="preserve"> / COSU6382517360 / </t>
    </r>
    <r>
      <rPr>
        <sz val="11"/>
        <color rgb="FFFF0000"/>
        <rFont val="Calibri"/>
        <family val="2"/>
        <scheme val="minor"/>
      </rPr>
      <t>CN demurrage $200-6.27</t>
    </r>
    <r>
      <rPr>
        <sz val="11"/>
        <color rgb="FF000000"/>
        <rFont val="Calibri"/>
        <family val="2"/>
        <scheme val="minor"/>
      </rPr>
      <t xml:space="preserve"> / q# LTRN031924F, dentention 1 hr free</t>
    </r>
  </si>
  <si>
    <t>DONE# 150267, pending trucker inv'</t>
  </si>
  <si>
    <t>DFSU7449717</t>
  </si>
  <si>
    <t>4523af</t>
  </si>
  <si>
    <t>COSU6384940380</t>
  </si>
  <si>
    <t>TEMU7196605</t>
  </si>
  <si>
    <t>ba9aeb</t>
  </si>
  <si>
    <t>COSU6385537110</t>
  </si>
  <si>
    <t>TGBU8785955</t>
  </si>
  <si>
    <t>2BFEDA</t>
  </si>
  <si>
    <t>COSU6385008562</t>
  </si>
  <si>
    <t>CBHU7010379</t>
  </si>
  <si>
    <t>24177B</t>
  </si>
  <si>
    <t>COSU6385008569</t>
  </si>
  <si>
    <t>MRKU6204284</t>
  </si>
  <si>
    <t>MAEU238961189</t>
  </si>
  <si>
    <t>Done #150545</t>
  </si>
  <si>
    <t>MRKU6139635</t>
  </si>
  <si>
    <t>MSKU9463378</t>
  </si>
  <si>
    <t>SUDU8558810</t>
  </si>
  <si>
    <t>OOCU9033351</t>
  </si>
  <si>
    <t>667ACF</t>
  </si>
  <si>
    <t>OOLU2736801278</t>
  </si>
  <si>
    <t>BEAU5013944</t>
  </si>
  <si>
    <t>8e4181</t>
  </si>
  <si>
    <t>ZIMUSHH31279730</t>
  </si>
  <si>
    <t>FFAU3307190</t>
  </si>
  <si>
    <t>ACD7F8</t>
  </si>
  <si>
    <t>OOLU2737925690</t>
  </si>
  <si>
    <t>CRSU9159155</t>
  </si>
  <si>
    <t>MAEU238180665, hold removed 6/28</t>
  </si>
  <si>
    <t>Done #151301</t>
  </si>
  <si>
    <t>OOCU7896116</t>
  </si>
  <si>
    <t>81d8b6</t>
  </si>
  <si>
    <t>OOLU2148505430</t>
  </si>
  <si>
    <t>CSNU8516570</t>
  </si>
  <si>
    <t>46C1C8</t>
  </si>
  <si>
    <t>COSU6385008572</t>
  </si>
  <si>
    <t>TEMU6951384</t>
  </si>
  <si>
    <t>4123bb</t>
  </si>
  <si>
    <t>COSU6384974350</t>
  </si>
  <si>
    <t>DONE 152080</t>
  </si>
  <si>
    <t>TGBU8793971</t>
  </si>
  <si>
    <t>2A6AE6  </t>
  </si>
  <si>
    <t>COSU6384958652</t>
  </si>
  <si>
    <t>CMAU7235233</t>
  </si>
  <si>
    <t>4E717D</t>
  </si>
  <si>
    <t>CMDUQGD0875813 / $7550 / 7450 CMA via LAX，ETD Qingdao 5/27 to ETA Chicago 6/25-  Rohana wheel / New Booking From QINGDAO TO CHICAGO / 1*40HQ</t>
  </si>
  <si>
    <t>DONE# 150553</t>
  </si>
  <si>
    <t>FFAU3152653</t>
  </si>
  <si>
    <t>2c8b7e</t>
  </si>
  <si>
    <t>OOLU8810809221</t>
  </si>
  <si>
    <t>TEMU6796713</t>
  </si>
  <si>
    <t>340f88</t>
  </si>
  <si>
    <t>ZIMUSHH31254364</t>
  </si>
  <si>
    <t>TCNU8387680</t>
  </si>
  <si>
    <t>MAEU238180665, hold removed 6/28, require POD</t>
  </si>
  <si>
    <t>Done# 151244</t>
  </si>
  <si>
    <t>EITU1292765</t>
  </si>
  <si>
    <t>ROY,WA</t>
  </si>
  <si>
    <t>090400093894 / PO# 61115</t>
  </si>
  <si>
    <t>MATU2537191</t>
  </si>
  <si>
    <t>613AC4</t>
  </si>
  <si>
    <t xml:space="preserve">MATS6093199000 </t>
  </si>
  <si>
    <t>MATU2582499</t>
  </si>
  <si>
    <t>DE9B95</t>
  </si>
  <si>
    <t>MATU4999665000</t>
  </si>
  <si>
    <t xml:space="preserve">YMMU6468357 </t>
  </si>
  <si>
    <t>WILMINGTON PORT</t>
  </si>
  <si>
    <t>Greensboro, NC, 27406</t>
  </si>
  <si>
    <t>pre-pull &amp; yard storage / 1.75 hrs detention -8am-11:45am, 2 hours free / YMJAE232217654 / Q# PGNE102323A, $1200 / Detention 2 hrs free</t>
  </si>
  <si>
    <t>DONE# 150707</t>
  </si>
  <si>
    <t>Uline</t>
  </si>
  <si>
    <t>CBHU8941587</t>
  </si>
  <si>
    <t>只发AN</t>
  </si>
  <si>
    <t>CA3CC8</t>
  </si>
  <si>
    <r>
      <rPr>
        <sz val="11"/>
        <color rgb="FF000000"/>
        <rFont val="Calibri"/>
        <family val="2"/>
        <scheme val="minor"/>
      </rPr>
      <t xml:space="preserve">OOLU2739147381/ </t>
    </r>
    <r>
      <rPr>
        <sz val="11"/>
        <color rgb="FFFF0000"/>
        <rFont val="Calibri"/>
        <family val="2"/>
        <scheme val="minor"/>
      </rPr>
      <t>AN sent/</t>
    </r>
    <r>
      <rPr>
        <sz val="11"/>
        <color rgb="FF000000"/>
        <rFont val="Calibri"/>
        <family val="2"/>
        <scheme val="minor"/>
      </rPr>
      <t xml:space="preserve"> Attached B/L draft fyi, The customer will fill ISF and clear custom, Please help to  send  ABL’s arrival notice to customer/  AN send to ULINE@KUEHNE-NAGEL.COM, CC: daisy.yang@kex-sf.com</t>
    </r>
  </si>
  <si>
    <t>Done#149562</t>
  </si>
  <si>
    <t>OOCU6870879</t>
  </si>
  <si>
    <t>9BADDE</t>
  </si>
  <si>
    <r>
      <rPr>
        <sz val="11"/>
        <color rgb="FF000000"/>
        <rFont val="Calibri"/>
        <family val="2"/>
        <scheme val="minor"/>
      </rPr>
      <t xml:space="preserve">OOLU2738994250/ </t>
    </r>
    <r>
      <rPr>
        <sz val="11"/>
        <color rgb="FFFF0000"/>
        <rFont val="Calibri"/>
        <family val="2"/>
        <scheme val="minor"/>
      </rPr>
      <t>AN sent</t>
    </r>
    <r>
      <rPr>
        <sz val="11"/>
        <color rgb="FF000000"/>
        <rFont val="Calibri"/>
        <family val="2"/>
        <scheme val="minor"/>
      </rPr>
      <t>/ Attached B/L draft fyi, The customer will fill ISF and clear custom, Please help to  send  ABL’s arrival notice to customer/  AN send to ULINE@KUEHNE-NAGEL.COM, CC: daisy.yang@kex-sf.com</t>
    </r>
  </si>
  <si>
    <t>Done#149564</t>
  </si>
  <si>
    <t>CCLU7717314</t>
  </si>
  <si>
    <t>CBB4C3</t>
  </si>
  <si>
    <t>COSU6384897560</t>
  </si>
  <si>
    <t>TCKU7351306</t>
  </si>
  <si>
    <t>90bf7d</t>
  </si>
  <si>
    <t>ZIMUSHH31279747</t>
  </si>
  <si>
    <t>OOCU8481449</t>
  </si>
  <si>
    <t>b90e7d</t>
  </si>
  <si>
    <t>OOLU8810827790</t>
  </si>
  <si>
    <t>CAAU5322360</t>
  </si>
  <si>
    <t>EMC</t>
  </si>
  <si>
    <t>3248CB</t>
  </si>
  <si>
    <t>EGLV143464788082</t>
  </si>
  <si>
    <t>TGBU8966001</t>
  </si>
  <si>
    <t>42B27B  </t>
  </si>
  <si>
    <t>COSU6384958651</t>
  </si>
  <si>
    <t>CCLU7367983</t>
  </si>
  <si>
    <t>7C470A  </t>
  </si>
  <si>
    <t>MSMU7670438</t>
  </si>
  <si>
    <t>ce8f2d</t>
  </si>
  <si>
    <t>MEDUZU364655</t>
  </si>
  <si>
    <t>FCIU9815811</t>
  </si>
  <si>
    <t>EF97DE</t>
  </si>
  <si>
    <r>
      <rPr>
        <sz val="11"/>
        <color rgb="FFFF0000"/>
        <rFont val="Calibri"/>
        <family val="2"/>
        <scheme val="minor"/>
      </rPr>
      <t>IG LFD 07.15</t>
    </r>
    <r>
      <rPr>
        <sz val="11"/>
        <color rgb="FF000000"/>
        <rFont val="Calibri"/>
        <family val="2"/>
        <scheme val="minor"/>
      </rPr>
      <t xml:space="preserve">/ OOLU2739147380/ </t>
    </r>
    <r>
      <rPr>
        <sz val="11"/>
        <color rgb="FFFF0000"/>
        <rFont val="Calibri"/>
        <family val="2"/>
        <scheme val="minor"/>
      </rPr>
      <t>AN sent</t>
    </r>
    <r>
      <rPr>
        <sz val="11"/>
        <color rgb="FF000000"/>
        <rFont val="Calibri"/>
        <family val="2"/>
        <scheme val="minor"/>
      </rPr>
      <t>/ Attached B/L draft fyi, The customer will fill ISF and clear custom, Please help to  send  ABL’s arrival notice to customer/  AN send to ULINE@KUEHNE-NAGEL.COM, CC: daisy.yang@kex-sf.com</t>
    </r>
  </si>
  <si>
    <t>Done#149563</t>
  </si>
  <si>
    <t>CBHU9059737</t>
  </si>
  <si>
    <t>D1CCCD</t>
  </si>
  <si>
    <t>COSU6385628079</t>
  </si>
  <si>
    <t>DONE 152081</t>
  </si>
  <si>
    <t>TCNU2604622</t>
  </si>
  <si>
    <t>FD614A</t>
  </si>
  <si>
    <t>6/29+</t>
  </si>
  <si>
    <t>COSU6384958731</t>
  </si>
  <si>
    <t>OOLU4941012</t>
  </si>
  <si>
    <t>A7C031</t>
  </si>
  <si>
    <t xml:space="preserve">OOLU8810811220 </t>
  </si>
  <si>
    <t>EGSU9684404</t>
  </si>
  <si>
    <t>9am-3pm</t>
  </si>
  <si>
    <t xml:space="preserve"> ELIZABETH NJ 07206</t>
  </si>
  <si>
    <r>
      <rPr>
        <sz val="11"/>
        <color rgb="FFFF0000"/>
        <rFont val="Calibri"/>
        <family val="2"/>
        <scheme val="minor"/>
      </rPr>
      <t>2 hrs detention-9am-12pm, 1 hour free</t>
    </r>
    <r>
      <rPr>
        <sz val="11"/>
        <color theme="1"/>
        <rFont val="Calibri"/>
        <family val="2"/>
        <scheme val="minor"/>
      </rPr>
      <t xml:space="preserve"> / pre-pull &amp; yard storage / EGLV149402657063 / Q# LTRN032224E, $450, detention 1 hr free</t>
    </r>
  </si>
  <si>
    <t>DONE# 150637</t>
  </si>
  <si>
    <t xml:space="preserve">OOCU7501371 </t>
  </si>
  <si>
    <t>CDA7E4</t>
  </si>
  <si>
    <r>
      <rPr>
        <sz val="11"/>
        <color rgb="FF000000"/>
        <rFont val="Calibri"/>
        <family val="2"/>
        <scheme val="minor"/>
      </rPr>
      <t xml:space="preserve">OOLU2738994251 / </t>
    </r>
    <r>
      <rPr>
        <sz val="11"/>
        <color rgb="FFFF0000"/>
        <rFont val="Calibri"/>
        <family val="2"/>
        <scheme val="minor"/>
      </rPr>
      <t>AN sent/</t>
    </r>
    <r>
      <rPr>
        <sz val="11"/>
        <color rgb="FF000000"/>
        <rFont val="Calibri"/>
        <family val="2"/>
        <scheme val="minor"/>
      </rPr>
      <t xml:space="preserve"> Only send out AN/  AN send to ULINE@KUEHNE-NAGEL.COM, CC: daisy.yang@kex-sf.com / Bill to WUH</t>
    </r>
  </si>
  <si>
    <t>Done#149565</t>
  </si>
  <si>
    <t>TCLU7977880</t>
  </si>
  <si>
    <t>Port Of Tampa</t>
  </si>
  <si>
    <t>MAEU238981018</t>
  </si>
  <si>
    <t>Done #150558</t>
  </si>
  <si>
    <t>HASU4255602</t>
  </si>
  <si>
    <t>MAEU238961518</t>
  </si>
  <si>
    <t>Done #150562</t>
  </si>
  <si>
    <t>MRSU5600576</t>
  </si>
  <si>
    <t>MRKU2708672</t>
  </si>
  <si>
    <t>SEKU4638661</t>
  </si>
  <si>
    <t>TCLU7234518</t>
  </si>
  <si>
    <t>TCLU8713808</t>
  </si>
  <si>
    <t>0668732</t>
  </si>
  <si>
    <t>ONEYTA2VG1897400/ Q# WUH010824G, $850/ Detention 1 hr free</t>
  </si>
  <si>
    <t>DONE# 150559</t>
  </si>
  <si>
    <t>TRHU8329985</t>
  </si>
  <si>
    <t>ONEYTPEE44976500 /  MTPE24050105 / S/HUNTER ALLOY C/AUTOSPEC INC. KEL TO Chicago 1X40HQ CLS05/15
ONE $6050 (Subject to roll) / cost $5950 
TLX HBL /  SWB</t>
  </si>
  <si>
    <t>DONE# 150555</t>
  </si>
  <si>
    <t>OOLU6890953</t>
  </si>
  <si>
    <t>c3fe00</t>
  </si>
  <si>
    <t>OOLU8810822730</t>
  </si>
  <si>
    <t>OOCU6940786</t>
  </si>
  <si>
    <t>F938C4</t>
  </si>
  <si>
    <t>COSU6385628077</t>
  </si>
  <si>
    <t>TIIU4357351</t>
  </si>
  <si>
    <t>23DF3D</t>
  </si>
  <si>
    <r>
      <rPr>
        <sz val="11"/>
        <color rgb="FF000000"/>
        <rFont val="Calibri"/>
        <family val="2"/>
        <scheme val="minor"/>
      </rPr>
      <t>EGLV143457072271/</t>
    </r>
    <r>
      <rPr>
        <sz val="11"/>
        <color rgb="FFFF0000"/>
        <rFont val="Calibri"/>
        <family val="2"/>
        <scheme val="minor"/>
      </rPr>
      <t xml:space="preserve"> AN sent/</t>
    </r>
    <r>
      <rPr>
        <sz val="11"/>
        <color rgb="FF000000"/>
        <rFont val="Calibri"/>
        <family val="2"/>
        <scheme val="minor"/>
      </rPr>
      <t xml:space="preserve"> Only send out AN/  AN send to ULINE@KUEHNE-NAGEL.COM, CC: daisy.yang@kex-sf.com / Bill to WUH</t>
    </r>
  </si>
  <si>
    <t>Done#149566</t>
  </si>
  <si>
    <t>OOCU8381645</t>
  </si>
  <si>
    <t>194A48 </t>
  </si>
  <si>
    <t>OOLU2738155634</t>
  </si>
  <si>
    <t>MAGU5669400</t>
  </si>
  <si>
    <t>8CD344</t>
  </si>
  <si>
    <t>COSU6385860740</t>
  </si>
  <si>
    <t>OOLU8698385</t>
  </si>
  <si>
    <t>025cb1</t>
  </si>
  <si>
    <t>COSU6385348510</t>
  </si>
  <si>
    <t>MATU2603631</t>
  </si>
  <si>
    <t>23445C</t>
  </si>
  <si>
    <t>MATS5176207000</t>
  </si>
  <si>
    <t>SEKU4372587</t>
  </si>
  <si>
    <t>1B5098</t>
  </si>
  <si>
    <t>COSU6385622081</t>
  </si>
  <si>
    <t>OOCU8400323</t>
  </si>
  <si>
    <t>5B3341</t>
  </si>
  <si>
    <t>COSU6385326580</t>
  </si>
  <si>
    <t>DFSU7435312</t>
  </si>
  <si>
    <t>DE5D7E</t>
  </si>
  <si>
    <t>COSU6385628083</t>
  </si>
  <si>
    <t>EISU8496710</t>
  </si>
  <si>
    <t>LA PORT</t>
  </si>
  <si>
    <t>NEW BKG &lt;090400098128&gt; PO# 61224</t>
  </si>
  <si>
    <t>BMOU9843986</t>
  </si>
  <si>
    <t>ONEYNB4BDA493700</t>
  </si>
  <si>
    <t>ZCSU7614818</t>
  </si>
  <si>
    <t>013769</t>
  </si>
  <si>
    <t>ZIMUSHH31279648</t>
  </si>
  <si>
    <t>CAAU5440399</t>
  </si>
  <si>
    <t>E18A29</t>
  </si>
  <si>
    <t>ZIMUSHH31279626</t>
  </si>
  <si>
    <t>BMOU5023145</t>
  </si>
  <si>
    <t>Franklin Park IL 60131</t>
  </si>
  <si>
    <t>OOLU2737336020</t>
  </si>
  <si>
    <t>OOCU7721571</t>
  </si>
  <si>
    <t>FB8AEC</t>
  </si>
  <si>
    <t>COSU6385628081</t>
  </si>
  <si>
    <t>DONE  152084</t>
  </si>
  <si>
    <t>FSCU8781085</t>
  </si>
  <si>
    <t>COSU6385628084</t>
  </si>
  <si>
    <t>TCNU6071331</t>
  </si>
  <si>
    <t>bad597</t>
  </si>
  <si>
    <t>COSU6385618360</t>
  </si>
  <si>
    <t>DRYU9639417</t>
  </si>
  <si>
    <t>00A979</t>
  </si>
  <si>
    <t>ZIMUSHH31279629</t>
  </si>
  <si>
    <t>ZCSU6586331</t>
  </si>
  <si>
    <t>DE6E35</t>
  </si>
  <si>
    <t>ZIMUSHH31279628</t>
  </si>
  <si>
    <t>GCXU5038423</t>
  </si>
  <si>
    <t>MADISON WI 53718</t>
  </si>
  <si>
    <t>HDMUNKGM70540600 / 0.5 hr detention/ pre-pull, yard storage</t>
  </si>
  <si>
    <t>Done # 150799</t>
  </si>
  <si>
    <t>BEAU6282948</t>
  </si>
  <si>
    <t>1910225 </t>
  </si>
  <si>
    <t>SMLMNJGF2A647300</t>
  </si>
  <si>
    <t>TCKU6683667</t>
  </si>
  <si>
    <t>56b756</t>
  </si>
  <si>
    <t>COSU6385887700</t>
  </si>
  <si>
    <t>BEAU5163899</t>
  </si>
  <si>
    <t>B2804E</t>
  </si>
  <si>
    <t>YMJAW242563887</t>
  </si>
  <si>
    <t>Done #150774</t>
  </si>
  <si>
    <t>BEAU4776598</t>
  </si>
  <si>
    <t>9906D5</t>
  </si>
  <si>
    <t>CMDUNGP1305588</t>
  </si>
  <si>
    <t>DRYU9174768</t>
  </si>
  <si>
    <t>SMLMNJEB3F086700</t>
  </si>
  <si>
    <t>CSNU6889338</t>
  </si>
  <si>
    <t>9C412D</t>
  </si>
  <si>
    <t>COSU6385836780</t>
  </si>
  <si>
    <t xml:space="preserve">done 152909 </t>
  </si>
  <si>
    <t>SMCU7022300</t>
  </si>
  <si>
    <t>SMLMNJEB3F087100</t>
  </si>
  <si>
    <t>OOLU9997457</t>
  </si>
  <si>
    <t>MOBILE</t>
  </si>
  <si>
    <t>NEW BKG &lt;2737841640&gt; PO# 33213 &amp; 33214</t>
  </si>
  <si>
    <t>OOLU8898758</t>
  </si>
  <si>
    <t>OOLU6877231</t>
  </si>
  <si>
    <t>NEW BKG &lt;2737998890&gt; PO# 33215 &amp; 33216</t>
  </si>
  <si>
    <t>FFAU2820090</t>
  </si>
  <si>
    <t>tr</t>
  </si>
  <si>
    <t>ANO</t>
  </si>
  <si>
    <t>TRHU4903652</t>
  </si>
  <si>
    <t>PLAINFIELD, IL 60544</t>
  </si>
  <si>
    <t>1D8053</t>
  </si>
  <si>
    <r>
      <t xml:space="preserve">COSU6386054190, A TO Z / </t>
    </r>
    <r>
      <rPr>
        <sz val="9.35"/>
        <rFont val="Calibri"/>
        <family val="2"/>
      </rPr>
      <t>7-12 empty ready / LFD for emtpy return 7-11</t>
    </r>
  </si>
  <si>
    <t>DONE#150933</t>
  </si>
  <si>
    <t>CAIU4354339</t>
  </si>
  <si>
    <t>MADISON, WI 53718</t>
  </si>
  <si>
    <t>HDMUNKGM85134600 pre-pull 7/26</t>
  </si>
  <si>
    <t>Done # 151838</t>
  </si>
  <si>
    <t>GAOU6228832</t>
  </si>
  <si>
    <t>WESHIIP</t>
  </si>
  <si>
    <t>HDMUNKGM32454800</t>
  </si>
  <si>
    <t>Done # 151489</t>
  </si>
  <si>
    <t>HMMU6157738</t>
  </si>
  <si>
    <t>HDMUNKGM63581500 / .5hrs of detention / $100 redelivery</t>
  </si>
  <si>
    <t>Done # 151488</t>
  </si>
  <si>
    <t>HMMU6535247</t>
  </si>
  <si>
    <t>ABL warehouse</t>
  </si>
  <si>
    <t>HDMUNKGM76664400 / transload / at ramp / 24 picked up 8-1 / 8 picked up 8-5</t>
  </si>
  <si>
    <t>Done # 152044</t>
  </si>
  <si>
    <t>KOCU4137831</t>
  </si>
  <si>
    <t>HDMUNKGM46708200</t>
  </si>
  <si>
    <t>Done # 151491</t>
  </si>
  <si>
    <t>TCNU3175883</t>
  </si>
  <si>
    <t>transloading</t>
  </si>
  <si>
    <t>ABL WAREHOUSE</t>
  </si>
  <si>
    <t>C0E1DB</t>
  </si>
  <si>
    <t>YMJAW242563886, 7/17 PU -22 PLTS</t>
  </si>
  <si>
    <t>Done #151903</t>
  </si>
  <si>
    <t>TCNU7642076</t>
  </si>
  <si>
    <t>UNION PACIFIC - GLOBAL4</t>
  </si>
  <si>
    <t>HDMUNKGM85753700</t>
  </si>
  <si>
    <t>Done # 151686</t>
  </si>
  <si>
    <t>DRYU9360994</t>
  </si>
  <si>
    <t>Golden, CO 80403</t>
  </si>
  <si>
    <t>112B7D</t>
  </si>
  <si>
    <r>
      <t xml:space="preserve">CMDUXIA1375813   / </t>
    </r>
    <r>
      <rPr>
        <sz val="11"/>
        <color rgb="FFFF0000"/>
        <rFont val="Calibri"/>
        <family val="2"/>
        <scheme val="minor"/>
      </rPr>
      <t>chassis split for SOC return to Complete container services</t>
    </r>
  </si>
  <si>
    <t>DONE# 152007</t>
  </si>
  <si>
    <t>Delivery only</t>
  </si>
  <si>
    <t>FXLU9145399</t>
  </si>
  <si>
    <t>3242881</t>
  </si>
  <si>
    <r>
      <rPr>
        <sz val="11"/>
        <color rgb="FFFF0000"/>
        <rFont val="Calibri"/>
        <family val="2"/>
        <scheme val="minor"/>
      </rPr>
      <t>UP FLIP $115 /  pre-pull &amp; yard storage  /</t>
    </r>
    <r>
      <rPr>
        <sz val="11"/>
        <color theme="1"/>
        <rFont val="Calibri"/>
        <family val="2"/>
        <scheme val="minor"/>
      </rPr>
      <t xml:space="preserve"> HDMUXMNM57092900  </t>
    </r>
    <r>
      <rPr>
        <sz val="11"/>
        <color rgb="FFFF0000"/>
        <rFont val="Calibri"/>
        <family val="2"/>
        <scheme val="minor"/>
      </rPr>
      <t>/  reroute $200 + chassis split for returning SOC to Conglobal Forest View</t>
    </r>
  </si>
  <si>
    <t>DONE# 151581</t>
  </si>
  <si>
    <t>FXLU9145418</t>
  </si>
  <si>
    <t>3243076</t>
  </si>
  <si>
    <r>
      <rPr>
        <sz val="11"/>
        <color rgb="FFFF0000"/>
        <rFont val="Calibri"/>
        <family val="2"/>
        <scheme val="minor"/>
      </rPr>
      <t xml:space="preserve">UP FLIP $115 /  pre-pull &amp; yard storage </t>
    </r>
    <r>
      <rPr>
        <sz val="11"/>
        <color theme="1"/>
        <rFont val="Calibri"/>
        <family val="2"/>
        <scheme val="minor"/>
      </rPr>
      <t xml:space="preserve"> / HDMUXMNM57092900  </t>
    </r>
    <r>
      <rPr>
        <sz val="11"/>
        <color rgb="FFFF0000"/>
        <rFont val="Calibri"/>
        <family val="2"/>
        <scheme val="minor"/>
      </rPr>
      <t>/  reroute $200 + chassis split for returning SOC to Conglobal Forest View</t>
    </r>
  </si>
  <si>
    <t>DONE#151582</t>
  </si>
  <si>
    <t>HPCU2717167</t>
  </si>
  <si>
    <r>
      <rPr>
        <sz val="11"/>
        <color rgb="FFFF0000"/>
        <rFont val="Calibri"/>
        <family val="2"/>
        <scheme val="minor"/>
      </rPr>
      <t>pre-pull &amp; yard storage</t>
    </r>
    <r>
      <rPr>
        <sz val="11"/>
        <color rgb="FF000000"/>
        <rFont val="Calibri"/>
        <family val="2"/>
        <scheme val="minor"/>
      </rPr>
      <t xml:space="preserve"> / HDMUXMNM99705900   / </t>
    </r>
    <r>
      <rPr>
        <sz val="11"/>
        <color rgb="FFFF0000"/>
        <rFont val="Calibri"/>
        <family val="2"/>
        <scheme val="minor"/>
      </rPr>
      <t>re-route $200+ chassis split for SOC return to NLN Chicago</t>
    </r>
  </si>
  <si>
    <t>DONE#151541</t>
  </si>
  <si>
    <t>SEGU4043118</t>
  </si>
  <si>
    <t>D58548</t>
  </si>
  <si>
    <t>CMDUXIA1375813  / chassis split for SOC return to Complete container services</t>
  </si>
  <si>
    <t>DONE# 152008, disputing trucker inv</t>
  </si>
  <si>
    <t xml:space="preserve">TRHU2194347  </t>
  </si>
  <si>
    <t>NORFORK PORT</t>
  </si>
  <si>
    <t>10am-11am</t>
  </si>
  <si>
    <t>HENRICO,VA 23233</t>
  </si>
  <si>
    <r>
      <rPr>
        <sz val="11"/>
        <color rgb="FFFF0000"/>
        <rFont val="Calibri"/>
        <family val="2"/>
        <scheme val="minor"/>
      </rPr>
      <t>0.5 hr detention- 9:30am-12pm, 2 hours free</t>
    </r>
    <r>
      <rPr>
        <sz val="11"/>
        <color theme="1"/>
        <rFont val="Calibri"/>
        <family val="2"/>
        <scheme val="minor"/>
      </rPr>
      <t>. / ZIMUXIA8394422    / COC / APPT -ATTN: BIRJU BHAGAT 8048142907  Q# ASPD052924H, $850, detention 2 hours free</t>
    </r>
  </si>
  <si>
    <t>DONE#151578</t>
  </si>
  <si>
    <t>CMAU5602089</t>
  </si>
  <si>
    <t>7D6568</t>
  </si>
  <si>
    <t>1 hr pu detention-1:04pm-3:15pm, 1 hour free./ 2 hrs unloading detention- 07:11-10:06, 1 hour free/  pre-pull &amp; yard storage / CMDUQGD0897308 / Q# WUH010824G, 1 hr free detention</t>
  </si>
  <si>
    <t>DONE# 151139</t>
  </si>
  <si>
    <t>CMAU7867889</t>
  </si>
  <si>
    <t>6AD94B</t>
  </si>
  <si>
    <t>CMDUQGD0972113 / Q# WUH010824G, $850/ Detention 1 hr free</t>
  </si>
  <si>
    <t>DONE# 151142</t>
  </si>
  <si>
    <t>CSNU6289605</t>
  </si>
  <si>
    <t>CREDIT HOLD removed on 7-8-2024</t>
  </si>
  <si>
    <t>OOLU2302504410</t>
  </si>
  <si>
    <t>China interocean</t>
  </si>
  <si>
    <t>TCNU4066911</t>
  </si>
  <si>
    <t>CP RAIL - CHICAGO, BENSENVILLE</t>
  </si>
  <si>
    <t>Kumi</t>
  </si>
  <si>
    <t>LIBERTYVILLE IL
60048</t>
  </si>
  <si>
    <t>COSU6387737970 / 只做派送 / demmurage $350</t>
  </si>
  <si>
    <t>Done # 151994</t>
  </si>
  <si>
    <t>DFSU6848219</t>
  </si>
  <si>
    <t>3fde8e</t>
  </si>
  <si>
    <t>COSU6387203190</t>
  </si>
  <si>
    <t>KOCU4539851</t>
  </si>
  <si>
    <t>Plainfield，IN 46168</t>
  </si>
  <si>
    <r>
      <rPr>
        <sz val="11"/>
        <color rgb="FFFF0000"/>
        <rFont val="Calibri"/>
        <family val="2"/>
        <scheme val="minor"/>
      </rPr>
      <t xml:space="preserve">1.5 hrs detention- 11:20am-1:48pm, 1 hour free </t>
    </r>
    <r>
      <rPr>
        <sz val="11"/>
        <color rgb="FF000000"/>
        <rFont val="Calibri"/>
        <family val="2"/>
        <scheme val="minor"/>
      </rPr>
      <t xml:space="preserve">/ MBL# XMNM56085800 / 预约 dispatch@gaologistics.com，抄送：brilliantrading@126.com。
要邮件收到确认后送货哦，到货需要提前发邮箱预约送货    /  </t>
    </r>
    <r>
      <rPr>
        <sz val="11"/>
        <color rgb="FFFF0000"/>
        <rFont val="Calibri"/>
        <family val="2"/>
        <scheme val="minor"/>
      </rPr>
      <t>Bill to WUH</t>
    </r>
  </si>
  <si>
    <t>Done # 151667</t>
  </si>
  <si>
    <t>TCNU6702930</t>
  </si>
  <si>
    <t>9156A7</t>
  </si>
  <si>
    <t>COSU6386522830</t>
  </si>
  <si>
    <t>CTS</t>
  </si>
  <si>
    <t xml:space="preserve">BMOU2836500  </t>
  </si>
  <si>
    <t>CHARLESTON, SC -WWT (WANDO WELCH TERMINAL)</t>
  </si>
  <si>
    <t>要打印一份PL交收货人when delivery</t>
  </si>
  <si>
    <t>CLAREMONT NC 28610</t>
  </si>
  <si>
    <t xml:space="preserve">MBL# ONEYSH4WR1323900  /  HBL# CWHMF240500184 / DAP / /  Q# WUHO042924J,  $1300/ Detentio 2 hrs free / CNEE file ISF &amp; clear Customs / ABL 发AN / Bill to WUH /
CommScope Fiber North Building 3565 Centennial Blvd PO Box 879 CLAREMONT NC 28610， 
ATTN: DAVID EDWARDS / TEL: 18284595020
EMAIL: DEDWARDS@COMMSCOPE.COM </t>
  </si>
  <si>
    <t>DONE# 152371</t>
  </si>
  <si>
    <t>HUIHEJIU</t>
  </si>
  <si>
    <t>CCLU5256065</t>
  </si>
  <si>
    <t>CONTAINER PORT BERTHS 1-5 GARDEN CITY TERMINALS
SAVANNAH</t>
  </si>
  <si>
    <t>P.B. Industries, Inc.</t>
  </si>
  <si>
    <t>lithia springs, GA,30122</t>
  </si>
  <si>
    <t>COSU6384829480, 不发AN/ pre-pull, yard storage</t>
  </si>
  <si>
    <t>Done # 150816</t>
  </si>
  <si>
    <t>DFSU1072396</t>
  </si>
  <si>
    <t>CONTAINER PORT BERTHS 1-5 - L738</t>
  </si>
  <si>
    <t>Tallahassee FL 32303</t>
  </si>
  <si>
    <t>OOLU2739375127 / demmurage/ pre-pull/ pending demmurage fee return</t>
  </si>
  <si>
    <t>Done # 152191</t>
  </si>
  <si>
    <t>TEMU6795471</t>
  </si>
  <si>
    <t>NYCT</t>
  </si>
  <si>
    <t>BRIDGEWATER NJ 08807</t>
  </si>
  <si>
    <t>ZIMUNGB20274233 / NYCT tolls will apply / pre-pull 7/31 / $625 x 2 + chassis</t>
  </si>
  <si>
    <t># 152687</t>
  </si>
  <si>
    <t>TGBU8599797</t>
  </si>
  <si>
    <t>MAHER TERM BLDG 2180 CDS - E416</t>
  </si>
  <si>
    <t xml:space="preserve">Bay Shore NY 11706 </t>
  </si>
  <si>
    <t>OOLU2302634791 / demmurage clear to 8/5/ pre-pull/ 8453142230</t>
  </si>
  <si>
    <t>Done # 152167</t>
  </si>
  <si>
    <t>ZCSU6803817</t>
  </si>
  <si>
    <t>CONTAINER PORT BERTHS 1-5 -L738</t>
  </si>
  <si>
    <t>PBI</t>
  </si>
  <si>
    <t>ZIMUNGB20378148 / demmurage fee + 5% admin</t>
  </si>
  <si>
    <t>Done # 152046</t>
  </si>
  <si>
    <t>ZCSU7764649</t>
  </si>
  <si>
    <t>9:00:00 AM / unloaded</t>
  </si>
  <si>
    <t>ZIMUQIN4966364</t>
  </si>
  <si>
    <t>Done # 152083</t>
  </si>
  <si>
    <t>BMOU5327301</t>
  </si>
  <si>
    <t xml:space="preserve">CP </t>
  </si>
  <si>
    <t>COSU6386702880</t>
  </si>
  <si>
    <t>CSNU6411591</t>
  </si>
  <si>
    <t>COSU6388530270</t>
  </si>
  <si>
    <t>EGSU9221539</t>
  </si>
  <si>
    <t>c33cf6</t>
  </si>
  <si>
    <t>EGLV143456329481</t>
  </si>
  <si>
    <t>FFAU5707370</t>
  </si>
  <si>
    <t>D55297</t>
  </si>
  <si>
    <t>COSU6388421030</t>
  </si>
  <si>
    <t>TCLU6334636</t>
  </si>
  <si>
    <t>cn</t>
  </si>
  <si>
    <t>EGLV143456382276</t>
  </si>
  <si>
    <t xml:space="preserve">BOL106652 </t>
  </si>
  <si>
    <t>customer truck</t>
  </si>
  <si>
    <t>trailerBOL106652 - OB12059 被 rfd2 卸掉一部分的退货</t>
  </si>
  <si>
    <t>SEGU9361934</t>
  </si>
  <si>
    <t>2f671d</t>
  </si>
  <si>
    <t>CMDUNGP1309321</t>
  </si>
  <si>
    <t>KYLIN</t>
  </si>
  <si>
    <t>MAGU5270111</t>
  </si>
  <si>
    <t>00c1d4</t>
  </si>
  <si>
    <t>OOLU8896854180</t>
  </si>
  <si>
    <t>done#152534</t>
  </si>
  <si>
    <t xml:space="preserve"> CMAU3756779</t>
  </si>
  <si>
    <t>6f7ee1</t>
  </si>
  <si>
    <t>CMDUSHZ6280760</t>
  </si>
  <si>
    <t>BSIU9349449</t>
  </si>
  <si>
    <t>b1d2b1</t>
  </si>
  <si>
    <t>COSU6387266140</t>
  </si>
  <si>
    <t>BSIU9634301</t>
  </si>
  <si>
    <t>CC108F</t>
  </si>
  <si>
    <t>OOLU2740614010</t>
  </si>
  <si>
    <t>CAAU5250892</t>
  </si>
  <si>
    <t>SMLMNJEB4A058200</t>
  </si>
  <si>
    <t>CAIU4347427</t>
  </si>
  <si>
    <t>2550923</t>
  </si>
  <si>
    <t>7-22 got APPT confimation from link-trans / pre-pull &amp; yard storage / MBL：NJED4D450300/ 客户自己预约 / Q# LTRN051624D, 1 HOUR FREE DETENTION</t>
  </si>
  <si>
    <t>DONE# 151534</t>
  </si>
  <si>
    <t>CMAU6916280</t>
  </si>
  <si>
    <t>1c33e1</t>
  </si>
  <si>
    <t>CMDUSHZ6269071</t>
  </si>
  <si>
    <t>CMAU6920356</t>
  </si>
  <si>
    <t>B2F42A</t>
  </si>
  <si>
    <t>CMDUSHZ6269106</t>
  </si>
  <si>
    <t>CMAU8549985</t>
  </si>
  <si>
    <t>529a91</t>
  </si>
  <si>
    <t>CMDUSHZ6280699</t>
  </si>
  <si>
    <t>CRSU9080488</t>
  </si>
  <si>
    <t>c6ae42</t>
  </si>
  <si>
    <t>ZIMUSHH31354458</t>
  </si>
  <si>
    <t>CSNU6795250</t>
  </si>
  <si>
    <t>340df5</t>
  </si>
  <si>
    <t>OOLU4121629060</t>
  </si>
  <si>
    <t>DFSU6306434</t>
  </si>
  <si>
    <t>c7032f</t>
  </si>
  <si>
    <t>ZIMUSHH31354453</t>
  </si>
  <si>
    <t>DRYU9667023</t>
  </si>
  <si>
    <t>SMLMNJED4D919600</t>
  </si>
  <si>
    <t>FCIU9118801</t>
  </si>
  <si>
    <t>B8E0D6</t>
  </si>
  <si>
    <t>COSU6387219730</t>
  </si>
  <si>
    <t>FCIU9692240</t>
  </si>
  <si>
    <t>30b6a0</t>
  </si>
  <si>
    <t>oolu8810849601 / 整柜改拆</t>
  </si>
  <si>
    <t>DONE# 155338</t>
  </si>
  <si>
    <t>FFAU2729524</t>
  </si>
  <si>
    <t>0A02E6</t>
  </si>
  <si>
    <t>COSU6386717980</t>
  </si>
  <si>
    <t>FSCU8155060</t>
  </si>
  <si>
    <t>effe75</t>
  </si>
  <si>
    <t>ZIMUSHH31343666</t>
  </si>
  <si>
    <t>OOCU8085406</t>
  </si>
  <si>
    <t>1D9FFC</t>
  </si>
  <si>
    <t>OOLU2302506900</t>
  </si>
  <si>
    <t>OOLU6757719</t>
  </si>
  <si>
    <t>A496FF</t>
  </si>
  <si>
    <t>OOLU8810839510</t>
  </si>
  <si>
    <t>OOLU9895199</t>
  </si>
  <si>
    <t>B23944</t>
  </si>
  <si>
    <t>OOLU8810839650</t>
  </si>
  <si>
    <t>SEGU4447090</t>
  </si>
  <si>
    <t>c9c46a</t>
  </si>
  <si>
    <t>CMDUSHZ6280692</t>
  </si>
  <si>
    <t>SMCU1178277</t>
  </si>
  <si>
    <t>SMLMNJGF2A652600</t>
  </si>
  <si>
    <t>SMCU1244580</t>
  </si>
  <si>
    <t>SMLMTATU4A676700</t>
  </si>
  <si>
    <t>SMCU1276355</t>
  </si>
  <si>
    <t>SMLMNJED4D449400</t>
  </si>
  <si>
    <t>SMCU1301416</t>
  </si>
  <si>
    <t>SMLMNJED4D771200</t>
  </si>
  <si>
    <t>TCNU3501228</t>
  </si>
  <si>
    <t>EF1BCD</t>
  </si>
  <si>
    <t>ZIMUSHH31343669</t>
  </si>
  <si>
    <t>TCNU4242693</t>
  </si>
  <si>
    <t>a09cb6</t>
  </si>
  <si>
    <t>ZIMUSHH31368796</t>
  </si>
  <si>
    <t>TCNU6664065</t>
  </si>
  <si>
    <t>EEEDDB</t>
  </si>
  <si>
    <t>ZIMUSHH31369532</t>
  </si>
  <si>
    <t>TRHU6665044</t>
  </si>
  <si>
    <t>A2CF80</t>
  </si>
  <si>
    <t>OOLU2740614011</t>
  </si>
  <si>
    <t>ZCSU7360288</t>
  </si>
  <si>
    <t>b461b3</t>
  </si>
  <si>
    <t>ZIMUSHH31279900</t>
  </si>
  <si>
    <t>ZCSU7397630</t>
  </si>
  <si>
    <t>ef176e</t>
  </si>
  <si>
    <t>ZIMUSHH31343676</t>
  </si>
  <si>
    <t>ZCSU7649389</t>
  </si>
  <si>
    <t>492B81</t>
  </si>
  <si>
    <t>ZIMUSHH31279871</t>
  </si>
  <si>
    <t>ZCSU7650688</t>
  </si>
  <si>
    <t>b562e3</t>
  </si>
  <si>
    <t>ZIMUSHH31279887 / late pu# and rail demurage paid by customer.</t>
  </si>
  <si>
    <t>TCNU1787215</t>
  </si>
  <si>
    <t>DROP  8am-3pm.</t>
  </si>
  <si>
    <t>Northlake, IL  60164</t>
  </si>
  <si>
    <t>982693</t>
  </si>
  <si>
    <r>
      <t xml:space="preserve">HLCUSZX2405EWPK9 / TLX HBL / </t>
    </r>
    <r>
      <rPr>
        <sz val="11"/>
        <color rgb="FFFF0000"/>
        <rFont val="Calibri"/>
        <family val="2"/>
        <scheme val="minor"/>
      </rPr>
      <t>Drop fee double drayage, cost $300.</t>
    </r>
    <r>
      <rPr>
        <sz val="11"/>
        <color theme="1"/>
        <rFont val="Calibri"/>
        <family val="2"/>
        <scheme val="minor"/>
      </rPr>
      <t xml:space="preserve"> / 7-12 empty ready / Q# LLG022024A , $750</t>
    </r>
  </si>
  <si>
    <t>DONE# 151171</t>
  </si>
  <si>
    <t>Customs+ Delivery</t>
  </si>
  <si>
    <t>CSNU6074037</t>
  </si>
  <si>
    <t>LAX- Evergreen Container TML Y124</t>
  </si>
  <si>
    <t>收到客户HC付款</t>
  </si>
  <si>
    <t>COSU6385636290  / FREE HAND SHPT / , ISF has filled by CNEE. Kindly assist to release D/O and collect H/C from consignee</t>
  </si>
  <si>
    <t>DONE# 149950</t>
  </si>
  <si>
    <t>CIPU5115798</t>
  </si>
  <si>
    <t>EGLV140458096250</t>
  </si>
  <si>
    <t>Done # 151141</t>
  </si>
  <si>
    <t>EGHU8309534</t>
  </si>
  <si>
    <t>EGLV140400986872 / overweight</t>
  </si>
  <si>
    <t>Done # 151127</t>
  </si>
  <si>
    <t>EITU1892121</t>
  </si>
  <si>
    <t>Done # 151166</t>
  </si>
  <si>
    <t>KKTU8189911</t>
  </si>
  <si>
    <t>NS LOUISVILLE</t>
  </si>
  <si>
    <t>1 pm / drop</t>
  </si>
  <si>
    <t>Carolina National Transportation</t>
  </si>
  <si>
    <t>EVANSVILLE, KY 47711 to Evansville Indiana 47710</t>
  </si>
  <si>
    <t>ONEYTAOE14960400 / delivery location change / request invoice</t>
  </si>
  <si>
    <t>Done# 152607</t>
  </si>
  <si>
    <t>nbjd</t>
  </si>
  <si>
    <t>NYKU3696972</t>
  </si>
  <si>
    <t xml:space="preserve">ONEYTAOE14954700 / delivery location change </t>
  </si>
  <si>
    <t>Done # 152600</t>
  </si>
  <si>
    <t>SEGU5282890</t>
  </si>
  <si>
    <t>Changed from Savannah, GA 31322 
to Rincon GA 31326</t>
  </si>
  <si>
    <t>Scheduled for pick up 8/13</t>
  </si>
  <si>
    <t>ZIMUNGB20239435 / change address / Harricane / JD release 7.31 / dispute</t>
  </si>
  <si>
    <t>Done # 153205</t>
  </si>
  <si>
    <t>TCKU7477819</t>
  </si>
  <si>
    <t>ZIMUNGB20239435 / change address / Harricane / JD release 7.30 / dispute</t>
  </si>
  <si>
    <t>Done # 153206</t>
  </si>
  <si>
    <t>TEMU5426859</t>
  </si>
  <si>
    <t>EVANSVILLE, KY 47711</t>
  </si>
  <si>
    <t xml:space="preserve">ONEYTAOE14966300 </t>
  </si>
  <si>
    <t>Done # 152626</t>
  </si>
  <si>
    <t>TRHU2629413</t>
  </si>
  <si>
    <t>ONEYTAOE15014900 / delivery location change / pre-pull / request invoice</t>
  </si>
  <si>
    <t>Done # 152610</t>
  </si>
  <si>
    <t>ZCSU6737546</t>
  </si>
  <si>
    <t>ZIMUNGB20239430 / change address / Harricane / JD release 7.30 / dispute</t>
  </si>
  <si>
    <t>Done # 153187</t>
  </si>
  <si>
    <t>ZCSU7289873</t>
  </si>
  <si>
    <t>Done # 153192</t>
  </si>
  <si>
    <t>NINGBO NAUHUA</t>
  </si>
  <si>
    <t>MRSU4391888</t>
  </si>
  <si>
    <t>AN sent</t>
  </si>
  <si>
    <t>MAEU239878054</t>
  </si>
  <si>
    <t>Done # 151662</t>
  </si>
  <si>
    <t>MRSU5767096</t>
  </si>
  <si>
    <t>Bay Port Container Terminal</t>
  </si>
  <si>
    <t>MAEU239878026</t>
  </si>
  <si>
    <t>Done #151131</t>
  </si>
  <si>
    <t>MSKU1322780</t>
  </si>
  <si>
    <t>MAEU239878027</t>
  </si>
  <si>
    <t>Done # 151129</t>
  </si>
  <si>
    <t>TLLU6915264</t>
  </si>
  <si>
    <t>MAEU239198812</t>
  </si>
  <si>
    <t>Done #150700</t>
  </si>
  <si>
    <t>CAAU5298197</t>
  </si>
  <si>
    <t>JACKSONVILLE SEROJA LIMA</t>
  </si>
  <si>
    <t>AN NEED TO SEND TO CNEE</t>
  </si>
  <si>
    <t>MAEU238689143</t>
  </si>
  <si>
    <t>Done #150015</t>
  </si>
  <si>
    <t>CAAU7005030</t>
  </si>
  <si>
    <t>MAEU238961241</t>
  </si>
  <si>
    <t>Done #150035</t>
  </si>
  <si>
    <t>FFAU5174564</t>
  </si>
  <si>
    <t>MAEU239194890</t>
  </si>
  <si>
    <t>Done #150696</t>
  </si>
  <si>
    <t>FFAU5670040</t>
  </si>
  <si>
    <t>MRSU3319889</t>
  </si>
  <si>
    <t>SAVANNAH GARDEN CITY TERMINAL L738</t>
  </si>
  <si>
    <t>MAEU238961173</t>
  </si>
  <si>
    <t>Done#150031</t>
  </si>
  <si>
    <t>MRSU4771240</t>
  </si>
  <si>
    <t>MAEU239194891 / pay wuhan 585</t>
  </si>
  <si>
    <t>Done#150534 to customer/ #150627 to Wuhan</t>
  </si>
  <si>
    <t>MSKU9339069</t>
  </si>
  <si>
    <t>SUDU5745211</t>
  </si>
  <si>
    <t>BEAU6062624</t>
  </si>
  <si>
    <t>19e2f2</t>
  </si>
  <si>
    <t>COSU6387236023</t>
  </si>
  <si>
    <t>BMOU4921638</t>
  </si>
  <si>
    <t>B85866</t>
  </si>
  <si>
    <t>COSU6387236040</t>
  </si>
  <si>
    <t>BMOU5020830</t>
  </si>
  <si>
    <t>COSU6386725204</t>
  </si>
  <si>
    <t xml:space="preserve">DONE 152253 </t>
  </si>
  <si>
    <t>BMOU5663902</t>
  </si>
  <si>
    <t>COSU6386221546</t>
  </si>
  <si>
    <t>DONE 152153</t>
  </si>
  <si>
    <t>CAAU7383636</t>
  </si>
  <si>
    <t>3BA1C7</t>
  </si>
  <si>
    <t>CMDUCHN1209998</t>
  </si>
  <si>
    <t>DONE 152873</t>
  </si>
  <si>
    <t>CMAU4810806</t>
  </si>
  <si>
    <t>650E96   </t>
  </si>
  <si>
    <t>CMDUNGP1206635</t>
  </si>
  <si>
    <t>CSLU6317335</t>
  </si>
  <si>
    <t>E24AD3</t>
  </si>
  <si>
    <t>OOLU2149162130</t>
  </si>
  <si>
    <t xml:space="preserve">DONE 152254 </t>
  </si>
  <si>
    <t>CSLU6327781</t>
  </si>
  <si>
    <t>FC29A7</t>
  </si>
  <si>
    <t>COSU6388286350</t>
  </si>
  <si>
    <t>CSNU6178411</t>
  </si>
  <si>
    <t>4BC905</t>
  </si>
  <si>
    <t>COSU6386725186</t>
  </si>
  <si>
    <t xml:space="preserve">DONE 152159 </t>
  </si>
  <si>
    <t>CSNU7671968</t>
  </si>
  <si>
    <t>9486F8</t>
  </si>
  <si>
    <t>COSU6386483261</t>
  </si>
  <si>
    <t>CSNU8462319</t>
  </si>
  <si>
    <t>F4690A</t>
  </si>
  <si>
    <t>COSU6387213680</t>
  </si>
  <si>
    <t>CSNU8498477</t>
  </si>
  <si>
    <t>90795A</t>
  </si>
  <si>
    <t>COSU6387236026</t>
  </si>
  <si>
    <t>DFSU7023737</t>
  </si>
  <si>
    <t>28485F</t>
  </si>
  <si>
    <t>COSU6386725184</t>
  </si>
  <si>
    <t>DONE 152156</t>
  </si>
  <si>
    <t>FCIU7197247</t>
  </si>
  <si>
    <t>4BC876</t>
  </si>
  <si>
    <t>COSU6386725222</t>
  </si>
  <si>
    <t xml:space="preserve">DONE 152161 </t>
  </si>
  <si>
    <t>FFAU3232168</t>
  </si>
  <si>
    <t>290D13</t>
  </si>
  <si>
    <t>COSU6388345701</t>
  </si>
  <si>
    <t>FFAU5676557</t>
  </si>
  <si>
    <t>F8C1B4</t>
  </si>
  <si>
    <t>COSU6387236640</t>
  </si>
  <si>
    <t>DONE# 153056+154972</t>
  </si>
  <si>
    <t>FFAU5710630</t>
  </si>
  <si>
    <t>643AC9</t>
  </si>
  <si>
    <t>COSU6388483430</t>
  </si>
  <si>
    <t>OOCU8040382</t>
  </si>
  <si>
    <t>2F3918</t>
  </si>
  <si>
    <t>COSU6386725224</t>
  </si>
  <si>
    <t>OOCU8347281</t>
  </si>
  <si>
    <t>D62B6C</t>
  </si>
  <si>
    <t>COSU6388286370</t>
  </si>
  <si>
    <t>OOLU8771151</t>
  </si>
  <si>
    <t>EC5C59</t>
  </si>
  <si>
    <t>OOLU2149162810</t>
  </si>
  <si>
    <t xml:space="preserve">DONE 152264 </t>
  </si>
  <si>
    <t>OOLU9826114</t>
  </si>
  <si>
    <t>COSU6386725220</t>
  </si>
  <si>
    <t>OOLU9988780</t>
  </si>
  <si>
    <t>D9A624</t>
  </si>
  <si>
    <t>OOLU8810826580</t>
  </si>
  <si>
    <t>SEGU6828244</t>
  </si>
  <si>
    <t>087e50</t>
  </si>
  <si>
    <t>COSU6385906400</t>
  </si>
  <si>
    <t>TCKU7666793</t>
  </si>
  <si>
    <t>C08F83</t>
  </si>
  <si>
    <t>OOLU8810837170</t>
  </si>
  <si>
    <t>DONE 152155</t>
  </si>
  <si>
    <t>TCLU6506709</t>
  </si>
  <si>
    <t>3D05B1</t>
  </si>
  <si>
    <t>CMDUCHN1211289</t>
  </si>
  <si>
    <t>TCNU4706650</t>
  </si>
  <si>
    <t>E629BF</t>
  </si>
  <si>
    <t>MATS8493615000</t>
  </si>
  <si>
    <t>TCNU5435526</t>
  </si>
  <si>
    <t>0BEB5D</t>
  </si>
  <si>
    <t>COSU6386221471</t>
  </si>
  <si>
    <t>TCNU5916481</t>
  </si>
  <si>
    <t>27C527</t>
  </si>
  <si>
    <t>COSU6386221467</t>
  </si>
  <si>
    <t>TGBU8764171</t>
  </si>
  <si>
    <t>888F5E</t>
  </si>
  <si>
    <t>COSU6386221577</t>
  </si>
  <si>
    <t>TGBU8883843</t>
  </si>
  <si>
    <t>COSU6386221573</t>
  </si>
  <si>
    <t>DONE 152152</t>
  </si>
  <si>
    <t>TIIU5188301</t>
  </si>
  <si>
    <t>934B7D</t>
  </si>
  <si>
    <t>COSU6386495280</t>
  </si>
  <si>
    <t>TLLU4952567</t>
  </si>
  <si>
    <t>53ACF8</t>
  </si>
  <si>
    <t>COSU6387235196</t>
  </si>
  <si>
    <t>TRHU4908680</t>
  </si>
  <si>
    <t>1A21B5</t>
  </si>
  <si>
    <t>COSU6388015460</t>
  </si>
  <si>
    <t>TXGU5746393</t>
  </si>
  <si>
    <t>1CD11F  </t>
  </si>
  <si>
    <t>EGLV142451400430</t>
  </si>
  <si>
    <t>PENAVICO</t>
  </si>
  <si>
    <t xml:space="preserve">FCIU9625278 </t>
  </si>
  <si>
    <t>BNSF-Fort Worth,TX</t>
  </si>
  <si>
    <t>DFW delivery</t>
  </si>
  <si>
    <t>DFW delivery, 
AN SENT</t>
  </si>
  <si>
    <t>D1E621</t>
  </si>
  <si>
    <r>
      <t xml:space="preserve">COSU6385919750 / DFW delivery /  </t>
    </r>
    <r>
      <rPr>
        <sz val="11"/>
        <color rgb="FFFF0000"/>
        <rFont val="Calibri"/>
        <family val="2"/>
        <scheme val="minor"/>
      </rPr>
      <t>ORD只发AN &amp; PU#</t>
    </r>
    <r>
      <rPr>
        <sz val="11"/>
        <color theme="1"/>
        <rFont val="Calibri"/>
        <family val="2"/>
        <scheme val="minor"/>
      </rPr>
      <t xml:space="preserve"> / AN  SENT to Evaristo.Ramirez@sanden.com</t>
    </r>
  </si>
  <si>
    <t>DONE# 151577</t>
  </si>
  <si>
    <t>TDSU8026521</t>
  </si>
  <si>
    <t>1D4060</t>
  </si>
  <si>
    <r>
      <rPr>
        <sz val="11"/>
        <color rgb="FFFF0000"/>
        <rFont val="Calibri"/>
        <family val="2"/>
        <scheme val="minor"/>
      </rPr>
      <t>Flip fee for chassis flip at BNSF/</t>
    </r>
    <r>
      <rPr>
        <sz val="11"/>
        <color theme="1"/>
        <rFont val="Calibri"/>
        <family val="2"/>
        <scheme val="minor"/>
      </rPr>
      <t xml:space="preserve"> CMDUNGP1310289 /</t>
    </r>
    <r>
      <rPr>
        <sz val="11"/>
        <color rgb="FFFF0000"/>
        <rFont val="Calibri"/>
        <family val="2"/>
        <scheme val="minor"/>
      </rPr>
      <t xml:space="preserve"> re-route $200+chassis split will apply for return SOC to ITC. </t>
    </r>
  </si>
  <si>
    <t>DONE# 151949</t>
  </si>
  <si>
    <t xml:space="preserve">TDSU8026769   </t>
  </si>
  <si>
    <t>E1080B</t>
  </si>
  <si>
    <r>
      <rPr>
        <sz val="11"/>
        <color rgb="FFFF0000"/>
        <rFont val="Calibri"/>
        <family val="2"/>
        <scheme val="minor"/>
      </rPr>
      <t>Flip fee for chassis flip at BNSF</t>
    </r>
    <r>
      <rPr>
        <sz val="11"/>
        <color theme="1"/>
        <rFont val="Calibri"/>
        <family val="2"/>
        <scheme val="minor"/>
      </rPr>
      <t>/ CMDUNGP1310289 /</t>
    </r>
    <r>
      <rPr>
        <sz val="11"/>
        <color rgb="FFFF0000"/>
        <rFont val="Calibri"/>
        <family val="2"/>
        <scheme val="minor"/>
      </rPr>
      <t xml:space="preserve"> re-route $200+chassis split will apply for return SOC to ITC. </t>
    </r>
  </si>
  <si>
    <t>DONE# 151950</t>
  </si>
  <si>
    <t xml:space="preserve">XHCU2622523 </t>
  </si>
  <si>
    <t>963130</t>
  </si>
  <si>
    <t xml:space="preserve">pre-pull &amp; yard storage / yard storage for returning on Modnay 7/8 due to vaccarro closed during weekend / CMDUNGP1293560 / re-route $225+ chassis split for SOC return to Vaccaro. </t>
  </si>
  <si>
    <t>DONE#150820</t>
  </si>
  <si>
    <t>CCLU3801622</t>
  </si>
  <si>
    <t>42E65B</t>
  </si>
  <si>
    <t>COSU6387598750 / SWB / TLX HBL</t>
  </si>
  <si>
    <t>DONE# 150362</t>
  </si>
  <si>
    <t>DRYU2341570</t>
  </si>
  <si>
    <t>F34D69</t>
  </si>
  <si>
    <t xml:space="preserve">COSU6388377170   </t>
  </si>
  <si>
    <t>Done# 151136</t>
  </si>
  <si>
    <t>TCNU1681898</t>
  </si>
  <si>
    <t>COSU6385330570  / AN SENT / INV SENT</t>
  </si>
  <si>
    <t>DONE# 149620</t>
  </si>
  <si>
    <t xml:space="preserve">TGBU4528028 </t>
  </si>
  <si>
    <t>MBL# ONEYTPEE39126300  /  OF 7050/6950 / NEW SHPT S/HUNTER ALLOY C/AUTOSPEC INC. KEL TO Chicago via Lax 1X40HQ CLS05/ ***MTPE24050175*** / TLX HBL, SWB</t>
  </si>
  <si>
    <t>DONE# 151354</t>
  </si>
  <si>
    <t>TLLU8731564</t>
  </si>
  <si>
    <t>91CAC6</t>
  </si>
  <si>
    <t>OF $7500 /$7400/ MEDUEX582806 / LAEM CHABANG to Chicago /  ETD SHA 6-6/ 等UQI invoice来给客户发duty invoice</t>
  </si>
  <si>
    <t>DONE#151539</t>
  </si>
  <si>
    <t xml:space="preserve">TRHU6430820 </t>
  </si>
  <si>
    <r>
      <rPr>
        <sz val="11"/>
        <color rgb="FF000000"/>
        <rFont val="Calibri"/>
        <family val="2"/>
        <scheme val="minor"/>
      </rPr>
      <t xml:space="preserve">MBL# ONEYPEE55030900  / </t>
    </r>
    <r>
      <rPr>
        <sz val="11"/>
        <color rgb="FFFF0000"/>
        <rFont val="Calibri"/>
        <family val="2"/>
        <scheme val="minor"/>
      </rPr>
      <t>OF $7950/cost $7850 /</t>
    </r>
    <r>
      <rPr>
        <sz val="11"/>
        <color rgb="FF000000"/>
        <rFont val="Calibri"/>
        <family val="2"/>
        <scheme val="minor"/>
      </rPr>
      <t xml:space="preserve"> Meta / NEW SHPT S/HUNTER ALLOY C/AUTOSPEC INC. KEL TO Chicago via Lax 1X40HQ CLS***MTPE24060055***</t>
    </r>
    <r>
      <rPr>
        <sz val="11"/>
        <color theme="1"/>
        <rFont val="Calibri"/>
        <family val="2"/>
        <scheme val="minor"/>
      </rPr>
      <t xml:space="preserve"> / TLX HBL / SWB</t>
    </r>
  </si>
  <si>
    <t>DONE#151355</t>
  </si>
  <si>
    <t>EMCU8499763</t>
  </si>
  <si>
    <t>ROY, WA</t>
  </si>
  <si>
    <t>PO# 61448</t>
  </si>
  <si>
    <t>CAIU4920415</t>
  </si>
  <si>
    <t>LAX-APM TML</t>
  </si>
  <si>
    <t>SOJIN</t>
  </si>
  <si>
    <t>Customs Rls</t>
  </si>
  <si>
    <t>MBL# MEDUXB532380 HBL# HSZX00033972</t>
  </si>
  <si>
    <t>DONE# 151576</t>
  </si>
  <si>
    <t xml:space="preserve">CARU5736179 </t>
  </si>
  <si>
    <t>MEDUZV601162 / ISF ON FILE / UQI / HBL#HSZX00033875 HSZX00033850 /</t>
  </si>
  <si>
    <t>DONE#150131</t>
  </si>
  <si>
    <t>FFAU5779468</t>
  </si>
  <si>
    <t>CUSTOMS RLEASED</t>
  </si>
  <si>
    <t>MBL# MEDUZV725979, HBL# HSZX00033883</t>
  </si>
  <si>
    <t>DONE# 151173</t>
  </si>
  <si>
    <t>MSNU7755040</t>
  </si>
  <si>
    <t>MBL# MEDUZV981580, HBL# HSZX00033884</t>
  </si>
  <si>
    <t>DONE# 151419</t>
  </si>
  <si>
    <t>TEMU DE WELL</t>
  </si>
  <si>
    <t>MATU2334548</t>
  </si>
  <si>
    <t>59854E</t>
  </si>
  <si>
    <t xml:space="preserve">MATS9485958000 </t>
  </si>
  <si>
    <t>Titan</t>
  </si>
  <si>
    <t xml:space="preserve">CAIU2954057 </t>
  </si>
  <si>
    <t>NO APPT is required</t>
  </si>
  <si>
    <t xml:space="preserve">McHENRY, IL 60050 </t>
  </si>
  <si>
    <t>16C608</t>
  </si>
  <si>
    <t>MEDUX7125370 / ABL absorbs Demurrage / 7-9 customer sent DO to Sarita &amp; Yuuki, didn't CC to Ocean group / Ocean got DO on 7-30</t>
  </si>
  <si>
    <t>Done # 151977</t>
  </si>
  <si>
    <t>OOCU8727764</t>
  </si>
  <si>
    <t>86C235</t>
  </si>
  <si>
    <t xml:space="preserve">OOLU2741578290           </t>
  </si>
  <si>
    <t>Done # 152204</t>
  </si>
  <si>
    <t>BSIU9445885</t>
  </si>
  <si>
    <t>BNSF - Alliance</t>
  </si>
  <si>
    <t>DAF83C</t>
  </si>
  <si>
    <t>OOLU2149678490</t>
  </si>
  <si>
    <t>Done # 152051</t>
  </si>
  <si>
    <t>DFSU6507737</t>
  </si>
  <si>
    <t>BNSF DALLAS rail</t>
  </si>
  <si>
    <t>BB1EC2</t>
  </si>
  <si>
    <r>
      <rPr>
        <sz val="11"/>
        <color rgb="FF000000"/>
        <rFont val="Calibri"/>
        <family val="2"/>
        <scheme val="minor"/>
      </rPr>
      <t>MEDUFG249123</t>
    </r>
    <r>
      <rPr>
        <sz val="11"/>
        <color rgb="FFFF0000"/>
        <rFont val="Calibri"/>
        <family val="2"/>
        <scheme val="minor"/>
      </rPr>
      <t>/ AN sent/</t>
    </r>
  </si>
  <si>
    <t>Done # 150697
chassis# 154741</t>
  </si>
  <si>
    <t>FFAU3447551</t>
  </si>
  <si>
    <t>899DE2</t>
  </si>
  <si>
    <r>
      <rPr>
        <sz val="11"/>
        <color rgb="FF000000"/>
        <rFont val="Calibri"/>
        <family val="2"/>
        <scheme val="minor"/>
      </rPr>
      <t xml:space="preserve">COSU6386508800/ </t>
    </r>
    <r>
      <rPr>
        <sz val="11"/>
        <color rgb="FFFF0000"/>
        <rFont val="Calibri"/>
        <family val="2"/>
        <scheme val="minor"/>
      </rPr>
      <t>AN sent/</t>
    </r>
    <r>
      <rPr>
        <sz val="11"/>
        <color rgb="FF000000"/>
        <rFont val="Calibri"/>
        <family val="2"/>
        <scheme val="minor"/>
      </rPr>
      <t xml:space="preserve"> Attached B/L draft fyi, The customer will fill ISF and clear custom, Please help to  send  ABL’s arrival notice to customer/  AN send to ULINE@KUEHNE-NAGEL.COM, CC: daisy.yang@kex-sf.com</t>
    </r>
  </si>
  <si>
    <t>Done#150028</t>
  </si>
  <si>
    <t>HMMU6724370</t>
  </si>
  <si>
    <r>
      <rPr>
        <sz val="11"/>
        <color rgb="FF000000"/>
        <rFont val="Calibri"/>
        <family val="2"/>
        <scheme val="minor"/>
      </rPr>
      <t xml:space="preserve">HDMUNBOZ03476000/ </t>
    </r>
    <r>
      <rPr>
        <sz val="11"/>
        <color rgb="FFFF0000"/>
        <rFont val="Calibri"/>
        <family val="2"/>
        <scheme val="minor"/>
      </rPr>
      <t>AN sent/</t>
    </r>
    <r>
      <rPr>
        <sz val="11"/>
        <color rgb="FF000000"/>
        <rFont val="Calibri"/>
        <family val="2"/>
        <scheme val="minor"/>
      </rPr>
      <t xml:space="preserve"> Attached B/L draft fyi, The customer will fill ISF and clear custom, Please help to  send  ABL’s arrival notice to customer/  AN send to ULINE@KUEHNE-NAGEL.COM, CC: daisy.yang@kex-sf.com</t>
    </r>
  </si>
  <si>
    <t>Done #150011</t>
  </si>
  <si>
    <t>HMMU6726290</t>
  </si>
  <si>
    <r>
      <rPr>
        <sz val="11"/>
        <color rgb="FF000000"/>
        <rFont val="Calibri"/>
        <family val="2"/>
        <scheme val="minor"/>
      </rPr>
      <t>HDMUNBOZ03476000</t>
    </r>
    <r>
      <rPr>
        <sz val="11"/>
        <color rgb="FFFF0000"/>
        <rFont val="Calibri"/>
        <family val="2"/>
        <scheme val="minor"/>
      </rPr>
      <t>/ AN sent/</t>
    </r>
    <r>
      <rPr>
        <sz val="11"/>
        <color rgb="FF000000"/>
        <rFont val="Calibri"/>
        <family val="2"/>
        <scheme val="minor"/>
      </rPr>
      <t xml:space="preserve"> Attached B/L draft fyi, The customer will fill ISF and clear custom, Please help to  send  ABL’s arrival notice to customer/  AN send to ULINE@KUEHNE-NAGEL.COM, CC: daisy.yang@kex-sf.com</t>
    </r>
  </si>
  <si>
    <t>MSDU5795147</t>
  </si>
  <si>
    <t>8BC4DC</t>
  </si>
  <si>
    <r>
      <rPr>
        <sz val="11"/>
        <color rgb="FF000000"/>
        <rFont val="Calibri"/>
        <family val="2"/>
        <scheme val="minor"/>
      </rPr>
      <t>MEDUFG249123</t>
    </r>
    <r>
      <rPr>
        <sz val="11"/>
        <color rgb="FFFF0000"/>
        <rFont val="Calibri"/>
        <family val="2"/>
        <scheme val="minor"/>
      </rPr>
      <t>/ AN sent/</t>
    </r>
    <r>
      <rPr>
        <sz val="11"/>
        <color rgb="FF000000"/>
        <rFont val="Calibri"/>
        <family val="2"/>
        <scheme val="minor"/>
      </rPr>
      <t xml:space="preserve"> </t>
    </r>
  </si>
  <si>
    <t>Done # 150697
chassis # 154741</t>
  </si>
  <si>
    <t>NYKU0762155</t>
  </si>
  <si>
    <r>
      <rPr>
        <sz val="11"/>
        <color rgb="FF000000"/>
        <rFont val="Calibri"/>
        <family val="2"/>
        <scheme val="minor"/>
      </rPr>
      <t xml:space="preserve">ONEYNB4JJ6347600/ </t>
    </r>
    <r>
      <rPr>
        <sz val="11"/>
        <color rgb="FFFF0000"/>
        <rFont val="Calibri"/>
        <family val="2"/>
        <scheme val="minor"/>
      </rPr>
      <t>AN sent/</t>
    </r>
    <r>
      <rPr>
        <sz val="11"/>
        <color rgb="FF000000"/>
        <rFont val="Calibri"/>
        <family val="2"/>
        <scheme val="minor"/>
      </rPr>
      <t xml:space="preserve"> Attached B/L draft fyi, The customer will fill ISF and clear custom, Please help to  send  ABL’s arrival notice to customer/  AN send to ULINE@KUEHNE-NAGEL.COM, CC: daisy.yang@kex-sf.com</t>
    </r>
  </si>
  <si>
    <t>Done#150255</t>
  </si>
  <si>
    <t>ONEU0470572</t>
  </si>
  <si>
    <r>
      <rPr>
        <sz val="11"/>
        <color rgb="FF000000"/>
        <rFont val="Calibri"/>
        <family val="2"/>
        <scheme val="minor"/>
      </rPr>
      <t>ONEYNB4JB4495900/</t>
    </r>
    <r>
      <rPr>
        <sz val="11"/>
        <color rgb="FFFF0000"/>
        <rFont val="Calibri"/>
        <family val="2"/>
        <scheme val="minor"/>
      </rPr>
      <t>AN sent/</t>
    </r>
    <r>
      <rPr>
        <sz val="11"/>
        <color rgb="FF000000"/>
        <rFont val="Calibri"/>
        <family val="2"/>
        <scheme val="minor"/>
      </rPr>
      <t>Attached B/L draft fyi, The customer will fill ISF and clear custom, Please help to  send  ABL’s arrival notice to customer/  AN send to ULINE@KUEHNE-NAGEL.COM, CC: daisy.yang@kex-sf.com</t>
    </r>
  </si>
  <si>
    <t>Done #150010</t>
  </si>
  <si>
    <t xml:space="preserve">ONEU5196227 </t>
  </si>
  <si>
    <r>
      <rPr>
        <sz val="11"/>
        <color rgb="FF000000"/>
        <rFont val="Calibri"/>
        <family val="2"/>
        <scheme val="minor"/>
      </rPr>
      <t xml:space="preserve">ONEYNB4BF6804300/ </t>
    </r>
    <r>
      <rPr>
        <sz val="11"/>
        <color rgb="FFFF0000"/>
        <rFont val="Calibri"/>
        <family val="2"/>
        <scheme val="minor"/>
      </rPr>
      <t>AN sent/</t>
    </r>
    <r>
      <rPr>
        <sz val="11"/>
        <color rgb="FF000000"/>
        <rFont val="Calibri"/>
        <family val="2"/>
        <scheme val="minor"/>
      </rPr>
      <t xml:space="preserve"> Attached B/L draft fyi, The customer will fill ISF and clear custom, Please help to  send  ABL’s arrival notice to customer/  AN send to ULINE@KUEHNE-NAGEL.COM, CC: daisy.yang@kex-sf.com</t>
    </r>
  </si>
  <si>
    <t>Done#150256</t>
  </si>
  <si>
    <t>TCLU8477997</t>
  </si>
  <si>
    <r>
      <rPr>
        <sz val="11"/>
        <color rgb="FF000000"/>
        <rFont val="Calibri"/>
        <family val="2"/>
        <scheme val="minor"/>
      </rPr>
      <t xml:space="preserve">ONEYNB4BEK144900 </t>
    </r>
    <r>
      <rPr>
        <sz val="11"/>
        <color rgb="FFFF0000"/>
        <rFont val="Calibri"/>
        <family val="2"/>
        <scheme val="minor"/>
      </rPr>
      <t>/AN sent/</t>
    </r>
    <r>
      <rPr>
        <sz val="11"/>
        <color rgb="FF000000"/>
        <rFont val="Calibri"/>
        <family val="2"/>
        <scheme val="minor"/>
      </rPr>
      <t xml:space="preserve"> Attached B/L draft fyi, The customer will fill ISF and clear custom, Please help to  send  ABL’s arrival notice to customer/  AN send to ULINE@KUEHNE-NAGEL.COM, CC: daisy.yang@kex-sf.com</t>
    </r>
  </si>
  <si>
    <t>Done #150012</t>
  </si>
  <si>
    <t>TCLU9894629</t>
  </si>
  <si>
    <r>
      <rPr>
        <sz val="11"/>
        <color rgb="FF000000"/>
        <rFont val="Calibri"/>
        <family val="2"/>
        <scheme val="minor"/>
      </rPr>
      <t xml:space="preserve">ONEYNB4JB4495900/ </t>
    </r>
    <r>
      <rPr>
        <sz val="11"/>
        <color rgb="FFFF0000"/>
        <rFont val="Calibri"/>
        <family val="2"/>
        <scheme val="minor"/>
      </rPr>
      <t>AN sent/</t>
    </r>
    <r>
      <rPr>
        <sz val="11"/>
        <color rgb="FF000000"/>
        <rFont val="Calibri"/>
        <family val="2"/>
        <scheme val="minor"/>
      </rPr>
      <t xml:space="preserve"> Attached B/L draft fyi, The customer will fill ISF and clear custom, Please help to  send  ABL’s arrival notice to customer/  AN send to ULINE@KUEHNE-NAGEL.COM, CC: daisy.yang@kex-sf.com</t>
    </r>
  </si>
  <si>
    <t>TCNU5145620</t>
  </si>
  <si>
    <t>A373AC</t>
  </si>
  <si>
    <r>
      <rPr>
        <sz val="11"/>
        <color rgb="FF000000"/>
        <rFont val="Calibri"/>
        <family val="2"/>
        <scheme val="minor"/>
      </rPr>
      <t xml:space="preserve">COSU6386509010/ </t>
    </r>
    <r>
      <rPr>
        <sz val="11"/>
        <color rgb="FFFF0000"/>
        <rFont val="Calibri"/>
        <family val="2"/>
        <scheme val="minor"/>
      </rPr>
      <t>AN sent/</t>
    </r>
    <r>
      <rPr>
        <sz val="11"/>
        <color rgb="FF000000"/>
        <rFont val="Calibri"/>
        <family val="2"/>
        <scheme val="minor"/>
      </rPr>
      <t xml:space="preserve"> Attached B/L draft fyi, The customer will fill ISF and clear custom, Please help to  send  ABL’s arrival notice to customer/  AN send to ULINE@KUEHNE-NAGEL.COM, CC: daisy.yang@kex-sf.com</t>
    </r>
  </si>
  <si>
    <t>Done#150253</t>
  </si>
  <si>
    <t>TCNU6375437</t>
  </si>
  <si>
    <t>UP RAIL - DALLAS (DIT)</t>
  </si>
  <si>
    <t>ONEYNB4JB7887300 / LFD for return empty 8-10</t>
  </si>
  <si>
    <t>Done # 151965</t>
  </si>
  <si>
    <t>TEMU7241258</t>
  </si>
  <si>
    <r>
      <rPr>
        <sz val="11"/>
        <color rgb="FF000000"/>
        <rFont val="Calibri"/>
        <family val="2"/>
        <scheme val="minor"/>
      </rPr>
      <t xml:space="preserve">ONEYNB4JJ6355500/ </t>
    </r>
    <r>
      <rPr>
        <sz val="11"/>
        <color rgb="FFFF0000"/>
        <rFont val="Calibri"/>
        <family val="2"/>
        <scheme val="minor"/>
      </rPr>
      <t>AN sent/</t>
    </r>
    <r>
      <rPr>
        <sz val="11"/>
        <color rgb="FF000000"/>
        <rFont val="Calibri"/>
        <family val="2"/>
        <scheme val="minor"/>
      </rPr>
      <t xml:space="preserve"> Attached B/L draft fyi, The customer will fill ISF and clear custom, Please help to  send  ABL’s arrival notice to customer/  AN send to ULINE@KUEHNE-NAGEL.COM, CC: daisy.yang@kex-sf.com</t>
    </r>
  </si>
  <si>
    <t>Done #150257</t>
  </si>
  <si>
    <t>TGBU8847785</t>
  </si>
  <si>
    <t>DB6EDA</t>
  </si>
  <si>
    <t>OOLU2149678500</t>
  </si>
  <si>
    <t>Done # 152048</t>
  </si>
  <si>
    <t>TGBU9738304</t>
  </si>
  <si>
    <r>
      <rPr>
        <sz val="11"/>
        <color rgb="FF000000"/>
        <rFont val="Calibri"/>
        <family val="2"/>
        <scheme val="minor"/>
      </rPr>
      <t xml:space="preserve">ONEYNB4BFA186800/ </t>
    </r>
    <r>
      <rPr>
        <sz val="11"/>
        <color rgb="FFFF0000"/>
        <rFont val="Calibri"/>
        <family val="2"/>
        <scheme val="minor"/>
      </rPr>
      <t>AN sent/</t>
    </r>
    <r>
      <rPr>
        <sz val="11"/>
        <color rgb="FF000000"/>
        <rFont val="Calibri"/>
        <family val="2"/>
        <scheme val="minor"/>
      </rPr>
      <t xml:space="preserve"> Attached B/L draft fyi, The customer will fill ISF and clear custom, Please help to  send  ABL’s arrival notice to customer/  AN send to ULINE@KUEHNE-NAGEL.COM, CC: daisy.yang@kex-sf.com</t>
    </r>
  </si>
  <si>
    <t>Done#150259</t>
  </si>
  <si>
    <t>TLLU4201416</t>
  </si>
  <si>
    <t>ONEYNB4JB7924900/ The customer will fill ISF and clear custom, Please help to send ABL’s arrival notice to customer.</t>
  </si>
  <si>
    <t>Done# 150810</t>
  </si>
  <si>
    <t>TLLU5542607</t>
  </si>
  <si>
    <t xml:space="preserve">	TRAPAC LOS ANGELES</t>
  </si>
  <si>
    <t xml:space="preserve">ONEYNB4BFG620700/ The customer will fill ISF and clear custom, Please help to  send  ABL’s arrival notice to customer </t>
  </si>
  <si>
    <t>Done # 151025</t>
  </si>
  <si>
    <t>TRHU5937657</t>
  </si>
  <si>
    <r>
      <rPr>
        <sz val="11"/>
        <color rgb="FF000000"/>
        <rFont val="Calibri"/>
        <family val="2"/>
        <scheme val="minor"/>
      </rPr>
      <t xml:space="preserve">ONEYNB4BF6804300/ </t>
    </r>
    <r>
      <rPr>
        <sz val="11"/>
        <color rgb="FFFF0000"/>
        <rFont val="Calibri"/>
        <family val="2"/>
        <scheme val="minor"/>
      </rPr>
      <t>AN sent/</t>
    </r>
    <r>
      <rPr>
        <sz val="11"/>
        <color rgb="FF000000"/>
        <rFont val="Calibri"/>
        <family val="2"/>
        <scheme val="minor"/>
      </rPr>
      <t xml:space="preserve"> Seal # changed</t>
    </r>
  </si>
  <si>
    <t>WHSU5140022</t>
  </si>
  <si>
    <t>LONG BEACH, CA</t>
  </si>
  <si>
    <t xml:space="preserve">
WHLC031E555774</t>
  </si>
  <si>
    <t>Done# 150807</t>
  </si>
  <si>
    <t>WHSU5657714</t>
  </si>
  <si>
    <t xml:space="preserve">
WHLC031E555859</t>
  </si>
  <si>
    <t>Done# 150808</t>
  </si>
  <si>
    <t>WHSU6596125</t>
  </si>
  <si>
    <t>WHLC031E555754</t>
  </si>
  <si>
    <t>Done# 150806</t>
  </si>
  <si>
    <t>ZIMU2773204</t>
  </si>
  <si>
    <t>PHILADELPHIA, PA</t>
  </si>
  <si>
    <t>MBL# ZIMUQIN4965262   / ISF is on FILE / 只file ISF 和清关, 不用派送/ received CI/PL</t>
  </si>
  <si>
    <t>DONE# 150922</t>
  </si>
  <si>
    <t>Customs Only</t>
  </si>
  <si>
    <t>CSLU6005039</t>
  </si>
  <si>
    <t>ED0F2F  </t>
  </si>
  <si>
    <t>COSU6386719791 / wrong pu# provided which caused a dry run by weship</t>
  </si>
  <si>
    <t>DONE- 152265</t>
  </si>
  <si>
    <t>CSNU6055470</t>
  </si>
  <si>
    <t xml:space="preserve">
预约码：P1C6F0C8C358
预约网站：https://booking.winit.com.cn/ 7-31</t>
  </si>
  <si>
    <t> 7-31</t>
  </si>
  <si>
    <r>
      <rPr>
        <sz val="11"/>
        <color rgb="FF000000"/>
        <rFont val="Calibri"/>
        <family val="2"/>
      </rPr>
      <t xml:space="preserve">COSU6387283821, / </t>
    </r>
    <r>
      <rPr>
        <sz val="11"/>
        <color rgb="FFFF0000"/>
        <rFont val="Calibri"/>
        <family val="2"/>
      </rPr>
      <t xml:space="preserve">Bill to WUH
</t>
    </r>
    <r>
      <rPr>
        <sz val="11"/>
        <color rgb="FF000000"/>
        <rFont val="Calibri"/>
        <family val="2"/>
      </rPr>
      <t>需要提前预约派送
WI37523891++WI37515433=H85524064828=1350件=USKY3仓
预约码：P1C6F0C8C358
预约网站：https://booking.winit.com.cn/"
POD received. / Available for pick up empty after 8/9 2pm</t>
    </r>
  </si>
  <si>
    <t>Done # 152632</t>
  </si>
  <si>
    <t> 1183.6</t>
  </si>
  <si>
    <t>CSNU6210508</t>
  </si>
  <si>
    <t>959C0B  </t>
  </si>
  <si>
    <t>COSU6387295010</t>
  </si>
  <si>
    <t>CSNU7213754</t>
  </si>
  <si>
    <t>A80D9F  </t>
  </si>
  <si>
    <t>COSU6386208482</t>
  </si>
  <si>
    <t>OOLU8459919</t>
  </si>
  <si>
    <t>6D846F</t>
  </si>
  <si>
    <t>COSU6388783920</t>
  </si>
  <si>
    <t>OOLU9843385</t>
  </si>
  <si>
    <t>0470BE</t>
  </si>
  <si>
    <t>COSU6386719792</t>
  </si>
  <si>
    <t>DONE 153532</t>
  </si>
  <si>
    <t>TEMU7092679</t>
  </si>
  <si>
    <t xml:space="preserve">DROP 09:00-15:00 </t>
  </si>
  <si>
    <t xml:space="preserve">Atlanta, GA 30336 </t>
  </si>
  <si>
    <t>3745</t>
  </si>
  <si>
    <r>
      <rPr>
        <sz val="11"/>
        <color rgb="FFFF0000"/>
        <rFont val="Calibri"/>
        <family val="2"/>
        <scheme val="minor"/>
      </rPr>
      <t>7-17 empty ready / Pre-pull&amp; yard storage / Drop fee double drayage</t>
    </r>
    <r>
      <rPr>
        <sz val="11"/>
        <color theme="1"/>
        <rFont val="Calibri"/>
        <family val="2"/>
        <scheme val="minor"/>
      </rPr>
      <t xml:space="preserve"> / drayage $450,  detention 2 hrs free / walmart 转私人仓,
7/12 请取消沃尔玛的约，此柜要改地址派送
更新派送地址：2075 maple ave, Atlanta, GA 30336  整柜直送，做落箱
预约链接：https://tas.wydgroup.com?booking_code=Z42Q31
入库单：IOKZM661-240712-2001 
需要提前2-3天在网站上预约派送时间，以网站批复时间为准 </t>
    </r>
  </si>
  <si>
    <t>DONE#151176</t>
  </si>
  <si>
    <t>TGBU9271312</t>
  </si>
  <si>
    <t>4AE009  </t>
  </si>
  <si>
    <t>COSU6386208481</t>
  </si>
  <si>
    <t>GCXU6060817</t>
  </si>
  <si>
    <t>morning</t>
  </si>
  <si>
    <t xml:space="preserve">8EC6BB </t>
  </si>
  <si>
    <t>Demurrage $160-7.29 / pre-pull and yard storage / received pu# on 7/28 @10:50pm /  EGLV140401895668 / 
1210757403 &lt;1210757403@qq.com&gt;</t>
  </si>
  <si>
    <t>DONE# 152096</t>
  </si>
  <si>
    <t>BEAU5154860</t>
  </si>
  <si>
    <t xml:space="preserve">2.25 hrs detention-1:30pm-4:50pm, 1 hour free / chassis split for empty return to ConGlobal  / YMJAW232549017    </t>
  </si>
  <si>
    <t>DONE# 151367</t>
  </si>
  <si>
    <t>TRHU5013801</t>
  </si>
  <si>
    <t>R00120777906</t>
  </si>
  <si>
    <r>
      <rPr>
        <sz val="11"/>
        <color rgb="FFFF0000"/>
        <rFont val="Calibri"/>
        <family val="2"/>
        <scheme val="minor"/>
      </rPr>
      <t>pre-pull &amp; yard storage / Chassis fee $110</t>
    </r>
    <r>
      <rPr>
        <sz val="11"/>
        <color theme="1"/>
        <rFont val="Calibri"/>
        <family val="2"/>
        <scheme val="minor"/>
      </rPr>
      <t xml:space="preserve"> / MEDU ZU163081 / DDP / Q# YH-0419, $550,detention-1 hr free /  ISF on file /
Delivery Address: Jason Schultz / 216-235-2424 / Alex 937.207.2916
Think Patented
2490 Cross Pointe, Miamisburg, OH 45342</t>
    </r>
  </si>
  <si>
    <r>
      <t xml:space="preserve">DONE# 150825, </t>
    </r>
    <r>
      <rPr>
        <b/>
        <sz val="11"/>
        <color rgb="FF0000FF"/>
        <rFont val="Calibri"/>
        <family val="2"/>
        <scheme val="minor"/>
      </rPr>
      <t>requested chassis fee $110 refund to HIWIND</t>
    </r>
    <r>
      <rPr>
        <sz val="11"/>
        <rFont val="Calibri"/>
        <family val="2"/>
        <scheme val="minor"/>
      </rPr>
      <t xml:space="preserve">
</t>
    </r>
  </si>
  <si>
    <t>OOCU7510584</t>
  </si>
  <si>
    <t>LBCT terminal</t>
  </si>
  <si>
    <t>08/01/2024 11:00 PDT</t>
  </si>
  <si>
    <t>ISA# 104388034980</t>
  </si>
  <si>
    <t>JCB-Transload
NTG-FTL</t>
  </si>
  <si>
    <r>
      <rPr>
        <sz val="11"/>
        <color rgb="FFFF0000"/>
        <rFont val="Calibri"/>
        <family val="2"/>
        <scheme val="minor"/>
      </rPr>
      <t>FTL detention of 2 hrs -(8/1, 11:00 PDT-14:02 PDT, 1 hour free  ) /WH storage from 7/6/2024</t>
    </r>
    <r>
      <rPr>
        <sz val="11"/>
        <color theme="1"/>
        <rFont val="Calibri"/>
        <family val="2"/>
        <scheme val="minor"/>
      </rPr>
      <t xml:space="preserve">, / 直送被拒转拆 /  在JCB仓库拆柜 / OOLU2738731070 / LFD for per diem 7-3
</t>
    </r>
    <r>
      <rPr>
        <sz val="11"/>
        <color rgb="FFFF0000"/>
        <rFont val="Calibri"/>
        <family val="2"/>
        <scheme val="minor"/>
      </rPr>
      <t xml:space="preserve">27 pallets/425 cartons
Total weight : 28,460lbs
Dims: 72x46x52 </t>
    </r>
    <r>
      <rPr>
        <sz val="11"/>
        <color theme="1"/>
        <rFont val="Calibri"/>
        <family val="2"/>
        <scheme val="minor"/>
      </rPr>
      <t xml:space="preserve">
</t>
    </r>
    <r>
      <rPr>
        <sz val="11"/>
        <color rgb="FF003399"/>
        <rFont val="Calibri"/>
        <family val="2"/>
        <scheme val="minor"/>
      </rPr>
      <t>$2700 include drayage from LA/LB port to ABL warehouse, 2-day chassis rental,unloading fee (for 40"less than 1000ctns) ,palletizing fee (less than 35plts),FTL to XLX7 per truck /  Pallet Storage $2/plt/day(5 days free)</t>
    </r>
  </si>
  <si>
    <t>DONE# 152917, Disputing to JCB</t>
  </si>
  <si>
    <t>TRHU8842679</t>
  </si>
  <si>
    <t>OOLU2739344480, pier pass, ctf / 7-12 @5:39pm CST empty ready / drop $325 / Q# WUH031424B, $650</t>
  </si>
  <si>
    <t>DONE# 151175</t>
  </si>
  <si>
    <t>ONEU9208054</t>
  </si>
  <si>
    <t>ONEYNB4JIB573400</t>
  </si>
  <si>
    <t>Y</t>
  </si>
  <si>
    <t>SEGU4210025</t>
  </si>
  <si>
    <t>OOLU8810851061</t>
  </si>
  <si>
    <t>TIIU4644074</t>
  </si>
  <si>
    <t>6A6E3F</t>
  </si>
  <si>
    <t>COSU6389030912</t>
  </si>
  <si>
    <t>ONEU1175102</t>
  </si>
  <si>
    <t>ONEYNB4IB7202600</t>
  </si>
  <si>
    <t>DONE# 151951</t>
  </si>
  <si>
    <t>FCL</t>
  </si>
  <si>
    <t xml:space="preserve">TCLU9545925   </t>
  </si>
  <si>
    <t>DONE# 151952</t>
  </si>
  <si>
    <t>FANU1733668</t>
  </si>
  <si>
    <t>HLBU1003267</t>
  </si>
  <si>
    <t>BARTLETT, IL 60103</t>
  </si>
  <si>
    <t xml:space="preserve">’535284 </t>
  </si>
  <si>
    <r>
      <rPr>
        <sz val="11"/>
        <color rgb="FFFF0000"/>
        <rFont val="Calibri"/>
        <family val="2"/>
        <scheme val="minor"/>
      </rPr>
      <t xml:space="preserve">pre-pull, yard storage  /  SPLIT for OG CP </t>
    </r>
    <r>
      <rPr>
        <sz val="11"/>
        <color theme="1"/>
        <rFont val="Calibri"/>
        <family val="2"/>
        <scheme val="minor"/>
      </rPr>
      <t xml:space="preserve"> / HLCUXM12406AVLH0 / DDP / TLX HBL / TLX MBL / 要最少提前3天预约/ DANNY GARCIA 224-413-5420
RRECEIVING@COLONYDISPLAY.COM </t>
    </r>
  </si>
  <si>
    <t>DONE#152052</t>
  </si>
  <si>
    <t>TRHU8731470</t>
  </si>
  <si>
    <t>CSX Cincinnati J614</t>
  </si>
  <si>
    <t>Century Express -OH</t>
  </si>
  <si>
    <t>R00121826262</t>
  </si>
  <si>
    <r>
      <rPr>
        <sz val="11"/>
        <color rgb="FFFF0000"/>
        <rFont val="Calibri"/>
        <family val="2"/>
        <scheme val="minor"/>
      </rPr>
      <t xml:space="preserve">pre-pull &amp; yard storage </t>
    </r>
    <r>
      <rPr>
        <sz val="11"/>
        <color theme="1"/>
        <rFont val="Calibri"/>
        <family val="2"/>
        <scheme val="minor"/>
      </rPr>
      <t>/ MEDUF1770686 / DDP  / ISF ON FILE / TLX HBL / 客户确认不需要付co-loader的HC</t>
    </r>
  </si>
  <si>
    <t>DONE# 152451</t>
  </si>
  <si>
    <t>CCLU7775753</t>
  </si>
  <si>
    <t>0569f7</t>
  </si>
  <si>
    <t>OOLU8810849600</t>
  </si>
  <si>
    <t>BMOU5230820</t>
  </si>
  <si>
    <t>A71EFD</t>
  </si>
  <si>
    <t>OOLU2149886650</t>
  </si>
  <si>
    <t>OOLU9601268</t>
  </si>
  <si>
    <t>8b563d</t>
  </si>
  <si>
    <t>OOLU8810851060</t>
  </si>
  <si>
    <t>SMCU1109996</t>
  </si>
  <si>
    <t>SMLMNJEB4A349500</t>
  </si>
  <si>
    <t>BEAU6318953</t>
  </si>
  <si>
    <t>SMLMNJBC3E239400</t>
  </si>
  <si>
    <t>NINGBO NANHUA</t>
  </si>
  <si>
    <t>MRSU4405507</t>
  </si>
  <si>
    <t>Maersk</t>
  </si>
  <si>
    <t>TOTAL TERMINALS INTERNATIONAL</t>
  </si>
  <si>
    <t>MAEU241829343</t>
  </si>
  <si>
    <t>Done # 151677</t>
  </si>
  <si>
    <t>BMOU5848090</t>
  </si>
  <si>
    <t>2BF363</t>
  </si>
  <si>
    <t xml:space="preserve">OOLU2149376880 / bnsf demurrage inv was billed to wuh team on 8-6 due to a late pu# / </t>
  </si>
  <si>
    <t>OOCU7603619</t>
  </si>
  <si>
    <t>02F4D2</t>
  </si>
  <si>
    <t>COSU6389030914</t>
  </si>
  <si>
    <t>TEMU6467739</t>
  </si>
  <si>
    <t>b0365c</t>
  </si>
  <si>
    <t>COSU6388483390</t>
  </si>
  <si>
    <t>CSNU7640479</t>
  </si>
  <si>
    <t>3D7B91</t>
  </si>
  <si>
    <t>OOLU8810863760</t>
  </si>
  <si>
    <t>HAMU2198646</t>
  </si>
  <si>
    <t>‘921500</t>
  </si>
  <si>
    <t>DONE#152053</t>
  </si>
  <si>
    <t>FOREST-SHENZHEN</t>
  </si>
  <si>
    <t>ZCSU7078253</t>
  </si>
  <si>
    <t>C269A9</t>
  </si>
  <si>
    <t>ZIMUSHH31363012</t>
  </si>
  <si>
    <t xml:space="preserve">done 153989 </t>
  </si>
  <si>
    <t>SUDU8669603</t>
  </si>
  <si>
    <t>MSKU1213428</t>
  </si>
  <si>
    <t>FOREST-NINGBO</t>
  </si>
  <si>
    <t>TGBU8687080</t>
  </si>
  <si>
    <t>5BE152</t>
  </si>
  <si>
    <t>OOLU2150311850</t>
  </si>
  <si>
    <t>DONE 152926</t>
  </si>
  <si>
    <t>OOCU6990600</t>
  </si>
  <si>
    <t>F3D20F</t>
  </si>
  <si>
    <t>COSU6389210020</t>
  </si>
  <si>
    <t>MSDU4348782</t>
  </si>
  <si>
    <t>ROMEOVILLE IL 60446</t>
  </si>
  <si>
    <t>B636B8</t>
  </si>
  <si>
    <t>MEDUWC692219 / Contact:
Steve Craley / 614-652-1038 /  scraley@mitsubishiingredients.com
815-524-9035 / 815-221-3128</t>
  </si>
  <si>
    <t>DONE# 152446</t>
  </si>
  <si>
    <t xml:space="preserve">KOCU5160939 </t>
  </si>
  <si>
    <t>Lebanon, IN 46052</t>
  </si>
  <si>
    <r>
      <rPr>
        <sz val="11"/>
        <color rgb="FFFF0000"/>
        <rFont val="Calibri"/>
        <family val="2"/>
        <scheme val="minor"/>
      </rPr>
      <t>2 hrs detention-11:30am-2:25pm, 1 hour free</t>
    </r>
    <r>
      <rPr>
        <sz val="11"/>
        <color theme="1"/>
        <rFont val="Calibri"/>
        <family val="2"/>
        <scheme val="minor"/>
      </rPr>
      <t>./ HDMUNBOZ74879300  / DDP / Q# YWHJ113023C , Detention 1 hr free / TLX HBL/ Camping World Distribution Center
Attn: Chelsea Aiken
300 Purity Drive, Lebanon, IN 46052
(765) 535-7277 EXT. 1220</t>
    </r>
  </si>
  <si>
    <t>DONE# 152449</t>
  </si>
  <si>
    <t>YMLU8604232</t>
  </si>
  <si>
    <t>21968A</t>
  </si>
  <si>
    <r>
      <rPr>
        <sz val="11"/>
        <color rgb="FF000000"/>
        <rFont val="Calibri"/>
        <family val="2"/>
        <scheme val="minor"/>
      </rPr>
      <t xml:space="preserve">YMLUW240341938/ Q# WUH010824G, $850/ Detention 1 hr free / </t>
    </r>
    <r>
      <rPr>
        <sz val="11"/>
        <color rgb="FFFF0000"/>
        <rFont val="Calibri"/>
        <family val="2"/>
        <scheme val="minor"/>
      </rPr>
      <t>不要发POD给客户 / BILL TO ABL SHENZHEN / no customs clearance / demurrage clear to 9/19</t>
    </r>
  </si>
  <si>
    <t>1st Delivery Inv# 152983, Demurrage inv# 152984 /
Demurrage # 153882</t>
  </si>
  <si>
    <t>TGBU9940090</t>
  </si>
  <si>
    <t>204D4C</t>
  </si>
  <si>
    <t>EGLV143456331205</t>
  </si>
  <si>
    <t xml:space="preserve"> ZCSU8747883</t>
  </si>
  <si>
    <t>0AF21A</t>
  </si>
  <si>
    <t>ZIMUSHH31354474</t>
  </si>
  <si>
    <t>CSNU6196457</t>
  </si>
  <si>
    <t>676A42</t>
  </si>
  <si>
    <t>OOLU8810866070</t>
  </si>
  <si>
    <t>TCKU7958917</t>
  </si>
  <si>
    <t>009225</t>
  </si>
  <si>
    <t>OOLU2149605140</t>
  </si>
  <si>
    <t xml:space="preserve">MSCU4930573 </t>
  </si>
  <si>
    <t xml:space="preserve">0BC1ED </t>
  </si>
  <si>
    <t>MEDUWC692201 / Contact:
Steve Craley / 614-652-1038 /  scraley@mitsubishiingredients.com
815-524-9035 / 815-221-3128</t>
  </si>
  <si>
    <t>DONE# 152442</t>
  </si>
  <si>
    <t xml:space="preserve">QZW20240807001 </t>
  </si>
  <si>
    <t>只卸掉trailer 尾端的 10 plts，其余货物不动</t>
  </si>
  <si>
    <t>CCLU7435389</t>
  </si>
  <si>
    <t>bcffe3</t>
  </si>
  <si>
    <t>OOLU2741592260</t>
  </si>
  <si>
    <t>FCIU9900507</t>
  </si>
  <si>
    <t>E11110</t>
  </si>
  <si>
    <t>OOLU8810869710</t>
  </si>
  <si>
    <t>TGBU8596490</t>
  </si>
  <si>
    <t>919f41</t>
  </si>
  <si>
    <t>OOLU2741587724</t>
  </si>
  <si>
    <t xml:space="preserve">TRHU5183665 </t>
  </si>
  <si>
    <t>3996212</t>
  </si>
  <si>
    <r>
      <rPr>
        <sz val="11"/>
        <color rgb="FFFF0000"/>
        <rFont val="Calibri"/>
        <family val="2"/>
        <scheme val="minor"/>
      </rPr>
      <t>OF $8950 / $8850</t>
    </r>
    <r>
      <rPr>
        <sz val="11"/>
        <color rgb="FF000000"/>
        <rFont val="Calibri"/>
        <family val="2"/>
        <scheme val="minor"/>
      </rPr>
      <t>/ MBL# ONEYTPEE60938800  / NEW SHPT S/HUNTER ALLOY C/AUTOSPEC INC. KEL TO Chicago via Lax 1X40HQ CLS6/26***MTPE24060156***</t>
    </r>
  </si>
  <si>
    <t>DONE#152289</t>
  </si>
  <si>
    <t>EMCU1696945</t>
  </si>
  <si>
    <t>TACOMA, WA</t>
  </si>
  <si>
    <t>ROY, WA 98580/Car Wash</t>
  </si>
  <si>
    <t>61678/127703</t>
  </si>
  <si>
    <t>TGBU2612320</t>
  </si>
  <si>
    <t>JACKSONVILLE-Blount Island Marine TML</t>
  </si>
  <si>
    <t>Horizon</t>
  </si>
  <si>
    <r>
      <rPr>
        <sz val="11"/>
        <color rgb="FFFF0000"/>
        <rFont val="Calibri"/>
        <family val="2"/>
        <scheme val="minor"/>
      </rPr>
      <t>1.5 hrs detention-7AM-10:35AM, 2HRS FREE</t>
    </r>
    <r>
      <rPr>
        <sz val="11"/>
        <color theme="1"/>
        <rFont val="Calibri"/>
        <family val="2"/>
        <scheme val="minor"/>
      </rPr>
      <t>/ ZIMUXIA8392158  / COC / Q# ASPD052224A , $800/ 2 hrs free detention</t>
    </r>
  </si>
  <si>
    <t>DONE# 152630</t>
  </si>
  <si>
    <t>TEMU1646813</t>
  </si>
  <si>
    <r>
      <rPr>
        <sz val="11"/>
        <color rgb="FFFF0000"/>
        <rFont val="Calibri"/>
        <family val="2"/>
        <scheme val="minor"/>
      </rPr>
      <t>2.25 hrs detention-9:27am-1:40pm, 2 hours free.</t>
    </r>
    <r>
      <rPr>
        <sz val="11"/>
        <color theme="1"/>
        <rFont val="Calibri"/>
        <family val="2"/>
        <scheme val="minor"/>
      </rPr>
      <t xml:space="preserve"> / ZIMUXIA8392158  / COC / Q# ASPD052224A , $800/ 2 hrs free detention</t>
    </r>
  </si>
  <si>
    <t>DONE# 152629</t>
  </si>
  <si>
    <t>TRHU3334696</t>
  </si>
  <si>
    <r>
      <rPr>
        <sz val="11"/>
        <color rgb="FFFF0000"/>
        <rFont val="Calibri"/>
        <family val="2"/>
        <scheme val="minor"/>
      </rPr>
      <t>4.25 hrs detention- 7:40am-2 pm, 2 hours free</t>
    </r>
    <r>
      <rPr>
        <sz val="11"/>
        <color theme="1"/>
        <rFont val="Calibri"/>
        <family val="2"/>
        <scheme val="minor"/>
      </rPr>
      <t xml:space="preserve"> / pre-pull &amp; yard storage / ZIMUXIA8395055  / COC / Q# ASPD052224A , $800/ 2 hrs free detention</t>
    </r>
  </si>
  <si>
    <t>DONE# 152631</t>
  </si>
  <si>
    <t>SMCU1009929</t>
  </si>
  <si>
    <t>SMLMNJPE4A150700</t>
  </si>
  <si>
    <t>CGMU5148971</t>
  </si>
  <si>
    <t>A3498B</t>
  </si>
  <si>
    <t>CMDUNGP1252255</t>
  </si>
  <si>
    <t>DONE 153534</t>
  </si>
  <si>
    <t>FCIU9866737</t>
  </si>
  <si>
    <t>83cef3</t>
  </si>
  <si>
    <t>OOLU8810839490</t>
  </si>
  <si>
    <t>WHSU5996364</t>
  </si>
  <si>
    <t>LGB PORT-PCT terminal</t>
  </si>
  <si>
    <t>Sojin Handles</t>
  </si>
  <si>
    <t>Customs RLS / LINE HOLD removed</t>
  </si>
  <si>
    <t>MBL# WHLC025E680832 / HBL# HSZX00034031&amp;HSZX00034093&amp;HSZX00034094</t>
  </si>
  <si>
    <t>DONE# 152628</t>
  </si>
  <si>
    <t xml:space="preserve">MSMU1715427 </t>
  </si>
  <si>
    <t>20DV</t>
  </si>
  <si>
    <t>MEDUX7175292 / demurrage clear to 8/14 / admin, pre-pull, yard storage</t>
  </si>
  <si>
    <t>Done # 152685</t>
  </si>
  <si>
    <t>Apex</t>
  </si>
  <si>
    <t>TCNU4983171</t>
  </si>
  <si>
    <t>CN RAIL - CHICAGO (HARVEY)</t>
  </si>
  <si>
    <t>ABL</t>
  </si>
  <si>
    <t>#052636</t>
  </si>
  <si>
    <t>ONEYCK3LF0922800 / Palletize in ABL 8-14 / chasssis split / pick up 8/27 (26plt), 8/28 (18 plt)</t>
  </si>
  <si>
    <t>Done # 153108</t>
  </si>
  <si>
    <t>JXLU7996372</t>
  </si>
  <si>
    <t>B0E1B3</t>
  </si>
  <si>
    <t>ZIMUSHH31385593</t>
  </si>
  <si>
    <t xml:space="preserve">DONE 153990  </t>
  </si>
  <si>
    <t>CSNU6545651</t>
  </si>
  <si>
    <t>07294F</t>
  </si>
  <si>
    <t>COSU6390076510</t>
  </si>
  <si>
    <t>DONE# 152980</t>
  </si>
  <si>
    <t>CRSU9280697</t>
  </si>
  <si>
    <t>NS CLEVELAND, OH</t>
  </si>
  <si>
    <t>7:00-8:00 am</t>
  </si>
  <si>
    <t>Mentor, OH 44060</t>
  </si>
  <si>
    <r>
      <rPr>
        <sz val="11"/>
        <color rgb="FF000000"/>
        <rFont val="Calibri"/>
        <family val="2"/>
        <scheme val="minor"/>
      </rPr>
      <t xml:space="preserve">CMDUNGP1405578/ </t>
    </r>
    <r>
      <rPr>
        <sz val="11"/>
        <color rgb="FFFF0000"/>
        <rFont val="Calibri"/>
        <family val="2"/>
        <scheme val="minor"/>
      </rPr>
      <t>不要发POD给客户, POD发武汉 / BILL TO WUH / detention 2 hr/ received POD</t>
    </r>
  </si>
  <si>
    <t>Done # 152406</t>
  </si>
  <si>
    <t xml:space="preserve">DFSU6795000   </t>
  </si>
  <si>
    <t xml:space="preserve">D0744F  </t>
  </si>
  <si>
    <t>CMDUNGP1316352 / Q# WUH021924E, 1 hr free detention</t>
  </si>
  <si>
    <t>DONE# 152521</t>
  </si>
  <si>
    <t>CAAU8187263</t>
  </si>
  <si>
    <t>C6461D</t>
  </si>
  <si>
    <t>ZIMUSHH31354422</t>
  </si>
  <si>
    <t>ZCSU7604893</t>
  </si>
  <si>
    <t>E0F1C2</t>
  </si>
  <si>
    <t>ZIMUSHH31387334</t>
  </si>
  <si>
    <t>CSNU7683568</t>
  </si>
  <si>
    <t>91BEF1</t>
  </si>
  <si>
    <t>COSU6390031690</t>
  </si>
  <si>
    <t>DONE# 152979</t>
  </si>
  <si>
    <t>OOLU9679121</t>
  </si>
  <si>
    <t>PO# 33217</t>
  </si>
  <si>
    <t>OOLU2738620180</t>
  </si>
  <si>
    <t>DONE# 155195</t>
  </si>
  <si>
    <t>TGBU7134856</t>
  </si>
  <si>
    <t>7EC030</t>
  </si>
  <si>
    <t>ZIMUSHH31411798</t>
  </si>
  <si>
    <t>GCXU5245570</t>
  </si>
  <si>
    <t>GCT BAYONE</t>
  </si>
  <si>
    <t xml:space="preserve">8:30AM DROP </t>
  </si>
  <si>
    <t>ABN</t>
  </si>
  <si>
    <t>change from 15 Tarkett Drive,Unit 3 New Windsor, NY
to BRIDGEWATER NJ 08807</t>
  </si>
  <si>
    <t>ONEYNB4IB8507800 / RVA282-240823-0001</t>
  </si>
  <si>
    <t>Demurrage # 152887
Done # 153344</t>
  </si>
  <si>
    <t>kai qi</t>
  </si>
  <si>
    <t>HYUZ006075</t>
  </si>
  <si>
    <t>kaiqi 司机把trailer 送到 ABL, 跳约，倒货</t>
  </si>
  <si>
    <t>JXLU7846937</t>
  </si>
  <si>
    <t>c76048</t>
  </si>
  <si>
    <t>ZIMUSHH31387358</t>
  </si>
  <si>
    <t>OOCU7924753</t>
  </si>
  <si>
    <t>ABE7A0</t>
  </si>
  <si>
    <t>COSU6390031840</t>
  </si>
  <si>
    <t>MAGU5226037</t>
  </si>
  <si>
    <t>Atlanta,GA,Fulton,United States-CSX</t>
  </si>
  <si>
    <t xml:space="preserve">Abid//404-200-0578//845 Fairfield Dr,Marietta,GA 30068 / Residential delivery Fee: $250/cntr. </t>
  </si>
  <si>
    <r>
      <rPr>
        <sz val="11"/>
        <color rgb="FFFF0000"/>
        <rFont val="Calibri"/>
        <family val="2"/>
        <scheme val="minor"/>
      </rPr>
      <t xml:space="preserve">Residential delivery $250 </t>
    </r>
    <r>
      <rPr>
        <sz val="11"/>
        <color rgb="FF000000"/>
        <rFont val="Calibri"/>
        <family val="2"/>
        <scheme val="minor"/>
      </rPr>
      <t xml:space="preserve">/ COSU6388473830   / Q# WUHO061824D, $420, 2hrs free detention/ demurrage / </t>
    </r>
    <r>
      <rPr>
        <sz val="11"/>
        <color rgb="FFFF0000"/>
        <rFont val="Calibri"/>
        <family val="2"/>
        <scheme val="minor"/>
      </rPr>
      <t>Bill to WUH / demurrage 100</t>
    </r>
  </si>
  <si>
    <t>Done # 152910</t>
  </si>
  <si>
    <t>KKFU7621815</t>
  </si>
  <si>
    <t>ONEYCK3LF0912700 1 hr detention / bill save</t>
  </si>
  <si>
    <t>Done # 152696</t>
  </si>
  <si>
    <t>TCNU5310529</t>
  </si>
  <si>
    <t>#060319</t>
  </si>
  <si>
    <t>ONEYCK3LF0921700 bill save</t>
  </si>
  <si>
    <t>Done # 152918</t>
  </si>
  <si>
    <t>TRHU7671041</t>
  </si>
  <si>
    <t>ONEYCKGE02438500 / 0.5 detension</t>
  </si>
  <si>
    <t>Done # 152695</t>
  </si>
  <si>
    <t>SEGU4520822</t>
  </si>
  <si>
    <t>ONEYCK3LF0913800 bill save</t>
  </si>
  <si>
    <t>Done # 152922</t>
  </si>
  <si>
    <t>ONEU1590042</t>
  </si>
  <si>
    <t>ONEYCKGE02439600 bill save</t>
  </si>
  <si>
    <t>Done # 152925</t>
  </si>
  <si>
    <t>GAOU7229617</t>
  </si>
  <si>
    <t>EGLV149405428082</t>
  </si>
  <si>
    <t>done 154313</t>
  </si>
  <si>
    <t>AMCU9374323</t>
  </si>
  <si>
    <t>CMDUNGP1333611</t>
  </si>
  <si>
    <t>DONE 153561</t>
  </si>
  <si>
    <t>TCNU9136863</t>
  </si>
  <si>
    <t xml:space="preserve">  WAKARUSA, IN. 46573</t>
  </si>
  <si>
    <t xml:space="preserve">SMLMTATU4A686100 / LTRN052024C / 574-862-4251 / 地址：905 E. WATERFORD ST. WAKARUSA, IN. 46573, USA                                       邮箱：purchasing@jnstone.com                                                                    
 联系人：Mike Schade </t>
  </si>
  <si>
    <t>Done# 152698</t>
  </si>
  <si>
    <t>SMCU1173233</t>
  </si>
  <si>
    <t>SMLMNJPU3B567300</t>
  </si>
  <si>
    <t>SMCU1030675</t>
  </si>
  <si>
    <t>SMLMNJED4H271100</t>
  </si>
  <si>
    <t>SMCU1124326</t>
  </si>
  <si>
    <t>SMLMTATU4A717300</t>
  </si>
  <si>
    <t>SMCU1237852</t>
  </si>
  <si>
    <t>4707258</t>
  </si>
  <si>
    <t>SMLMNJBC3E256300</t>
  </si>
  <si>
    <t>OOLU9221587</t>
  </si>
  <si>
    <r>
      <rPr>
        <sz val="11"/>
        <color rgb="FF000000"/>
        <rFont val="Calibri"/>
        <family val="2"/>
        <scheme val="minor"/>
      </rPr>
      <t xml:space="preserve">OOLU2302722040 / </t>
    </r>
    <r>
      <rPr>
        <sz val="11"/>
        <color rgb="FFFF0000"/>
        <rFont val="Calibri"/>
        <family val="2"/>
        <scheme val="minor"/>
      </rPr>
      <t>不要发POD给客户 / BILL TO WUH / hold in vision yard for 3 days, 2 days free / ready at 8/21</t>
    </r>
  </si>
  <si>
    <t>1st # 152412
2nd# 152886</t>
  </si>
  <si>
    <t>CSNU7209230</t>
  </si>
  <si>
    <t>CN Rail - Harvey</t>
  </si>
  <si>
    <t>OOLU2742677290</t>
  </si>
  <si>
    <t>Done # 151240</t>
  </si>
  <si>
    <t>OOCU8417028</t>
  </si>
  <si>
    <t>TCNU4373008</t>
  </si>
  <si>
    <t>ONEYCK4LI0291400 / pre-pull / 0.5 detention</t>
  </si>
  <si>
    <t>Done # 153105</t>
  </si>
  <si>
    <t>TCNU5369131</t>
  </si>
  <si>
    <t>66A926</t>
  </si>
  <si>
    <t>ZIMUSHH31391332</t>
  </si>
  <si>
    <t>DONE 153991</t>
  </si>
  <si>
    <t xml:space="preserve">DFSU7424690 </t>
  </si>
  <si>
    <t>NS Detroit Livernois</t>
  </si>
  <si>
    <t>8/26 Dropped to Exam site</t>
  </si>
  <si>
    <t xml:space="preserve">EXAM HOLD 
Detorit </t>
  </si>
  <si>
    <t>Trans-Overseas Exam site,
Oakley, Mi 48649</t>
  </si>
  <si>
    <t>3122 from NS</t>
  </si>
  <si>
    <t>8/21 LFD at  NS rail</t>
  </si>
  <si>
    <t>8/26 from NS</t>
  </si>
  <si>
    <r>
      <rPr>
        <sz val="11"/>
        <color rgb="FFFF0000"/>
        <rFont val="Calibri"/>
        <family val="2"/>
        <scheme val="minor"/>
      </rPr>
      <t xml:space="preserve">Cecilia 接受后面需要退运出口的部分 / NS Demurrage $500-8.26 </t>
    </r>
    <r>
      <rPr>
        <sz val="11"/>
        <color theme="1"/>
        <rFont val="Calibri"/>
        <family val="2"/>
        <scheme val="minor"/>
      </rPr>
      <t xml:space="preserve">/ OOLU2741747690 /
Detroit Exam site: 
Trans-Overseas Corporation
28000 Goddard Rd.Romulus, Michigan 48174
</t>
    </r>
    <r>
      <rPr>
        <sz val="11"/>
        <color rgb="FF0000FF"/>
        <rFont val="Calibri"/>
        <family val="2"/>
        <scheme val="minor"/>
      </rPr>
      <t>EXAM moving, $480.00- DROP to Trans-Overseas Corporation Exam site
$350.00- PICK- applies to bobtail to pick up container once exam is complete.
$40/day chassis rental, $100/split</t>
    </r>
  </si>
  <si>
    <t>DONE# 155280</t>
  </si>
  <si>
    <t>TCNU1627095</t>
  </si>
  <si>
    <t>CSNU6810293</t>
  </si>
  <si>
    <t>C79C09</t>
  </si>
  <si>
    <t>COSU6390909520 / SWB / ISF ON FILE
Warehouse contact details as following:
Contact person:Toni Hunt -Office Manager
Email address:toni@bwdst.com 
Tel: 816-437-1193</t>
  </si>
  <si>
    <t>DONE# 153213</t>
  </si>
  <si>
    <t xml:space="preserve">BTNU4012485   </t>
  </si>
  <si>
    <t> 8/21</t>
  </si>
  <si>
    <t> 9am</t>
  </si>
  <si>
    <t>LAYTON, UT 84040</t>
  </si>
  <si>
    <r>
      <t xml:space="preserve">HDMUNBOZ90633400 / Q# WUHO070224F, $360, 2 hrs free detention /  </t>
    </r>
    <r>
      <rPr>
        <sz val="11"/>
        <color rgb="FFFF0000"/>
        <rFont val="Calibri"/>
        <family val="2"/>
        <scheme val="minor"/>
      </rPr>
      <t xml:space="preserve">Chassis split for SOC return to RSD Container /  </t>
    </r>
    <r>
      <rPr>
        <sz val="11"/>
        <color theme="1"/>
        <rFont val="Calibri"/>
        <family val="2"/>
        <scheme val="minor"/>
      </rPr>
      <t xml:space="preserve">预约方式更新，电话预约
PHONE: 801-660-9685
adam@beehivemeals.com  </t>
    </r>
  </si>
  <si>
    <t>DONE# 152837</t>
  </si>
  <si>
    <t>BTNU4012417</t>
  </si>
  <si>
    <r>
      <rPr>
        <sz val="11"/>
        <color rgb="FF000000"/>
        <rFont val="Calibri"/>
        <family val="2"/>
        <scheme val="minor"/>
      </rPr>
      <t xml:space="preserve">HDMUNBOZ90633400 / Q# WUHO070224F, $360, 2 hrs free detention /  </t>
    </r>
    <r>
      <rPr>
        <sz val="11"/>
        <color rgb="FFFF0000"/>
        <rFont val="Calibri"/>
        <family val="2"/>
        <scheme val="minor"/>
      </rPr>
      <t xml:space="preserve">Chassis split for SOC return to RSD Container /  </t>
    </r>
    <r>
      <rPr>
        <sz val="11"/>
        <color rgb="FF000000"/>
        <rFont val="Calibri"/>
        <family val="2"/>
        <scheme val="minor"/>
      </rPr>
      <t xml:space="preserve">预约方式更新，电话预约
PHONE: 801-660-9685
adam@beehivemeals.com  </t>
    </r>
  </si>
  <si>
    <t>DONE# 152838</t>
  </si>
  <si>
    <t>TTNU8826825</t>
  </si>
  <si>
    <t>ONEYNB4BFH048500</t>
  </si>
  <si>
    <t>DONE 153562</t>
  </si>
  <si>
    <t>OOCU8918821</t>
  </si>
  <si>
    <t>8C4B33</t>
  </si>
  <si>
    <t>OOLU2149973820</t>
  </si>
  <si>
    <t>TCNU6332414</t>
  </si>
  <si>
    <t>MADISON WI 53718 change to ABL warehouse</t>
  </si>
  <si>
    <t>ONEYCK4LI0290300 / delivered ABL 8/20 / 8/26 picked up 87 plt / 9/5 7 plts</t>
  </si>
  <si>
    <t>Done # 153106</t>
  </si>
  <si>
    <t>Schedule online payment</t>
  </si>
  <si>
    <t>CSNU7793056</t>
  </si>
  <si>
    <t>4B86FD</t>
  </si>
  <si>
    <t>COSU6389871360</t>
  </si>
  <si>
    <t>done 154637</t>
  </si>
  <si>
    <t>TCNU5693454</t>
  </si>
  <si>
    <t>ONEYCK3LF0911600</t>
  </si>
  <si>
    <t>Done # 153109</t>
  </si>
  <si>
    <t>EGHU8243606</t>
  </si>
  <si>
    <t>SAVANNAH PORT AUTHORITY (L738)</t>
  </si>
  <si>
    <t xml:space="preserve">2pm - 4:30 pm </t>
  </si>
  <si>
    <t>Harrison JUJ+K12
6550 Jimmy carter blvd,Suite A,Norcross,GA,30071
4705192992</t>
  </si>
  <si>
    <t>EGLV140457319549 / pre-pull / yard storage</t>
  </si>
  <si>
    <t>Done # 153535</t>
  </si>
  <si>
    <t>OOCU8410321</t>
  </si>
  <si>
    <t>8AF8D3</t>
  </si>
  <si>
    <t>OOLU4121945300</t>
  </si>
  <si>
    <t>DONE#154462</t>
  </si>
  <si>
    <t>FCIU9937574</t>
  </si>
  <si>
    <t xml:space="preserve">6C4E8E </t>
  </si>
  <si>
    <t>OOLU8897123640</t>
  </si>
  <si>
    <t>CBHU8974132</t>
  </si>
  <si>
    <t>0DB57B</t>
  </si>
  <si>
    <t>COSU6390909520 /SWB /  ISF ON FILE
Warehouse contact details as following:
Contact person:Toni Hunt -Office Manager
Email address:toni@bwdst.com 
Tel: 816-437-1193</t>
  </si>
  <si>
    <t>DONE# 153214</t>
  </si>
  <si>
    <t>WNGU2419467</t>
  </si>
  <si>
    <t>NS-AUSTELL</t>
  </si>
  <si>
    <t>ALPHARETTA, GA. 30005</t>
  </si>
  <si>
    <t>‘2273</t>
  </si>
  <si>
    <r>
      <rPr>
        <sz val="11"/>
        <color rgb="FF0000FF"/>
        <rFont val="Calibri"/>
        <family val="2"/>
        <scheme val="minor"/>
      </rPr>
      <t>Bobtail fee $590 for Bobtail back from SOC Depot yesterday 8/22 and Bob tail to SOC Depot again for  picking up chassis today 8/23 due to SOC Depot lifter down on 8-22</t>
    </r>
    <r>
      <rPr>
        <sz val="11"/>
        <color rgb="FFFF0000"/>
        <rFont val="Calibri"/>
        <family val="2"/>
        <scheme val="minor"/>
      </rPr>
      <t xml:space="preserve">  / Chassis split for OG from NS Cleveland</t>
    </r>
    <r>
      <rPr>
        <sz val="11"/>
        <color rgb="FF000000"/>
        <rFont val="Calibri"/>
        <family val="2"/>
        <scheme val="minor"/>
      </rPr>
      <t xml:space="preserve"> /  MBL# CMDUXIA1357302 / TLX HBL / TLX MBL</t>
    </r>
    <r>
      <rPr>
        <sz val="11"/>
        <color rgb="FFFF0000"/>
        <rFont val="Calibri"/>
        <family val="2"/>
        <scheme val="minor"/>
      </rPr>
      <t>/ re-route $125+ chassis split for SOC return to Atlantic Equipment</t>
    </r>
    <r>
      <rPr>
        <sz val="11"/>
        <rFont val="Calibri"/>
        <family val="2"/>
        <scheme val="minor"/>
      </rPr>
      <t xml:space="preserve"> / 4485 Lilburn Industrial Way SW,
Lilburn, GA 30047
Gate hours: 8am to 3:30 pm, Monday - Friday</t>
    </r>
  </si>
  <si>
    <t>DONE#153216</t>
  </si>
  <si>
    <t xml:space="preserve">CAAU6122957 </t>
  </si>
  <si>
    <t xml:space="preserve">COSCO </t>
  </si>
  <si>
    <t>8/26 Devanned</t>
  </si>
  <si>
    <t>ABL ocean wh-Bensenville, IL 60106</t>
  </si>
  <si>
    <t>3B7F67</t>
  </si>
  <si>
    <t>9-12 拆柜组接手 / COSU8040099920 / Transload / 暂存ABL WH, 可能要一件代发</t>
  </si>
  <si>
    <t>OOCU8298382</t>
  </si>
  <si>
    <t>6F2179</t>
  </si>
  <si>
    <t xml:space="preserve"> 9-12 拆柜组接手 / COSU8040099920 / Transload / 暂存ABL WH, 可能要一件代发</t>
  </si>
  <si>
    <t>TGBU4707830</t>
  </si>
  <si>
    <t>C6DA36</t>
  </si>
  <si>
    <t>OOLU8810868170</t>
  </si>
  <si>
    <t>DONE#153688</t>
  </si>
  <si>
    <t>MSKU0282722</t>
  </si>
  <si>
    <t>Mobile Container Terminal ( R103 )</t>
  </si>
  <si>
    <t>MAEU241828214 / SWB / TLX HBL</t>
  </si>
  <si>
    <t>Done # 152283</t>
  </si>
  <si>
    <t>TRHU4952868</t>
  </si>
  <si>
    <t>TGBU6756860</t>
  </si>
  <si>
    <t xml:space="preserve">BEAU5099059 </t>
  </si>
  <si>
    <t xml:space="preserve">BMOU5732979     </t>
  </si>
  <si>
    <t>NS Louisville,KY</t>
  </si>
  <si>
    <t xml:space="preserve">2.25 hr detention / YMJAW240347292    / Q# SWNG021924B /  </t>
  </si>
  <si>
    <t>DONE# 153373</t>
  </si>
  <si>
    <t>MRKU8799242</t>
  </si>
  <si>
    <t>PORT OF TAMPA</t>
  </si>
  <si>
    <t>ALTAMONTE  SPRINGS, FL 32714</t>
  </si>
  <si>
    <t>MAEU241825856  / COC / Q# ASPD031424C</t>
  </si>
  <si>
    <t>DONE# 153371</t>
  </si>
  <si>
    <t>OOLU9702561</t>
  </si>
  <si>
    <t>1482f7</t>
  </si>
  <si>
    <t>OOLU2742295674</t>
  </si>
  <si>
    <t>BMOU5012222</t>
  </si>
  <si>
    <t>3D4CC9</t>
  </si>
  <si>
    <t>OOLU2150496350</t>
  </si>
  <si>
    <t>DONE# 153966</t>
  </si>
  <si>
    <t>CSNU7836820</t>
  </si>
  <si>
    <t>4FCB26</t>
  </si>
  <si>
    <t>COSU6390295610</t>
  </si>
  <si>
    <t>DONE# 154459</t>
  </si>
  <si>
    <t>EGHU9265997</t>
  </si>
  <si>
    <t>PO# 61679</t>
  </si>
  <si>
    <t>EGLV90400140183</t>
  </si>
  <si>
    <t>Done # 155198</t>
  </si>
  <si>
    <t>HLBU3375690</t>
  </si>
  <si>
    <t>OAKLAND, CA</t>
  </si>
  <si>
    <t>Petaluma, CA 94952</t>
  </si>
  <si>
    <t>PO# 61720</t>
  </si>
  <si>
    <t>HLCUKUL240681180</t>
  </si>
  <si>
    <t>DONE# 153866</t>
  </si>
  <si>
    <t>TCLU7822527</t>
  </si>
  <si>
    <t>ONEYCK3LF0908500</t>
  </si>
  <si>
    <t>Done # 153172</t>
  </si>
  <si>
    <t>1,863.50_x000D_</t>
  </si>
  <si>
    <t>TRHU6452060</t>
  </si>
  <si>
    <t>MADISON WI 53718 to ROMEOVILLE, IL 60446</t>
  </si>
  <si>
    <t>ONEYCK3LF0909600 / Reservation# 24004582</t>
  </si>
  <si>
    <t>Done # 153180</t>
  </si>
  <si>
    <t>WNGU2377309</t>
  </si>
  <si>
    <t>ONEYXMNE73428400  / re-route $200+ chassis split for SOC return to NLN Chicago</t>
  </si>
  <si>
    <t>DONE# 153730</t>
  </si>
  <si>
    <t>Meta</t>
  </si>
  <si>
    <t>CGMU5601753</t>
  </si>
  <si>
    <t>South Florida Container Ter</t>
  </si>
  <si>
    <t>CMDUTWN0881414/ $30 to consignee, container maintenance</t>
  </si>
  <si>
    <t>cnee Done # 152501
Meta Done #152511</t>
  </si>
  <si>
    <t>TEMU9883745</t>
  </si>
  <si>
    <t>CMDUTWN0881404 / $30 to consignee, container maintenance</t>
  </si>
  <si>
    <t>cnee Done # 152494
Meta Done # 152513</t>
  </si>
  <si>
    <t>OCEU5317883</t>
  </si>
  <si>
    <t>FTL- DON'T SENT DO TO WESHIP</t>
  </si>
  <si>
    <t>OCEU5318719</t>
  </si>
  <si>
    <t>OCEU5318730</t>
  </si>
  <si>
    <t>OCEU5317646</t>
  </si>
  <si>
    <t>OCEU5318128</t>
  </si>
  <si>
    <t>OCEU5317230</t>
  </si>
  <si>
    <t>OCEU5319058</t>
  </si>
  <si>
    <t>OCEU5319232</t>
  </si>
  <si>
    <t>OCEU5319000</t>
  </si>
  <si>
    <t>OCEU5317250</t>
  </si>
  <si>
    <t>OCEU5317693</t>
  </si>
  <si>
    <t>TGBU9284731</t>
  </si>
  <si>
    <t>38FA9A</t>
  </si>
  <si>
    <t>OOLU2150439950  / bill to consignee $50</t>
  </si>
  <si>
    <t>Done # 152004</t>
  </si>
  <si>
    <t>MSBU5467794</t>
  </si>
  <si>
    <t>AD8103</t>
  </si>
  <si>
    <t>MEDUXD747614</t>
  </si>
  <si>
    <t>OOLU9240972</t>
  </si>
  <si>
    <t>ABL FBA-new location</t>
  </si>
  <si>
    <t>791EFF</t>
  </si>
  <si>
    <t>OOLU2742827650</t>
  </si>
  <si>
    <t>CAAU7289810</t>
  </si>
  <si>
    <t>541a84</t>
  </si>
  <si>
    <t>OOLU2150579689</t>
  </si>
  <si>
    <t>DONE#153689</t>
  </si>
  <si>
    <t xml:space="preserve">TRHU7253930   </t>
  </si>
  <si>
    <t>BLUE ASH, OH  45242</t>
  </si>
  <si>
    <r>
      <rPr>
        <sz val="11"/>
        <color rgb="FFFF0000"/>
        <rFont val="Calibri"/>
        <family val="2"/>
        <scheme val="minor"/>
      </rPr>
      <t xml:space="preserve">Demurrage $100 -8.27 </t>
    </r>
    <r>
      <rPr>
        <sz val="11"/>
        <color theme="1"/>
        <rFont val="Calibri"/>
        <family val="2"/>
        <scheme val="minor"/>
      </rPr>
      <t xml:space="preserve">/ OOLU8810853180  / ISF on file / </t>
    </r>
    <r>
      <rPr>
        <sz val="11"/>
        <color rgb="FFFF0000"/>
        <rFont val="Calibri"/>
        <family val="2"/>
        <scheme val="minor"/>
      </rPr>
      <t xml:space="preserve">需要在LA清关 </t>
    </r>
    <r>
      <rPr>
        <sz val="11"/>
        <color theme="1"/>
        <rFont val="Calibri"/>
        <family val="2"/>
        <scheme val="minor"/>
      </rPr>
      <t>/ TLX HBL/ FRANK GRANDE
LFS- Literature Fulfillment Services
11400 GROOMS ROAD， SUITE 112
BLUE ASH, OHIO 45242
513.478.0584/ 收货人的邮箱：todd@forefrontstore.com，
PO#5961-PINK PLUNGERS</t>
    </r>
  </si>
  <si>
    <t>DONE# 153443</t>
  </si>
  <si>
    <t xml:space="preserve">MATU2586215  </t>
  </si>
  <si>
    <t>Waukegan IL 60085</t>
  </si>
  <si>
    <t xml:space="preserve">05A634 </t>
  </si>
  <si>
    <r>
      <rPr>
        <sz val="11"/>
        <color rgb="FF0000FF"/>
        <rFont val="Calibri"/>
        <family val="2"/>
        <scheme val="minor"/>
      </rPr>
      <t>pre-pull &amp; yard storage</t>
    </r>
    <r>
      <rPr>
        <sz val="11"/>
        <color rgb="FFFF0000"/>
        <rFont val="Calibri"/>
        <family val="2"/>
        <scheme val="minor"/>
      </rPr>
      <t xml:space="preserve"> / re-route $200 + chassis split will apply for returning to Conglobal </t>
    </r>
    <r>
      <rPr>
        <sz val="11"/>
        <color theme="1"/>
        <rFont val="Calibri"/>
        <family val="2"/>
        <scheme val="minor"/>
      </rPr>
      <t>/ MATS7527039000  / Q# YWHJ081823A, $850, 1 hr detention free / PO323212 
1-847.680.2254</t>
    </r>
  </si>
  <si>
    <t>DONE# 153445</t>
  </si>
  <si>
    <t xml:space="preserve">CMAU6183705    </t>
  </si>
  <si>
    <t>/ CMDUNGP1472743</t>
  </si>
  <si>
    <t>DONE# 153110</t>
  </si>
  <si>
    <t>BEAU4447627</t>
  </si>
  <si>
    <t>Chassis split for both OG &amp; IG  /ONEYCK3LF0910500 / pick up detention</t>
  </si>
  <si>
    <t>Done # 153173</t>
  </si>
  <si>
    <t>TRHU5707084</t>
  </si>
  <si>
    <t>D9857A</t>
  </si>
  <si>
    <t>OOLU8810869310 /我们司机 weship 垫付rail demurrage，我们需要向客户收费。/</t>
  </si>
  <si>
    <t>FSCU8858654</t>
  </si>
  <si>
    <t>59196F</t>
  </si>
  <si>
    <t>COSU6391632710</t>
  </si>
  <si>
    <t>done 154639</t>
  </si>
  <si>
    <t>Niwo</t>
  </si>
  <si>
    <t>MOEU1415672</t>
  </si>
  <si>
    <t>45 HC</t>
  </si>
  <si>
    <t>ABL - new location</t>
  </si>
  <si>
    <t>新客户，之前有 air的货</t>
  </si>
  <si>
    <t xml:space="preserve">EMCU1737453 </t>
  </si>
  <si>
    <t>Boston port-PAUL W. CONLEY MARINE TMNL</t>
  </si>
  <si>
    <t xml:space="preserve">Billerica,Ma 01821            </t>
  </si>
  <si>
    <t>Customs RLS /  TLX HBL</t>
  </si>
  <si>
    <t>EGLV143457069857 / ETD 7-12 / ISF ON FILE / TLX HBL</t>
  </si>
  <si>
    <t>DONE# 153448</t>
  </si>
  <si>
    <t>HLXU8568365</t>
  </si>
  <si>
    <t>HLCUKUL240628074</t>
  </si>
  <si>
    <t>DONE# 153876</t>
  </si>
  <si>
    <t>SPRU3086403</t>
  </si>
  <si>
    <r>
      <rPr>
        <sz val="11"/>
        <color rgb="FF000000"/>
        <rFont val="Calibri"/>
        <family val="2"/>
        <scheme val="minor"/>
      </rPr>
      <t xml:space="preserve">ONEYSZPED1335314 / </t>
    </r>
    <r>
      <rPr>
        <sz val="11"/>
        <color rgb="FFFF0000"/>
        <rFont val="Calibri"/>
        <family val="2"/>
        <scheme val="minor"/>
      </rPr>
      <t>Reroute $175+ chassis split for SOC return to Hamilton Container Service-Monee, IL 60449</t>
    </r>
  </si>
  <si>
    <t>DONE# 153368</t>
  </si>
  <si>
    <t>TRDU6815509</t>
  </si>
  <si>
    <t>UP-GLOBAL 4</t>
  </si>
  <si>
    <t>9:30am</t>
  </si>
  <si>
    <r>
      <rPr>
        <sz val="11"/>
        <color rgb="FFFF0000"/>
        <rFont val="Calibri"/>
        <family val="2"/>
        <scheme val="minor"/>
      </rPr>
      <t>PRE-PULL &amp; YARD STORAGE</t>
    </r>
    <r>
      <rPr>
        <sz val="11"/>
        <color rgb="FF000000"/>
        <rFont val="Calibri"/>
        <family val="2"/>
        <scheme val="minor"/>
      </rPr>
      <t xml:space="preserve"> / SOC/ HDMUSHAZ09315000 / RETURN: TRITON Customer Redelivery Advice - ACHIQ34578 / Redelivery Number: ACHIQ34578 / chassis split</t>
    </r>
  </si>
  <si>
    <t>Done # 153179</t>
  </si>
  <si>
    <t>TRDU6816700</t>
  </si>
  <si>
    <t>SOC/ HDMUSHAZ09315000 / RETURN: TRITON Customer Redelivery Advice - ACHIQ34578 / Redelivery Number: ACHIQ34578 / chassis split</t>
  </si>
  <si>
    <t>Done # 153266</t>
  </si>
  <si>
    <t>TLLU7803891</t>
  </si>
  <si>
    <t>F078F0</t>
  </si>
  <si>
    <t>OOLU2742692720</t>
  </si>
  <si>
    <t>GAOU6014363</t>
  </si>
  <si>
    <t>SMLMNJEB4A568100</t>
  </si>
  <si>
    <t>DONE#153818</t>
  </si>
  <si>
    <t>OOCU7779465</t>
  </si>
  <si>
    <t>Long Beach Container Terminal (Pier E)</t>
  </si>
  <si>
    <t>OOLU2743929801</t>
  </si>
  <si>
    <t>Done # 152627</t>
  </si>
  <si>
    <t>BEAU2535170</t>
  </si>
  <si>
    <t>BB81F5</t>
  </si>
  <si>
    <t>YMJAW232560351</t>
  </si>
  <si>
    <t>Done # 152160</t>
  </si>
  <si>
    <t>SEGU1726790</t>
  </si>
  <si>
    <t>YMM</t>
  </si>
  <si>
    <t>AE6177</t>
  </si>
  <si>
    <t>YMJAW232559633</t>
  </si>
  <si>
    <t>Done # 152162</t>
  </si>
  <si>
    <t xml:space="preserve">DRYU9938193 </t>
  </si>
  <si>
    <t>ONEYCK3LF0915300</t>
  </si>
  <si>
    <t>Done # 153210</t>
  </si>
  <si>
    <t>FOREST- NINGBO</t>
  </si>
  <si>
    <t>OOCU7015575</t>
  </si>
  <si>
    <t>5B2BBB</t>
  </si>
  <si>
    <t>OOLU8810890230</t>
  </si>
  <si>
    <t>JXLU6314164</t>
  </si>
  <si>
    <t>05d45a</t>
  </si>
  <si>
    <t>ZIMUSHH31403779</t>
  </si>
  <si>
    <t>DONE#153832</t>
  </si>
  <si>
    <t>CAIU4587011</t>
  </si>
  <si>
    <t>SMLMNJEB4A567700</t>
  </si>
  <si>
    <t>KOCU4971973</t>
  </si>
  <si>
    <t>HDMUSHAZ04926600 / congestion, will arrive 12:30pm</t>
  </si>
  <si>
    <t>Done # 153439</t>
  </si>
  <si>
    <t>FBIU0492824</t>
  </si>
  <si>
    <t>45A924</t>
  </si>
  <si>
    <t>MEDUXD524963 / OW / COC</t>
  </si>
  <si>
    <t>DONE# 153212</t>
  </si>
  <si>
    <t>TCLU6295709</t>
  </si>
  <si>
    <t>D2EB47</t>
  </si>
  <si>
    <t>OOLU2742491010</t>
  </si>
  <si>
    <t>DONE#153716</t>
  </si>
  <si>
    <t>TEMU6639606</t>
  </si>
  <si>
    <t>COSU6391706930  / ISF ON FILE / SWB / received CI/PL</t>
  </si>
  <si>
    <t>DONE#153662</t>
  </si>
  <si>
    <t xml:space="preserve">MCDU1715923    </t>
  </si>
  <si>
    <t xml:space="preserve"> MENTOR, OH 44060</t>
  </si>
  <si>
    <r>
      <rPr>
        <sz val="11"/>
        <color rgb="FFFF0000"/>
        <rFont val="Calibri"/>
        <family val="2"/>
        <scheme val="minor"/>
      </rPr>
      <t xml:space="preserve">3.5 hrs detention-7:10am-11:40am, 1 hour free / pre-pull &amp; yard storage / Demurrag $300-9.3 / </t>
    </r>
    <r>
      <rPr>
        <sz val="11"/>
        <color rgb="FF0000FF"/>
        <rFont val="Calibri"/>
        <family val="2"/>
        <scheme val="minor"/>
      </rPr>
      <t>PU# was released on 8.31 Saturday due to Vastlog confirmed Ascendex charges lat /</t>
    </r>
    <r>
      <rPr>
        <sz val="11"/>
        <color rgb="FF000000"/>
        <rFont val="Calibri"/>
        <family val="2"/>
        <scheme val="minor"/>
      </rPr>
      <t xml:space="preserve"> ONEYTS4ND7732700 / 清关+派送 / </t>
    </r>
    <r>
      <rPr>
        <sz val="11"/>
        <color rgb="FFFF0000"/>
        <rFont val="Calibri"/>
        <family val="2"/>
        <scheme val="minor"/>
      </rPr>
      <t xml:space="preserve"> 7-19 received ISF INFO</t>
    </r>
    <r>
      <rPr>
        <sz val="11"/>
        <color rgb="FF000000"/>
        <rFont val="Calibri"/>
        <family val="2"/>
        <scheme val="minor"/>
      </rPr>
      <t xml:space="preserve"> /  7-19 ISF is on file /客户自己直接给co-loader ，ABL 不用付</t>
    </r>
  </si>
  <si>
    <t>DONE# 153634</t>
  </si>
  <si>
    <t>TCNU4399764</t>
  </si>
  <si>
    <t>686BFA</t>
  </si>
  <si>
    <t>ZIMUSHH31399836</t>
  </si>
  <si>
    <t>DONE#153835</t>
  </si>
  <si>
    <t>CSNU6763864</t>
  </si>
  <si>
    <t>238F16</t>
  </si>
  <si>
    <t>OOLU2742691970</t>
  </si>
  <si>
    <t>DONE#153717</t>
  </si>
  <si>
    <t>FSCU8535646</t>
  </si>
  <si>
    <t>D72404</t>
  </si>
  <si>
    <t>OOLU8810886930</t>
  </si>
  <si>
    <t>DONE#154249</t>
  </si>
  <si>
    <t>FFAU3542836</t>
  </si>
  <si>
    <t>CF11FB</t>
  </si>
  <si>
    <t>OOLU8810887560</t>
  </si>
  <si>
    <t>DONE#153718</t>
  </si>
  <si>
    <t>MAGU5225318</t>
  </si>
  <si>
    <t>5533C7</t>
  </si>
  <si>
    <t>OOLU8810887270</t>
  </si>
  <si>
    <t>DONE#153845</t>
  </si>
  <si>
    <t>OOCU7032910</t>
  </si>
  <si>
    <t>507C46</t>
  </si>
  <si>
    <t>COSU6390881900</t>
  </si>
  <si>
    <t>DONE#154534</t>
  </si>
  <si>
    <t>CSNU6516740</t>
  </si>
  <si>
    <t>28832A</t>
  </si>
  <si>
    <t>OOLU8810884070</t>
  </si>
  <si>
    <t>CSNU6665873</t>
  </si>
  <si>
    <t xml:space="preserve">7028B9 </t>
  </si>
  <si>
    <t xml:space="preserve">OOLU8810868240 / door was open and cargo damage inside when OG/ </t>
  </si>
  <si>
    <t>done 154664</t>
  </si>
  <si>
    <t>CCLU7458996</t>
  </si>
  <si>
    <t>9BD1A1</t>
  </si>
  <si>
    <t>OOLU2742676233</t>
  </si>
  <si>
    <t>DONE#153719</t>
  </si>
  <si>
    <t>CSNU6932619</t>
  </si>
  <si>
    <t>A3B221</t>
  </si>
  <si>
    <t>COSU6391995770</t>
  </si>
  <si>
    <t>DONE#154362</t>
  </si>
  <si>
    <t>TEMU7842794</t>
  </si>
  <si>
    <t>OOLU2150652128</t>
  </si>
  <si>
    <t>DONE#154293</t>
  </si>
  <si>
    <t>BSIU9683163</t>
  </si>
  <si>
    <t>69B359</t>
  </si>
  <si>
    <t>ZIMUSHH31399845</t>
  </si>
  <si>
    <t>DONE#154373</t>
  </si>
  <si>
    <t>TCNU6524490</t>
  </si>
  <si>
    <t>3BFB61</t>
  </si>
  <si>
    <t>COSU6391526580</t>
  </si>
  <si>
    <t>DONE #154535</t>
  </si>
  <si>
    <t>OOLU8977991</t>
  </si>
  <si>
    <t>3B62E7</t>
  </si>
  <si>
    <t>OOLU2743216490</t>
  </si>
  <si>
    <t>DONE#154464</t>
  </si>
  <si>
    <t>MAGU5181396</t>
  </si>
  <si>
    <t>OOLU2743216491</t>
  </si>
  <si>
    <t>DONE#153848</t>
  </si>
  <si>
    <t>ZCSU6790474</t>
  </si>
  <si>
    <t>1c1035</t>
  </si>
  <si>
    <t>ZIMUSHH31399810</t>
  </si>
  <si>
    <t>DONE#153975</t>
  </si>
  <si>
    <t>GAOU7152198</t>
  </si>
  <si>
    <t>6869BC </t>
  </si>
  <si>
    <t>ZIMUSHH31399793</t>
  </si>
  <si>
    <t>DONE#154169</t>
  </si>
  <si>
    <t>FOREST- SHENZHEN</t>
  </si>
  <si>
    <t>EGHU8223786</t>
  </si>
  <si>
    <t>EGLV149405936397</t>
  </si>
  <si>
    <t>DONE#156111</t>
  </si>
  <si>
    <t>Forest - Hunan</t>
  </si>
  <si>
    <t>ZCSU8859230</t>
  </si>
  <si>
    <t>ZIMUSHH31397929   / 柜子接单晚了/ lfd 延长到9-4</t>
  </si>
  <si>
    <t>TRDU6816790</t>
  </si>
  <si>
    <t>SOC / HDMUSHAZ18385900</t>
  </si>
  <si>
    <t>Done # 153352</t>
  </si>
  <si>
    <t>TRDU6816681</t>
  </si>
  <si>
    <t>Done # 153548</t>
  </si>
  <si>
    <t>WHSU6348751</t>
  </si>
  <si>
    <t>OAKLAND INT'L CTNR TML</t>
  </si>
  <si>
    <t xml:space="preserve">8am, live </t>
  </si>
  <si>
    <t>T &amp; C</t>
  </si>
  <si>
    <t>Hayward, CA 94544</t>
  </si>
  <si>
    <t>WHLC001EX26697 / DAP /  TLX MBL / TLX HBL / ATTN: Jessica Davis /  310 606 8900 Ext# 344 / 
jessica_j_davis@dimerco.com / Q# SWNG052724A, $550, 2 hrs free detention</t>
  </si>
  <si>
    <t>DONE# 153584</t>
  </si>
  <si>
    <t>WHSU5685465</t>
  </si>
  <si>
    <t>Customs RLS</t>
  </si>
  <si>
    <t>DONE# 153585</t>
  </si>
  <si>
    <t>WHSU5550310</t>
  </si>
  <si>
    <t>DETENTION / WHLC001EX26697 / DAP /  TLX MBL / TLX HBL / ATTN: Jessica Davis /  310 606 8900 Ext# 344 / 
jessica_j_davis@dimerco.com / Q# SWNG052724A, $550, 2 hrs free detention</t>
  </si>
  <si>
    <t>DONE# 153586</t>
  </si>
  <si>
    <t>WHSU6463544</t>
  </si>
  <si>
    <t>DONE# 153587</t>
  </si>
  <si>
    <t>WHSU5611631</t>
  </si>
  <si>
    <t>10am, live</t>
  </si>
  <si>
    <t>DONE# 153588</t>
  </si>
  <si>
    <t xml:space="preserve">TEMU7806950 </t>
  </si>
  <si>
    <t>6492DF</t>
  </si>
  <si>
    <r>
      <rPr>
        <sz val="11"/>
        <color rgb="FFFF0000"/>
        <rFont val="Calibri"/>
        <family val="2"/>
        <scheme val="minor"/>
      </rPr>
      <t>OG NO SEAL / PRE-PULL &amp;YARD STORAGE</t>
    </r>
    <r>
      <rPr>
        <sz val="11"/>
        <color theme="1"/>
        <rFont val="Calibri"/>
        <family val="2"/>
        <scheme val="minor"/>
      </rPr>
      <t xml:space="preserve"> / CMDUCHN1491616 / ISF ON FILE /</t>
    </r>
    <r>
      <rPr>
        <sz val="11"/>
        <color rgb="FFFF0000"/>
        <rFont val="Calibri"/>
        <family val="2"/>
        <scheme val="minor"/>
      </rPr>
      <t xml:space="preserve">  TLX HBL </t>
    </r>
    <r>
      <rPr>
        <sz val="11"/>
        <color theme="1"/>
        <rFont val="Calibri"/>
        <family val="2"/>
        <scheme val="minor"/>
      </rPr>
      <t xml:space="preserve"> / receiver  847.680.2254 电话忙音/ receiving hours-9am-3:30pm (CST). Requires APPT at least 72 to 48hours before delivery. / 1.75 hr detention</t>
    </r>
  </si>
  <si>
    <t>DONE# 153696</t>
  </si>
  <si>
    <t xml:space="preserve">TEMU1371803   </t>
  </si>
  <si>
    <t>0DC151</t>
  </si>
  <si>
    <t>DONE# 153583</t>
  </si>
  <si>
    <t xml:space="preserve">MSMU7273786 </t>
  </si>
  <si>
    <t>R00122482386</t>
  </si>
  <si>
    <t>MEDUF1813833 / ETD 7-29 /  ISF SENT / TLX HBL</t>
  </si>
  <si>
    <t>DONE# 153698</t>
  </si>
  <si>
    <t>TRDU6818391</t>
  </si>
  <si>
    <t>Done # 153354</t>
  </si>
  <si>
    <t>ZCSU7046786</t>
  </si>
  <si>
    <t>NORFOLK PORT-VIRGINIA INTERNATIONAL GATEWAY TML</t>
  </si>
  <si>
    <t>Lightning / NTG
Chesapeake, VA 23324</t>
  </si>
  <si>
    <t>ZIMUSNH7637646 / NTG $1100 / lightning $255</t>
  </si>
  <si>
    <t>DONE# 154032
 #155237</t>
  </si>
  <si>
    <t>Rabbit Speed  兔兔及时达</t>
  </si>
  <si>
    <t xml:space="preserve">MEDU7785881 </t>
  </si>
  <si>
    <t>MONTGOMERY, IL , 60538</t>
  </si>
  <si>
    <t>ACBB66</t>
  </si>
  <si>
    <r>
      <t>MEDUX7465172 / Q# RABS071524B, $ 530 /</t>
    </r>
    <r>
      <rPr>
        <sz val="11"/>
        <color rgb="FFFF0000"/>
        <rFont val="Calibri"/>
        <family val="2"/>
        <scheme val="minor"/>
      </rPr>
      <t xml:space="preserve"> Bill to WUH</t>
    </r>
    <r>
      <rPr>
        <sz val="11"/>
        <color theme="1"/>
        <rFont val="Calibri"/>
        <family val="2"/>
        <scheme val="minor"/>
      </rPr>
      <t xml:space="preserve"> /PAQS清关+ABL派送 /  送仓之前请联系chris确认一遍地址和送仓时间 / Chris Pounds/ cpounds@lyonworkspace.com / (630) 947-1334                                </t>
    </r>
  </si>
  <si>
    <t>Done # 153577</t>
  </si>
  <si>
    <t>TGBU4612123</t>
  </si>
  <si>
    <t>Savannah-GARDEN CITY TERMINAL</t>
  </si>
  <si>
    <t>https://tas.wydgroup.com?booking_code=ZPQOZE
https://tas.wydgroup.com?booking_code=ZHQ7T2
9/6</t>
  </si>
  <si>
    <t>2075 maple ave, Atlanta, GA 30336</t>
  </si>
  <si>
    <r>
      <rPr>
        <sz val="11"/>
        <color rgb="FF000000"/>
        <rFont val="Calibri"/>
        <family val="2"/>
        <scheme val="minor"/>
      </rPr>
      <t xml:space="preserve">ONEYSGNEJ9221600  / </t>
    </r>
    <r>
      <rPr>
        <sz val="11"/>
        <color rgb="FFFF0000"/>
        <rFont val="Calibri"/>
        <family val="2"/>
        <scheme val="minor"/>
      </rPr>
      <t>Bill to WUH / Appointment Number: ZHQ7T2</t>
    </r>
  </si>
  <si>
    <t>Done # 153619</t>
  </si>
  <si>
    <t>BEAU5840752</t>
  </si>
  <si>
    <t>02F6FA</t>
  </si>
  <si>
    <t>MEDUVP152238 / 客户自己预约 /  提前2个工作日预约/  OW $250- 22267.80 KGS / DROP FEE $175</t>
  </si>
  <si>
    <t>DONE# 153582</t>
  </si>
  <si>
    <t>MSDU5027494</t>
  </si>
  <si>
    <t xml:space="preserve">22AF49 </t>
  </si>
  <si>
    <t>9-6 night empty ready  / MEDUVP152220  / 客户自己预约 /  提前2个工作日预约/  OW $250-25459.98 KGS  / DROP FEE $175</t>
  </si>
  <si>
    <t>DONE# 153581</t>
  </si>
  <si>
    <t>ONEU1306563</t>
  </si>
  <si>
    <t>ONEYNB4IB7231800 / OW</t>
  </si>
  <si>
    <t>Done # 153579</t>
  </si>
  <si>
    <t>MSNU6594390</t>
  </si>
  <si>
    <t xml:space="preserve">57F26A </t>
  </si>
  <si>
    <r>
      <rPr>
        <sz val="11"/>
        <color rgb="FFFF0000"/>
        <rFont val="Calibri"/>
        <family val="2"/>
        <scheme val="minor"/>
      </rPr>
      <t xml:space="preserve">9-10 night empty ready  / Drop fee $ 175 </t>
    </r>
    <r>
      <rPr>
        <sz val="11"/>
        <color theme="1"/>
        <rFont val="Calibri"/>
        <family val="2"/>
        <scheme val="minor"/>
      </rPr>
      <t xml:space="preserve"> / MEDUVP159431  / 客户自己预约 /  提前2个工作日预约 / OW $250- 22340 KGS </t>
    </r>
  </si>
  <si>
    <t>DONE# 153699</t>
  </si>
  <si>
    <t>EGHU8448627</t>
  </si>
  <si>
    <t xml:space="preserve"> PO# 61813</t>
  </si>
  <si>
    <t>Done # 135719</t>
  </si>
  <si>
    <t>TGBU6082193</t>
  </si>
  <si>
    <t>PO# 61449</t>
  </si>
  <si>
    <t>Done# 154095</t>
  </si>
  <si>
    <t>TRDU6817522</t>
  </si>
  <si>
    <t>Done # 153615</t>
  </si>
  <si>
    <t>OOCU4930238</t>
  </si>
  <si>
    <t>OOLU2744028510 / AN $50</t>
  </si>
  <si>
    <t>Done # 153101</t>
  </si>
  <si>
    <t>GCXU5622231</t>
  </si>
  <si>
    <t>00B4F0</t>
  </si>
  <si>
    <t>DONE# 153663</t>
  </si>
  <si>
    <t>CSNU6249773</t>
  </si>
  <si>
    <t>AB1D10</t>
  </si>
  <si>
    <t>COSU6392188170  / ISF ON FILE /SWB/ received CI/PL</t>
  </si>
  <si>
    <t>DONE# 153665, Pending trucker inv</t>
  </si>
  <si>
    <t>CAAU7758223</t>
  </si>
  <si>
    <t>MIAMI POMTOC</t>
  </si>
  <si>
    <t>MAEU242093496  / TLX HBL</t>
  </si>
  <si>
    <t>Done # 152834</t>
  </si>
  <si>
    <t>CAAU7764340</t>
  </si>
  <si>
    <t>MSKU0818190</t>
  </si>
  <si>
    <t>MRSU3681291</t>
  </si>
  <si>
    <t xml:space="preserve">HASU5184463 </t>
  </si>
  <si>
    <t>CSNU1964927</t>
  </si>
  <si>
    <t>05780F</t>
  </si>
  <si>
    <t>COSU6392783540</t>
  </si>
  <si>
    <t>Done # 153170</t>
  </si>
  <si>
    <t>MEDU8700169</t>
  </si>
  <si>
    <t>CB81AD</t>
  </si>
  <si>
    <r>
      <rPr>
        <sz val="11"/>
        <color rgb="FF000000"/>
        <rFont val="Calibri"/>
        <family val="2"/>
        <scheme val="minor"/>
      </rPr>
      <t>MEDUX7465172 / Q# RABS071524B, $ 530 /</t>
    </r>
    <r>
      <rPr>
        <sz val="11"/>
        <color rgb="FFFF0000"/>
        <rFont val="Calibri"/>
        <family val="2"/>
        <scheme val="minor"/>
      </rPr>
      <t xml:space="preserve"> Bill to WUH</t>
    </r>
    <r>
      <rPr>
        <sz val="11"/>
        <color rgb="FF000000"/>
        <rFont val="Calibri"/>
        <family val="2"/>
        <scheme val="minor"/>
      </rPr>
      <t xml:space="preserve"> /PAQS清关+ABL派送 /  送仓之前请联系chris确认一遍地址和送仓时间 / Chris Pounds/ cpounds@lyonworkspace.com / (630) 947-1334 / pre-pull / yard storage                               </t>
    </r>
  </si>
  <si>
    <t>Done # 153578</t>
  </si>
  <si>
    <t>BMOU6115673</t>
  </si>
  <si>
    <t>89CC76</t>
  </si>
  <si>
    <t>Done # 153576</t>
  </si>
  <si>
    <t>800.00_x000D_</t>
  </si>
  <si>
    <t>FFAU3327561</t>
  </si>
  <si>
    <t>2FF910</t>
  </si>
  <si>
    <t>OOLU2743469370</t>
  </si>
  <si>
    <t>DONE#154463</t>
  </si>
  <si>
    <t>HLBU2777294</t>
  </si>
  <si>
    <t>PO# 61680</t>
  </si>
  <si>
    <t>HLCUKUL240680780, chassis split for empty return to Shippers Transport Express</t>
  </si>
  <si>
    <t>Done # 154218</t>
  </si>
  <si>
    <t>ONEU5148445</t>
  </si>
  <si>
    <t>ONEYCKGE02543900</t>
  </si>
  <si>
    <t>Done # 153655</t>
  </si>
  <si>
    <t>UETU5515778</t>
  </si>
  <si>
    <t>CMDUNGP1424517    / Q# SWNG021924B / bill wing ocean / 1.25 detention</t>
  </si>
  <si>
    <t>Done # 153694</t>
  </si>
  <si>
    <t>GESU6746080</t>
  </si>
  <si>
    <t>8-19 discharged / CMDUNGP1456143  / OW 23610 KGS / Q# SWNG021924B, OW $ 200 / bill wing ocean / 1.25 detention</t>
  </si>
  <si>
    <t>Done # 153695</t>
  </si>
  <si>
    <t>CSNU6315540</t>
  </si>
  <si>
    <t>E9550E</t>
  </si>
  <si>
    <t>OOLU8810891610</t>
  </si>
  <si>
    <t>DONE#154385</t>
  </si>
  <si>
    <t>CSNU6838583</t>
  </si>
  <si>
    <t>8CAF59</t>
  </si>
  <si>
    <t>OOLU2151397020</t>
  </si>
  <si>
    <t>DONE#154387</t>
  </si>
  <si>
    <t>OOCU7365824</t>
  </si>
  <si>
    <t>F1A7D1</t>
  </si>
  <si>
    <t>COSU6392623990</t>
  </si>
  <si>
    <t>DONE#154388</t>
  </si>
  <si>
    <t>MSBU5278980</t>
  </si>
  <si>
    <t xml:space="preserve">Joliet, IL 60431  </t>
  </si>
  <si>
    <r>
      <t>A16</t>
    </r>
    <r>
      <rPr>
        <sz val="14"/>
        <rFont val="Calibri"/>
        <family val="2"/>
        <scheme val="minor"/>
      </rPr>
      <t>B2C</t>
    </r>
  </si>
  <si>
    <t>MEDUVP378817 / 客户自己预约 /  提前2个工作日预约/  OW $250-23,550.98kgs / DROP $175 / Bill to KOK</t>
  </si>
  <si>
    <t>Done# 153997</t>
  </si>
  <si>
    <t>FFAU3364919</t>
  </si>
  <si>
    <t>CFED6F</t>
  </si>
  <si>
    <t>OOLU2151552350</t>
  </si>
  <si>
    <t>consignee freight# 153574
PICO #153611</t>
  </si>
  <si>
    <t>YMMU6641945</t>
  </si>
  <si>
    <t>NORFOLK SOUTERN - AUSTELL, GA</t>
  </si>
  <si>
    <t>https://tas.wydgroup.com?booking_code=Z14JY2
9/13</t>
  </si>
  <si>
    <t>678-561-6218//2075 maple ave, Atlanta, GA 30336</t>
  </si>
  <si>
    <r>
      <rPr>
        <sz val="11"/>
        <color rgb="FF000000"/>
        <rFont val="Calibri"/>
        <family val="2"/>
        <scheme val="minor"/>
      </rPr>
      <t xml:space="preserve">YMJAE490381110 / </t>
    </r>
    <r>
      <rPr>
        <b/>
        <sz val="11"/>
        <color rgb="FFFF0000"/>
        <rFont val="Calibri"/>
        <family val="2"/>
        <scheme val="minor"/>
      </rPr>
      <t>Bill to WUH / received truck per diem credit</t>
    </r>
  </si>
  <si>
    <t>Done # 154167</t>
  </si>
  <si>
    <t>MSKU1562245</t>
  </si>
  <si>
    <t>change from 9/24 to 9/25/2024
truck broke down</t>
  </si>
  <si>
    <t>lithia springs, GA, 30122</t>
  </si>
  <si>
    <t>MAEU241725981 / pending per diem</t>
  </si>
  <si>
    <t>DONE#154465</t>
  </si>
  <si>
    <t>TCLU6371732</t>
  </si>
  <si>
    <t>ONEYCK3LF0920600</t>
  </si>
  <si>
    <t>Done # 153878</t>
  </si>
  <si>
    <t>HMMU6630964</t>
  </si>
  <si>
    <t>HDMUSHAZ79735300</t>
  </si>
  <si>
    <t>Done # 153749</t>
  </si>
  <si>
    <t>CSNU7626491</t>
  </si>
  <si>
    <t>326F39</t>
  </si>
  <si>
    <t>OOLU8810895390</t>
  </si>
  <si>
    <t>DONE#155288</t>
  </si>
  <si>
    <t>CSNU8069549</t>
  </si>
  <si>
    <t>782f2d</t>
  </si>
  <si>
    <t>OOLU8810892430</t>
  </si>
  <si>
    <t>DONE#154260</t>
  </si>
  <si>
    <t>TCNU6562567</t>
  </si>
  <si>
    <t>832e54</t>
  </si>
  <si>
    <t>OOLU8810895610</t>
  </si>
  <si>
    <t>DONE#154258</t>
  </si>
  <si>
    <t>FCIU9911353</t>
  </si>
  <si>
    <t>FDD8CF   </t>
  </si>
  <si>
    <t>COSU6392824070</t>
  </si>
  <si>
    <t>DONE#154389</t>
  </si>
  <si>
    <t>HMMU6158138</t>
  </si>
  <si>
    <t>HDMUSHAZ79735300 / pre-pull, yard storage</t>
  </si>
  <si>
    <t>Done # 153752</t>
  </si>
  <si>
    <t>GAOU6191590</t>
  </si>
  <si>
    <t>Done # 153753</t>
  </si>
  <si>
    <t>OOLU7934716</t>
  </si>
  <si>
    <t>OOLU2744325850</t>
  </si>
  <si>
    <t>Done# 153103</t>
  </si>
  <si>
    <t>TLLU5122543</t>
  </si>
  <si>
    <t>BNSF Atlanta</t>
  </si>
  <si>
    <t>https://tas.wydgroup.com?booking_code=Z606L4
9/18 canceled / new 9/20 / new 9/24</t>
  </si>
  <si>
    <t>8:00am</t>
  </si>
  <si>
    <t>//678-561-6218//2075 maple ave, Atlanta, GA 30336</t>
  </si>
  <si>
    <t>9155A1</t>
  </si>
  <si>
    <t>MEDUPY333551</t>
  </si>
  <si>
    <t>DONE #154533</t>
  </si>
  <si>
    <t>MATU2763178</t>
  </si>
  <si>
    <t>APPPT1:15pm, 
DROP @ 2:02pm</t>
  </si>
  <si>
    <t xml:space="preserve">BOLINGBROOK, IL  60440                                     </t>
  </si>
  <si>
    <r>
      <rPr>
        <sz val="11"/>
        <color rgb="FF000000"/>
        <rFont val="Calibri"/>
        <family val="2"/>
        <scheme val="minor"/>
      </rPr>
      <t xml:space="preserve">9-17 empty ready  / DROP $300 / </t>
    </r>
    <r>
      <rPr>
        <sz val="11"/>
        <color rgb="FFFF0000"/>
        <rFont val="Calibri"/>
        <family val="2"/>
        <scheme val="minor"/>
      </rPr>
      <t xml:space="preserve">Reroute $150 + chassis split for empty return to CGI Joliet </t>
    </r>
    <r>
      <rPr>
        <sz val="11"/>
        <color rgb="FF000000"/>
        <rFont val="Calibri"/>
        <family val="2"/>
        <scheme val="minor"/>
      </rPr>
      <t>/ MATS2852122000 / Quotation#	LTRN052124B / $550, drop fee $300</t>
    </r>
  </si>
  <si>
    <t>Done # 154197</t>
  </si>
  <si>
    <t>TCKU4527114</t>
  </si>
  <si>
    <t>MAHER TERMINALS</t>
  </si>
  <si>
    <t>ZIMUTPE007324345</t>
  </si>
  <si>
    <t>Done # 153612</t>
  </si>
  <si>
    <t>SF</t>
  </si>
  <si>
    <t>TRHU1017012</t>
  </si>
  <si>
    <t>BNSF Denver</t>
  </si>
  <si>
    <t>Loveland, CO 80538</t>
  </si>
  <si>
    <t>DB4344</t>
  </si>
  <si>
    <r>
      <rPr>
        <sz val="11"/>
        <color rgb="FF000000"/>
        <rFont val="Calibri"/>
        <family val="2"/>
        <scheme val="minor"/>
      </rPr>
      <t xml:space="preserve">DG / CMDUSHZ6504122 / DG class8/un3266 / bill SF / scrape fee $175 / </t>
    </r>
    <r>
      <rPr>
        <sz val="11"/>
        <color rgb="FFFF0000"/>
        <rFont val="Calibri"/>
        <family val="2"/>
        <scheme val="minor"/>
      </rPr>
      <t>pending truck's updated invoice</t>
    </r>
  </si>
  <si>
    <t>Done # 154094 / New # 155556</t>
  </si>
  <si>
    <t>FCGU1990024</t>
  </si>
  <si>
    <t>09BCE3</t>
  </si>
  <si>
    <t>OOLU8810892950</t>
  </si>
  <si>
    <t>DONE#155289</t>
  </si>
  <si>
    <t>TCNU7598353</t>
  </si>
  <si>
    <t>MATS3332221000</t>
  </si>
  <si>
    <t>154651 done</t>
  </si>
  <si>
    <t>ZCSU7571845</t>
  </si>
  <si>
    <t xml:space="preserve">6E1E82 </t>
  </si>
  <si>
    <t>ZIMUSHH31438254</t>
  </si>
  <si>
    <t>DONE155405</t>
  </si>
  <si>
    <t>ZCSU7389532</t>
  </si>
  <si>
    <t>5A3CBF</t>
  </si>
  <si>
    <t>ZIMUSHH31436478</t>
  </si>
  <si>
    <t>DONE# 155421</t>
  </si>
  <si>
    <t>CSNU7129690</t>
  </si>
  <si>
    <t>A8A30E</t>
  </si>
  <si>
    <t>OOLU8810891670</t>
  </si>
  <si>
    <t>DONE# 154975</t>
  </si>
  <si>
    <t>BEAU5795062</t>
  </si>
  <si>
    <t>950C7F</t>
  </si>
  <si>
    <t>OOLU2743792750</t>
  </si>
  <si>
    <t>154658 done</t>
  </si>
  <si>
    <t>CSNU6225386</t>
  </si>
  <si>
    <t>AAAA40 </t>
  </si>
  <si>
    <t>COSU6392108071</t>
  </si>
  <si>
    <t>DONE# 155485</t>
  </si>
  <si>
    <t>TEMU7605880</t>
  </si>
  <si>
    <t>change MADISON WI 53718 to ABL warehouse</t>
  </si>
  <si>
    <t>E9BD5D</t>
  </si>
  <si>
    <t>COSU6391538840 / 9-20 devanning report</t>
  </si>
  <si>
    <t>Done # 154322</t>
  </si>
  <si>
    <t>OOLU6912630</t>
  </si>
  <si>
    <t>185C90</t>
  </si>
  <si>
    <t>COSU6391538630</t>
  </si>
  <si>
    <t>Done # 154326</t>
  </si>
  <si>
    <t>CSNU4007030</t>
  </si>
  <si>
    <t>OOLU2744997810</t>
  </si>
  <si>
    <t>Done # 153697</t>
  </si>
  <si>
    <t>BEAU5944016</t>
  </si>
  <si>
    <t xml:space="preserve">Hayward, CA 94544  </t>
  </si>
  <si>
    <t>CUSTOMS RLS /  TLX RLS</t>
  </si>
  <si>
    <r>
      <rPr>
        <sz val="11"/>
        <color rgb="FF000000"/>
        <rFont val="Calibri"/>
        <family val="2"/>
        <scheme val="minor"/>
      </rPr>
      <t xml:space="preserve">WHLC001EX28511   / DAP /  TLX HBL &amp; TLX MBL / </t>
    </r>
    <r>
      <rPr>
        <sz val="11"/>
        <color rgb="FF0000FF"/>
        <rFont val="Calibri"/>
        <family val="2"/>
        <scheme val="minor"/>
      </rPr>
      <t xml:space="preserve">CNEE ctc way should be: RENE.GAJDOS@MOTHERSON.C </t>
    </r>
    <r>
      <rPr>
        <sz val="11"/>
        <color rgb="FF000000"/>
        <rFont val="Calibri"/>
        <family val="2"/>
        <scheme val="minor"/>
      </rPr>
      <t>/ Quotation#	SWNG052724A , $550+ Gate fee &amp; Toll fee $100, detention 2 hrs free / 30736 Wiegman Road,Hayward, CA 94544  USA
ATTN:Jessica Davis
TEL:+1 310 606 8900 Ext# 344</t>
    </r>
  </si>
  <si>
    <t>Done # 154435</t>
  </si>
  <si>
    <t>WHSU5147829</t>
  </si>
  <si>
    <r>
      <t xml:space="preserve">WHLC001EX28511   / DAP /  TLX HBL &amp; TLX MBL / </t>
    </r>
    <r>
      <rPr>
        <sz val="11"/>
        <color rgb="FF0000FF"/>
        <rFont val="Calibri"/>
        <family val="2"/>
        <scheme val="minor"/>
      </rPr>
      <t xml:space="preserve">CNEE ctc way should be: RENE.GAJDOS@MOTHERSON.C </t>
    </r>
    <r>
      <rPr>
        <sz val="11"/>
        <color theme="1"/>
        <rFont val="Calibri"/>
        <family val="2"/>
        <scheme val="minor"/>
      </rPr>
      <t>/ Quotation#	SWNG052724A , $550+ Gate fee &amp; Toll fee $100, detention 2 hrs free</t>
    </r>
    <r>
      <rPr>
        <sz val="11"/>
        <color theme="1"/>
        <rFont val="Calibri"/>
        <family val="2"/>
        <scheme val="minor"/>
      </rPr>
      <t xml:space="preserve"> / 30736 Wiegman Road,Hayward, CA 94544  USA
ATTN:Jessica Davis
TEL:+1 310 606 8900 Ext# 344</t>
    </r>
  </si>
  <si>
    <t>Done # 154439</t>
  </si>
  <si>
    <t>TGBU8944105</t>
  </si>
  <si>
    <t>CA3544</t>
  </si>
  <si>
    <t>COSU6392108070</t>
  </si>
  <si>
    <t>DONE#154973</t>
  </si>
  <si>
    <t>FFAU3394277</t>
  </si>
  <si>
    <t>220BC4</t>
  </si>
  <si>
    <t>COSU6392833270</t>
  </si>
  <si>
    <t>DONE #154893</t>
  </si>
  <si>
    <t>WING SHIP 厦门翼舟</t>
  </si>
  <si>
    <t xml:space="preserve">TCLU3126290  </t>
  </si>
  <si>
    <t>LGB port-PCT TML</t>
  </si>
  <si>
    <t>MISSION VIEJO, CA 92691</t>
  </si>
  <si>
    <r>
      <rPr>
        <sz val="11"/>
        <color rgb="FFFF0000"/>
        <rFont val="Calibri"/>
        <family val="2"/>
        <scheme val="minor"/>
      </rPr>
      <t xml:space="preserve">pre-pull &amp; yard storage / pier pass $37.71 +  CTF $10 </t>
    </r>
    <r>
      <rPr>
        <sz val="11"/>
        <color rgb="FF000000"/>
        <rFont val="Calibri"/>
        <family val="2"/>
        <scheme val="minor"/>
      </rPr>
      <t xml:space="preserve">/ ONEYXMNEC0952600 /  Q# WUHO082724G, $600, 2 hrs free detention / SHIP TO:
FAIRFEILD INN / 26328 OSO PARKWAY MISSION VIEJO, CA 92691
ATTN AVO NAZARIAN 8189120958
</t>
    </r>
    <r>
      <rPr>
        <sz val="11"/>
        <color rgb="FFFF0000"/>
        <rFont val="Calibri"/>
        <family val="2"/>
        <scheme val="minor"/>
      </rPr>
      <t xml:space="preserve">请在到港前一周发邮件，告知收货人客户预计到港时间
</t>
    </r>
    <r>
      <rPr>
        <sz val="11"/>
        <color rgb="FF0000FF"/>
        <rFont val="Calibri"/>
        <family val="2"/>
        <scheme val="minor"/>
      </rPr>
      <t>请在给客户的邮件主题加上船东单号+PO NO.:11469  ，其他信息你们编辑</t>
    </r>
  </si>
  <si>
    <t>DONE# 154461
cedit memo# 155487</t>
  </si>
  <si>
    <t>OOLU6807091</t>
  </si>
  <si>
    <t>PO# 33218</t>
  </si>
  <si>
    <t>MBL# OOLU2742602490</t>
  </si>
  <si>
    <t>DONE#154771</t>
  </si>
  <si>
    <t>EISU8299665</t>
  </si>
  <si>
    <t>PO# 61681</t>
  </si>
  <si>
    <t>090400188012, earliest port terminal APPT for empty return is on  9-30</t>
  </si>
  <si>
    <t>DONE# 154869</t>
  </si>
  <si>
    <t>Xin Bang</t>
  </si>
  <si>
    <t>TXGU7287441</t>
  </si>
  <si>
    <t>0F35F4</t>
  </si>
  <si>
    <t>177ODWDWQ13215V / COC / Q# XBNG21423M / bill Xin bang / 1 hr detention</t>
  </si>
  <si>
    <t>Done # 154206</t>
  </si>
  <si>
    <t>YMMU6544755</t>
  </si>
  <si>
    <t>1 E North Ave., Glendale Heights,lL 60139</t>
  </si>
  <si>
    <t>YMJAW240348866 / Weship do it directly</t>
  </si>
  <si>
    <t>CCLU7746288</t>
  </si>
  <si>
    <t>BONDVILLE, IL, 61815</t>
  </si>
  <si>
    <t>757C2F</t>
  </si>
  <si>
    <t>COSU6393162310</t>
  </si>
  <si>
    <t>Done # 154318</t>
  </si>
  <si>
    <t>CCLU7908007</t>
  </si>
  <si>
    <t>9D6E1F</t>
  </si>
  <si>
    <t>OOLU2151550621</t>
  </si>
  <si>
    <t>DONE# 154891</t>
  </si>
  <si>
    <t xml:space="preserve">FFAU5672443   </t>
  </si>
  <si>
    <t>BNSF Kansas City</t>
  </si>
  <si>
    <t>Springfield, MO  65802</t>
  </si>
  <si>
    <t>73ADF1</t>
  </si>
  <si>
    <r>
      <rPr>
        <sz val="11"/>
        <color rgb="FFFF0000"/>
        <rFont val="Calibri"/>
        <family val="2"/>
        <scheme val="minor"/>
      </rPr>
      <t xml:space="preserve">pre-pull &amp; yard storage  / chassis $110 paid to Hai-Wind </t>
    </r>
    <r>
      <rPr>
        <sz val="11"/>
        <color rgb="FF000000"/>
        <rFont val="Calibri"/>
        <family val="2"/>
        <scheme val="minor"/>
      </rPr>
      <t>/ MEDUXC694007 / 177UNJNJN69421A / ISF on file  / 要在LGB 清关 / TLX HBL / Q# YWHJ080224A, $1060, 1 hr free detention / Customs RLS / TLX RLS</t>
    </r>
  </si>
  <si>
    <t>DONE# 154715</t>
  </si>
  <si>
    <t>FFAU3829929</t>
  </si>
  <si>
    <t>B14043</t>
  </si>
  <si>
    <t>9-25 night empty ready  / MEDUVP378817 / 客户自己预约 /  提前2个工作日预约/  OW $250-23,989.60 KGS / DROP  $ 175</t>
  </si>
  <si>
    <t>DONE#154623</t>
  </si>
  <si>
    <t>FOREST- CHANGSHA</t>
  </si>
  <si>
    <t>TCNU6956386</t>
  </si>
  <si>
    <t>6F7E4C</t>
  </si>
  <si>
    <t>ZIMUSHH31446623</t>
  </si>
  <si>
    <t xml:space="preserve">KOCU4922201 </t>
  </si>
  <si>
    <t>PB Industries</t>
  </si>
  <si>
    <t>Ridgeland, MS 39157</t>
  </si>
  <si>
    <t>HDMUSZPM42306400 / ISF ON FILE / Customs RLS/ TLX HBL / 
Kelly Jo Riden, Tel:  601-214-7402</t>
  </si>
  <si>
    <t>Done # 154525</t>
  </si>
  <si>
    <t>CCLU7641672</t>
  </si>
  <si>
    <t>E6B01F</t>
  </si>
  <si>
    <r>
      <rPr>
        <sz val="11"/>
        <color rgb="FFFF0000"/>
        <rFont val="Calibri"/>
        <family val="2"/>
        <scheme val="minor"/>
      </rPr>
      <t>chassis split for IG to ITI, Pre-pull &amp; yard storage</t>
    </r>
    <r>
      <rPr>
        <sz val="11"/>
        <color rgb="FF000000"/>
        <rFont val="Calibri"/>
        <family val="2"/>
        <scheme val="minor"/>
      </rPr>
      <t xml:space="preserve"> / Demurrage $160- 9.24  /9-22 night Xu confirmed HTS code / COSU6394427550  / ISF ON FILE /SWB/ received CI/PL</t>
    </r>
  </si>
  <si>
    <t>DONE #154767, Duty inv sent， Demurage Inv sent, pending trucker inv</t>
  </si>
  <si>
    <t xml:space="preserve">TIIU4112960 </t>
  </si>
  <si>
    <t>NYC-APM TERMINALS</t>
  </si>
  <si>
    <t>10am-12pm</t>
  </si>
  <si>
    <t>SKY FLY</t>
  </si>
  <si>
    <t>Piscataway, NJ 08854</t>
  </si>
  <si>
    <t>TLX HBL/ CUSTOMS RLS</t>
  </si>
  <si>
    <r>
      <rPr>
        <sz val="11"/>
        <color rgb="FFFF0000"/>
        <rFont val="Calibri"/>
        <family val="2"/>
        <scheme val="minor"/>
      </rPr>
      <t xml:space="preserve">1 hr detention-9:35am to 12:30pm, 2 hrs free </t>
    </r>
    <r>
      <rPr>
        <sz val="11"/>
        <color theme="1"/>
        <rFont val="Calibri"/>
        <family val="2"/>
        <scheme val="minor"/>
      </rPr>
      <t>/ ZIMUNGB1223564 / ISF on file / TLX HBL / Q# YWHJ082824A, $740, 2 hrs free detention</t>
    </r>
  </si>
  <si>
    <t>DONE# 154752</t>
  </si>
  <si>
    <t>DRYU2476262</t>
  </si>
  <si>
    <t>18FD21</t>
  </si>
  <si>
    <t>OOLU2151835360 / OOCL return empty info</t>
  </si>
  <si>
    <t>Done # 153284</t>
  </si>
  <si>
    <t>GIPU4361928</t>
  </si>
  <si>
    <t>CMDUTWN0894562 / demurrage cleared to 9/27</t>
  </si>
  <si>
    <t>Done # 153874</t>
  </si>
  <si>
    <t>turn over</t>
  </si>
  <si>
    <t>MSDU7027385</t>
  </si>
  <si>
    <t>UP-CSX - COLUMBUS-I699</t>
  </si>
  <si>
    <t>R00123257266</t>
  </si>
  <si>
    <r>
      <rPr>
        <sz val="11"/>
        <color rgb="FF000000"/>
        <rFont val="Calibri"/>
        <family val="2"/>
        <scheme val="minor"/>
      </rPr>
      <t xml:space="preserve">MEDUXC518057 / tel：1-800-504-7054
Email：joshc@panhandlecr.com
CC：info@pg-network.com；jenniej@sovel.cn；zhangjian@sovel.cn 
redelivery $100 </t>
    </r>
    <r>
      <rPr>
        <sz val="11"/>
        <color rgb="FFFF0000"/>
        <rFont val="Calibri"/>
        <family val="2"/>
        <scheme val="minor"/>
      </rPr>
      <t>/ Pending trucks updated invoice</t>
    </r>
  </si>
  <si>
    <t>DONE# 154725</t>
  </si>
  <si>
    <t>EITU1923135</t>
  </si>
  <si>
    <t>85E82B</t>
  </si>
  <si>
    <t>EGLV143463774702</t>
  </si>
  <si>
    <t>DONE#155290</t>
  </si>
  <si>
    <t>ZCSU7775469</t>
  </si>
  <si>
    <t>F904A2</t>
  </si>
  <si>
    <t>ZIMUSHH31433237</t>
  </si>
  <si>
    <t>DONE # 155568</t>
  </si>
  <si>
    <t>ZCSU6814180</t>
  </si>
  <si>
    <t>F9F060</t>
  </si>
  <si>
    <t>ZIMUSHH31422577</t>
  </si>
  <si>
    <t>DONE# 155341</t>
  </si>
  <si>
    <t>GCXU6233933</t>
  </si>
  <si>
    <t>161C0A</t>
  </si>
  <si>
    <t>COSU6393263950</t>
  </si>
  <si>
    <t>DONE# 154892</t>
  </si>
  <si>
    <t>OOCU7436384</t>
  </si>
  <si>
    <t>58d53b</t>
  </si>
  <si>
    <t>OOLU8810904520</t>
  </si>
  <si>
    <t>FFAU3144730</t>
  </si>
  <si>
    <t>b25662</t>
  </si>
  <si>
    <t>OOLU8810901740</t>
  </si>
  <si>
    <t>DONE# 154890</t>
  </si>
  <si>
    <t>FCIU9831221</t>
  </si>
  <si>
    <t>fe5f9d</t>
  </si>
  <si>
    <t>COSU6393866790</t>
  </si>
  <si>
    <t>DONE# 155156</t>
  </si>
  <si>
    <t>TRHU5710350</t>
  </si>
  <si>
    <t>5A9932   </t>
  </si>
  <si>
    <t>COSU6392827580</t>
  </si>
  <si>
    <t>ZCSU6760799</t>
  </si>
  <si>
    <t>D52ED4</t>
  </si>
  <si>
    <t>ZIMUSHH31444851</t>
  </si>
  <si>
    <t>DONE#155443</t>
  </si>
  <si>
    <t>CAXU9965348</t>
  </si>
  <si>
    <t>73D1F0</t>
  </si>
  <si>
    <r>
      <rPr>
        <sz val="11"/>
        <color rgb="FFFF0000"/>
        <rFont val="Calibri"/>
        <family val="2"/>
        <scheme val="minor"/>
      </rPr>
      <t>2 hrs PU detention- 9.27 @05:09am-08:58am, 2hrs free</t>
    </r>
    <r>
      <rPr>
        <sz val="11"/>
        <color rgb="FF000000"/>
        <rFont val="Calibri"/>
        <family val="2"/>
        <scheme val="minor"/>
      </rPr>
      <t xml:space="preserve"> / MAEU278821459  / OF $7600 /$7395 to WUH / Booking confirmation / Rohana Wheels / From Qingdao to Chicago  /ISF on file / Confirmed 7501/ TLX MBL / TLX HBL / </t>
    </r>
    <r>
      <rPr>
        <sz val="11"/>
        <color rgb="FFFF0000"/>
        <rFont val="Calibri"/>
        <family val="2"/>
        <scheme val="minor"/>
      </rPr>
      <t>offhire ctnr needs to share loss with WUH for reroute &amp; chassis split for IG returning to BIG BLUE BOX</t>
    </r>
  </si>
  <si>
    <t>Done#154766  Duty inv sent</t>
  </si>
  <si>
    <t xml:space="preserve">CAAU5920119 </t>
  </si>
  <si>
    <t>BNSF Dallas</t>
  </si>
  <si>
    <t>DFW HANDLES</t>
  </si>
  <si>
    <t>Liberty Hill, TX 78642</t>
  </si>
  <si>
    <t>D3E309</t>
  </si>
  <si>
    <r>
      <rPr>
        <sz val="11"/>
        <color rgb="FF000000"/>
        <rFont val="Calibri"/>
        <family val="2"/>
        <scheme val="minor"/>
      </rPr>
      <t>MEDUXC761707 / 177UNJNJN69453A / ISF on file /</t>
    </r>
    <r>
      <rPr>
        <sz val="11"/>
        <color rgb="FFFF0000"/>
        <rFont val="Calibri"/>
        <family val="2"/>
        <scheme val="minor"/>
      </rPr>
      <t xml:space="preserve">  ORD handles ISF+ Customs only / DFW handles delivery </t>
    </r>
    <r>
      <rPr>
        <sz val="11"/>
        <color rgb="FF000000"/>
        <rFont val="Calibri"/>
        <family val="2"/>
        <scheme val="minor"/>
      </rPr>
      <t xml:space="preserve"> / TLX HBL / Customs RLS / PU# sent to DFW</t>
    </r>
  </si>
  <si>
    <t xml:space="preserve">DONE# 154679
</t>
  </si>
  <si>
    <t>OOLU8829572</t>
  </si>
  <si>
    <t>PO# 33219</t>
  </si>
  <si>
    <t>OOLU2739304660 / DETENTION / PRE-PULL , YARD STORAGE / TERMINAL FEE ( OOCL‘s charge ) $67</t>
  </si>
  <si>
    <t>DONE# 155333</t>
  </si>
  <si>
    <t>OOLU9873610</t>
  </si>
  <si>
    <t>PO# 33220</t>
  </si>
  <si>
    <t>OOLU2739304670/  / DETENTION / PRE-PULL , YARD STORAGE / TERMINAL FEE ( OOCL‘s charge ) $67</t>
  </si>
  <si>
    <t>DONE# 155378</t>
  </si>
  <si>
    <t>ZCSU6530733</t>
  </si>
  <si>
    <t>fe5741</t>
  </si>
  <si>
    <t>ZIMUSHH31454769</t>
  </si>
  <si>
    <t>DONE# 155342</t>
  </si>
  <si>
    <t>BSIU9284630</t>
  </si>
  <si>
    <t>FF024B</t>
  </si>
  <si>
    <t>ZIMUSHH31455595</t>
  </si>
  <si>
    <t>DONE#155291</t>
  </si>
  <si>
    <t>FSCU8163718</t>
  </si>
  <si>
    <t>ZIMUSHH31455596</t>
  </si>
  <si>
    <t>DONE # 155570</t>
  </si>
  <si>
    <t>ONEU5779040</t>
  </si>
  <si>
    <t>BBL</t>
  </si>
  <si>
    <t>ABL WH/ 4339 Briones Valley Rd，Brentwood，CA 94513</t>
  </si>
  <si>
    <t>ONEYTS4TV4387700 / Transload at Oakland / 2xFlatbed</t>
  </si>
  <si>
    <t>DONE # INV155732</t>
  </si>
  <si>
    <t xml:space="preserve">TCNU4808287 </t>
  </si>
  <si>
    <t>LAX port-FENIX TML</t>
  </si>
  <si>
    <t>SAN BERNADINO, CA 92408</t>
  </si>
  <si>
    <t>ISF SENT/ PRE-ALERT SENT/ Customs RLS /  TLX HBL</t>
  </si>
  <si>
    <r>
      <rPr>
        <sz val="11"/>
        <color rgb="FFFF0000"/>
        <rFont val="Calibri"/>
        <family val="2"/>
        <scheme val="minor"/>
      </rPr>
      <t xml:space="preserve">pre-pull &amp; yard storage / Pier pass $75.42 + CTF $20 </t>
    </r>
    <r>
      <rPr>
        <sz val="11"/>
        <color theme="1"/>
        <rFont val="Calibri"/>
        <family val="2"/>
        <scheme val="minor"/>
      </rPr>
      <t>/ ONEYXMNEB1609500  / 请在到港前一周发邮件，告知收货人客户预计到港时间（只需要给客户预计到港时间，/ 请在给客户的邮件主题加上船东单号+PO NO.:11461</t>
    </r>
  </si>
  <si>
    <t>Done # 154726  
Done# 154269  Duty inv sent</t>
  </si>
  <si>
    <t>ZCSU6804979</t>
  </si>
  <si>
    <t>1A0E23</t>
  </si>
  <si>
    <t>ZIMUSHH31428996</t>
  </si>
  <si>
    <t>DONE# 154974</t>
  </si>
  <si>
    <t>CMAU9198421</t>
  </si>
  <si>
    <t xml:space="preserve">12218 Aiken Rd Suite 305 Louisville KY 40223 </t>
  </si>
  <si>
    <r>
      <rPr>
        <sz val="11"/>
        <color rgb="FFFF0000"/>
        <rFont val="Calibri"/>
        <family val="2"/>
        <scheme val="minor"/>
      </rPr>
      <t>2.5 hrs detention-7:30am-10:54am, 1 hr free</t>
    </r>
    <r>
      <rPr>
        <sz val="11"/>
        <color rgb="FF000000"/>
        <rFont val="Calibri"/>
        <family val="2"/>
        <scheme val="minor"/>
      </rPr>
      <t xml:space="preserve"> / CMDUNGP1491991 / bill wing ocean</t>
    </r>
  </si>
  <si>
    <t>Done # 155329</t>
  </si>
  <si>
    <t>CAIU9135462</t>
  </si>
  <si>
    <t>59EB45</t>
  </si>
  <si>
    <t>OOLU8810891620</t>
  </si>
  <si>
    <t>DONE# 155567</t>
  </si>
  <si>
    <t>FFAU3536089</t>
  </si>
  <si>
    <t>5585F5</t>
  </si>
  <si>
    <t>OOLU2744909600</t>
  </si>
  <si>
    <t>DONE# 155307</t>
  </si>
  <si>
    <t>MSKU0877947</t>
  </si>
  <si>
    <t>MAEU241944455</t>
  </si>
  <si>
    <t>Done # 154192</t>
  </si>
  <si>
    <t xml:space="preserve">MATU2299766  </t>
  </si>
  <si>
    <t>9/30 11-12pm.</t>
  </si>
  <si>
    <t>Carrollton, TX 75006</t>
  </si>
  <si>
    <t>A2722E</t>
  </si>
  <si>
    <r>
      <rPr>
        <sz val="11"/>
        <color rgb="FF000000"/>
        <rFont val="Calibri"/>
        <family val="2"/>
        <scheme val="minor"/>
      </rPr>
      <t xml:space="preserve">MATS4989707000  /  </t>
    </r>
    <r>
      <rPr>
        <sz val="11"/>
        <color rgb="FFFF0000"/>
        <rFont val="Calibri"/>
        <family val="2"/>
        <scheme val="minor"/>
      </rPr>
      <t xml:space="preserve">ORD handles ISF+ Customs only / DFW handles delivery </t>
    </r>
    <r>
      <rPr>
        <sz val="11"/>
        <color rgb="FF000000"/>
        <rFont val="Calibri"/>
        <family val="2"/>
        <scheme val="minor"/>
      </rPr>
      <t xml:space="preserve">/ Customs RLS, TLX HBL </t>
    </r>
  </si>
  <si>
    <t>DONE# 154671</t>
  </si>
  <si>
    <t>MSMU4668340</t>
  </si>
  <si>
    <t xml:space="preserve">3F8B64 </t>
  </si>
  <si>
    <r>
      <rPr>
        <sz val="11"/>
        <color rgb="FF000000"/>
        <rFont val="Calibri"/>
        <family val="2"/>
        <scheme val="minor"/>
      </rPr>
      <t xml:space="preserve">MEDUVP871175 / </t>
    </r>
    <r>
      <rPr>
        <sz val="11"/>
        <color rgb="FFFF0000"/>
        <rFont val="Calibri"/>
        <family val="2"/>
        <scheme val="minor"/>
      </rPr>
      <t xml:space="preserve">OW $250/ DROP $175 </t>
    </r>
    <r>
      <rPr>
        <sz val="11"/>
        <color rgb="FF000000"/>
        <rFont val="Calibri"/>
        <family val="2"/>
        <scheme val="minor"/>
      </rPr>
      <t>/ 客户自己约--提前2个工作日告知可预约交仓时间</t>
    </r>
  </si>
  <si>
    <t>DONE# 154880</t>
  </si>
  <si>
    <t>TGHU5226404</t>
  </si>
  <si>
    <t>NEW YORK-MAHER TERMINALS</t>
  </si>
  <si>
    <t>ZIMUTPE007324344</t>
  </si>
  <si>
    <t>Done # 154196</t>
  </si>
  <si>
    <t>TGHU5201495</t>
  </si>
  <si>
    <t>ZIMUTPE007324364</t>
  </si>
  <si>
    <t>Done # 154195</t>
  </si>
  <si>
    <t>SEGU6742990</t>
  </si>
  <si>
    <t>NCSPA (WILMINGTON TERMINAL)</t>
  </si>
  <si>
    <t xml:space="preserve">YMJAE232223447 / Mr.Daniel McRae     TEL:  336-687-6789 </t>
  </si>
  <si>
    <t>DONE# 155251</t>
  </si>
  <si>
    <t>OOCU4770206</t>
  </si>
  <si>
    <t>Maher Terminals</t>
  </si>
  <si>
    <t>OOLU2744739080</t>
  </si>
  <si>
    <t>Done # 153875</t>
  </si>
  <si>
    <t>OOCU4806335</t>
  </si>
  <si>
    <t>OOLU7929788</t>
  </si>
  <si>
    <t>CSLU6294570</t>
  </si>
  <si>
    <t>1FA838</t>
  </si>
  <si>
    <t>OOLU8897352220</t>
  </si>
  <si>
    <t>DONE# 155161</t>
  </si>
  <si>
    <t>RFCU5006970</t>
  </si>
  <si>
    <t>94A5F4</t>
  </si>
  <si>
    <t>OOLU2151384060</t>
  </si>
  <si>
    <t>DONE# 154976</t>
  </si>
  <si>
    <t>TEMU6015960</t>
  </si>
  <si>
    <t>7AC37B</t>
  </si>
  <si>
    <t>COSU6393332720</t>
  </si>
  <si>
    <t>DONE# 155287</t>
  </si>
  <si>
    <t>Z0603</t>
  </si>
  <si>
    <t>trailer# 9676EdK</t>
  </si>
  <si>
    <t>CCLU7857213</t>
  </si>
  <si>
    <t>3F609F</t>
  </si>
  <si>
    <t>OOLU2151383970</t>
  </si>
  <si>
    <t>DONE# 155420</t>
  </si>
  <si>
    <t>CCLU7723385</t>
  </si>
  <si>
    <t>9c8f98</t>
  </si>
  <si>
    <t>OOLU8810909980</t>
  </si>
  <si>
    <t>DONE# 154889</t>
  </si>
  <si>
    <t>GCXU6529334</t>
  </si>
  <si>
    <t>841B95</t>
  </si>
  <si>
    <t>COSU6393353421</t>
  </si>
  <si>
    <t>DONE# 155727</t>
  </si>
  <si>
    <t>ZCSU8853490</t>
  </si>
  <si>
    <t xml:space="preserve">F48549 </t>
  </si>
  <si>
    <t>ZIMUSHH31452335</t>
  </si>
  <si>
    <t>37b377</t>
  </si>
  <si>
    <t xml:space="preserve">FCIU7209306   </t>
  </si>
  <si>
    <t>BNSF MEMPHIS</t>
  </si>
  <si>
    <r>
      <rPr>
        <sz val="11"/>
        <color rgb="FF000000"/>
        <rFont val="Calibri"/>
        <family val="2"/>
        <scheme val="minor"/>
      </rPr>
      <t xml:space="preserve">Ridgeland, MS 39157 </t>
    </r>
    <r>
      <rPr>
        <sz val="11"/>
        <color rgb="FFFF0000"/>
        <rFont val="Calibri"/>
        <family val="2"/>
        <scheme val="minor"/>
      </rPr>
      <t>changed to Jackson, MS 39209</t>
    </r>
  </si>
  <si>
    <t>595655</t>
  </si>
  <si>
    <r>
      <rPr>
        <sz val="11"/>
        <color rgb="FF000000"/>
        <rFont val="Calibri"/>
        <family val="2"/>
        <scheme val="minor"/>
      </rPr>
      <t xml:space="preserve">Customs RLS / TLX HBL / OOLU2744927061 / ISF ON FILE / </t>
    </r>
    <r>
      <rPr>
        <sz val="11"/>
        <color rgb="FFFF0000"/>
        <rFont val="Calibri"/>
        <family val="2"/>
        <scheme val="minor"/>
      </rPr>
      <t>co-loader 费用origin会与预付</t>
    </r>
    <r>
      <rPr>
        <sz val="11"/>
        <color rgb="FF000000"/>
        <rFont val="Calibri"/>
        <family val="2"/>
        <scheme val="minor"/>
      </rPr>
      <t xml:space="preserve"> / Q# YWHJ080124A, $1180, SPLIT $150, pu detention 1 hr free, unloading detention 1.5 hrs free /0.5 hr pu detention</t>
    </r>
  </si>
  <si>
    <t xml:space="preserve">Done#154956 </t>
  </si>
  <si>
    <t>EMCU1773255</t>
  </si>
  <si>
    <t>PO# 62085</t>
  </si>
  <si>
    <t>EGLV090400175718</t>
  </si>
  <si>
    <t>DONE# 155416</t>
  </si>
  <si>
    <t>EGSU9288656</t>
  </si>
  <si>
    <t>PO# 62086</t>
  </si>
  <si>
    <t>EGLV090400196227 / earliest IG APPT on 10-14/ 2 hrs unloading detention / pre-pull, yard storage</t>
  </si>
  <si>
    <t>DONE# 155841</t>
  </si>
  <si>
    <t>DRYU9940312</t>
  </si>
  <si>
    <t>UP-NS RAIL - AUSTELL (RAILRAMP)</t>
  </si>
  <si>
    <t>https://tas.wydgroup.com?booking_code=Z4DUK8 
https://tas.wydgroup.com?booking_code=ZYRL58
10/4</t>
  </si>
  <si>
    <t>lightning</t>
  </si>
  <si>
    <t>ONEYSGNEQ5006300, pre-pull, yard storage, chassis-split, 0.5 hrs detention</t>
  </si>
  <si>
    <t>DONE#155249</t>
  </si>
  <si>
    <t>TXGU6669964</t>
  </si>
  <si>
    <t>TS LINES</t>
  </si>
  <si>
    <t>LOS ANGELES, CA-WBCT-WEST BASIN CONTAINER TERMINAL</t>
  </si>
  <si>
    <t>Ramona CA 92065+K6:T6</t>
  </si>
  <si>
    <t>1.5 hrs unloading detention-9am-11:30am / TXZJ310410086885 / Happy Hens, 2176 Ramona Street , Ramona CA 92065， Luie Nevarez
luie@happy-hens.com
760-522-9120</t>
  </si>
  <si>
    <t>DONE# 155514</t>
  </si>
  <si>
    <t>Ningbo Nanhua</t>
  </si>
  <si>
    <t>UETU7323223</t>
  </si>
  <si>
    <t>GEMPLERS INC. 
401 S. WRIGHT RD,JANESVILLE,WI 53546</t>
  </si>
  <si>
    <t>BCD4F5</t>
  </si>
  <si>
    <r>
      <rPr>
        <sz val="11"/>
        <color rgb="FFFF0000"/>
        <rFont val="Calibri"/>
        <family val="2"/>
        <scheme val="minor"/>
      </rPr>
      <t xml:space="preserve">ISF, Customs entry &amp; duty billed to CNEE </t>
    </r>
    <r>
      <rPr>
        <sz val="11"/>
        <color rgb="FF000000"/>
        <rFont val="Calibri"/>
        <family val="2"/>
        <scheme val="minor"/>
      </rPr>
      <t>/  MAEU273718573 / 此票单子做目的港清关和DAP服务 / HBL# NHNGB240801 / ISF filed, AN sent / hbl no importer's name / DDU, consignee pay duty / duty invoice ABL paid to UQI  / pre-pull, yard storage, 1.75 hrs pickup detention, 0.75 hrs detention / chassis split</t>
    </r>
  </si>
  <si>
    <t>卡车账单Invoice 154773
税金账单Invoice 154774</t>
  </si>
  <si>
    <t xml:space="preserve">TCLU8781320  </t>
  </si>
  <si>
    <t xml:space="preserve">Indianapolis, IN 46216 </t>
  </si>
  <si>
    <t xml:space="preserve">39F25D </t>
  </si>
  <si>
    <r>
      <rPr>
        <sz val="11"/>
        <color rgb="FFFF0000"/>
        <rFont val="Calibri"/>
        <family val="2"/>
        <scheme val="minor"/>
      </rPr>
      <t>1.5 hr detention-9am-11:28am, 1 hour free</t>
    </r>
    <r>
      <rPr>
        <sz val="11"/>
        <color theme="1"/>
        <rFont val="Calibri"/>
        <family val="2"/>
        <scheme val="minor"/>
      </rPr>
      <t xml:space="preserve"> / ZIMUNGB1242145 / ISF ON FILE / TLX HBL / Q# YWHJ081524A, $1250， 1hr free detenti</t>
    </r>
    <r>
      <rPr>
        <sz val="11"/>
        <rFont val="Calibri"/>
        <family val="2"/>
        <scheme val="minor"/>
      </rPr>
      <t>on,  派送前请和Dawn LInes(317)-496-1485  预约 / Dawn Weinkrantz &lt;dawn@teamip.com&gt;; Dawn Weinkrantz &lt;dawn@teamip.com&gt;; Stephanie Braley &lt;sbraley@teamip.com&gt;  /</t>
    </r>
    <r>
      <rPr>
        <sz val="11"/>
        <color theme="1"/>
        <rFont val="Calibri"/>
        <family val="2"/>
        <scheme val="minor"/>
      </rPr>
      <t xml:space="preserve"> Customs RLS / TLX RLS</t>
    </r>
  </si>
  <si>
    <t>DONE# 155398</t>
  </si>
  <si>
    <t>TIIU6006021</t>
  </si>
  <si>
    <t>10-9 empty ready / pre-pull， yard storage / HDMUSHAZ84881200 / OW$ 250 / Drop $175 / 客户自己约--提前2个工作日告知可预约交仓时间</t>
  </si>
  <si>
    <t>DONE# 155373</t>
  </si>
  <si>
    <t>MSDU7626207</t>
  </si>
  <si>
    <t>40’HQ</t>
  </si>
  <si>
    <t>A3117A</t>
  </si>
  <si>
    <t>MEDUQS645149 / pre-pull, yard storage</t>
  </si>
  <si>
    <t>Done#155092</t>
  </si>
  <si>
    <t>MEDU4863785</t>
  </si>
  <si>
    <t>C5D390</t>
  </si>
  <si>
    <t>MEDUQS645156</t>
  </si>
  <si>
    <t>Done#154958</t>
  </si>
  <si>
    <t>MSDU7766940</t>
  </si>
  <si>
    <t>23C718</t>
  </si>
  <si>
    <t>MEDUQS645131</t>
  </si>
  <si>
    <t>Done#155067</t>
  </si>
  <si>
    <t>BSIU9310405</t>
  </si>
  <si>
    <t>OOLU4121955790</t>
  </si>
  <si>
    <t>DONE# 155521</t>
  </si>
  <si>
    <t>OOCU8514136</t>
  </si>
  <si>
    <t xml:space="preserve">091388 </t>
  </si>
  <si>
    <t>OOLU2745339870</t>
  </si>
  <si>
    <t>DONE# 155455</t>
  </si>
  <si>
    <t>CAIU9226201</t>
  </si>
  <si>
    <t>22AE7D</t>
  </si>
  <si>
    <t>ZIMUNGB1242273</t>
  </si>
  <si>
    <t>DONE#155383</t>
  </si>
  <si>
    <t>JXLU6490585</t>
  </si>
  <si>
    <t>51D9A6</t>
  </si>
  <si>
    <t>ZIMUSHH31472180</t>
  </si>
  <si>
    <t xml:space="preserve">SMCU1285296  </t>
  </si>
  <si>
    <t>UP-MINNEAPOLIS</t>
  </si>
  <si>
    <t>BIG BLUE BOXES</t>
  </si>
  <si>
    <t>Minneapolis, MN 55413</t>
  </si>
  <si>
    <t>‘8190252</t>
  </si>
  <si>
    <r>
      <rPr>
        <sz val="11"/>
        <color rgb="FF000000"/>
        <rFont val="Calibri"/>
        <family val="2"/>
        <scheme val="minor"/>
      </rPr>
      <t xml:space="preserve">10-9 PM empty ready </t>
    </r>
    <r>
      <rPr>
        <sz val="11"/>
        <color rgb="FFFF0000"/>
        <rFont val="Calibri"/>
        <family val="2"/>
        <scheme val="minor"/>
      </rPr>
      <t>// stop off $125 / Demurrage$100- 10.7</t>
    </r>
    <r>
      <rPr>
        <sz val="11"/>
        <color rgb="FF000000"/>
        <rFont val="Calibri"/>
        <family val="2"/>
        <scheme val="minor"/>
      </rPr>
      <t xml:space="preserve"> / SMLMNJED4K461300  / ISF ON FILE / Customs RLS / TLX RLS / Q# 
YWHJ090823A, $420, detention 1 hr free/ Laine Satter, 
Phone: 651-999-8236/ 952-292-9592
</t>
    </r>
    <r>
      <rPr>
        <sz val="11"/>
        <color rgb="FFFF0000"/>
        <rFont val="Calibri"/>
        <family val="2"/>
        <scheme val="minor"/>
      </rPr>
      <t>Email: Laine.Satter@mdi.org</t>
    </r>
  </si>
  <si>
    <t xml:space="preserve">DONE# 155552, Duty inv sent, Demurrage invoice sent
</t>
  </si>
  <si>
    <t>TRHU4644931</t>
  </si>
  <si>
    <t>83C11C</t>
  </si>
  <si>
    <r>
      <rPr>
        <sz val="11"/>
        <color rgb="FFFF0000"/>
        <rFont val="Calibri"/>
        <family val="2"/>
        <scheme val="minor"/>
      </rPr>
      <t>7 hrs pu detention- 10/7@15:07- 10/8 @ 00:12</t>
    </r>
    <r>
      <rPr>
        <sz val="11"/>
        <color theme="1"/>
        <rFont val="Calibri"/>
        <family val="2"/>
        <scheme val="minor"/>
      </rPr>
      <t>./OOLU2746222400  / OF $8100 / $8000 / NEW SHPT S/HOMEWELL C/AUTOSPEC INC. // TYN TO Chicago via LGB 2X40HQ&gt;1X40HQ  CLS8/29 **MTPE24080201 / TLX HBL</t>
    </r>
  </si>
  <si>
    <t>DONE# 155374</t>
  </si>
  <si>
    <t>RFCU5040932</t>
  </si>
  <si>
    <t>37B3F7</t>
  </si>
  <si>
    <t>OOLU2745582060</t>
  </si>
  <si>
    <t>DONE# 155565</t>
  </si>
  <si>
    <t>CICU5033410</t>
  </si>
  <si>
    <t>7AM-9AM</t>
  </si>
  <si>
    <r>
      <rPr>
        <sz val="11"/>
        <color rgb="FF000000"/>
        <rFont val="Calibri"/>
        <family val="2"/>
        <scheme val="minor"/>
      </rPr>
      <t>pre-pull &amp; yard storage / ONEYXMNEC1099900 /</t>
    </r>
    <r>
      <rPr>
        <sz val="11"/>
        <color rgb="FFFF0000"/>
        <rFont val="Calibri"/>
        <family val="2"/>
        <scheme val="minor"/>
      </rPr>
      <t xml:space="preserve"> Chassis split for SOC return to Complete container service </t>
    </r>
  </si>
  <si>
    <t>Done #155283</t>
  </si>
  <si>
    <t>CICU5033425</t>
  </si>
  <si>
    <r>
      <rPr>
        <sz val="11"/>
        <color rgb="FF000000"/>
        <rFont val="Calibri"/>
        <family val="2"/>
        <scheme val="minor"/>
      </rPr>
      <t>ONEYXMNEC1099900 /</t>
    </r>
    <r>
      <rPr>
        <sz val="11"/>
        <color rgb="FFFF0000"/>
        <rFont val="Calibri"/>
        <family val="2"/>
        <scheme val="minor"/>
      </rPr>
      <t xml:space="preserve"> Chassis split for SOC return to Complete container service </t>
    </r>
  </si>
  <si>
    <t>Done#155193</t>
  </si>
  <si>
    <t>10/9 SENT</t>
  </si>
  <si>
    <t>ZTCU2505353</t>
  </si>
  <si>
    <t>5500 FOREST HILLS ROAD
LOVES PARK, IL 61111-5213</t>
  </si>
  <si>
    <t>SOC / HDMUNBOZ55770301 / return to Chicago, IL 60623</t>
  </si>
  <si>
    <t>Done # 155370</t>
  </si>
  <si>
    <t>OOCU8920710</t>
  </si>
  <si>
    <t>OOLU2151431696</t>
  </si>
  <si>
    <t>DONE# 155728</t>
  </si>
  <si>
    <t>TIIU5034060</t>
  </si>
  <si>
    <t>4A4EDA</t>
  </si>
  <si>
    <t>OOLU8810914820</t>
  </si>
  <si>
    <t>OOLU8471745</t>
  </si>
  <si>
    <t>9C6A40</t>
  </si>
  <si>
    <t>COSU6395062990</t>
  </si>
  <si>
    <t xml:space="preserve"> Done # 155282</t>
  </si>
  <si>
    <t>OOLU9193823</t>
  </si>
  <si>
    <t>2231EE</t>
  </si>
  <si>
    <t>COSU6395062810 / 10-11 devanning report. 10-14 picked up</t>
  </si>
  <si>
    <t>Done # 155326</t>
  </si>
  <si>
    <t>CMAU3519611</t>
  </si>
  <si>
    <t>CMDUTWN0899269</t>
  </si>
  <si>
    <t>Done # 155085</t>
  </si>
  <si>
    <t>SEGU4631929</t>
  </si>
  <si>
    <t>CMDUTWN0896361</t>
  </si>
  <si>
    <t>Done # 155098</t>
  </si>
  <si>
    <t>ZTCU2505332</t>
  </si>
  <si>
    <t>SOC / HDMUNBOZ55770301 / return to Chicago, IL 60623 / reroute$300</t>
  </si>
  <si>
    <t>Done # 155369</t>
  </si>
  <si>
    <t>1,730.00_x000D_</t>
  </si>
  <si>
    <t>Evangel</t>
  </si>
  <si>
    <t>NWRU3527350</t>
  </si>
  <si>
    <t>1998 VENTURE AVENUE
DE PERE WI 54115</t>
  </si>
  <si>
    <t>SOC / HDMUNBOZ51535500 / reroute $300</t>
  </si>
  <si>
    <t>Done # 155413</t>
  </si>
  <si>
    <t>2,212.50_x000D_</t>
  </si>
  <si>
    <t>NWRU3527387</t>
  </si>
  <si>
    <t>Done # 155414</t>
  </si>
  <si>
    <t>1,880.00_x000D_</t>
  </si>
  <si>
    <t>FCIU3729362</t>
  </si>
  <si>
    <t xml:space="preserve">6E78C1 </t>
  </si>
  <si>
    <r>
      <rPr>
        <sz val="11"/>
        <color rgb="FFFF0000"/>
        <rFont val="Calibri"/>
        <family val="2"/>
        <scheme val="minor"/>
      </rPr>
      <t xml:space="preserve">Re-route &amp; chassis split for IG to Conglobal Joliet / pre-pull &amp; yard storage / </t>
    </r>
    <r>
      <rPr>
        <sz val="11"/>
        <color theme="1"/>
        <rFont val="Calibri"/>
        <family val="2"/>
        <scheme val="minor"/>
      </rPr>
      <t xml:space="preserve">TLX HBL/ 要求中文回复客户邮件， CMDUXIA1404288 / ISF on file / pending docs &amp; delivery instructions / Tiffany &lt;2181496855@qq.com&gt; / 请在到港前一周发邮件，告知收货人客户预计到港时间（只需要给客户预计到港时间，其他资料不需要给 / 清关资料/税单/电放单找翼舟，所有费用都找翼舟收/ </t>
    </r>
    <r>
      <rPr>
        <sz val="11"/>
        <color rgb="FF003399"/>
        <rFont val="Calibri"/>
        <family val="2"/>
        <scheme val="minor"/>
      </rPr>
      <t>CONTACT:DavidHarris 
Office: 630.227.3300 x230
Cell: 847.878.9108 (dharris@euroview.com)
INFO@WINGSAILL.COM
请在给客户的邮件主题加上船东单号+ PO NO.:62524-STK  ，其他信息你们编辑</t>
    </r>
    <r>
      <rPr>
        <sz val="11"/>
        <color theme="1"/>
        <rFont val="Calibri"/>
        <family val="2"/>
        <scheme val="minor"/>
      </rPr>
      <t xml:space="preserve"> / Customs RLS/ TLX HBL, pre-alert sent</t>
    </r>
  </si>
  <si>
    <t xml:space="preserve">Duty inv sent
DONE# 155384
</t>
  </si>
  <si>
    <t>CSNU8047513</t>
  </si>
  <si>
    <t>6D7A23</t>
  </si>
  <si>
    <t>COSU6394050030</t>
  </si>
  <si>
    <t>DONE # 155861</t>
  </si>
  <si>
    <t>TGBU5547038</t>
  </si>
  <si>
    <t xml:space="preserve">2475E4 </t>
  </si>
  <si>
    <r>
      <rPr>
        <sz val="11"/>
        <color rgb="FFFF0000"/>
        <rFont val="Calibri"/>
        <family val="2"/>
        <scheme val="minor"/>
      </rPr>
      <t xml:space="preserve"> OF $7650 + outport$100  / cost $7500+$100  /</t>
    </r>
    <r>
      <rPr>
        <sz val="11"/>
        <color rgb="FF000000"/>
        <rFont val="Calibri"/>
        <family val="2"/>
        <scheme val="minor"/>
      </rPr>
      <t xml:space="preserve"> NEW SHPT S/HOMEWELL C/AUTOSPEC INC. // TYN TO Chicago via LAX 2X40HQ CLS9/5 **MTPE24090075 / MBL# YMJAW202183284 </t>
    </r>
    <r>
      <rPr>
        <sz val="11"/>
        <color theme="1"/>
        <rFont val="Calibri"/>
        <family val="2"/>
        <scheme val="minor"/>
      </rPr>
      <t>/ Customs RLS / TLX HBL / TLX MBL</t>
    </r>
  </si>
  <si>
    <t>DONE# 155377</t>
  </si>
  <si>
    <t>BMOU5166341</t>
  </si>
  <si>
    <t>AAAA45</t>
  </si>
  <si>
    <t>New Booking From Thailand TO CHICAGO / Autospec / Rohana Wheel/CRD8/7  /COSU6393424090 / MTRI2408002 / LCB to CHI via lax—&gt; O/F USD10,200/ $10,100 / Customs RLS // SWB / TLX HBL</t>
  </si>
  <si>
    <t>DONE# 155902/ Duty inv sent</t>
  </si>
  <si>
    <t>OOCU7862250</t>
  </si>
  <si>
    <t>53bb1e</t>
  </si>
  <si>
    <t>OOLU8810917240</t>
  </si>
  <si>
    <t>DONE# 155729</t>
  </si>
  <si>
    <t>TCNU6926709</t>
  </si>
  <si>
    <t>UP-EL PASO, TX</t>
  </si>
  <si>
    <t>DFW Handles</t>
  </si>
  <si>
    <t>EL PASO, TX 79935</t>
  </si>
  <si>
    <t>0345021</t>
  </si>
  <si>
    <t>DFW pays demurrage  / ONEYXMNEB5153300 / ORD 做ISF和报关， DFW做delivery  / 请在到港前一周发邮件，告知收货人客户预计到港时间（只需要给客户预计到港时间，请在给客户的邮件主题加上船东单号+PO NO.:11470 / ISF ON FILE / CUSTOMS RLS / PRE-ALERT  SENT  /  TLX HBL</t>
  </si>
  <si>
    <t>DONE# 155101/155339</t>
  </si>
  <si>
    <t>225/642.5</t>
  </si>
  <si>
    <t>CCLU7756964</t>
  </si>
  <si>
    <t>#088772</t>
  </si>
  <si>
    <t>COSU6394766750</t>
  </si>
  <si>
    <t>DONE # 155566</t>
  </si>
  <si>
    <t>TRHU5528659</t>
  </si>
  <si>
    <t>PO# 62088</t>
  </si>
  <si>
    <t>EGLV090400190318 / 3 hrs detention - 10:07-14:00, 1 hr free</t>
  </si>
  <si>
    <t>DONE# 155849</t>
  </si>
  <si>
    <t>EITU1177273</t>
  </si>
  <si>
    <t>EGLV003401230924</t>
  </si>
  <si>
    <t>Done# 154876</t>
  </si>
  <si>
    <t>BSIU8457808</t>
  </si>
  <si>
    <t>82ECB4</t>
  </si>
  <si>
    <t>OOLU2151858950</t>
  </si>
  <si>
    <t>DONE# 155454</t>
  </si>
  <si>
    <t>SMCU1254090</t>
  </si>
  <si>
    <t>10-16 pending empty ready / SMLMSHFO4E183600 / OW$ 250 / Drop $175/ 客户自己约--提前2个工作日告知可预约交仓时间</t>
  </si>
  <si>
    <t>DONE# 155430</t>
  </si>
  <si>
    <t>ZTCU2505142</t>
  </si>
  <si>
    <t>SOC / HDMUNBOZ55770300/ return to Chicago, IL 60623</t>
  </si>
  <si>
    <t>Done # 155434</t>
  </si>
  <si>
    <t>ZTCU2505369</t>
  </si>
  <si>
    <t xml:space="preserve">SOC / HDMUNBOZ55770300/ return to Chicago, IL 60623 / </t>
  </si>
  <si>
    <t>Done # 155435</t>
  </si>
  <si>
    <t>APHU7111759</t>
  </si>
  <si>
    <t xml:space="preserve">7EF649    </t>
  </si>
  <si>
    <t>CMDUGGZ2291873</t>
  </si>
  <si>
    <t>通途</t>
  </si>
  <si>
    <t>SUDU8510416</t>
  </si>
  <si>
    <t>BNSF-Fairburn</t>
  </si>
  <si>
    <t>ISA# 98664014967</t>
  </si>
  <si>
    <t>11/2 @18:00</t>
  </si>
  <si>
    <t>Liang + NTG</t>
  </si>
  <si>
    <t>HSV1(AMZN)</t>
  </si>
  <si>
    <t>D2A899</t>
  </si>
  <si>
    <r>
      <rPr>
        <sz val="11"/>
        <color rgb="FF000000"/>
        <rFont val="Calibri"/>
        <scheme val="minor"/>
      </rPr>
      <t xml:space="preserve">243683443/ </t>
    </r>
    <r>
      <rPr>
        <sz val="11"/>
        <color rgb="FFFF0000"/>
        <rFont val="Calibri"/>
        <scheme val="minor"/>
      </rPr>
      <t>waiting time</t>
    </r>
    <r>
      <rPr>
        <sz val="11"/>
        <color rgb="FF000000"/>
        <rFont val="Calibri"/>
        <scheme val="minor"/>
      </rPr>
      <t xml:space="preserve"> </t>
    </r>
    <r>
      <rPr>
        <sz val="11"/>
        <color rgb="FFFF0000"/>
        <rFont val="Calibri"/>
        <scheme val="minor"/>
      </rPr>
      <t>: 17:40-24:00</t>
    </r>
  </si>
  <si>
    <t>DONE#DEMURRAGE 155480/  156110</t>
  </si>
  <si>
    <t>Ecommerce FCL</t>
  </si>
  <si>
    <t>TXGU5789970</t>
  </si>
  <si>
    <t>EGLV003401252316</t>
  </si>
  <si>
    <t>Done# 154877</t>
  </si>
  <si>
    <t>CCLU7969698</t>
  </si>
  <si>
    <t>BNSF-Kansas</t>
  </si>
  <si>
    <t>MCI1n(WALT)</t>
  </si>
  <si>
    <t>AD0D85</t>
  </si>
  <si>
    <t>GZ</t>
  </si>
  <si>
    <t>DONE #155489</t>
  </si>
  <si>
    <t>DFSU6939290</t>
  </si>
  <si>
    <t>BNSF - Kansas City LPKC</t>
  </si>
  <si>
    <t>KS 66062, Olathe</t>
  </si>
  <si>
    <t>64EE00</t>
  </si>
  <si>
    <t>CMDUSHZ6619260 / has loading dock</t>
  </si>
  <si>
    <t>DONE#155419</t>
  </si>
  <si>
    <t>965.00_x000D_</t>
  </si>
  <si>
    <t>FFAU2568815</t>
  </si>
  <si>
    <t>COSU</t>
  </si>
  <si>
    <t>COSU6394875790</t>
  </si>
  <si>
    <t>DONE# 155456</t>
  </si>
  <si>
    <t>TCNU5523463</t>
  </si>
  <si>
    <t>8D82E8</t>
  </si>
  <si>
    <t>ZIMUSHH31467552</t>
  </si>
  <si>
    <t>TGBU4945546</t>
  </si>
  <si>
    <t>8c60e5</t>
  </si>
  <si>
    <t>OOLU2303838690</t>
  </si>
  <si>
    <t>DONE# 155868</t>
  </si>
  <si>
    <t>FFAU3022921</t>
  </si>
  <si>
    <t>04d8f1</t>
  </si>
  <si>
    <t>OOLU8810917260</t>
  </si>
  <si>
    <t>DONE# 155866</t>
  </si>
  <si>
    <t>OOLU9254554</t>
  </si>
  <si>
    <t>A0EAFD </t>
  </si>
  <si>
    <t>COSU6394762746</t>
  </si>
  <si>
    <t>DONE # 155862</t>
  </si>
  <si>
    <t>MSDU8902362</t>
  </si>
  <si>
    <t>MIAMI PORT-Pomtoc terminal</t>
  </si>
  <si>
    <t>Customer Handles</t>
  </si>
  <si>
    <r>
      <rPr>
        <sz val="11"/>
        <color rgb="FFFF0000"/>
        <rFont val="Calibri"/>
        <family val="2"/>
        <scheme val="minor"/>
      </rPr>
      <t>Terminal fee ( DE WELL's charge)   $110+ admin 5% ( min $10 )</t>
    </r>
    <r>
      <rPr>
        <sz val="11"/>
        <color theme="1"/>
        <rFont val="Calibri"/>
        <family val="2"/>
        <scheme val="minor"/>
      </rPr>
      <t xml:space="preserve"> 177PDWDWQ23447V    /MEDUQW187460 / ISF ON FILE / ABL only handles ISF &amp; Customs / TLX HBL / Customs RLS /  LINE RLS / 只报关不送货</t>
    </r>
  </si>
  <si>
    <t>DONE# 155431</t>
  </si>
  <si>
    <t>CSNU7327588</t>
  </si>
  <si>
    <t>d4ffea</t>
  </si>
  <si>
    <t>OOLU2745585720</t>
  </si>
  <si>
    <t>DONE# 155870</t>
  </si>
  <si>
    <t>TGCU0038957</t>
  </si>
  <si>
    <t>eee678</t>
  </si>
  <si>
    <t>OOLU8810923990</t>
  </si>
  <si>
    <t>DONE# 155677</t>
  </si>
  <si>
    <t>BSIU9364567</t>
  </si>
  <si>
    <t>F3933E</t>
  </si>
  <si>
    <t xml:space="preserve">COSU6395554900 / empty return to DNJ </t>
  </si>
  <si>
    <t>Done # 155463</t>
  </si>
  <si>
    <t>ABL WUHAN</t>
  </si>
  <si>
    <t>FCIU9536479</t>
  </si>
  <si>
    <t xml:space="preserve">40HQ
</t>
  </si>
  <si>
    <t>New York-Maher Terminal, Berth 64</t>
  </si>
  <si>
    <t>Hyattsville  MD  20781</t>
  </si>
  <si>
    <t>COSU6395226370 / pre-pull, yard storage, 2 hrs detention</t>
  </si>
  <si>
    <t>DONE#  155484</t>
  </si>
  <si>
    <t>TEMU6551449</t>
  </si>
  <si>
    <t>DF845E</t>
  </si>
  <si>
    <t>COSU6394050031</t>
  </si>
  <si>
    <t>DONE #155924</t>
  </si>
  <si>
    <t>CBHU9068908</t>
  </si>
  <si>
    <t>2FD1AC</t>
  </si>
  <si>
    <t>OOLU2746344210</t>
  </si>
  <si>
    <t>DONE# 156116</t>
  </si>
  <si>
    <t>TIIU5391406</t>
  </si>
  <si>
    <t>6efdbf</t>
  </si>
  <si>
    <t>COSU6396338150</t>
  </si>
  <si>
    <t>DONE# 155865</t>
  </si>
  <si>
    <t>DRYU9606922</t>
  </si>
  <si>
    <t>68761D</t>
  </si>
  <si>
    <t>ZIMUSHH31467560</t>
  </si>
  <si>
    <t>TGBU5760383</t>
  </si>
  <si>
    <t>84710C</t>
  </si>
  <si>
    <t>ZIMUSHH31467561</t>
  </si>
  <si>
    <t>DONE#156126</t>
  </si>
  <si>
    <t>GLDU3221304</t>
  </si>
  <si>
    <t>NS Detroit, MI</t>
  </si>
  <si>
    <r>
      <rPr>
        <sz val="11"/>
        <color rgb="FF000000"/>
        <rFont val="Calibri"/>
        <family val="2"/>
        <scheme val="minor"/>
      </rPr>
      <t xml:space="preserve"> 10-18 empty ready / HDMUXMNM92781100 /  请在给客户的邮件主题加上船东单号+PO NO.:62624	 ，其他信息你们编辑 / 请在到港前一周发邮件 / ATTN:PATRICK GOLICH/JILL NEUENS
PHONE: 248-437-7696   FAX: 248-437-1822
PGOLICH@GOLICH.COM,  JILL@GOLICH.COM  EMAIL: INFO@WINGSAILL.COM
EIN+38-1740844  / </t>
    </r>
    <r>
      <rPr>
        <sz val="11"/>
        <color rgb="FFFF0000"/>
        <rFont val="Calibri"/>
        <family val="2"/>
        <scheme val="minor"/>
      </rPr>
      <t xml:space="preserve">chassis split for SOC return to ITI Intermodal Detroit. </t>
    </r>
    <r>
      <rPr>
        <sz val="11"/>
        <color rgb="FF000000"/>
        <rFont val="Calibri"/>
        <family val="2"/>
        <scheme val="minor"/>
      </rPr>
      <t>/ Customs RLS / TLX HBL / PRE-ALERT  SENT /RCVD CI-PL, 要求提前一周确认7501</t>
    </r>
  </si>
  <si>
    <t>DONE# 155569</t>
  </si>
  <si>
    <t>10-21 SENT</t>
  </si>
  <si>
    <t>Alexbest</t>
  </si>
  <si>
    <t>HAMU1206407</t>
  </si>
  <si>
    <t>Hapag</t>
  </si>
  <si>
    <t>X117 TERMINAL 18 CENTRAL</t>
  </si>
  <si>
    <t>8:30 - noon drop</t>
  </si>
  <si>
    <t>All season</t>
  </si>
  <si>
    <t>Lakewood, WA 98499</t>
  </si>
  <si>
    <r>
      <rPr>
        <sz val="11"/>
        <color rgb="FF000000"/>
        <rFont val="Calibri"/>
        <family val="2"/>
        <scheme val="minor"/>
      </rPr>
      <t xml:space="preserve">HLCUSZX2408CRUU1 / pickup from Tacoma to Seattle / drop
</t>
    </r>
    <r>
      <rPr>
        <sz val="11"/>
        <color rgb="FFFF0000"/>
        <rFont val="Calibri"/>
        <family val="2"/>
        <scheme val="minor"/>
      </rPr>
      <t>4 HRS DETENTION/需通知客户-做账单??</t>
    </r>
  </si>
  <si>
    <t>DONE #155850</t>
  </si>
  <si>
    <t>SEKU5773007</t>
  </si>
  <si>
    <t>Seattle-T18, WA</t>
  </si>
  <si>
    <t>HLCUSZX2408CRTH3 / pickup from Tacoma to Seattle / drop
2 HRS Detention</t>
  </si>
  <si>
    <t>DONE #155940</t>
  </si>
  <si>
    <t>CSNU7986667</t>
  </si>
  <si>
    <t>2fddb4</t>
  </si>
  <si>
    <t>COSU6395508570</t>
  </si>
  <si>
    <t>DONE # 155863</t>
  </si>
  <si>
    <t>PENAVICO-HAITIAN</t>
  </si>
  <si>
    <t>CBHU4117996</t>
  </si>
  <si>
    <t xml:space="preserve">NOVI, MI 48377 </t>
  </si>
  <si>
    <t xml:space="preserve">10-9 discharged / COSU6395147980 / DDU /  SWB / TLX HBL / Received CI/PL/ Quotation#	PV080824A, $455, 1 hour free detention /  Receiver: Luther Ma &lt;luther.ma@motorpump.com&gt;  /+1 801 558 7967 to make APPT / Delivery ADD: 46495 HUMBOLDT DRIVE NOVI MICHIGAN 48377  / POA SENT / Customs RLS/ SWB / TLX HBL </t>
  </si>
  <si>
    <t>DONE# 155945</t>
  </si>
  <si>
    <t>CSNU8049286</t>
  </si>
  <si>
    <t>10-9 discharged / COSU6395147980 / DDU /  SWB / TLX HBL / Received CI/PL/ Quotation#	PV080824A, $455, 1 hour free detention /  Receiver: Luther Ma &lt;luther.ma@motorpump.com&gt;  /+1 801 558 7967 to make APPT / Delivery ADD: 46495 HUMBOLDT DRIVE NOVI MICHIGAN 48377  / POA SENT</t>
  </si>
  <si>
    <t>DONE# 155947</t>
  </si>
  <si>
    <t xml:space="preserve">CSNU6655068 </t>
  </si>
  <si>
    <t>DONE# 155948</t>
  </si>
  <si>
    <t xml:space="preserve">Loadstar-ship </t>
  </si>
  <si>
    <t>MRKU3724955</t>
  </si>
  <si>
    <t>218DDB</t>
  </si>
  <si>
    <r>
      <rPr>
        <sz val="11"/>
        <color rgb="FF000000"/>
        <rFont val="Calibri"/>
        <family val="2"/>
        <scheme val="minor"/>
      </rPr>
      <t xml:space="preserve">MAEU278973610, </t>
    </r>
    <r>
      <rPr>
        <sz val="11"/>
        <color rgb="FFFF0000"/>
        <rFont val="Calibri"/>
        <family val="2"/>
        <scheme val="minor"/>
      </rPr>
      <t>bill to ABL Shenzhen</t>
    </r>
  </si>
  <si>
    <t>DONE# 155523</t>
  </si>
  <si>
    <t>SMCU1203934</t>
  </si>
  <si>
    <t>SMLMNJEB4D191300</t>
  </si>
  <si>
    <t>DONE# 155873</t>
  </si>
  <si>
    <t>WFHU5194736</t>
  </si>
  <si>
    <t>SMLMNJED4K568400</t>
  </si>
  <si>
    <t>DONE# 155801</t>
  </si>
  <si>
    <t>OOCU7816980</t>
  </si>
  <si>
    <t>84BA7F</t>
  </si>
  <si>
    <t>COSU6396042720</t>
  </si>
  <si>
    <t>DONE# 155800</t>
  </si>
  <si>
    <t>BMOU5432101</t>
  </si>
  <si>
    <t>EGLV149407473602</t>
  </si>
  <si>
    <t>创辰</t>
  </si>
  <si>
    <t>CMAU6152216</t>
  </si>
  <si>
    <t>CMA-CGM</t>
  </si>
  <si>
    <t>48A291</t>
  </si>
  <si>
    <t>CHN1531878</t>
  </si>
  <si>
    <t>DONE#156013_x000D_</t>
  </si>
  <si>
    <t>CMAU8449707</t>
  </si>
  <si>
    <t>08DF5F</t>
  </si>
  <si>
    <t xml:space="preserve">CHN1531874 / </t>
  </si>
  <si>
    <t>Done # 155678</t>
  </si>
  <si>
    <t xml:space="preserve">FSCU9345722 </t>
  </si>
  <si>
    <t>10-8 off vessel /OOLU2746253390 / OF $7450/$7300 / NEW SHPT S/HOMEWELL C/AUTOSPEC INC. // TYN TO Chicago via LGB 2X40HQ CLS9/12 **MTPE24090105 / ISF ON FILE / TLX HBL</t>
  </si>
  <si>
    <t>DONE# 155942
Duty inv sent</t>
  </si>
  <si>
    <t>FSCU8010410</t>
  </si>
  <si>
    <t>10-8 off vessel / OOLU2746253390 / OF $7450/$7300 / NEW SHPT S/HOMEWELL C/AUTOSPEC INC. // TYN TO Chicago via LGB 2X40HQ CLS9/12 **MTPE24090105 / ISF ON FILE / TLX HBL</t>
  </si>
  <si>
    <t>DONE# 155939
Duty inv sent</t>
  </si>
  <si>
    <t xml:space="preserve">FFAU3113699   </t>
  </si>
  <si>
    <t>038545</t>
  </si>
  <si>
    <t>10-8 off vessel /OOLU2746838380  / OF OOCL $6950/40HQ+OUTPORT $100 / C/$6800/40HQ pre-paid only // NEW SHPT S/HOMEWELL C/AUTOSPEC INC. // TYN TO Chicago via LGB 2X40HQ &gt;1X40HQ  CLS9/19**MTPE24090050 / TLX MBL / TLX HBL / Customs RLS</t>
  </si>
  <si>
    <t xml:space="preserve">
DONE# 155943
Duty inv sent</t>
  </si>
  <si>
    <t>TIIU6367908</t>
  </si>
  <si>
    <t>40180C</t>
  </si>
  <si>
    <t>OOLU2152061610</t>
  </si>
  <si>
    <t>Done# 155190</t>
  </si>
  <si>
    <t>TEMU1723674</t>
  </si>
  <si>
    <t>Joliet, IL 60431 </t>
  </si>
  <si>
    <t>5008AE</t>
  </si>
  <si>
    <t>MEDUVK364655 / / OW$ 250 / Drop $175 if any / 客户自己约--提前2个工作日告知可预约交仓时间 / Drop</t>
  </si>
  <si>
    <t>DONE #155719</t>
  </si>
  <si>
    <t xml:space="preserve">MRKU8607252 </t>
  </si>
  <si>
    <t>Byron Center,MI 49315</t>
  </si>
  <si>
    <t xml:space="preserve">A9535D   </t>
  </si>
  <si>
    <t xml:space="preserve">MAEU242078113   </t>
  </si>
  <si>
    <t>DONE #155720</t>
  </si>
  <si>
    <t>OWLU5519060</t>
  </si>
  <si>
    <t>SOC / HDMUNBOZ51505000 / overweight $375 / chassis split</t>
  </si>
  <si>
    <t>Done # 155746</t>
  </si>
  <si>
    <t>DFSU4364149</t>
  </si>
  <si>
    <t>OOLU2746389760</t>
  </si>
  <si>
    <t>Done # 154945</t>
  </si>
  <si>
    <t>CSNU8005797</t>
  </si>
  <si>
    <t>0582C9   </t>
  </si>
  <si>
    <t>10/24 street turned</t>
  </si>
  <si>
    <t>COSU6395537590</t>
  </si>
  <si>
    <t>EGSU9338485</t>
  </si>
  <si>
    <t>PO# 62090</t>
  </si>
  <si>
    <t>EGLV090400204254 / car wash/ pre-pull / yard storage /  PU Detention / Unloading detention</t>
  </si>
  <si>
    <t>DONE# 156160</t>
  </si>
  <si>
    <t>TCNU1289758</t>
  </si>
  <si>
    <t>6c506f</t>
  </si>
  <si>
    <t>OOLU2746014830</t>
  </si>
  <si>
    <t>DONE# 155875</t>
  </si>
  <si>
    <t>TRHU6624493</t>
  </si>
  <si>
    <t>9B9888</t>
  </si>
  <si>
    <t>OOLU2746142220</t>
  </si>
  <si>
    <t>DONE# 156009</t>
  </si>
  <si>
    <t>EGHU9186922</t>
  </si>
  <si>
    <t>EGLV149407472754</t>
  </si>
  <si>
    <t>TGBU6290598</t>
  </si>
  <si>
    <t>EGLV149407473475</t>
  </si>
  <si>
    <t>TCLU8270891</t>
  </si>
  <si>
    <t>MENTOR, OH 44060</t>
  </si>
  <si>
    <t>ONEYTS4TV4221800 / Customs RLS / TLX HBL / detention</t>
  </si>
  <si>
    <t>Duty inv sent
# 155900</t>
  </si>
  <si>
    <t>OOCU9230746</t>
  </si>
  <si>
    <t>516d17</t>
  </si>
  <si>
    <t>OOLU4054259601</t>
  </si>
  <si>
    <t>DONE# 156007</t>
  </si>
  <si>
    <t>TCKU6135540</t>
  </si>
  <si>
    <t>NS-Austell</t>
  </si>
  <si>
    <t>Liang Truck</t>
  </si>
  <si>
    <t>ATL1(WALT)</t>
  </si>
  <si>
    <t>143454345063/walmart noticed empty 11/4</t>
  </si>
  <si>
    <t>DONE#156105</t>
  </si>
  <si>
    <t>DFSU1820796</t>
  </si>
  <si>
    <t>OOLU2746983250</t>
  </si>
  <si>
    <t>Done# 155321</t>
  </si>
  <si>
    <t>TXGU8105222</t>
  </si>
  <si>
    <t>96AE36</t>
  </si>
  <si>
    <t>COSU6396368980</t>
  </si>
  <si>
    <t>DONE #156165</t>
  </si>
  <si>
    <t>CAIU8767285</t>
  </si>
  <si>
    <t>6814A3</t>
  </si>
  <si>
    <r>
      <rPr>
        <sz val="11"/>
        <color rgb="FF000000"/>
        <rFont val="Calibri"/>
        <family val="2"/>
        <scheme val="minor"/>
      </rPr>
      <t>2304090063/已经</t>
    </r>
    <r>
      <rPr>
        <sz val="11"/>
        <color rgb="FFFF0000"/>
        <rFont val="Calibri"/>
        <family val="2"/>
        <scheme val="minor"/>
      </rPr>
      <t>卸空</t>
    </r>
  </si>
  <si>
    <t>DONE #155860</t>
  </si>
  <si>
    <t>CCLU5203044</t>
  </si>
  <si>
    <t>OOLU2746726900</t>
  </si>
  <si>
    <t>Done # 155397</t>
  </si>
  <si>
    <t>Loadstar-ship</t>
  </si>
  <si>
    <t>MSKU0888577</t>
  </si>
  <si>
    <t>4D78EB</t>
  </si>
  <si>
    <r>
      <rPr>
        <sz val="11"/>
        <color rgb="FF000000"/>
        <rFont val="Calibri"/>
        <family val="2"/>
        <scheme val="minor"/>
      </rPr>
      <t xml:space="preserve">MAEU278973612, </t>
    </r>
    <r>
      <rPr>
        <sz val="11"/>
        <color rgb="FFFF0000"/>
        <rFont val="Calibri"/>
        <family val="2"/>
        <scheme val="minor"/>
      </rPr>
      <t>bill to ABL Shenzhen</t>
    </r>
  </si>
  <si>
    <t>DONE# INV 155864</t>
  </si>
  <si>
    <t>EITU9173931</t>
  </si>
  <si>
    <t>3d8a31</t>
  </si>
  <si>
    <t>EGLV143461951984</t>
  </si>
  <si>
    <t>DONE#156121</t>
  </si>
  <si>
    <t>ZCSU7926204</t>
  </si>
  <si>
    <t>Jacksonville-Blount Island Marine Terminal</t>
  </si>
  <si>
    <r>
      <rPr>
        <sz val="11"/>
        <color rgb="FFFF0000"/>
        <rFont val="Calibri"/>
        <family val="2"/>
        <scheme val="minor"/>
      </rPr>
      <t>OW $350+ Triaxle $125/ day if any</t>
    </r>
    <r>
      <rPr>
        <sz val="11"/>
        <color rgb="FF000000"/>
        <rFont val="Calibri"/>
        <family val="2"/>
        <scheme val="minor"/>
      </rPr>
      <t xml:space="preserve"> / ZIMUXIA8410995   / COC / morgan@venturecirclellc.com
抄送：op1@rapidkind.com
          op2@rapidkind.com </t>
    </r>
  </si>
  <si>
    <t>OOLU9589291</t>
  </si>
  <si>
    <t>8C9588</t>
  </si>
  <si>
    <t>COSU6396597280</t>
  </si>
  <si>
    <t>DFSU6302568</t>
  </si>
  <si>
    <t xml:space="preserve">4685DB </t>
  </si>
  <si>
    <t>ZIMUSHH31479599</t>
  </si>
  <si>
    <t>RFCU5072312</t>
  </si>
  <si>
    <t xml:space="preserve">CAC0DF </t>
  </si>
  <si>
    <t>ZIMUSHH31467601</t>
  </si>
  <si>
    <t>JXLU6343692</t>
  </si>
  <si>
    <t>B31DC6</t>
  </si>
  <si>
    <t>ZIMUSHH31467567</t>
  </si>
  <si>
    <t>DONE#156195</t>
  </si>
  <si>
    <t>FCIU7105301</t>
  </si>
  <si>
    <t>PO# 62089</t>
  </si>
  <si>
    <t>HLCUKUL240840619/ 1.5 hrs pu detention, unloading detention/ pre-pull / yard storage /  Hapage terminal fee $12 / car wash $110</t>
  </si>
  <si>
    <t>pending trucker‘s inv</t>
  </si>
  <si>
    <t>TLLU7849830</t>
  </si>
  <si>
    <t>A47982</t>
  </si>
  <si>
    <t>COSU6397081450</t>
  </si>
  <si>
    <t>ML</t>
  </si>
  <si>
    <t>DONE#155946</t>
  </si>
  <si>
    <t>FFAU3540474</t>
  </si>
  <si>
    <t>58575D</t>
  </si>
  <si>
    <t>OOLU8810933820</t>
  </si>
  <si>
    <t>DONE# 156047</t>
  </si>
  <si>
    <t>TRHU7940140</t>
  </si>
  <si>
    <t>BNSF-CSX Railroad,Columbus</t>
  </si>
  <si>
    <t>10/30/2024
手打卡车费用需要确认</t>
  </si>
  <si>
    <t>1:00 - 2:30 Easter Time</t>
  </si>
  <si>
    <t>WHEELING, WV 26003</t>
  </si>
  <si>
    <r>
      <rPr>
        <sz val="11"/>
        <color rgb="FF000000"/>
        <rFont val="Calibri"/>
        <family val="2"/>
        <scheme val="minor"/>
      </rPr>
      <t>MAEU273718685 /</t>
    </r>
    <r>
      <rPr>
        <sz val="11"/>
        <color rgb="FFFF0000"/>
        <rFont val="Calibri"/>
        <family val="2"/>
        <scheme val="minor"/>
      </rPr>
      <t xml:space="preserve"> 提前告诉接收方ETA/Mount Fee/Chassis Split</t>
    </r>
  </si>
  <si>
    <t>PONU2113383</t>
  </si>
  <si>
    <r>
      <rPr>
        <sz val="11"/>
        <color rgb="FFFF0000"/>
        <rFont val="Calibri"/>
        <family val="2"/>
        <scheme val="minor"/>
      </rPr>
      <t xml:space="preserve">Customs RLS /  TLX HBL
</t>
    </r>
    <r>
      <rPr>
        <sz val="11"/>
        <color rgb="FF000000"/>
        <rFont val="Calibri"/>
        <family val="2"/>
        <scheme val="minor"/>
      </rPr>
      <t>6D7CE1</t>
    </r>
  </si>
  <si>
    <r>
      <rPr>
        <sz val="11"/>
        <color rgb="FF000000"/>
        <rFont val="Calibri"/>
        <family val="2"/>
        <scheme val="minor"/>
      </rPr>
      <t xml:space="preserve">10-8 off vessel / MAEU243557763 / </t>
    </r>
    <r>
      <rPr>
        <sz val="11"/>
        <color rgb="FFFF0000"/>
        <rFont val="Calibri"/>
        <family val="2"/>
        <scheme val="minor"/>
      </rPr>
      <t>WUH filed ISF</t>
    </r>
    <r>
      <rPr>
        <sz val="11"/>
        <color rgb="FF000000"/>
        <rFont val="Calibri"/>
        <family val="2"/>
        <scheme val="minor"/>
      </rPr>
      <t xml:space="preserve"> / Office: 630.227.3300 x230
Cell: 847.878.9108 / CONTACT:DavidHarris   (dharris@euroview.com) EMAIL: INFO@WINGSAILL.COM</t>
    </r>
  </si>
  <si>
    <t>DONE# 155986</t>
  </si>
  <si>
    <t>CICU5032408</t>
  </si>
  <si>
    <r>
      <rPr>
        <sz val="11"/>
        <color rgb="FF000000"/>
        <rFont val="Calibri"/>
        <family val="2"/>
      </rPr>
      <t xml:space="preserve">ONEYXMNEC2837300   / Chassis split for SOCreturn
</t>
    </r>
    <r>
      <rPr>
        <sz val="11"/>
        <color rgb="FFFF0000"/>
        <rFont val="Calibri"/>
        <family val="2"/>
      </rPr>
      <t>卡车没有按计划提柜，产生成本Demurge, Storage应该卡车承担/卡车未按计划交仓（10月30）空跑费用自己承担。</t>
    </r>
  </si>
  <si>
    <t>pending trucker‘s inv
DONE# 156155</t>
  </si>
  <si>
    <t>TCNU1220005</t>
  </si>
  <si>
    <t>/00BFAC</t>
  </si>
  <si>
    <r>
      <rPr>
        <sz val="11"/>
        <color rgb="FF000000"/>
        <rFont val="Calibri"/>
        <family val="2"/>
        <scheme val="minor"/>
      </rPr>
      <t xml:space="preserve">CMDUQGD1197390, </t>
    </r>
    <r>
      <rPr>
        <sz val="11"/>
        <color rgb="FFFF0000"/>
        <rFont val="Calibri"/>
        <family val="2"/>
        <scheme val="minor"/>
      </rPr>
      <t>bill to ABL Shenzhen / demurrage</t>
    </r>
  </si>
  <si>
    <t>DONE# 155985_x000D_</t>
  </si>
  <si>
    <t>CICU5032413</t>
  </si>
  <si>
    <t xml:space="preserve">ONEYXMNEC2837300   / Chassis split for SOC return / pre-pull, yard storage, </t>
  </si>
  <si>
    <t>APHU6909929</t>
  </si>
  <si>
    <t>Atlanta-NS</t>
  </si>
  <si>
    <t>CMDUSGN2357896 / detention ?</t>
  </si>
  <si>
    <t>DONE#156193</t>
  </si>
  <si>
    <t>KOCU4442563</t>
  </si>
  <si>
    <t>/0698905</t>
  </si>
  <si>
    <r>
      <rPr>
        <sz val="11"/>
        <color rgb="FF000000"/>
        <rFont val="Calibri"/>
        <family val="2"/>
        <scheme val="minor"/>
      </rPr>
      <t xml:space="preserve">HDMUSHAM79831900, </t>
    </r>
    <r>
      <rPr>
        <sz val="11"/>
        <color rgb="FFFF0000"/>
        <rFont val="Calibri"/>
        <family val="2"/>
        <scheme val="minor"/>
      </rPr>
      <t xml:space="preserve">bill to ABL Shenzhen </t>
    </r>
  </si>
  <si>
    <t xml:space="preserve">DONE#155982_x000D_ </t>
  </si>
  <si>
    <t>OOLU9581304</t>
  </si>
  <si>
    <t>4ed491</t>
  </si>
  <si>
    <t>OOLU8897483330</t>
  </si>
  <si>
    <t>DONE# 156118</t>
  </si>
  <si>
    <t>UETU5410205</t>
  </si>
  <si>
    <t>d9dee5</t>
  </si>
  <si>
    <t>OOLU8897483290</t>
  </si>
  <si>
    <t>OOLU9734342</t>
  </si>
  <si>
    <t>d1a381</t>
  </si>
  <si>
    <t>OOLU2746720330</t>
  </si>
  <si>
    <t>TXGU8205880</t>
  </si>
  <si>
    <t>35F85B</t>
  </si>
  <si>
    <t>COSU6396358040/客户PU#提供晚了，我们发了demurrage账单</t>
  </si>
  <si>
    <t>CRSU9052491</t>
  </si>
  <si>
    <t>C7C04B</t>
  </si>
  <si>
    <t>ZIMUSHH31474373</t>
  </si>
  <si>
    <t>MSKU7377521</t>
  </si>
  <si>
    <r>
      <rPr>
        <sz val="11"/>
        <color rgb="FFFF0000"/>
        <rFont val="Calibri"/>
        <family val="2"/>
        <scheme val="minor"/>
      </rPr>
      <t xml:space="preserve">Customs RLS /  TLX HBL
</t>
    </r>
    <r>
      <rPr>
        <sz val="11"/>
        <color rgb="FF000000"/>
        <rFont val="Calibri"/>
        <family val="2"/>
        <scheme val="minor"/>
      </rPr>
      <t>6B915A</t>
    </r>
  </si>
  <si>
    <r>
      <rPr>
        <sz val="11"/>
        <color rgb="FF000000"/>
        <rFont val="Calibri"/>
        <family val="2"/>
        <scheme val="minor"/>
      </rPr>
      <t>10-8 off vessel / MAEU243557763 /</t>
    </r>
    <r>
      <rPr>
        <sz val="11"/>
        <color rgb="FFFF0000"/>
        <rFont val="Calibri"/>
        <family val="2"/>
        <scheme val="minor"/>
      </rPr>
      <t xml:space="preserve"> WUH filed ISF</t>
    </r>
    <r>
      <rPr>
        <sz val="11"/>
        <color rgb="FF000000"/>
        <rFont val="Calibri"/>
        <family val="2"/>
        <scheme val="minor"/>
      </rPr>
      <t xml:space="preserve"> / Office: 630.227.3300 x230
Cell: 847.878.9108 / CONTACT:DavidHarris   (dharris@euroview.com) EMAIL: INFO@WINGSAILL.COM</t>
    </r>
  </si>
  <si>
    <t>DONE# 155987</t>
  </si>
  <si>
    <t>EMCU8320918</t>
  </si>
  <si>
    <t>EGLV149407629904 / no seal, wehship called police</t>
  </si>
  <si>
    <t>DFSU7571089</t>
  </si>
  <si>
    <t>97D54E</t>
  </si>
  <si>
    <t>OOLU2747118730</t>
  </si>
  <si>
    <t>TGBU4608925</t>
  </si>
  <si>
    <t>‘0682439</t>
  </si>
  <si>
    <t>EGLV149407828478</t>
  </si>
  <si>
    <t>TEMU1020429</t>
  </si>
  <si>
    <r>
      <rPr>
        <sz val="11"/>
        <color rgb="FFFF0000"/>
        <rFont val="Calibri"/>
        <family val="2"/>
        <scheme val="minor"/>
      </rPr>
      <t xml:space="preserve">Customs RLS/ TLX HBL, pre-alert sent
</t>
    </r>
    <r>
      <rPr>
        <sz val="11"/>
        <color rgb="FF000000"/>
        <rFont val="Calibri"/>
        <family val="2"/>
        <scheme val="minor"/>
      </rPr>
      <t>BC54C5</t>
    </r>
  </si>
  <si>
    <r>
      <rPr>
        <sz val="11"/>
        <color rgb="FF000000"/>
        <rFont val="Calibri"/>
        <scheme val="minor"/>
      </rPr>
      <t xml:space="preserve">8-17 discharged / 要求中文回复客户邮件， CMDUXIA1404288 / ISF on file / pending docs &amp; delivery instructions / Tiffany &lt;2181496855@qq.com&gt; / 请在到港前一周发邮件，告知收货人客户预计到港时间（只需要给客户预计到港时间，其他资料不需要给 / 清关资料/税单/电放单找翼舟，所有费用都找翼舟收/ </t>
    </r>
    <r>
      <rPr>
        <sz val="11"/>
        <color rgb="FF003399"/>
        <rFont val="Calibri"/>
        <scheme val="minor"/>
      </rPr>
      <t>CONTACT:DavidHarris 
Office: 630.227.3300 x230
Cell: 847.878.9108 (dharris@euroview.com)
INFO@WINGSAILL.COM
请在给客户的邮件主题加上船东单号+ PO NO.:62524-STK  ，其他信息你们编辑</t>
    </r>
  </si>
  <si>
    <t xml:space="preserve">Duty inv sent
DONE# 156117
</t>
  </si>
  <si>
    <t>MRKU4767587</t>
  </si>
  <si>
    <t>943E32</t>
  </si>
  <si>
    <r>
      <rPr>
        <sz val="11"/>
        <color rgb="FF000000"/>
        <rFont val="Calibri"/>
        <family val="2"/>
        <scheme val="minor"/>
      </rPr>
      <t xml:space="preserve">MAEU278973611, </t>
    </r>
    <r>
      <rPr>
        <sz val="11"/>
        <color rgb="FFFF0000"/>
        <rFont val="Calibri"/>
        <family val="2"/>
        <scheme val="minor"/>
      </rPr>
      <t>bill to ABL Shenzhen</t>
    </r>
  </si>
  <si>
    <t>DONE#156064_x000D_</t>
  </si>
  <si>
    <t>$1,000.00_x000D_</t>
  </si>
  <si>
    <t>MSDU4146457</t>
  </si>
  <si>
    <t>360D2D</t>
  </si>
  <si>
    <t>MEDUJG381133</t>
  </si>
  <si>
    <t>Done # 156041</t>
  </si>
  <si>
    <t>MSCU5687719</t>
  </si>
  <si>
    <t>4E95FA</t>
  </si>
  <si>
    <t>MEDUJG381158</t>
  </si>
  <si>
    <t>Done # 156097</t>
  </si>
  <si>
    <t>TXGU5996453</t>
  </si>
  <si>
    <t>EGLV90400204262/ EXAM FEE $700</t>
  </si>
  <si>
    <t>ZCSU2675955</t>
  </si>
  <si>
    <t>ZIMUTPE007324490</t>
  </si>
  <si>
    <t>Done# 155554</t>
  </si>
  <si>
    <t>TGBU8715412</t>
  </si>
  <si>
    <t xml:space="preserve">11/1/2024 10:00 CDT </t>
  </si>
  <si>
    <t>MDW2(AMZN)</t>
  </si>
  <si>
    <t>362F18</t>
  </si>
  <si>
    <t>SMCU1260934</t>
  </si>
  <si>
    <t xml:space="preserve"> Joliet, IL 60431</t>
  </si>
  <si>
    <r>
      <rPr>
        <sz val="11"/>
        <color rgb="FF000000"/>
        <rFont val="Calibri"/>
        <scheme val="minor"/>
      </rPr>
      <t xml:space="preserve">MBL：NJED4K657300 / </t>
    </r>
    <r>
      <rPr>
        <sz val="11"/>
        <color rgb="FFFF0000"/>
        <rFont val="Calibri"/>
        <scheme val="minor"/>
      </rPr>
      <t>OW $250-40HQ-23953.9KGS / DROP</t>
    </r>
  </si>
  <si>
    <t>DONE# 156190</t>
  </si>
  <si>
    <t>DFSU1085921</t>
  </si>
  <si>
    <t>OOLU2746761280 / 客户自己送来的</t>
  </si>
  <si>
    <t>ST</t>
  </si>
  <si>
    <t>BSIU8455235</t>
  </si>
  <si>
    <t>2AE252</t>
  </si>
  <si>
    <t>COSU6396918980</t>
  </si>
  <si>
    <t xml:space="preserve">TRHU2555497 </t>
  </si>
  <si>
    <t>OOLU2746761610 / 客户自己送来的</t>
  </si>
  <si>
    <t xml:space="preserve">CSLU1366430 </t>
  </si>
  <si>
    <t xml:space="preserve">CSNU1184432 </t>
  </si>
  <si>
    <t xml:space="preserve">OOLU6815760 </t>
  </si>
  <si>
    <t>CSNU7529589</t>
  </si>
  <si>
    <t>3:00PM</t>
  </si>
  <si>
    <t>Super Linking</t>
  </si>
  <si>
    <t>TRLU8824328</t>
  </si>
  <si>
    <t>NS RAIL – CHARLOTTE</t>
  </si>
  <si>
    <t>LENOIR NC 28645</t>
  </si>
  <si>
    <t>CMDUSCX0103968 /OW 275 / waive pre-pull / chassis split</t>
  </si>
  <si>
    <t>NYKU4700927</t>
  </si>
  <si>
    <t>One</t>
  </si>
  <si>
    <t>Skyfly</t>
  </si>
  <si>
    <t>Bohemia, NY 11716</t>
  </si>
  <si>
    <t>ONEYTA3ZS3474500 / OW / detention / would be return 11-12 / 11 hrs detention / chassis fee waived after 11/08</t>
  </si>
  <si>
    <t>OOLU8601345</t>
  </si>
  <si>
    <t>10:00am</t>
  </si>
  <si>
    <t>A55E1C</t>
  </si>
  <si>
    <t>COSU6396916560</t>
  </si>
  <si>
    <t>SEKU5850192</t>
  </si>
  <si>
    <t>NS--APPLIANCE PARK</t>
  </si>
  <si>
    <t>CMDUNGP1572301A/卡車不收drop問一下我們收不收</t>
  </si>
  <si>
    <t>FFAU1216234</t>
  </si>
  <si>
    <t>CMDUNGP1572301B/卡車不收drop問一下我們收不收</t>
  </si>
  <si>
    <t>CAAU8228059</t>
  </si>
  <si>
    <t xml:space="preserve">NS -- APPLIANCE PARK </t>
  </si>
  <si>
    <t>CMDUNGP1616494</t>
  </si>
  <si>
    <t>CAAU5954422</t>
  </si>
  <si>
    <t>BNSF Logistics Park</t>
  </si>
  <si>
    <t>FF4EFC</t>
  </si>
  <si>
    <t>MAEU244775688</t>
  </si>
  <si>
    <t>DONE#156120</t>
  </si>
  <si>
    <t>TCLU3574171</t>
  </si>
  <si>
    <t>UP-NS Detroit</t>
  </si>
  <si>
    <t>ONEYXMNEC2590600 / 送货信息也见附件，请发给客户的邮件务必到中转港前都要发了，务必抄送给我 EMAIL: INFO@WINGSAILL.COM / ISF is on file / 1.5 hrs detention</t>
  </si>
  <si>
    <t>Duty inv sent</t>
  </si>
  <si>
    <t>SUPER Linking</t>
  </si>
  <si>
    <t>MRKU3641418</t>
  </si>
  <si>
    <t>INDIANA RAIL ROAD COMPANY</t>
  </si>
  <si>
    <t>INDIANAPOLIS,IN 46241</t>
  </si>
  <si>
    <t>MAEU244341333 / we only have 4 free days prediem.  pls return the empty  container within  4  days. Thanks!</t>
  </si>
  <si>
    <t>MAGU2248881</t>
  </si>
  <si>
    <t>5:00PM</t>
  </si>
  <si>
    <t>CSLU2276330</t>
  </si>
  <si>
    <t>9:00AM</t>
  </si>
  <si>
    <t>DFSU1793617</t>
  </si>
  <si>
    <t>CSLU1639642</t>
  </si>
  <si>
    <t>OOLU0517285</t>
  </si>
  <si>
    <t>11:30AM</t>
  </si>
  <si>
    <t>DFSU1149245</t>
  </si>
  <si>
    <t xml:space="preserve">博信 </t>
  </si>
  <si>
    <t>SMLU4616162</t>
  </si>
  <si>
    <t>BNSF Chicago</t>
  </si>
  <si>
    <t xml:space="preserve">11/4/2024 18:00 EST </t>
  </si>
  <si>
    <t>929533066</t>
  </si>
  <si>
    <t>WeShip</t>
  </si>
  <si>
    <t>IND2</t>
  </si>
  <si>
    <t xml:space="preserve">73874A  </t>
  </si>
  <si>
    <r>
      <rPr>
        <sz val="11"/>
        <color rgb="FF000000"/>
        <rFont val="Calibri"/>
        <scheme val="minor"/>
      </rPr>
      <t>CMDUCHN1624270/</t>
    </r>
    <r>
      <rPr>
        <sz val="11"/>
        <color rgb="FFFF0000"/>
        <rFont val="Calibri"/>
        <scheme val="minor"/>
      </rPr>
      <t>3 days storage, prepull/Chassis Split / 4.25 hrs detention / re-route, chassis split</t>
    </r>
  </si>
  <si>
    <t>DONE#156170</t>
  </si>
  <si>
    <t>Zhejiang Hangyu</t>
  </si>
  <si>
    <t>CMAU7821893</t>
  </si>
  <si>
    <t>CMDUNGP1630323</t>
  </si>
  <si>
    <t>TCLU5725153</t>
  </si>
  <si>
    <t>8:30am/ 1:10pm</t>
  </si>
  <si>
    <t>ABL ocean WH</t>
  </si>
  <si>
    <t>Transload, 要send DO, packing list, 打板要求給receiving 等有LFD-done/ MEDUQS751137 / not on rail</t>
  </si>
  <si>
    <t>TRANSLOAD</t>
  </si>
  <si>
    <t>OOCU4939467</t>
  </si>
  <si>
    <t>OOLU2747237930</t>
  </si>
  <si>
    <t>Done # 155739</t>
  </si>
  <si>
    <t>FFAU2689530</t>
  </si>
  <si>
    <t>COSU6396916530</t>
  </si>
  <si>
    <t>HMCU9202240</t>
  </si>
  <si>
    <t>2:30pm</t>
  </si>
  <si>
    <t>Liang</t>
  </si>
  <si>
    <t>Atlanta, GA 200 Thomas Pkwy, STE B,Jefferson, GA 30549</t>
  </si>
  <si>
    <t>EGLV146401102888</t>
  </si>
  <si>
    <t>DONE#156196</t>
  </si>
  <si>
    <t>HLXU8542669</t>
  </si>
  <si>
    <t>PO# 62092</t>
  </si>
  <si>
    <t>HLCUKUL240900147</t>
  </si>
  <si>
    <t>OOLU0440080</t>
  </si>
  <si>
    <t>OOLU2746293040 / 客户自己送来的</t>
  </si>
  <si>
    <t>RFCU2121603</t>
  </si>
  <si>
    <t>CBHU8926664</t>
  </si>
  <si>
    <t>OOCU8669890</t>
  </si>
  <si>
    <t>CORU2700206</t>
  </si>
  <si>
    <t xml:space="preserve">
Jacksonville container terminal </t>
  </si>
  <si>
    <t>11/7/2024 changed to 11/08</t>
  </si>
  <si>
    <t xml:space="preserve">JACKSONVILLE, FL 32246 </t>
  </si>
  <si>
    <t>RCVD CI-PL, AN sent / 
customs released</t>
  </si>
  <si>
    <r>
      <rPr>
        <sz val="12"/>
        <color rgb="FF000000"/>
        <rFont val="Calibri"/>
        <scheme val="minor"/>
      </rPr>
      <t xml:space="preserve">MEDUX7712235 / </t>
    </r>
    <r>
      <rPr>
        <sz val="12"/>
        <color rgb="FFFF0000"/>
        <rFont val="Calibri"/>
        <scheme val="minor"/>
      </rPr>
      <t>PO NO.:	0001025-2</t>
    </r>
    <r>
      <rPr>
        <sz val="12"/>
        <color rgb="FF000000"/>
        <rFont val="Calibri"/>
        <scheme val="minor"/>
      </rPr>
      <t xml:space="preserve"> /  ATTN: Sarah Adams
EMAIL:sarahadams@coastalind.com  EMAIL: INFO@WINGSAILL.COM
Office 904-394-2739 / 1811X024PE03640R2  </t>
    </r>
  </si>
  <si>
    <t>Rabbit Speed</t>
  </si>
  <si>
    <t xml:space="preserve">OOCU8033070  </t>
  </si>
  <si>
    <t>Seattle-SSA Terminal T5</t>
  </si>
  <si>
    <t>Seattle Long Road Transload</t>
  </si>
  <si>
    <t xml:space="preserve">COSU6397195580  </t>
  </si>
  <si>
    <t>CSLU2362167</t>
  </si>
  <si>
    <t>OOLU2747260850</t>
  </si>
  <si>
    <t>Done # 155744</t>
  </si>
  <si>
    <t>OOCU7326031</t>
  </si>
  <si>
    <t>11/6/2024 11:00 EST changed to 11/7</t>
  </si>
  <si>
    <t xml:space="preserve"> ="81604026978"</t>
  </si>
  <si>
    <t>Continuum</t>
  </si>
  <si>
    <t>AKR1</t>
  </si>
  <si>
    <t>2747976410/Prepull: $100, yard storage: $50 / demurrage paid to 11-06 / detention / drop 11-07</t>
  </si>
  <si>
    <t>TRHU7109970</t>
  </si>
  <si>
    <t>Louisville, KY 40223</t>
  </si>
  <si>
    <t>ONEYTA4PTQ928600</t>
  </si>
  <si>
    <t>EGHU8276549</t>
  </si>
  <si>
    <t>EGLV143461959331</t>
  </si>
  <si>
    <t>TRHU8133190</t>
  </si>
  <si>
    <t xml:space="preserve">
Colton, CA 92324</t>
  </si>
  <si>
    <t>PO# 62198</t>
  </si>
  <si>
    <t>TXZJ310BK4014134</t>
  </si>
  <si>
    <t>OOLU9156413</t>
  </si>
  <si>
    <t>MOBILE, AL-APM Terminals Mobile</t>
  </si>
  <si>
    <t>imc</t>
  </si>
  <si>
    <t>PO# 33221</t>
  </si>
  <si>
    <t>OOLU2744991540</t>
  </si>
  <si>
    <t>EMCU8843014</t>
  </si>
  <si>
    <t>LOS ANGELES, CA</t>
  </si>
  <si>
    <t>Ontario CA 91761</t>
  </si>
  <si>
    <t>PO# 62290</t>
  </si>
  <si>
    <t>EGLV090400245309</t>
  </si>
  <si>
    <t xml:space="preserve">OOCU8007471 </t>
  </si>
  <si>
    <t>A8CBB8</t>
  </si>
  <si>
    <t>10-21 discharged / OOLU2747378840  / OF OOCL $6950/40HQ +OUTPORT $100 /  COST $6800/40HQ // NEW SHPT S/HOMEWELL C/AUTOSPEC INC. // TYN TO Chicago via LGB 2X40HQ&gt;1*40HQ CLS9/26 **MTPE24090164//2747378840 / Customs RLS / TLX MBL, TLX HBL</t>
  </si>
  <si>
    <t>Duty Inv sent</t>
  </si>
  <si>
    <t xml:space="preserve">CAAU7149504  </t>
  </si>
  <si>
    <t>Tampa Ports America</t>
  </si>
  <si>
    <t>Drop 12:30</t>
  </si>
  <si>
    <r>
      <rPr>
        <sz val="11"/>
        <color rgb="FF000000"/>
        <rFont val="Calibri"/>
        <scheme val="minor"/>
      </rPr>
      <t xml:space="preserve">ZIMUSHH31474521// </t>
    </r>
    <r>
      <rPr>
        <sz val="11"/>
        <color rgb="FFFF0000"/>
        <rFont val="Calibri"/>
        <scheme val="minor"/>
      </rPr>
      <t>redelivery fee $175</t>
    </r>
  </si>
  <si>
    <t>CSNU8638413</t>
  </si>
  <si>
    <t>9B976D</t>
  </si>
  <si>
    <t>COSU6396923792</t>
  </si>
  <si>
    <t>ZCSU6921240</t>
  </si>
  <si>
    <t>D63654</t>
  </si>
  <si>
    <t>ZIMUNGB1242801</t>
  </si>
  <si>
    <t>OOCU7908557</t>
  </si>
  <si>
    <t>AE0657</t>
  </si>
  <si>
    <t>OOLU8897546940</t>
  </si>
  <si>
    <t>OOCU9221106</t>
  </si>
  <si>
    <t>873E8E</t>
  </si>
  <si>
    <t>OOLU8810937070</t>
  </si>
  <si>
    <t>OOCU7681967</t>
  </si>
  <si>
    <t/>
  </si>
  <si>
    <t>7e1026</t>
  </si>
  <si>
    <t>OOLU2152688910</t>
  </si>
  <si>
    <t>OOLU8868075</t>
  </si>
  <si>
    <t>D191C7</t>
  </si>
  <si>
    <t>OOLU8810950170</t>
  </si>
  <si>
    <t>WHSU6239560</t>
  </si>
  <si>
    <t>WHL</t>
  </si>
  <si>
    <t>E425 APM TERMINALS, NEW YORK</t>
  </si>
  <si>
    <t>等通知派送</t>
  </si>
  <si>
    <t>WHLC034E546758</t>
  </si>
  <si>
    <t>UETU7139509</t>
  </si>
  <si>
    <t>PU# requested</t>
  </si>
  <si>
    <t>CMDUCHN1622664</t>
  </si>
  <si>
    <t>TCLU9103688</t>
  </si>
  <si>
    <t>CSX Cleveland</t>
  </si>
  <si>
    <t>7640 Tyler Blvd. Unit 10  Mentor, OH 44060</t>
  </si>
  <si>
    <t>5CB281</t>
  </si>
  <si>
    <t>MEDUF7789524, bill to ABL Shenzhen</t>
  </si>
  <si>
    <t>ZIMU1315763</t>
  </si>
  <si>
    <t>ZIMUTPE007324662</t>
  </si>
  <si>
    <t>Done # 156092</t>
  </si>
  <si>
    <t>TEMU7171530</t>
  </si>
  <si>
    <t>e5a3b4</t>
  </si>
  <si>
    <t>COSU6396923050</t>
  </si>
  <si>
    <t>046EA05662</t>
  </si>
  <si>
    <t>TCKU6252079</t>
  </si>
  <si>
    <t>NS -- APPLIANCE PARK ？</t>
  </si>
  <si>
    <t>CMDUNGP1652903</t>
  </si>
  <si>
    <t>BEAU5565687</t>
  </si>
  <si>
    <t>a9e29c</t>
  </si>
  <si>
    <t>OOLU8897546950</t>
  </si>
  <si>
    <t>OOCU6910009</t>
  </si>
  <si>
    <t>d1976d</t>
  </si>
  <si>
    <t>COSU8810944250</t>
  </si>
  <si>
    <t>CSNU6270549</t>
  </si>
  <si>
    <t>COSU6397479731</t>
  </si>
  <si>
    <t>CSNU6679481</t>
  </si>
  <si>
    <t>COSU6397479730</t>
  </si>
  <si>
    <t>CMAU7238973</t>
  </si>
  <si>
    <t>NS -- APPLIANCE PARK ?</t>
  </si>
  <si>
    <t xml:space="preserve">CMDUNGP1652912 </t>
  </si>
  <si>
    <t>SMCU1163750</t>
  </si>
  <si>
    <t>UP-G4</t>
  </si>
  <si>
    <t>客户自己约--提前2个工作日告知可预约交仓时间</t>
  </si>
  <si>
    <t>Joliet, IL 60431</t>
  </si>
  <si>
    <r>
      <rPr>
        <sz val="11"/>
        <color rgb="FF000000"/>
        <rFont val="Calibri"/>
      </rPr>
      <t>SHNF3B443700 // SMLM SHNF3B443700 //</t>
    </r>
    <r>
      <rPr>
        <sz val="11"/>
        <color rgb="FFFF0000"/>
        <rFont val="Calibri"/>
      </rPr>
      <t>OW $250</t>
    </r>
  </si>
  <si>
    <t>CSNU8442185</t>
  </si>
  <si>
    <t>OOLU2747857230</t>
  </si>
  <si>
    <t>TGBU6311216</t>
  </si>
  <si>
    <t>PO# 62349</t>
  </si>
  <si>
    <t>EGLV90400217232</t>
  </si>
  <si>
    <t>MRKU5618802</t>
  </si>
  <si>
    <t>MAEU244774213 / exam fee pending return / demurrage cleaned to 11-08.</t>
  </si>
  <si>
    <t>OOCU7930524</t>
  </si>
  <si>
    <t>COSU6397656970</t>
  </si>
  <si>
    <t>CSNU6760525</t>
  </si>
  <si>
    <t>4FAC36</t>
  </si>
  <si>
    <t>COSU6397656950</t>
  </si>
  <si>
    <t>ZCSU7557575</t>
  </si>
  <si>
    <t>c0d262</t>
  </si>
  <si>
    <t>ZIMUSHH31498893</t>
  </si>
  <si>
    <t>OOLU9709226</t>
  </si>
  <si>
    <t>OOLU2152845812</t>
  </si>
  <si>
    <t>OOLU9540671</t>
  </si>
  <si>
    <t>OOLU8810956800</t>
  </si>
  <si>
    <t>OOCU7585243</t>
  </si>
  <si>
    <t>COSU6398936030</t>
  </si>
  <si>
    <t>TRHU3262976</t>
  </si>
  <si>
    <t>ZIMUTPE007324611</t>
  </si>
  <si>
    <t>Done # 156088</t>
  </si>
  <si>
    <t>GCXU6356732</t>
  </si>
  <si>
    <t>SEAGIRT MARINE TERMINAL, BALTIMORE,MD</t>
  </si>
  <si>
    <t>等客戶通知</t>
  </si>
  <si>
    <t>Baltimore Maryland 21230</t>
  </si>
  <si>
    <t>EGLV143457180405 / live / 仓库比较难约,所以需要到港之前提前做预约 / $48 toll</t>
  </si>
  <si>
    <t>SMCU1023450</t>
  </si>
  <si>
    <t>UPG4-Chicago</t>
  </si>
  <si>
    <t>SMLMSHFO4E748600</t>
  </si>
  <si>
    <t>EMCU8596465</t>
  </si>
  <si>
    <t>NORFOLK,VA(USORF)</t>
  </si>
  <si>
    <t>G star</t>
  </si>
  <si>
    <t>EGLV142403168182</t>
  </si>
  <si>
    <t>TCKU4369404</t>
  </si>
  <si>
    <t>ZIMUTPE007324653</t>
  </si>
  <si>
    <t>Done # 156091</t>
  </si>
  <si>
    <t>TEMU6358759</t>
  </si>
  <si>
    <t>ZIMUSHH31501182</t>
  </si>
  <si>
    <t>FFAU3088240</t>
  </si>
  <si>
    <t>发送DO</t>
  </si>
  <si>
    <t>NTG？</t>
  </si>
  <si>
    <t>OOLU2152907190 /1.入仓号就是柜号FFAU3088240
2.  客户给入仓号，我们自己提前三天预约，一定要提前给到预约送仓时间
3.  签收证明件数以及入仓号要显示，让客户确认件数无误签字回传
4. 预约邮件主题：用整柜入仓号</t>
  </si>
  <si>
    <t>OOCU9237000</t>
  </si>
  <si>
    <t>Liang？</t>
  </si>
  <si>
    <t>CSNU6187563</t>
  </si>
  <si>
    <t>0767FB</t>
  </si>
  <si>
    <t>OOLU8810950410</t>
  </si>
  <si>
    <t>MSKU1300559</t>
  </si>
  <si>
    <t>Charlotte - Csx Railway</t>
  </si>
  <si>
    <t>CHARLOTTE,NC 28273 change to Stallings, NC 28104</t>
  </si>
  <si>
    <t>MAEU244674229</t>
  </si>
  <si>
    <t>ZCSU2669470</t>
  </si>
  <si>
    <t>ZIMUTPE007324760</t>
  </si>
  <si>
    <t>Done # 156093</t>
  </si>
  <si>
    <t>TIIU4783059</t>
  </si>
  <si>
    <t>Jefferson, GA 30549</t>
  </si>
  <si>
    <t>EGLV146401129522</t>
  </si>
  <si>
    <t>TCNU4296576</t>
  </si>
  <si>
    <t>ZIMUSNH21051939</t>
  </si>
  <si>
    <t>EGHU8251670</t>
  </si>
  <si>
    <t>PO# 62350</t>
  </si>
  <si>
    <t>EGLV090400217241</t>
  </si>
  <si>
    <t>SEGU5793061</t>
  </si>
  <si>
    <t>KEL ETD 10/24</t>
  </si>
  <si>
    <r>
      <t xml:space="preserve">received AN, </t>
    </r>
    <r>
      <rPr>
        <sz val="11"/>
        <color rgb="FFFF0000"/>
        <rFont val="Calibri"/>
        <family val="2"/>
        <scheme val="minor"/>
      </rPr>
      <t>PENDING CI-PL</t>
    </r>
    <r>
      <rPr>
        <sz val="11"/>
        <color theme="1"/>
        <rFont val="Calibri"/>
        <family val="2"/>
        <scheme val="minor"/>
      </rPr>
      <t xml:space="preserve"> / TLX HBL / SWB</t>
    </r>
  </si>
  <si>
    <t>HDMUTPEM88618200 / OF HMM $8100/$7950 / NEW SHPT S/HUNTER ALLOY C/AUTOSPEC INC. KEL TO Chicago via Lax 1X40HQ CLS10/1&gt;10/8***MTPE24100051 / ISF on file  / TLX HBL / SWB</t>
  </si>
  <si>
    <t>MRKU4929142</t>
  </si>
  <si>
    <t>INDIANAPOLIS, IN 46241</t>
  </si>
  <si>
    <t>MAEU244341881 / we only have 4 free days prediem.  pls return the empty  container within  4  days</t>
  </si>
  <si>
    <t>SELU4141836</t>
  </si>
  <si>
    <t>Miami-SOUTH FLORIDA CONTAINER TML</t>
  </si>
  <si>
    <t>West Palm Beach, FL 33413</t>
  </si>
  <si>
    <t xml:space="preserve">received CI-PL / TLX HBL </t>
  </si>
  <si>
    <t xml:space="preserve">CMDUNGP1653916  / 
Good Greek Moving &amp; Storage
1333 N Jog Rd，Suite 103，West Palm Beach, FL 33413，
David Setaro / 321-544-3540  </t>
  </si>
  <si>
    <t>BEAU5629056</t>
  </si>
  <si>
    <t>CMDUNGP1673142</t>
  </si>
  <si>
    <t>OOLU4449065</t>
  </si>
  <si>
    <t>OOLU2747485400</t>
  </si>
  <si>
    <t>Done# 156094</t>
  </si>
  <si>
    <t>CSNU1516007</t>
  </si>
  <si>
    <t>OOLU2747873270</t>
  </si>
  <si>
    <t>Done# 155662</t>
  </si>
  <si>
    <t>OOLU9613567</t>
  </si>
  <si>
    <t>COSU6398545102</t>
  </si>
  <si>
    <t>UETU5210531</t>
  </si>
  <si>
    <t>COSU2748207367</t>
  </si>
  <si>
    <t>SMCU1250279</t>
  </si>
  <si>
    <t>需要提前2天告知计划交仓时间</t>
  </si>
  <si>
    <t>SMLMSHNF3B653300</t>
  </si>
  <si>
    <t>TCLU4275088</t>
  </si>
  <si>
    <t>ZIMUTPE007325025</t>
  </si>
  <si>
    <t>Done# 155664</t>
  </si>
  <si>
    <t>OOLU9692648</t>
  </si>
  <si>
    <t>PO# 33222</t>
  </si>
  <si>
    <t>OOLU2746704050</t>
  </si>
  <si>
    <t>TRHU3100002</t>
  </si>
  <si>
    <t>HAMU2288518</t>
  </si>
  <si>
    <t>Joliet</t>
  </si>
  <si>
    <t>HLCUTA12410DHOE6</t>
  </si>
  <si>
    <t>FANU3320529</t>
  </si>
  <si>
    <t>HLCUTA12410DHNW9</t>
  </si>
  <si>
    <t>Aspeed</t>
  </si>
  <si>
    <t>FFAU5152842</t>
  </si>
  <si>
    <t>JACKSONVILLE</t>
  </si>
  <si>
    <t>SANFORD, FL 32772</t>
  </si>
  <si>
    <t>MAEU245708102/ COC</t>
  </si>
  <si>
    <t>MRKU5493500</t>
  </si>
  <si>
    <t>SANFORD, FL 32773</t>
  </si>
  <si>
    <t>FFAU3104249</t>
  </si>
  <si>
    <t>COSU8810959260</t>
  </si>
  <si>
    <t>JXLU7428460</t>
  </si>
  <si>
    <t xml:space="preserve">ZIMUSNH21092349 </t>
  </si>
  <si>
    <t>FSCU5060188</t>
  </si>
  <si>
    <t>Maher Terminal</t>
  </si>
  <si>
    <t>OOLU2747814700</t>
  </si>
  <si>
    <t>Done# 155663</t>
  </si>
  <si>
    <t>BEAU4089396</t>
  </si>
  <si>
    <t>PO# 0034157</t>
  </si>
  <si>
    <t>CMDUSGN2277818</t>
  </si>
  <si>
    <t>UETU5375995</t>
  </si>
  <si>
    <t>COSU6398099790</t>
  </si>
  <si>
    <t>FCIU9591901</t>
  </si>
  <si>
    <t>COSU2748094980</t>
  </si>
  <si>
    <t>TLLU4309165</t>
  </si>
  <si>
    <t>CONLEY MARINE TERM</t>
  </si>
  <si>
    <t>BOS7 /Fall River, MA 02720</t>
  </si>
  <si>
    <t>ZIMUXIA8433329</t>
  </si>
  <si>
    <t>UETU2302125</t>
  </si>
  <si>
    <t>TEMU4094940</t>
  </si>
  <si>
    <t>OOLU8868516</t>
  </si>
  <si>
    <t>COSU6398909990</t>
  </si>
  <si>
    <t>Done# 156037</t>
  </si>
  <si>
    <t>ZCSU7254563</t>
  </si>
  <si>
    <t>NS--ATLANTA</t>
  </si>
  <si>
    <t>ZIMUNGB20379305  /  送货前提前联系收货人Att：david 周一至周五  9：00-17:00</t>
  </si>
  <si>
    <t xml:space="preserve">TIIU4764465 </t>
  </si>
  <si>
    <t>Pending</t>
  </si>
  <si>
    <t>PO# 62829</t>
  </si>
  <si>
    <t xml:space="preserve">EGLV090400264435 </t>
  </si>
  <si>
    <t>ZCSU7147420</t>
  </si>
  <si>
    <t>ZIMUNGB20379305 /  Att：david 周一至周五  9：00-17:00
送货前麻烦提前联系收货人</t>
  </si>
  <si>
    <t>DRYU6064828</t>
  </si>
  <si>
    <t>ONEYXMNEE2608800/ COC</t>
  </si>
  <si>
    <t>TEMU6101061</t>
  </si>
  <si>
    <t>EGLV149407781617</t>
  </si>
  <si>
    <t>EITU1054031</t>
  </si>
  <si>
    <t>EGLV149407828923</t>
  </si>
  <si>
    <t>MSMU7216261</t>
  </si>
  <si>
    <t>Chicago</t>
  </si>
  <si>
    <t>MEDUFD120376</t>
  </si>
  <si>
    <t>TGHU5074976</t>
  </si>
  <si>
    <t>ZIMUTPE007325103</t>
  </si>
  <si>
    <t>Done# 156096</t>
  </si>
  <si>
    <t>FFAU2825739</t>
  </si>
  <si>
    <t>9741A1</t>
  </si>
  <si>
    <t>OOLU2747118710</t>
  </si>
  <si>
    <t>FFAU5638602</t>
  </si>
  <si>
    <t>93b9d3</t>
  </si>
  <si>
    <t>COSU6397355860</t>
  </si>
  <si>
    <t>SMCU1047512</t>
  </si>
  <si>
    <t>SMLMNJPU4A020100</t>
  </si>
  <si>
    <t>CCLU7773998</t>
  </si>
  <si>
    <t>7EFDFF</t>
  </si>
  <si>
    <t>OOLU2152109500</t>
  </si>
  <si>
    <t>CSNU6168774</t>
  </si>
  <si>
    <t>2F2E73</t>
  </si>
  <si>
    <t>COSU6398739520</t>
  </si>
  <si>
    <t>OOCU9252160</t>
  </si>
  <si>
    <t>7D94C1</t>
  </si>
  <si>
    <t>OOLU8897546920</t>
  </si>
  <si>
    <t>CCLU7156065</t>
  </si>
  <si>
    <t>COSU6399753700</t>
  </si>
  <si>
    <t>Weitu</t>
  </si>
  <si>
    <t>TRHU5302960</t>
  </si>
  <si>
    <t>305 W Chestnut St, 
Bondville , IL，61815</t>
  </si>
  <si>
    <t>COSU9500277950</t>
  </si>
  <si>
    <t xml:space="preserve">YMMU6324200 </t>
  </si>
  <si>
    <t>BNSF LPC?</t>
  </si>
  <si>
    <r>
      <t xml:space="preserve">AN Sent, </t>
    </r>
    <r>
      <rPr>
        <sz val="11"/>
        <color rgb="FFFF0000"/>
        <rFont val="Calibri"/>
        <family val="2"/>
        <scheme val="minor"/>
      </rPr>
      <t>pending CI-PL, Pending TLX MBL &amp; HBL</t>
    </r>
  </si>
  <si>
    <t>YMJAW202185466  / OF $8100/$7950 // NEW SHPT S/HOMEWELL C/AUTOSPEC INC. // TYN TO Chicago via LAX 1X40HQ CLS10/17 **MTPE24100129</t>
  </si>
  <si>
    <t>FSCU8915245</t>
  </si>
  <si>
    <t>OOLU2748704810</t>
  </si>
  <si>
    <t>TCLU3214724</t>
  </si>
  <si>
    <t>US.ORD.IMP@BOLLORE.COM</t>
  </si>
  <si>
    <t>MAEU245820050</t>
  </si>
  <si>
    <t xml:space="preserve">CSNU7451480 </t>
  </si>
  <si>
    <t>ETD 10/16</t>
  </si>
  <si>
    <t>Pending TLX MBL &amp; TLX HBL</t>
  </si>
  <si>
    <t xml:space="preserve">COSU6398536690  / OF $8375/ $8215/ #1 Option / New Booking= s/Lenso Wheels c/Autospec - American Bear // from LCB to CHI via LALB – 1*40HQ   </t>
  </si>
  <si>
    <t>CSNU7162575</t>
  </si>
  <si>
    <t>CEF1D7</t>
  </si>
  <si>
    <t>OOLU2152602430</t>
  </si>
  <si>
    <t xml:space="preserve">YMMU6222152 </t>
  </si>
  <si>
    <t>ETD 11/7</t>
  </si>
  <si>
    <t>TLX MBL,TLX HBL</t>
  </si>
  <si>
    <r>
      <rPr>
        <sz val="11"/>
        <color rgb="FFFF0000"/>
        <rFont val="Calibri"/>
        <family val="2"/>
        <scheme val="minor"/>
      </rPr>
      <t xml:space="preserve">MBL# YMJAW202186550 / OF $6600 / $6500+PS$50 </t>
    </r>
    <r>
      <rPr>
        <sz val="11"/>
        <color rgb="FF000000"/>
        <rFont val="Calibri"/>
        <family val="2"/>
        <scheme val="minor"/>
      </rPr>
      <t>/ NEW SHPT S/HUNTER ALLOY C/AUTOSPEC INC. KEL TO Chicago via Lax 1X40HQ CLS10/24***MTPE24100149</t>
    </r>
  </si>
  <si>
    <t>FCGU1982796</t>
  </si>
  <si>
    <t>SMLMNJEB4D545600</t>
  </si>
  <si>
    <t>SMCU1203451</t>
  </si>
  <si>
    <t>SMLMNJED4K658400</t>
  </si>
  <si>
    <t>SMCU1081013</t>
  </si>
  <si>
    <t>SMLMNJEB4D544500</t>
  </si>
  <si>
    <t>MSDU6493619</t>
  </si>
  <si>
    <t>Lockport, IL 60441</t>
  </si>
  <si>
    <t>MEDUR1139241/ 177UGCGCN60294A/ 码头有查验目前不需要我们做什么。 如果需要我们把柜子挪去查验站， 客户会跟我们问价格，再安排的。你记得后面要看看客户邮件说什么</t>
  </si>
  <si>
    <t>EGHU8240870</t>
  </si>
  <si>
    <t>LAX port-FENIX MARINE SERVICE</t>
  </si>
  <si>
    <t>11:00am</t>
  </si>
  <si>
    <t>Pleasant Grove, UT 84062</t>
  </si>
  <si>
    <t>EGLV146401181592/ pier pass&amp; clean truck fee 其他公司付了/ pre-pull/ 
yard storage</t>
  </si>
  <si>
    <t xml:space="preserve">TEMU5667619    </t>
  </si>
  <si>
    <t>LAX port-WEST BASIN CONTAINER TER</t>
  </si>
  <si>
    <t>TXZJ721411466017 / pier pass&amp; clean truck fee 其他公司付了</t>
  </si>
  <si>
    <t>CSLU1966692</t>
  </si>
  <si>
    <t>OOLU2748060270</t>
  </si>
  <si>
    <t>Done# 155996</t>
  </si>
  <si>
    <t>GCXU6052914</t>
  </si>
  <si>
    <t>SAVANNAH, GA</t>
  </si>
  <si>
    <t>Savannah, GA 31322</t>
  </si>
  <si>
    <t>EGLV143470620367</t>
  </si>
  <si>
    <t>SEGU1733830</t>
  </si>
  <si>
    <t>Savannah</t>
  </si>
  <si>
    <t>YMJAE209075214</t>
  </si>
  <si>
    <t>Done# 155688</t>
  </si>
  <si>
    <t>CBHU9060609</t>
  </si>
  <si>
    <t>COSU6400696180</t>
  </si>
  <si>
    <t>ZCSU2682276</t>
  </si>
  <si>
    <t>ZIMUTPE007325132</t>
  </si>
  <si>
    <t xml:space="preserve">MSKU4416244 </t>
  </si>
  <si>
    <t xml:space="preserve">CN </t>
  </si>
  <si>
    <t>horizon</t>
  </si>
  <si>
    <t>Exam site and then MI 48315</t>
  </si>
  <si>
    <t>客户exam 柜子，我们垫付了CN demurrage。超重 需要用 tri axle</t>
  </si>
  <si>
    <t>SMCU1244300</t>
  </si>
  <si>
    <t>SMLMNJEB4D773200</t>
  </si>
  <si>
    <t>WHSU5155130</t>
  </si>
  <si>
    <r>
      <rPr>
        <sz val="11"/>
        <color rgb="FFFF0000"/>
        <rFont val="Calibri"/>
        <family val="2"/>
        <scheme val="minor"/>
      </rPr>
      <t>Transload at ABL LAX</t>
    </r>
    <r>
      <rPr>
        <sz val="11"/>
        <color theme="1"/>
        <rFont val="Calibri"/>
        <family val="2"/>
        <scheme val="minor"/>
      </rPr>
      <t xml:space="preserve">  / 
Birminghan, AL 35203</t>
    </r>
  </si>
  <si>
    <t>PO# 34097</t>
  </si>
  <si>
    <r>
      <rPr>
        <sz val="11"/>
        <color rgb="FFFF0000"/>
        <rFont val="Calibri"/>
        <family val="2"/>
        <scheme val="minor"/>
      </rPr>
      <t>Per Irene有FTL成本后要重新报价 / Transload at ABL LAX</t>
    </r>
    <r>
      <rPr>
        <sz val="11"/>
        <color theme="1"/>
        <rFont val="Calibri"/>
        <family val="2"/>
        <scheme val="minor"/>
      </rPr>
      <t xml:space="preserve"> / Then FTL to Birminghan, AL 35203 / WHLC039EX82425 / JUMBO CLEAR POLY TRAY</t>
    </r>
  </si>
  <si>
    <t>EGLV090400264443</t>
  </si>
  <si>
    <t>EGLV090400265181</t>
  </si>
  <si>
    <t>EGLV090400265202</t>
  </si>
  <si>
    <t>OOLU2749998440</t>
  </si>
  <si>
    <t>OOLU2749825480</t>
  </si>
  <si>
    <t>OOLU2749825950</t>
  </si>
  <si>
    <t>TXGU4118751</t>
  </si>
  <si>
    <t>BAYPORT CONTAINER TERMINAL</t>
  </si>
  <si>
    <t>Dallas</t>
  </si>
  <si>
    <t>Houston, TX 77054</t>
  </si>
  <si>
    <t>ISF on file</t>
  </si>
  <si>
    <t>CMDUNGP1719879 / Dallas delivery / received HBL, CL, PL</t>
  </si>
  <si>
    <t>TGCU0195489</t>
  </si>
  <si>
    <t>NS RAIL - COLUMBUS RICKENBACKER</t>
  </si>
  <si>
    <t>ONEYTPEE96580300</t>
  </si>
  <si>
    <t>Turnover</t>
  </si>
  <si>
    <t>UETU5121500</t>
  </si>
  <si>
    <t>South Florida Container Terminal</t>
  </si>
  <si>
    <t>Amazon-TMB8</t>
  </si>
  <si>
    <t>COSU6400531030</t>
  </si>
  <si>
    <t>FFAU6001970</t>
  </si>
  <si>
    <t>Houston, TX 77099</t>
  </si>
  <si>
    <t>received CI-PL / ISF</t>
  </si>
  <si>
    <t>CMDUNGP1799003</t>
  </si>
  <si>
    <t>ONEU2280801</t>
  </si>
  <si>
    <t>ONEYTPEEA0423600</t>
  </si>
  <si>
    <t>Done # 155995</t>
  </si>
  <si>
    <t>TCNU4947826</t>
  </si>
  <si>
    <t xml:space="preserve">COSU6400563680 / 海外仓地址，需要提前2天邮件预约派送时间   </t>
  </si>
  <si>
    <t>GCXU6529247</t>
  </si>
  <si>
    <t>CSX-Atlanta,GA,Fulton</t>
  </si>
  <si>
    <t xml:space="preserve">COSU6400480821 /  海外仓地址，需要提前2天邮件预约派送时间 </t>
  </si>
  <si>
    <t>MAGU5649234</t>
  </si>
  <si>
    <t xml:space="preserve">COSU6400480820  /  海外仓地址，需要提前2天邮件预约派送时间  </t>
  </si>
  <si>
    <t>FCIU9706507</t>
  </si>
  <si>
    <t xml:space="preserve">COSU6400171190  /  海外仓地址，需要提前2天邮件预约派送时间  </t>
  </si>
  <si>
    <t>SEGU6656042</t>
  </si>
  <si>
    <t xml:space="preserve">COSU6399544370/  海外仓地址，需要提前2天邮件预约派送时间  </t>
  </si>
  <si>
    <t>BSIU8453000</t>
  </si>
  <si>
    <t xml:space="preserve">COSU6399342770 /  海外仓地址，需要提前2天邮件预约派送时间  </t>
  </si>
  <si>
    <t>TRHU6395545</t>
  </si>
  <si>
    <t>COSU6400407300</t>
  </si>
  <si>
    <t>CSNU6908931</t>
  </si>
  <si>
    <t>OOLU8810975860</t>
  </si>
  <si>
    <t>TCKU6643134</t>
  </si>
  <si>
    <t>ZIMUSNH21053644</t>
  </si>
  <si>
    <t>CSNU7114303</t>
  </si>
  <si>
    <t>OOLU2749000010</t>
  </si>
  <si>
    <t>CXDU1597632</t>
  </si>
  <si>
    <t>WBCT (WEST BASIN CONTAINER TERMINAL)</t>
  </si>
  <si>
    <t>ONEYTPEE98362300</t>
  </si>
  <si>
    <t>MATU2674390</t>
  </si>
  <si>
    <t>LONG BEACH (CA)</t>
  </si>
  <si>
    <t>FAT2-FH-342IY / 10 am</t>
  </si>
  <si>
    <t>Junction Integrated Logistics</t>
  </si>
  <si>
    <t xml:space="preserve">FAT2-3315 N Kelsey St, Visalia, CA 93291 </t>
  </si>
  <si>
    <t>MATS9079286000 / WUHO102524B / CTF, TMF cleared</t>
  </si>
  <si>
    <t>MRSU3162969</t>
  </si>
  <si>
    <t>MAEU245438768</t>
  </si>
  <si>
    <t>Broker</t>
  </si>
  <si>
    <t>Carrier</t>
  </si>
  <si>
    <t>SCAC</t>
  </si>
  <si>
    <t>Contact</t>
  </si>
  <si>
    <t>Driver</t>
  </si>
  <si>
    <t>Driver License</t>
  </si>
  <si>
    <t>VIN#</t>
  </si>
  <si>
    <t>License plate#</t>
  </si>
  <si>
    <t>STATUS</t>
  </si>
  <si>
    <t>UBER</t>
  </si>
  <si>
    <t>Champ Logistics</t>
  </si>
  <si>
    <t>Alimov Mizom Salimovich</t>
  </si>
  <si>
    <t>AH12072 PA</t>
  </si>
  <si>
    <t>Lanita</t>
  </si>
  <si>
    <t>First Transportation</t>
  </si>
  <si>
    <t>VANGUARD</t>
  </si>
  <si>
    <t>BTS</t>
  </si>
  <si>
    <t>Trans United</t>
  </si>
  <si>
    <t>Created account and requested for credit $15,000</t>
  </si>
  <si>
    <t>cntr#</t>
  </si>
  <si>
    <t>CARRIER</t>
  </si>
  <si>
    <t>列2</t>
  </si>
  <si>
    <t>EMAIL</t>
  </si>
  <si>
    <t>B&amp;T Express,INC</t>
  </si>
  <si>
    <t>(330) 549-0000</t>
  </si>
  <si>
    <t>A&amp;M Specialized Trucking INC</t>
  </si>
  <si>
    <t>814-224-2964</t>
  </si>
  <si>
    <t>NO SEAGIRT</t>
  </si>
  <si>
    <t>WEST MOTOR FREIGHT</t>
  </si>
  <si>
    <t>717-325-4330</t>
  </si>
  <si>
    <t>NO CNTRS,NO RFID TAGS</t>
  </si>
  <si>
    <t>Sunway Carriers INC</t>
  </si>
  <si>
    <t>872-757-7703</t>
  </si>
  <si>
    <t>REJCT</t>
  </si>
  <si>
    <t>K&amp;T Transport</t>
  </si>
  <si>
    <t>506-356-8613</t>
  </si>
  <si>
    <t>NO ANSWER</t>
  </si>
  <si>
    <t>US Cargo Trucking Llc</t>
  </si>
  <si>
    <t>207-412-5012</t>
  </si>
  <si>
    <t>去找其他卡车了，will call me later</t>
  </si>
  <si>
    <t>Fast Running Inc</t>
  </si>
  <si>
    <t>224-210-1812</t>
  </si>
  <si>
    <t>NO TWIC</t>
  </si>
  <si>
    <t>Tyson Trucking Group</t>
  </si>
  <si>
    <t>306-271-1688--&gt;647-708-1313</t>
  </si>
  <si>
    <t>ONLY CANADA??</t>
  </si>
  <si>
    <t>Shippers Preferred Express Inc</t>
  </si>
  <si>
    <t>602-278-6004</t>
  </si>
  <si>
    <t>Uber used</t>
  </si>
  <si>
    <t>717-933-5100</t>
  </si>
  <si>
    <t>NO RFID TAG</t>
  </si>
  <si>
    <t>take 30 cntrs</t>
  </si>
  <si>
    <t>guymturner</t>
  </si>
  <si>
    <t>410-388-9360</t>
  </si>
  <si>
    <t>No capacity</t>
  </si>
  <si>
    <t xml:space="preserve">Thomas Rodriguez </t>
  </si>
  <si>
    <t>443-810-7176</t>
  </si>
  <si>
    <t>waiting on email</t>
  </si>
  <si>
    <t>247baltimore@arlnetwork.com</t>
  </si>
  <si>
    <t>Containerport group inc</t>
  </si>
  <si>
    <t>410-477-0702</t>
  </si>
  <si>
    <t xml:space="preserve">cpgbal@containerport.com </t>
  </si>
  <si>
    <t>Dunavant Sealane Express llc</t>
  </si>
  <si>
    <t>800-621-2582</t>
  </si>
  <si>
    <t>lauren.jones@dunavant.com</t>
  </si>
  <si>
    <t>Bulls trucking co</t>
  </si>
  <si>
    <t>410-285-5202</t>
  </si>
  <si>
    <t>kevin referred Thomas</t>
  </si>
  <si>
    <t>no cap to ohio</t>
  </si>
  <si>
    <t>Ace logistics</t>
  </si>
  <si>
    <t>800-486-5996</t>
  </si>
  <si>
    <t>Big boy transportation</t>
  </si>
  <si>
    <t>410-246-1523</t>
  </si>
  <si>
    <t>Bozel Trucking</t>
  </si>
  <si>
    <t>443-327-6919</t>
  </si>
  <si>
    <t>CR ENGLAND &amp;SONS iNC</t>
  </si>
  <si>
    <t>800-453-8826</t>
  </si>
  <si>
    <t>NEED ACCOUNT W/THEM</t>
  </si>
  <si>
    <t>DRAYAGE SOLUTIONS</t>
  </si>
  <si>
    <t>410-913-2858</t>
  </si>
  <si>
    <t>NO CAP TO ohio</t>
  </si>
  <si>
    <t>ACE logistics</t>
  </si>
  <si>
    <t>TR</t>
  </si>
  <si>
    <t>Rail Direct</t>
  </si>
  <si>
    <t>757-397-2692</t>
  </si>
  <si>
    <t>No one answer</t>
  </si>
  <si>
    <t>Should have heavry forklift</t>
  </si>
  <si>
    <t>Sky Harbor Trucking</t>
  </si>
  <si>
    <t>410-299-4691</t>
  </si>
  <si>
    <t>Triple Dat Logistics Inc</t>
  </si>
  <si>
    <t>410-633-0200</t>
  </si>
  <si>
    <t>White Marsh Transport, Inc.</t>
  </si>
  <si>
    <t>410-238-7759</t>
  </si>
  <si>
    <t>No heavy forklift</t>
  </si>
  <si>
    <t>Wind Speed</t>
  </si>
  <si>
    <t>410-388-1130</t>
  </si>
  <si>
    <t>NOMAND</t>
  </si>
  <si>
    <t>847-999-0550X11</t>
  </si>
  <si>
    <t>Reject</t>
  </si>
  <si>
    <t>DON FAULKNER</t>
  </si>
  <si>
    <t>410-908-0565</t>
  </si>
  <si>
    <t>1 driver</t>
  </si>
  <si>
    <t>B&amp;S Trucking LLC</t>
  </si>
  <si>
    <t>D L R Trucking &amp; Contracting LLC</t>
  </si>
  <si>
    <t>410-236-4048</t>
  </si>
  <si>
    <t>3 driver</t>
  </si>
  <si>
    <t>T &amp; C Trucking LLC</t>
  </si>
  <si>
    <t>410-240-7592</t>
  </si>
  <si>
    <t>Waiting for reponse</t>
  </si>
  <si>
    <t>MBL#</t>
  </si>
  <si>
    <t>ASSIGNED OP</t>
  </si>
  <si>
    <t>PORT CARRIER</t>
  </si>
  <si>
    <t>PORT OG</t>
  </si>
  <si>
    <t>ACTURAL OG</t>
  </si>
  <si>
    <t>12.6appt</t>
  </si>
  <si>
    <t>ACTURAL DEL</t>
  </si>
  <si>
    <t>INV1</t>
  </si>
  <si>
    <t>INV1 RATE</t>
  </si>
  <si>
    <t>TERM1</t>
  </si>
  <si>
    <t>INV2</t>
  </si>
  <si>
    <t>INV2 RATE</t>
  </si>
  <si>
    <t>TERM2</t>
  </si>
  <si>
    <t>ABL INV</t>
  </si>
  <si>
    <t>BTMU5001270</t>
  </si>
  <si>
    <t>1L7ZZBACP001</t>
  </si>
  <si>
    <t>CARGOLINK</t>
  </si>
  <si>
    <t xml:space="preserve"> LANDSTAR RANGER, INC</t>
  </si>
  <si>
    <t>BTMU5001286</t>
  </si>
  <si>
    <t>LANDSTAR RANGER, INC</t>
  </si>
  <si>
    <t>BTMU5001305</t>
  </si>
  <si>
    <t>LOMIWAY TRUCKING LLC</t>
  </si>
  <si>
    <t>BTMU5001563</t>
  </si>
  <si>
    <t>BTMU5001624</t>
  </si>
  <si>
    <t>Position: 153I2A</t>
  </si>
  <si>
    <t>BTMU5001630</t>
  </si>
  <si>
    <t>Position: 119</t>
  </si>
  <si>
    <t>BTMU5001645</t>
  </si>
  <si>
    <t>BTMU5001650</t>
  </si>
  <si>
    <t>BTMU5001666</t>
  </si>
  <si>
    <t xml:space="preserve">Position: 151, demurrage $129.14, PAC_FEE_GATE_INCOMPLETE	</t>
  </si>
  <si>
    <t>BTMU5001671</t>
  </si>
  <si>
    <t>BTMU5001687</t>
  </si>
  <si>
    <t>ATS SPECIALIZED, INC</t>
  </si>
  <si>
    <t>Position: 183I6A</t>
  </si>
  <si>
    <t>BTMU5003083</t>
  </si>
  <si>
    <t>1L7ZZBACP005</t>
  </si>
  <si>
    <t>LFS/ROME</t>
  </si>
  <si>
    <t>CONTAINERPORT GROUP, INC</t>
  </si>
  <si>
    <t>LFS</t>
  </si>
  <si>
    <t>1310013</t>
  </si>
  <si>
    <t>12/6+20</t>
  </si>
  <si>
    <t>BTMU5001753</t>
  </si>
  <si>
    <t>Position: 	185I4A</t>
  </si>
  <si>
    <t>BTMU5001774</t>
  </si>
  <si>
    <t>Position: 183I5C</t>
  </si>
  <si>
    <t>BTMU5001780</t>
  </si>
  <si>
    <t xml:space="preserve"> LANDSTAR RANGER, INC.</t>
  </si>
  <si>
    <t>BTMU5001795</t>
  </si>
  <si>
    <t>BTMU5001809</t>
  </si>
  <si>
    <t>LOMIWAY TRUCKING LLC_x000D_</t>
  </si>
  <si>
    <t>BTMU5001814</t>
  </si>
  <si>
    <t xml:space="preserve"> LOMIWAY TRUCKING LLC_x000D_</t>
  </si>
  <si>
    <t>BTMU5001835</t>
  </si>
  <si>
    <t>BROKEN</t>
  </si>
  <si>
    <t>Position: 185I6A</t>
  </si>
  <si>
    <t>BTMU5001840</t>
  </si>
  <si>
    <t>EVANS DELIVERY COMPANY, INC</t>
  </si>
  <si>
    <t>BTMU5001856</t>
  </si>
  <si>
    <t>BTMU5001861</t>
  </si>
  <si>
    <t>BTMU5001877</t>
  </si>
  <si>
    <t>BTMU5001882</t>
  </si>
  <si>
    <t>BTMU5001898</t>
  </si>
  <si>
    <t>BTMU5001901</t>
  </si>
  <si>
    <t>BTMU5001917</t>
  </si>
  <si>
    <t>BTMU5001922</t>
  </si>
  <si>
    <t>BTMU5003308</t>
  </si>
  <si>
    <t>ROME</t>
  </si>
  <si>
    <t xml:space="preserve"> CONTAINERPORT GROUP, INC</t>
  </si>
  <si>
    <t>BTMU5003099</t>
  </si>
  <si>
    <t>1310159</t>
  </si>
  <si>
    <t>BTMU5002148</t>
  </si>
  <si>
    <t>1L7ZZBACP002</t>
  </si>
  <si>
    <t>ONLY 1 CNTR</t>
  </si>
  <si>
    <t>1310309</t>
  </si>
  <si>
    <t>12/7+20</t>
  </si>
  <si>
    <t>BTMU5002908</t>
  </si>
  <si>
    <t>1L7ZZBACP004</t>
  </si>
  <si>
    <t>1310898</t>
  </si>
  <si>
    <t>BTMU5002873</t>
  </si>
  <si>
    <t>1311359</t>
  </si>
  <si>
    <t>BTMU5002913</t>
  </si>
  <si>
    <t>1311435</t>
  </si>
  <si>
    <t>BTMU5003289</t>
  </si>
  <si>
    <t>BTMU5002868</t>
  </si>
  <si>
    <t>1309191</t>
  </si>
  <si>
    <t>BTMU5003273</t>
  </si>
  <si>
    <t>JCAS PROPERTIES LLC</t>
  </si>
  <si>
    <t>Credit in #1309216</t>
  </si>
  <si>
    <t>1310894</t>
  </si>
  <si>
    <t>BTMU5003530</t>
  </si>
  <si>
    <t>BTMU5003247</t>
  </si>
  <si>
    <t>1309194</t>
  </si>
  <si>
    <t>BTMU5003078</t>
  </si>
  <si>
    <t>ACCIDENT</t>
  </si>
  <si>
    <t>1319143</t>
  </si>
  <si>
    <t>BTMU5002810</t>
  </si>
  <si>
    <t>1308011</t>
  </si>
  <si>
    <t>11/30+20</t>
  </si>
  <si>
    <t>BTMU5002826</t>
  </si>
  <si>
    <t>BTMU5002554</t>
  </si>
  <si>
    <t>1L7ZZBACP003</t>
  </si>
  <si>
    <t>1308396</t>
  </si>
  <si>
    <t>12/1+20</t>
  </si>
  <si>
    <t>BTMU5002723</t>
  </si>
  <si>
    <t>BTMU5002699</t>
  </si>
  <si>
    <t>1309514</t>
  </si>
  <si>
    <t>BTMU5002364</t>
  </si>
  <si>
    <t>found broken after pu,hold in yard</t>
  </si>
  <si>
    <t>1309825</t>
  </si>
  <si>
    <t>BTMU5002528</t>
  </si>
  <si>
    <t>CONTAINERPORT GROUP, INC.</t>
  </si>
  <si>
    <t>1309827</t>
  </si>
  <si>
    <t>BTMU5002805</t>
  </si>
  <si>
    <t>BTMU5002750</t>
  </si>
  <si>
    <t>1309837</t>
  </si>
  <si>
    <t>BTMU5002507</t>
  </si>
  <si>
    <t>BTMU5002620</t>
  </si>
  <si>
    <t>1310340</t>
  </si>
  <si>
    <t>BTMU5002765</t>
  </si>
  <si>
    <t>BTMU5002533</t>
  </si>
  <si>
    <t>1310343</t>
  </si>
  <si>
    <t>BTMU5002560</t>
  </si>
  <si>
    <t>BTMU5002678</t>
  </si>
  <si>
    <t>1310553</t>
  </si>
  <si>
    <t>BTMU5002744</t>
  </si>
  <si>
    <t>BTMU5002636</t>
  </si>
  <si>
    <t>1310897</t>
  </si>
  <si>
    <t>BTMU5002847</t>
  </si>
  <si>
    <t>BTMU5002702</t>
  </si>
  <si>
    <t>BTMU5002739</t>
  </si>
  <si>
    <t>1310933</t>
  </si>
  <si>
    <t>BTMU5002791</t>
  </si>
  <si>
    <t>BTMU5002390</t>
  </si>
  <si>
    <t xml:space="preserve"> CONTAINERPORT GROUP, INC._x000D_</t>
  </si>
  <si>
    <t>1311001</t>
  </si>
  <si>
    <t>BTMU5002641</t>
  </si>
  <si>
    <t>BTMU5002683</t>
  </si>
  <si>
    <t>LFS的POD数字错了</t>
  </si>
  <si>
    <t>BTMU5002657</t>
  </si>
  <si>
    <t>1311413</t>
  </si>
  <si>
    <t>BTMU5002718</t>
  </si>
  <si>
    <t>BTMU5002580</t>
  </si>
  <si>
    <t>1312841</t>
  </si>
  <si>
    <t>BTMU5002831</t>
  </si>
  <si>
    <t>BROKEN/CONTAINERPORT GROUP, INC</t>
  </si>
  <si>
    <t>BTMU5002852</t>
  </si>
  <si>
    <t>BTMU5002370</t>
  </si>
  <si>
    <t xml:space="preserve"> JCAS PROPERTIES LLC</t>
  </si>
  <si>
    <t>1308707</t>
  </si>
  <si>
    <t>12/2+20</t>
  </si>
  <si>
    <t>BTMU5002180</t>
  </si>
  <si>
    <t>yard storage can charge</t>
  </si>
  <si>
    <t>1308472</t>
  </si>
  <si>
    <t>BTMU5002087</t>
  </si>
  <si>
    <t>1310023</t>
  </si>
  <si>
    <t>BTMU5002256</t>
  </si>
  <si>
    <t>1311360</t>
  </si>
  <si>
    <t>BTMU5002235</t>
  </si>
  <si>
    <t>LFS:PU ON 11/26</t>
  </si>
  <si>
    <t>1308018</t>
  </si>
  <si>
    <t>BTMU5002343</t>
  </si>
  <si>
    <t>1308708</t>
  </si>
  <si>
    <t>BTMU5002317</t>
  </si>
  <si>
    <t>1310026</t>
  </si>
  <si>
    <t>BTMU5002322</t>
  </si>
  <si>
    <t>1308985</t>
  </si>
  <si>
    <t>BTMU5002214</t>
  </si>
  <si>
    <t>BTMU5002301</t>
  </si>
  <si>
    <t>BTMU5002132</t>
  </si>
  <si>
    <t>1307675</t>
  </si>
  <si>
    <t>BTMU5002153</t>
  </si>
  <si>
    <t>BTMU5002045</t>
  </si>
  <si>
    <t>1308015</t>
  </si>
  <si>
    <t>BTMU5002169</t>
  </si>
  <si>
    <t>BTMU5001990</t>
  </si>
  <si>
    <t>1308016</t>
  </si>
  <si>
    <t>BTMU5002024</t>
  </si>
  <si>
    <t>BTMU5002127</t>
  </si>
  <si>
    <t>BTMU5002338</t>
  </si>
  <si>
    <t>BTMU5002209</t>
  </si>
  <si>
    <t>1309193</t>
  </si>
  <si>
    <t>BTMU5002220</t>
  </si>
  <si>
    <t>BTMU5002092</t>
  </si>
  <si>
    <t>1310024</t>
  </si>
  <si>
    <t>BTMU5002261</t>
  </si>
  <si>
    <t>BTMU5002282</t>
  </si>
  <si>
    <t>1310119</t>
  </si>
  <si>
    <t>BTMU5002298</t>
  </si>
  <si>
    <t>BTMU5002106</t>
  </si>
  <si>
    <t>1311347</t>
  </si>
  <si>
    <t>BTMU5002359</t>
  </si>
  <si>
    <t>DAMAGE</t>
  </si>
  <si>
    <t>BTMU5002050</t>
  </si>
  <si>
    <t>收3次dry run</t>
  </si>
  <si>
    <t>BTMU5002277</t>
  </si>
  <si>
    <t>1309196</t>
  </si>
  <si>
    <t>BTMU5003268</t>
  </si>
  <si>
    <t>BTMU5002549</t>
  </si>
  <si>
    <t>1310017</t>
  </si>
  <si>
    <t>BTMU5002493</t>
  </si>
  <si>
    <t>BTMU5002488</t>
  </si>
  <si>
    <t>1309824</t>
  </si>
  <si>
    <t>BTMU5002472</t>
  </si>
  <si>
    <t>1309521</t>
  </si>
  <si>
    <t>BTMU5002467</t>
  </si>
  <si>
    <t>BTMU5002195</t>
  </si>
  <si>
    <t>BTMU5002446</t>
  </si>
  <si>
    <t>BTMU5002430</t>
  </si>
  <si>
    <t>BTMU5002425</t>
  </si>
  <si>
    <t>BTMU5002410</t>
  </si>
  <si>
    <t>BTMU5002981</t>
  </si>
  <si>
    <t>AMERICAN CARRIER TRANSPORT LLC</t>
  </si>
  <si>
    <t>BTMU5002662</t>
  </si>
  <si>
    <t>BTMU5002240</t>
  </si>
  <si>
    <t>1310932</t>
  </si>
  <si>
    <t>BTMU5002174</t>
  </si>
  <si>
    <t>BTMU5002929</t>
  </si>
  <si>
    <t>BTMU5002934</t>
  </si>
  <si>
    <t>BTMU5002960</t>
  </si>
  <si>
    <t>BTMU5002976</t>
  </si>
  <si>
    <t>BTMU5001692</t>
  </si>
  <si>
    <t>BTMU5002997</t>
  </si>
  <si>
    <t>BTMU5003000</t>
  </si>
  <si>
    <t>BTMU5003015</t>
  </si>
  <si>
    <t>BTMU5003020</t>
  </si>
  <si>
    <t>BTMU5003036</t>
  </si>
  <si>
    <t>BTMU5003041</t>
  </si>
  <si>
    <t>BTMU5003057</t>
  </si>
  <si>
    <t>BTMU5003062</t>
  </si>
  <si>
    <t>BTMU5002111</t>
  </si>
  <si>
    <t>BTMU5002030</t>
  </si>
  <si>
    <t>BTMU5002019</t>
  </si>
  <si>
    <t>BTMU5003102</t>
  </si>
  <si>
    <t>BTMU5003123</t>
  </si>
  <si>
    <t>BTMU5003191</t>
  </si>
  <si>
    <t>LANDSTAR INWAY, INC</t>
  </si>
  <si>
    <t>BTMU5003231</t>
  </si>
  <si>
    <t>BTMU5001985</t>
  </si>
  <si>
    <t>BTMU5003252</t>
  </si>
  <si>
    <t>BTMU5001970</t>
  </si>
  <si>
    <t>BTMU5001964</t>
  </si>
  <si>
    <t>1311007</t>
  </si>
  <si>
    <t>BTMU5001959</t>
  </si>
  <si>
    <t>1310025</t>
  </si>
  <si>
    <t>BTMU5003294</t>
  </si>
  <si>
    <t>BTMU5001943</t>
  </si>
  <si>
    <t>BTMU5001938</t>
  </si>
  <si>
    <t>OCTOBOR</t>
  </si>
  <si>
    <t>REF#</t>
  </si>
  <si>
    <t>列1</t>
  </si>
  <si>
    <t>DEL</t>
  </si>
  <si>
    <t>派送方式</t>
  </si>
  <si>
    <t>AMOUNT1</t>
  </si>
  <si>
    <t>AMOUT2</t>
  </si>
  <si>
    <t>BTMU5000485</t>
  </si>
  <si>
    <t>3-18</t>
  </si>
  <si>
    <t>CL</t>
  </si>
  <si>
    <t>BTMU5000422</t>
  </si>
  <si>
    <t>3-12</t>
  </si>
  <si>
    <t>LADA II EXPRESS CO.</t>
  </si>
  <si>
    <t>FCL,确定客户是否收到</t>
  </si>
  <si>
    <t>SD</t>
  </si>
  <si>
    <t>BTMU5000504</t>
  </si>
  <si>
    <t>3-20</t>
  </si>
  <si>
    <t>BTMU5000741</t>
  </si>
  <si>
    <t>5-4</t>
  </si>
  <si>
    <t>BTMU5000649</t>
  </si>
  <si>
    <t>4-14</t>
  </si>
  <si>
    <t>BTMU5000417</t>
  </si>
  <si>
    <t>3-11</t>
  </si>
  <si>
    <t>BTMU5001075</t>
  </si>
  <si>
    <t>6-17</t>
  </si>
  <si>
    <t>百叶窗移位，钢网凹陷，侧边70%剐蹭 1</t>
  </si>
  <si>
    <t>BTMU5000464</t>
  </si>
  <si>
    <t>3-16</t>
  </si>
  <si>
    <t>BTMU5000459</t>
  </si>
  <si>
    <t>3-15</t>
  </si>
  <si>
    <t>J R C TRANSPORTATION INC</t>
  </si>
  <si>
    <t>BTMU5000274</t>
  </si>
  <si>
    <t>2-17</t>
  </si>
  <si>
    <t>AVVV</t>
  </si>
  <si>
    <t>BTMU5000628</t>
  </si>
  <si>
    <t>4-12</t>
  </si>
  <si>
    <t>KINT</t>
  </si>
  <si>
    <t>BTMU5001007</t>
  </si>
  <si>
    <t>6-10</t>
  </si>
  <si>
    <t>BTMU5000633</t>
  </si>
  <si>
    <t>4-13</t>
  </si>
  <si>
    <t>BTMU5001060</t>
  </si>
  <si>
    <t>6-16</t>
  </si>
  <si>
    <t>百叶窗右上掉</t>
  </si>
  <si>
    <t>BTMU5000696</t>
  </si>
  <si>
    <t>4-19</t>
  </si>
  <si>
    <t>HORIZON FREIGHT SYSTEM, INC</t>
  </si>
  <si>
    <t>BTMU5000016</t>
  </si>
  <si>
    <t>1-0</t>
  </si>
  <si>
    <t>BROKER</t>
  </si>
  <si>
    <t>LIGHTNING TRANSPORTATION, INC.</t>
  </si>
  <si>
    <t>DRG</t>
  </si>
  <si>
    <t>LTNG</t>
  </si>
  <si>
    <t>01692416</t>
  </si>
  <si>
    <t>BTMU5000607</t>
  </si>
  <si>
    <t>4-10</t>
  </si>
  <si>
    <t>BTMU5000187</t>
  </si>
  <si>
    <t>2-8</t>
  </si>
  <si>
    <t>BTMU5001054</t>
  </si>
  <si>
    <t>6-15</t>
  </si>
  <si>
    <t>BTMU5000382</t>
  </si>
  <si>
    <t>3-8</t>
  </si>
  <si>
    <t>??</t>
  </si>
  <si>
    <t>DRAYAGE</t>
  </si>
  <si>
    <t>BTMU5000211</t>
  </si>
  <si>
    <t>2-11</t>
  </si>
  <si>
    <t>BTMU5000510</t>
  </si>
  <si>
    <t>4-1</t>
  </si>
  <si>
    <t>1，layover</t>
  </si>
  <si>
    <t>BTMU5000490</t>
  </si>
  <si>
    <t>3-19</t>
  </si>
  <si>
    <t>LANITA SPECIALIZED LLC</t>
  </si>
  <si>
    <t>INV PENDING</t>
  </si>
  <si>
    <t>BTMU5000248</t>
  </si>
  <si>
    <t>2-14</t>
  </si>
  <si>
    <t>BTMU5000063</t>
  </si>
  <si>
    <t>BTMU5000525</t>
  </si>
  <si>
    <t>4-2</t>
  </si>
  <si>
    <t>BTMU5001120</t>
  </si>
  <si>
    <t>6-22</t>
  </si>
  <si>
    <t>BTMU5000470</t>
  </si>
  <si>
    <t>3-17</t>
  </si>
  <si>
    <t>FCL,1</t>
  </si>
  <si>
    <t>BTMU5000021</t>
  </si>
  <si>
    <t>01692402</t>
  </si>
  <si>
    <t>BTMU5000736</t>
  </si>
  <si>
    <t>5-3</t>
  </si>
  <si>
    <t>TJWR</t>
  </si>
  <si>
    <t>BTMU5000335</t>
  </si>
  <si>
    <t>3-3</t>
  </si>
  <si>
    <t>BTMU5000778</t>
  </si>
  <si>
    <t>5-7</t>
  </si>
  <si>
    <t>BTMU5000124</t>
  </si>
  <si>
    <t>2-2</t>
  </si>
  <si>
    <t>LIGHTNING TRANSPORTATION, INC</t>
  </si>
  <si>
    <t>5CH</t>
  </si>
  <si>
    <t>01692772</t>
  </si>
  <si>
    <t>BTMU5000931</t>
  </si>
  <si>
    <t>6-3</t>
  </si>
  <si>
    <t>BTMU5000356</t>
  </si>
  <si>
    <t>3-5</t>
  </si>
  <si>
    <t>BTMU5000227</t>
  </si>
  <si>
    <t>2-12</t>
  </si>
  <si>
    <t>BTMU5000660</t>
  </si>
  <si>
    <t>4-16</t>
  </si>
  <si>
    <t>BTMU5000206</t>
  </si>
  <si>
    <t>2-10</t>
  </si>
  <si>
    <t>BTMU5000171</t>
  </si>
  <si>
    <t>2-7</t>
  </si>
  <si>
    <t>3CH</t>
  </si>
  <si>
    <t>01692410</t>
  </si>
  <si>
    <t>BTMU5000309</t>
  </si>
  <si>
    <t>2-20</t>
  </si>
  <si>
    <t>BTMU5000079</t>
  </si>
  <si>
    <t>BTMU5000103</t>
  </si>
  <si>
    <t>1L2ZZBACP001-6,TR</t>
  </si>
  <si>
    <t>BTMU5000253</t>
  </si>
  <si>
    <t>2-15</t>
  </si>
  <si>
    <t>BTMU5000295</t>
  </si>
  <si>
    <t>2-19</t>
  </si>
  <si>
    <t>01692770</t>
  </si>
  <si>
    <t>BTMU5000150</t>
  </si>
  <si>
    <t>2-5</t>
  </si>
  <si>
    <t>BTMU5000700</t>
  </si>
  <si>
    <t>4-20</t>
  </si>
  <si>
    <t>EVANS DELIVERY COMPANY, INC.</t>
  </si>
  <si>
    <t>BTMU5000588</t>
  </si>
  <si>
    <t>4-8</t>
  </si>
  <si>
    <t>BTMU5000947</t>
  </si>
  <si>
    <t>6-4</t>
  </si>
  <si>
    <t>BTMU5001012</t>
  </si>
  <si>
    <t>6-11</t>
  </si>
  <si>
    <t>百叶窗左下角,TR</t>
  </si>
  <si>
    <t>BTMU5000145</t>
  </si>
  <si>
    <t>2-4</t>
  </si>
  <si>
    <t>BTMU5000314</t>
  </si>
  <si>
    <t>3-1</t>
  </si>
  <si>
    <t>01692414</t>
  </si>
  <si>
    <t>BTMU5000130</t>
  </si>
  <si>
    <t>2-3</t>
  </si>
  <si>
    <t>BTMU5000192</t>
  </si>
  <si>
    <t>2-9</t>
  </si>
  <si>
    <t>BTMU5000546</t>
  </si>
  <si>
    <t>4-4</t>
  </si>
  <si>
    <t>BTMU5000377</t>
  </si>
  <si>
    <t>3-7</t>
  </si>
  <si>
    <t>BTMU5000361</t>
  </si>
  <si>
    <t>3-6</t>
  </si>
  <si>
    <t>01692774</t>
  </si>
  <si>
    <t>BTMU5000398</t>
  </si>
  <si>
    <t>3-9</t>
  </si>
  <si>
    <t>01692769</t>
  </si>
  <si>
    <t>BTMU5000762</t>
  </si>
  <si>
    <t>5-6</t>
  </si>
  <si>
    <t>BTMU5001033</t>
  </si>
  <si>
    <t>6-13</t>
  </si>
  <si>
    <t>BTMU5000818</t>
  </si>
  <si>
    <t>5-11</t>
  </si>
  <si>
    <t>BTMU5000090</t>
  </si>
  <si>
    <t>BTMU5000530</t>
  </si>
  <si>
    <t>4-3</t>
  </si>
  <si>
    <t>01692404</t>
  </si>
  <si>
    <t>BTMU5000280</t>
  </si>
  <si>
    <t>2-18</t>
  </si>
  <si>
    <t>BTMU5000910</t>
  </si>
  <si>
    <t>6-1</t>
  </si>
  <si>
    <t>4CH</t>
  </si>
  <si>
    <t>BTMU5001096</t>
  </si>
  <si>
    <t>6-19</t>
  </si>
  <si>
    <t>BTMU5000783</t>
  </si>
  <si>
    <t>5-8</t>
  </si>
  <si>
    <t>BTMU5001218</t>
  </si>
  <si>
    <t>6-31</t>
  </si>
  <si>
    <t>BTMU5000567</t>
  </si>
  <si>
    <t>4-6</t>
  </si>
  <si>
    <t>01692773</t>
  </si>
  <si>
    <t>BTMU5000269</t>
  </si>
  <si>
    <t>2-16</t>
  </si>
  <si>
    <t>BTMU5001178</t>
  </si>
  <si>
    <t>6-27</t>
  </si>
  <si>
    <t>BTMU5001115</t>
  </si>
  <si>
    <t>6-21</t>
  </si>
  <si>
    <t>BTMU5000572</t>
  </si>
  <si>
    <t>4-7</t>
  </si>
  <si>
    <t>01692417</t>
  </si>
  <si>
    <t>BTMU5000612</t>
  </si>
  <si>
    <t>4-11</t>
  </si>
  <si>
    <t>01692406</t>
  </si>
  <si>
    <t>BTMU5000675</t>
  </si>
  <si>
    <t>4-17</t>
  </si>
  <si>
    <t>01692047</t>
  </si>
  <si>
    <t>BTMU5000593</t>
  </si>
  <si>
    <t>4-9</t>
  </si>
  <si>
    <t>BTMU5000715</t>
  </si>
  <si>
    <t>5-1</t>
  </si>
  <si>
    <t>01692768</t>
  </si>
  <si>
    <t>BTMU5000926</t>
  </si>
  <si>
    <t>6-2</t>
  </si>
  <si>
    <t>BTMU5000989</t>
  </si>
  <si>
    <t>6-8</t>
  </si>
  <si>
    <t>BTMU5000084</t>
  </si>
  <si>
    <t>BTMU5100102</t>
  </si>
  <si>
    <t>1-5</t>
  </si>
  <si>
    <t>BTMU5000720</t>
  </si>
  <si>
    <t>5-2</t>
  </si>
  <si>
    <t>01692412</t>
  </si>
  <si>
    <t>BTMU5001080</t>
  </si>
  <si>
    <t>6-18</t>
  </si>
  <si>
    <t>BTMU5000320</t>
  </si>
  <si>
    <t>3-2</t>
  </si>
  <si>
    <t>BTMU5000844</t>
  </si>
  <si>
    <t>5-14</t>
  </si>
  <si>
    <t>BTMU5100099</t>
  </si>
  <si>
    <t>1-4</t>
  </si>
  <si>
    <t>BTMU5001100</t>
  </si>
  <si>
    <t>6-20</t>
  </si>
  <si>
    <t>BTMU5000042</t>
  </si>
  <si>
    <t>BTMU5001136</t>
  </si>
  <si>
    <t>6-23</t>
  </si>
  <si>
    <t>BTMU5000757</t>
  </si>
  <si>
    <t>5-5</t>
  </si>
  <si>
    <t>01692413</t>
  </si>
  <si>
    <t>BTMU5000905</t>
  </si>
  <si>
    <t>5-20</t>
  </si>
  <si>
    <t>BTMU5000802</t>
  </si>
  <si>
    <t>5-10</t>
  </si>
  <si>
    <t>01692418</t>
  </si>
  <si>
    <t>BTMU5100083</t>
  </si>
  <si>
    <t>1-3</t>
  </si>
  <si>
    <t>BTMU5000850</t>
  </si>
  <si>
    <t>5-15</t>
  </si>
  <si>
    <t>LFS最早说26送了</t>
  </si>
  <si>
    <t>01692421</t>
  </si>
  <si>
    <t>BTMU5001183</t>
  </si>
  <si>
    <t>6-28</t>
  </si>
  <si>
    <t>显示在yard</t>
  </si>
  <si>
    <t>BTMU5000058</t>
  </si>
  <si>
    <t>BTMU5000037</t>
  </si>
  <si>
    <t>BTMU5000973</t>
  </si>
  <si>
    <t>6-7</t>
  </si>
  <si>
    <t>BTMU5000870</t>
  </si>
  <si>
    <t>5-17</t>
  </si>
  <si>
    <t>4 CH</t>
  </si>
  <si>
    <t>01692420</t>
  </si>
  <si>
    <t>BTMU5000823</t>
  </si>
  <si>
    <t>5-12</t>
  </si>
  <si>
    <t>BTMU5000839</t>
  </si>
  <si>
    <t>5-13</t>
  </si>
  <si>
    <t>BTMU5001250</t>
  </si>
  <si>
    <t>6-35</t>
  </si>
  <si>
    <t>BTMU5000166</t>
  </si>
  <si>
    <t>2-6</t>
  </si>
  <si>
    <t>BTMU5000886</t>
  </si>
  <si>
    <t>5-18</t>
  </si>
  <si>
    <t>01692419</t>
  </si>
  <si>
    <t>BTMU5000443</t>
  </si>
  <si>
    <t>3-14</t>
  </si>
  <si>
    <t>BTMU5000994</t>
  </si>
  <si>
    <t>6-9</t>
  </si>
  <si>
    <t>BTMU5001244</t>
  </si>
  <si>
    <t>6-34</t>
  </si>
  <si>
    <t>CODRU BROTHERS INC</t>
  </si>
  <si>
    <t>BTMU5100020</t>
  </si>
  <si>
    <t>BTMU5001162</t>
  </si>
  <si>
    <t>6-26</t>
  </si>
  <si>
    <t>RONCHER TRUCKING</t>
  </si>
  <si>
    <t>BTMU5000654</t>
  </si>
  <si>
    <t>4-15</t>
  </si>
  <si>
    <t>BTMU5001239</t>
  </si>
  <si>
    <t>6-33</t>
  </si>
  <si>
    <t>BTMU5000891</t>
  </si>
  <si>
    <t>5-19</t>
  </si>
  <si>
    <t>01692405</t>
  </si>
  <si>
    <t>BTMU5000119</t>
  </si>
  <si>
    <t>2-1</t>
  </si>
  <si>
    <t>BTMU5000551</t>
  </si>
  <si>
    <t>4-5</t>
  </si>
  <si>
    <t>BTMU5000865</t>
  </si>
  <si>
    <t>5-16</t>
  </si>
  <si>
    <t>BTMU5001157</t>
  </si>
  <si>
    <t>6-25</t>
  </si>
  <si>
    <t>UBER6609950072/1299037</t>
  </si>
  <si>
    <t>BTMU5000968</t>
  </si>
  <si>
    <t>6-6</t>
  </si>
  <si>
    <t>4ch</t>
  </si>
  <si>
    <t>01692408</t>
  </si>
  <si>
    <t>BTMU5001202</t>
  </si>
  <si>
    <t>6-30</t>
  </si>
  <si>
    <t>BTMU5000232</t>
  </si>
  <si>
    <t>2-13</t>
  </si>
  <si>
    <t>BTMU5001199</t>
  </si>
  <si>
    <t>6-29</t>
  </si>
  <si>
    <t>BTMU5000340</t>
  </si>
  <si>
    <t>3-4</t>
  </si>
  <si>
    <t>BTMU5000401</t>
  </si>
  <si>
    <t>3-10</t>
  </si>
  <si>
    <t>BTMU5001223</t>
  </si>
  <si>
    <t>6-32</t>
  </si>
  <si>
    <t>BTMU5000438</t>
  </si>
  <si>
    <t>3-13</t>
  </si>
  <si>
    <t>BTMU5001028</t>
  </si>
  <si>
    <t>6-12</t>
  </si>
  <si>
    <t>6CH</t>
  </si>
  <si>
    <t>01692409</t>
  </si>
  <si>
    <t>BTMU5001141</t>
  </si>
  <si>
    <t>6-24</t>
  </si>
  <si>
    <t>UBER6609950072/1299933</t>
  </si>
  <si>
    <t>BTMU5001265</t>
  </si>
  <si>
    <t>6-36</t>
  </si>
  <si>
    <t>BTMU5000952</t>
  </si>
  <si>
    <t>6-5</t>
  </si>
  <si>
    <t>BTMU5100015</t>
  </si>
  <si>
    <t>01692771</t>
  </si>
  <si>
    <t>BTMU5001049</t>
  </si>
  <si>
    <t>6-14</t>
  </si>
  <si>
    <t>BTMU5100041</t>
  </si>
  <si>
    <t xml:space="preserve"> LIGHTNING TRANSPORTATION, INC.</t>
  </si>
  <si>
    <t>01692411</t>
  </si>
  <si>
    <t>BTMU5100057</t>
  </si>
  <si>
    <t>BTMU5100062</t>
  </si>
  <si>
    <t>1-1</t>
  </si>
  <si>
    <t>UHAE</t>
  </si>
  <si>
    <t>BTMU5100078</t>
  </si>
  <si>
    <t>1-2</t>
  </si>
  <si>
    <t>01692415</t>
  </si>
  <si>
    <t>BTMU5000680</t>
  </si>
  <si>
    <t>4-18</t>
  </si>
  <si>
    <t>BTMU5000799</t>
  </si>
  <si>
    <t>5-9</t>
  </si>
  <si>
    <t>BTMU5100036</t>
  </si>
  <si>
    <t>BATCH</t>
  </si>
  <si>
    <t>Unit#</t>
  </si>
  <si>
    <t>Serial Number</t>
  </si>
  <si>
    <t>Serial Number from SA</t>
  </si>
  <si>
    <t>Flat Rack IG</t>
  </si>
  <si>
    <t>chassis usage</t>
  </si>
  <si>
    <t>Storage Date</t>
  </si>
  <si>
    <t>Invoice</t>
  </si>
  <si>
    <t>Track:</t>
  </si>
  <si>
    <t>BYD Project (Master Sheet) - Google Sheets</t>
  </si>
  <si>
    <t>AM TRANS LOS ANGELES PORT PROJECT - Google Sheets</t>
  </si>
  <si>
    <t>TTNU0706660</t>
  </si>
  <si>
    <t>H23</t>
  </si>
  <si>
    <t>US0307001T220810H23</t>
  </si>
  <si>
    <t>AM TRANS</t>
  </si>
  <si>
    <t>ZIMUSHH30988492</t>
  </si>
  <si>
    <t>FLIP $900</t>
  </si>
  <si>
    <t>ZIMUSHH30982097</t>
  </si>
  <si>
    <t>TTNU0706612</t>
  </si>
  <si>
    <t>N01</t>
  </si>
  <si>
    <t>UR0307001T220716N01</t>
  </si>
  <si>
    <t>US0307001T220716N01</t>
  </si>
  <si>
    <t>flip 900</t>
  </si>
  <si>
    <t>ZIMUSHH30988494</t>
  </si>
  <si>
    <t>TRIU0775198</t>
  </si>
  <si>
    <t>H42</t>
  </si>
  <si>
    <t>US0307001T220827H42</t>
  </si>
  <si>
    <t>ZIMUSHH30988499</t>
  </si>
  <si>
    <t>JXLU6011208</t>
  </si>
  <si>
    <t>K61</t>
  </si>
  <si>
    <t>US0307001T220903K61</t>
  </si>
  <si>
    <t>2/2-&gt;2/9</t>
  </si>
  <si>
    <t>ZCSU6012631</t>
  </si>
  <si>
    <t>L19</t>
  </si>
  <si>
    <t>US0307001T220922L19</t>
  </si>
  <si>
    <t>ZIMUSHH30990691</t>
  </si>
  <si>
    <t>JXLU6022938</t>
  </si>
  <si>
    <t>J31</t>
  </si>
  <si>
    <t>US0307001T220827J31</t>
  </si>
  <si>
    <t>CMDUSHZ5359612</t>
  </si>
  <si>
    <t>TRIU0754298</t>
  </si>
  <si>
    <t>J25</t>
  </si>
  <si>
    <t>US0307001T220827J25</t>
  </si>
  <si>
    <t>Revenue</t>
  </si>
  <si>
    <t>AMFU4238412</t>
  </si>
  <si>
    <t>H53</t>
  </si>
  <si>
    <t>US0307001T220810H53</t>
  </si>
  <si>
    <t>Toll Fee</t>
  </si>
  <si>
    <t>Amtrans</t>
  </si>
  <si>
    <t>ZCSU6011830</t>
  </si>
  <si>
    <t>M76</t>
  </si>
  <si>
    <t>US0307001T220801M76</t>
  </si>
  <si>
    <t>chassis rental</t>
  </si>
  <si>
    <t>BBL-1</t>
  </si>
  <si>
    <t>TRIU0740400</t>
  </si>
  <si>
    <t>L26</t>
  </si>
  <si>
    <t>US0307001T220922L26</t>
  </si>
  <si>
    <t>extra 200 deivery</t>
  </si>
  <si>
    <t>BBL-2</t>
  </si>
  <si>
    <t>TRIU0791835</t>
  </si>
  <si>
    <t>H82</t>
  </si>
  <si>
    <t>US0307001T220810H82</t>
  </si>
  <si>
    <t>yard storage</t>
  </si>
  <si>
    <t>BBL-3</t>
  </si>
  <si>
    <t>ZCSU6022199</t>
  </si>
  <si>
    <t>K58</t>
  </si>
  <si>
    <t>US0307001T220922K58</t>
  </si>
  <si>
    <t>Drayage Fee</t>
  </si>
  <si>
    <t>SEGU7624034</t>
  </si>
  <si>
    <t>H83</t>
  </si>
  <si>
    <t>US0307001T220810H83</t>
  </si>
  <si>
    <t xml:space="preserve">CMDUSHZ5359612 </t>
  </si>
  <si>
    <t>Hazmat</t>
  </si>
  <si>
    <t>JXLU6016616</t>
  </si>
  <si>
    <t>J05</t>
  </si>
  <si>
    <t>US0307001T220827J05</t>
  </si>
  <si>
    <t>US0307001T220810J05</t>
  </si>
  <si>
    <t>OW</t>
  </si>
  <si>
    <t>JXLU6017443</t>
  </si>
  <si>
    <t>J12</t>
  </si>
  <si>
    <t>US0307001T220903J12</t>
  </si>
  <si>
    <t>Congestion</t>
  </si>
  <si>
    <t>ZCSU6010161</t>
  </si>
  <si>
    <t>H59</t>
  </si>
  <si>
    <t>US0307001T220810H59</t>
  </si>
  <si>
    <t>Transloading</t>
  </si>
  <si>
    <t>TRIU0828425</t>
  </si>
  <si>
    <t>H33</t>
  </si>
  <si>
    <t>US0307001T220903H33</t>
  </si>
  <si>
    <t>Final Delivery</t>
  </si>
  <si>
    <t>POD齐后和detention fee出在一张单上</t>
  </si>
  <si>
    <t>TRLU6005835</t>
  </si>
  <si>
    <t>H46</t>
  </si>
  <si>
    <t>US0307001T220827H46</t>
  </si>
  <si>
    <t>2/9-&gt;2/13</t>
  </si>
  <si>
    <t>detention fee</t>
  </si>
  <si>
    <t>之前bill了440在@127488</t>
  </si>
  <si>
    <t>TEXU6016050</t>
  </si>
  <si>
    <t>K26</t>
  </si>
  <si>
    <t>US0307001T22080K26</t>
  </si>
  <si>
    <t>US0307001T220801K26</t>
  </si>
  <si>
    <t>dry run</t>
  </si>
  <si>
    <t>1500*6</t>
  </si>
  <si>
    <t>AMFU4261027</t>
  </si>
  <si>
    <t>M88</t>
  </si>
  <si>
    <t>US0307001T220810M88</t>
  </si>
  <si>
    <t>OW permit</t>
  </si>
  <si>
    <t>266x40</t>
  </si>
  <si>
    <t>TTNU0707603</t>
  </si>
  <si>
    <t>H78</t>
  </si>
  <si>
    <t>US0307001T220903H78</t>
  </si>
  <si>
    <t>TEXU8940485</t>
  </si>
  <si>
    <t>M49</t>
  </si>
  <si>
    <t>US0307001T220810M49</t>
  </si>
  <si>
    <t>最后BBL做了几个柜子？数量对的上吗</t>
  </si>
  <si>
    <t>TRLU6002749</t>
  </si>
  <si>
    <t>M91</t>
  </si>
  <si>
    <t>US0307001T220810M91</t>
  </si>
  <si>
    <t>2/2-&gt;2/13</t>
  </si>
  <si>
    <t>ZCSU6012760</t>
  </si>
  <si>
    <t>J26</t>
  </si>
  <si>
    <t>US0307001T220827J26</t>
  </si>
  <si>
    <t>TTNU0750214</t>
  </si>
  <si>
    <t>H32</t>
  </si>
  <si>
    <t>US0307001T220903H32</t>
  </si>
  <si>
    <t>TCLU6043630</t>
  </si>
  <si>
    <t>L46</t>
  </si>
  <si>
    <t>US0307001T220922L46</t>
  </si>
  <si>
    <t>TRIU0785719</t>
  </si>
  <si>
    <t>J39</t>
  </si>
  <si>
    <t>US0307001T220827J39</t>
  </si>
  <si>
    <t>JXLU6015414</t>
  </si>
  <si>
    <t>M57</t>
  </si>
  <si>
    <t>US0307001T220810M57</t>
  </si>
  <si>
    <t>US0307001T220801M57</t>
  </si>
  <si>
    <t>TTNU0706649</t>
  </si>
  <si>
    <t>H85</t>
  </si>
  <si>
    <t>US0307001T220903H85</t>
  </si>
  <si>
    <t>AMFU4244122</t>
  </si>
  <si>
    <t>M50</t>
  </si>
  <si>
    <t>US0307001T220810M50</t>
  </si>
  <si>
    <t>TCLU6023104</t>
  </si>
  <si>
    <t>L48</t>
  </si>
  <si>
    <t>US0307001T220922L48</t>
  </si>
  <si>
    <t>ZCSU6019169</t>
  </si>
  <si>
    <t>J42</t>
  </si>
  <si>
    <t>US0307001T220903J42</t>
  </si>
  <si>
    <t>ZCSU6024988</t>
  </si>
  <si>
    <t>H37</t>
  </si>
  <si>
    <t>US0307001T220903H37</t>
  </si>
  <si>
    <t>TCLU6016532</t>
  </si>
  <si>
    <t>H50</t>
  </si>
  <si>
    <t>US0307001T220827H50</t>
  </si>
  <si>
    <t>TCLU6041880</t>
  </si>
  <si>
    <t>H64</t>
  </si>
  <si>
    <t>US0307001T220827H64</t>
  </si>
  <si>
    <t>TRIU0751302</t>
  </si>
  <si>
    <t>H25</t>
  </si>
  <si>
    <t>US0307001T220810H25</t>
  </si>
  <si>
    <t>DRYU1400703</t>
  </si>
  <si>
    <t>K19</t>
  </si>
  <si>
    <t>US0307001T220810K19</t>
  </si>
  <si>
    <t>ZCSU6020956</t>
  </si>
  <si>
    <t>K39</t>
  </si>
  <si>
    <t>US0307001T220922K39</t>
  </si>
  <si>
    <t>JXLU6015651</t>
  </si>
  <si>
    <t>N52</t>
  </si>
  <si>
    <t>US0307001T220801N52</t>
  </si>
  <si>
    <t>ZCSU6018516</t>
  </si>
  <si>
    <t>N10</t>
  </si>
  <si>
    <t>US0307001T220801N10</t>
  </si>
  <si>
    <t>JXLU6015142</t>
  </si>
  <si>
    <t>H55</t>
  </si>
  <si>
    <t>US0307001T220810H55</t>
  </si>
  <si>
    <t>TRIU0776321</t>
  </si>
  <si>
    <t>L28</t>
  </si>
  <si>
    <t>USU0307001T220922L28</t>
  </si>
  <si>
    <t>US0307001T220922L28</t>
  </si>
  <si>
    <t>ZCSU6024165</t>
  </si>
  <si>
    <t>H91</t>
  </si>
  <si>
    <t>US0307001T220903H91</t>
  </si>
  <si>
    <t>AMFU4238752</t>
  </si>
  <si>
    <t>J07</t>
  </si>
  <si>
    <t>US0307001T220827J07</t>
  </si>
  <si>
    <t>2 hours detention</t>
  </si>
  <si>
    <t>TEXU8998907</t>
  </si>
  <si>
    <t>H52</t>
  </si>
  <si>
    <t>US0307001T220810H52</t>
  </si>
  <si>
    <t>TTNU0706525</t>
  </si>
  <si>
    <t>H70</t>
  </si>
  <si>
    <t>US0307001T220810H70</t>
  </si>
  <si>
    <t>ZCSU6018120</t>
  </si>
  <si>
    <t>H68</t>
  </si>
  <si>
    <t>US0307001T220827H68</t>
  </si>
  <si>
    <t>TCLU6050516</t>
  </si>
  <si>
    <t>L40</t>
  </si>
  <si>
    <t>US0307001T220922L40</t>
  </si>
  <si>
    <t>ZCSU6024360</t>
  </si>
  <si>
    <t>L56</t>
  </si>
  <si>
    <t>US0307001T220922L56</t>
  </si>
  <si>
    <t>AMFU4246357</t>
  </si>
  <si>
    <t>L43</t>
  </si>
  <si>
    <t xml:space="preserve">US0307001T220922L43 </t>
  </si>
  <si>
    <t>US0307001T220922L43</t>
  </si>
  <si>
    <t>TRIU0819341</t>
  </si>
  <si>
    <t>K15</t>
  </si>
  <si>
    <t>US0307001T220810K15</t>
  </si>
  <si>
    <t>TEXU8958592</t>
  </si>
  <si>
    <t>K06</t>
  </si>
  <si>
    <t>US0307001T220801K06</t>
  </si>
  <si>
    <t>TTNU0707917</t>
  </si>
  <si>
    <t>L57</t>
  </si>
  <si>
    <t>US0307001T220922L57</t>
  </si>
  <si>
    <t>TEXU8963855</t>
  </si>
  <si>
    <t>N33</t>
  </si>
  <si>
    <t>US0307001T220801N33</t>
  </si>
  <si>
    <t>TCLU6050460</t>
  </si>
  <si>
    <t>L59</t>
  </si>
  <si>
    <t>US0307001T220922L59</t>
  </si>
  <si>
    <t>ZCSU6013828</t>
  </si>
  <si>
    <t>M26-&gt;M62</t>
  </si>
  <si>
    <t>US0307001T220716M62</t>
  </si>
  <si>
    <t>TTNU0715743</t>
  </si>
  <si>
    <t>L45</t>
  </si>
  <si>
    <t>US0307001T220922L45</t>
  </si>
  <si>
    <t>TEXU8968327</t>
  </si>
  <si>
    <t>M93</t>
  </si>
  <si>
    <t xml:space="preserve">US0307001T220810M93 </t>
  </si>
  <si>
    <t>US0307001T220810M93</t>
  </si>
  <si>
    <t>ZCSU6011445</t>
  </si>
  <si>
    <t>M81</t>
  </si>
  <si>
    <t>US0307001T220810M81</t>
  </si>
  <si>
    <t>SEGU7623927</t>
  </si>
  <si>
    <t>M78</t>
  </si>
  <si>
    <t>US0307001T220810M78</t>
  </si>
  <si>
    <t>ZCSU6024099</t>
  </si>
  <si>
    <t>J15</t>
  </si>
  <si>
    <t>US0307001T220827J15</t>
  </si>
  <si>
    <t>TEXU8953306</t>
  </si>
  <si>
    <t>L04</t>
  </si>
  <si>
    <t>US0307001T220914L04</t>
  </si>
  <si>
    <t>ZCSU6022033</t>
  </si>
  <si>
    <t>J40</t>
  </si>
  <si>
    <t>US0307001T220827J40</t>
  </si>
  <si>
    <t>ZCSU6022265</t>
  </si>
  <si>
    <t>J08</t>
  </si>
  <si>
    <t>US0307001T220827J08</t>
  </si>
  <si>
    <t>TCLU6023655</t>
  </si>
  <si>
    <t>H61</t>
  </si>
  <si>
    <t>US0307001T220810H61</t>
  </si>
  <si>
    <t>flip 900, BROKEN,需按照POD来核对派送实际</t>
  </si>
  <si>
    <t>ZCSU6018413</t>
  </si>
  <si>
    <t>H63</t>
  </si>
  <si>
    <t>US0307001t220827H63</t>
  </si>
  <si>
    <t>US0307001T220827H63</t>
  </si>
  <si>
    <t>2/6下午送到，没赶上3点关门</t>
  </si>
  <si>
    <t>ZCSU6013915</t>
  </si>
  <si>
    <t>H89</t>
  </si>
  <si>
    <t>US0307001T220827H89</t>
  </si>
  <si>
    <t>ZCSU6024329</t>
  </si>
  <si>
    <t>J11</t>
  </si>
  <si>
    <t>US0307001T220810J11</t>
  </si>
  <si>
    <t>ZIMUSHH30982097, POD核对2/7派送√</t>
  </si>
  <si>
    <t>JXLU6015163</t>
  </si>
  <si>
    <t>H57</t>
  </si>
  <si>
    <t>US0307001T220810H57</t>
  </si>
  <si>
    <t>TRIU0776954</t>
  </si>
  <si>
    <t>M90</t>
  </si>
  <si>
    <t>US0307001T220810M90</t>
  </si>
  <si>
    <t>TRIU0830253</t>
  </si>
  <si>
    <t>J10</t>
  </si>
  <si>
    <t>US0307001T220827J10</t>
  </si>
  <si>
    <t>TCLU6041751</t>
  </si>
  <si>
    <t>J34</t>
  </si>
  <si>
    <t>US0307001T220827J34</t>
  </si>
  <si>
    <t>2/7-&gt;2/8</t>
  </si>
  <si>
    <t>TRIU0811485</t>
  </si>
  <si>
    <t>J28</t>
  </si>
  <si>
    <t>US0307001T220827J28</t>
  </si>
  <si>
    <t>ZCSU6013617</t>
  </si>
  <si>
    <t>J38</t>
  </si>
  <si>
    <t>US0307001T220827J38</t>
  </si>
  <si>
    <t>TOLU8792879</t>
  </si>
  <si>
    <t>K07</t>
  </si>
  <si>
    <t>US0307001T220801K07</t>
  </si>
  <si>
    <t>TCLU6042444</t>
  </si>
  <si>
    <t>K67</t>
  </si>
  <si>
    <t>US0307001T220922K67</t>
  </si>
  <si>
    <t>AMFU4243553</t>
  </si>
  <si>
    <t>L38</t>
  </si>
  <si>
    <t>US0307001T2209022L38</t>
  </si>
  <si>
    <t>US0307001T220922L38</t>
  </si>
  <si>
    <t>TRLU6021374</t>
  </si>
  <si>
    <t>K92</t>
  </si>
  <si>
    <t>US0307001T220922K92</t>
  </si>
  <si>
    <t>TRIU0795548</t>
  </si>
  <si>
    <t>L39</t>
  </si>
  <si>
    <t>US0307001T220922L39</t>
  </si>
  <si>
    <t>TRIU0794829</t>
  </si>
  <si>
    <t>N28</t>
  </si>
  <si>
    <t>US0307001T220717N28</t>
  </si>
  <si>
    <t>US0307001T220716N28</t>
  </si>
  <si>
    <t>1 hour detention</t>
  </si>
  <si>
    <t>TCLU6043440</t>
  </si>
  <si>
    <t>J02</t>
  </si>
  <si>
    <t>US0307001T220810J02</t>
  </si>
  <si>
    <t>TEXU8992468</t>
  </si>
  <si>
    <t>H75</t>
  </si>
  <si>
    <t>US0307001T220810H75</t>
  </si>
  <si>
    <t>TRIU0775449</t>
  </si>
  <si>
    <t>N68</t>
  </si>
  <si>
    <t>US0307001T220801N68</t>
  </si>
  <si>
    <t>TRIU0781610</t>
  </si>
  <si>
    <t>J20</t>
  </si>
  <si>
    <t>US0307001T220810J20</t>
  </si>
  <si>
    <t>TRIU0796919</t>
  </si>
  <si>
    <t>H97</t>
  </si>
  <si>
    <t>US0307001T220810H97</t>
  </si>
  <si>
    <t>ZCSU6019699</t>
  </si>
  <si>
    <t>J06</t>
  </si>
  <si>
    <t>US0307001T220810J06</t>
  </si>
  <si>
    <t>TCLU6043029</t>
  </si>
  <si>
    <t>L44</t>
  </si>
  <si>
    <t>US0307001T220922L44</t>
  </si>
  <si>
    <t>TCLU6050270</t>
  </si>
  <si>
    <t>L55</t>
  </si>
  <si>
    <t>US0307001T220922L55</t>
  </si>
  <si>
    <t>AMFU4260078</t>
  </si>
  <si>
    <t>L58</t>
  </si>
  <si>
    <t>US0307001T220922L58</t>
  </si>
  <si>
    <t>TRIU0741048</t>
  </si>
  <si>
    <t>N55</t>
  </si>
  <si>
    <t>US0307001T220810N55</t>
  </si>
  <si>
    <t>US0307001T220801N55</t>
  </si>
  <si>
    <t>ZCSU6024859</t>
  </si>
  <si>
    <t>N71</t>
  </si>
  <si>
    <t>US0307001T220827N71</t>
  </si>
  <si>
    <t>TCLU6018411</t>
  </si>
  <si>
    <t>M74</t>
  </si>
  <si>
    <t>US0307001T220810M74</t>
  </si>
  <si>
    <t>1.5 hours detention</t>
  </si>
  <si>
    <t>ZCSU6019723</t>
  </si>
  <si>
    <t>Q48</t>
  </si>
  <si>
    <t>US0307001T220810Q48</t>
  </si>
  <si>
    <t>ZCSU6021016</t>
  </si>
  <si>
    <t>H99</t>
  </si>
  <si>
    <t>US0307001T220801H99</t>
  </si>
  <si>
    <t>US0307001T220810H99</t>
  </si>
  <si>
    <t>ZCSU6009622</t>
  </si>
  <si>
    <t>N54</t>
  </si>
  <si>
    <t>US0307001T220801N54</t>
  </si>
  <si>
    <t>JXLU6016447</t>
  </si>
  <si>
    <t>N56</t>
  </si>
  <si>
    <t>US0307001T220801N56</t>
  </si>
  <si>
    <t>ZCSU6024951</t>
  </si>
  <si>
    <t>N60</t>
  </si>
  <si>
    <t>US0307001T220801N60</t>
  </si>
  <si>
    <t>ZCSU6010351</t>
  </si>
  <si>
    <t>H67</t>
  </si>
  <si>
    <t>US0307001T220827H67</t>
  </si>
  <si>
    <t>2/2-&gt;2/8</t>
  </si>
  <si>
    <t>TRIU0795701</t>
  </si>
  <si>
    <t>N70</t>
  </si>
  <si>
    <t>US0307001T220827N70</t>
  </si>
  <si>
    <t>ZCSU6021422</t>
  </si>
  <si>
    <t>N64</t>
  </si>
  <si>
    <t>US0307001T220801N64</t>
  </si>
  <si>
    <t>部分货柜新增200的提柜费</t>
  </si>
  <si>
    <t>220810j11</t>
  </si>
  <si>
    <t>Delivery Date</t>
  </si>
  <si>
    <t>Units</t>
  </si>
  <si>
    <t>CUST</t>
  </si>
  <si>
    <t>CN#</t>
  </si>
  <si>
    <t>KGS</t>
  </si>
  <si>
    <t>B/L#</t>
  </si>
  <si>
    <t>DEST</t>
  </si>
  <si>
    <t>ETA DEST</t>
  </si>
  <si>
    <t>RAIL</t>
  </si>
  <si>
    <t>DLY DATE</t>
  </si>
  <si>
    <t>CONTACT</t>
  </si>
  <si>
    <t>DO rcvd</t>
  </si>
  <si>
    <t xml:space="preserve"> INV Status</t>
  </si>
  <si>
    <t>CJ EXPRESS</t>
  </si>
  <si>
    <t>CAAU6378321</t>
  </si>
  <si>
    <t>CHICAGO</t>
  </si>
  <si>
    <t>335 W Crossroads Pkwy, Suite A,
  Bolingbrook, IL 60440
  Tel: 909 527 2175</t>
  </si>
  <si>
    <t>909 527 2175</t>
  </si>
  <si>
    <t>DCF4AF</t>
  </si>
  <si>
    <t>11-3 bobtail fee $350 / 11-2 因后续5天之内没有新柜子去这个地址，司机需要 dry run 去 还空柜。所以 收费是 double drayage / 11-1 晚 清空柜/ pre-pull as wh was not able to take</t>
  </si>
  <si>
    <t>yes</t>
  </si>
  <si>
    <t>BG101512</t>
    <phoneticPr fontId="82" type="noConversion"/>
  </si>
  <si>
    <t>MRKU9819580</t>
  </si>
  <si>
    <t>20T</t>
    <phoneticPr fontId="82" type="noConversion"/>
  </si>
  <si>
    <t>10-25 at 1 pm</t>
  </si>
  <si>
    <t>1124 MARQUETTE AVE,SOUTH WI 53172</t>
  </si>
  <si>
    <t>AC85F0</t>
  </si>
  <si>
    <t>10-19 devan / 10-15 rcvd DO with rail demurrage - over weight</t>
  </si>
  <si>
    <t>BG101511</t>
    <phoneticPr fontId="82" type="noConversion"/>
  </si>
  <si>
    <t>TEMU3901435</t>
  </si>
  <si>
    <t>10-25 at 2 pm</t>
  </si>
  <si>
    <t>AB034C</t>
  </si>
  <si>
    <t>BG101517</t>
  </si>
  <si>
    <t>SUDU7376827</t>
  </si>
  <si>
    <t>10-25 at 12;30</t>
  </si>
  <si>
    <t>1000 STATE STREET，CALUMET IL 60409</t>
  </si>
  <si>
    <t>Brandy at 1-708/868/0816 ext 1000</t>
  </si>
  <si>
    <t>5F42A0  </t>
  </si>
  <si>
    <t>10-18 at yard to devan / 10-15 rcvd DO with rail demurrage $9750 - over weight</t>
    <phoneticPr fontId="82" type="noConversion"/>
  </si>
  <si>
    <t>BG101518</t>
  </si>
  <si>
    <t>TEMU1063375</t>
  </si>
  <si>
    <t>10-25 at 13;00</t>
  </si>
  <si>
    <t>63A2E8</t>
  </si>
  <si>
    <t>10-18 pending devan / 10-15 rcvd DO with rail demurrage - over weight</t>
  </si>
  <si>
    <t>BG101513</t>
  </si>
  <si>
    <t>TLLU2150876</t>
  </si>
  <si>
    <t>10-26 at 9 am</t>
  </si>
  <si>
    <t>AB0078</t>
  </si>
  <si>
    <t>10-19 devan/ 10-15 rcvd DO with rail demurrage - over weight</t>
  </si>
  <si>
    <t>RM103102</t>
    <phoneticPr fontId="82" type="noConversion"/>
  </si>
  <si>
    <t>HYWU6604845</t>
  </si>
  <si>
    <t>CN - Joliet</t>
  </si>
  <si>
    <t>1331 SCHIFERL RD, BARTLETT IL 60103</t>
  </si>
  <si>
    <t xml:space="preserve"> Direct delivery / FCFS</t>
  </si>
  <si>
    <t>BG101514</t>
  </si>
  <si>
    <t>CAIU6205268</t>
  </si>
  <si>
    <t>10-26 at 11 am</t>
  </si>
  <si>
    <t>AC2831</t>
  </si>
  <si>
    <t>10-19 will devan / 10-15 rcvd DO with rail demurrage - over weight</t>
  </si>
  <si>
    <t>RM103104</t>
  </si>
  <si>
    <t>GLDU0225224</t>
  </si>
  <si>
    <t>SOC to Con Global / Direct delivery / FCFS</t>
  </si>
  <si>
    <t>RM103105</t>
  </si>
  <si>
    <t>GLDU3086117</t>
  </si>
  <si>
    <t>SOC to Con Global / Direct delivery / FCFS/OMAR-IG</t>
  </si>
  <si>
    <t>BG101516</t>
  </si>
  <si>
    <t>MSKU4002183</t>
  </si>
  <si>
    <t>10-27 at 11am</t>
  </si>
  <si>
    <t>6DBB72</t>
  </si>
  <si>
    <t>10-15 rcvd DO with rail demurrage - over weight</t>
  </si>
  <si>
    <t>BG101515</t>
  </si>
  <si>
    <t>MRKU9725753</t>
  </si>
  <si>
    <t>10-27 at 9am</t>
  </si>
  <si>
    <t>7252AC</t>
  </si>
  <si>
    <t>BG101821</t>
    <phoneticPr fontId="82" type="noConversion"/>
  </si>
  <si>
    <t>SUDU7432469</t>
    <phoneticPr fontId="82" type="noConversion"/>
  </si>
  <si>
    <t>10-28 at 10 am</t>
  </si>
  <si>
    <t>1124 MARQUETTE AVE，SOUTH WI 53172</t>
  </si>
  <si>
    <t>Dock appointment needed -
Please contact 414-486-2042 or
414-483-3080 for Lindner.</t>
  </si>
  <si>
    <t>57A07B</t>
  </si>
  <si>
    <t>10-20 need devan / 10-19 rcvd DO /overweight and transload</t>
  </si>
  <si>
    <t>SEGU5175464</t>
  </si>
  <si>
    <t>NBLY015210</t>
  </si>
  <si>
    <t>335 W Crossroads Pkwy, Suite A,Bolingbrook, IL 60440</t>
  </si>
  <si>
    <t>5075C1</t>
  </si>
  <si>
    <t>IG to delong / chassis flip occur /  LFD 是 11-10， CC在 11-11 发 pu#。 Rail demurrage 产生 / PO2021102100026</t>
  </si>
  <si>
    <t>CMAU7481833</t>
  </si>
  <si>
    <t>NBLY015211</t>
  </si>
  <si>
    <t>LFD 是 11-10， CC在 11-11 发 pu#。 Rail demurrage 产生 / PO2021102100027</t>
  </si>
  <si>
    <t>BG101310</t>
  </si>
  <si>
    <t>BMOU1422907</t>
  </si>
  <si>
    <t>HLCUSHA2108BWBV0</t>
  </si>
  <si>
    <t xml:space="preserve">10-19 at 1 pm </t>
  </si>
  <si>
    <t>144438 EAST NORTH ROAD， CORTLAND IL 60112</t>
  </si>
  <si>
    <t>ws/ 10-18 pending devan /overweighted</t>
  </si>
  <si>
    <t>sent pod 10-21</t>
  </si>
  <si>
    <t>BG101301</t>
    <phoneticPr fontId="82" type="noConversion"/>
  </si>
  <si>
    <t>UACU3983965</t>
  </si>
  <si>
    <t>10-20  at 1 pm</t>
  </si>
  <si>
    <t>sent pod 10-25</t>
    <phoneticPr fontId="82" type="noConversion"/>
  </si>
  <si>
    <t>BG101303</t>
  </si>
  <si>
    <t>UACU3420637</t>
  </si>
  <si>
    <t>10-20 at 8am</t>
  </si>
  <si>
    <t>BG101302</t>
    <phoneticPr fontId="82" type="noConversion"/>
  </si>
  <si>
    <t>DFSU1384542</t>
  </si>
  <si>
    <t>10-20 at 9;30 am</t>
  </si>
  <si>
    <t>ws / 10-18 pending devan / overweighted</t>
  </si>
  <si>
    <t>10-22 sent pod</t>
  </si>
  <si>
    <t>BG101304</t>
  </si>
  <si>
    <t>GLDU3835318</t>
  </si>
  <si>
    <t>10-21 at 11am to 12pm</t>
  </si>
  <si>
    <t>Direct delivery / FCFS</t>
  </si>
  <si>
    <t>CAIU8952920</t>
  </si>
  <si>
    <t>NBLY015226</t>
  </si>
  <si>
    <t>335 W Crossroads Pkwy, Suite A,
 Bolingbrook, IL 60440</t>
  </si>
  <si>
    <t xml:space="preserve">DFAC1F </t>
  </si>
  <si>
    <t>PO2021102200012/JUAN-OG</t>
  </si>
  <si>
    <t>BG101309</t>
  </si>
  <si>
    <t>TCLU3899794</t>
  </si>
  <si>
    <t>10-20 at 10am</t>
  </si>
  <si>
    <t>10-18 pending devan /chassis flip occur/ overweighted</t>
  </si>
  <si>
    <t>MSKU1032760</t>
  </si>
  <si>
    <t>D44955</t>
  </si>
  <si>
    <t>Reroute $175 to CN / ITC/HUANG-PREPULL / 11-30 清空柜/JAVIER-IG</t>
  </si>
  <si>
    <t>SUDU8819540</t>
  </si>
  <si>
    <t xml:space="preserve">494C01 </t>
  </si>
  <si>
    <t>Reroute $175 to CN / ITC</t>
  </si>
  <si>
    <t>BG102150</t>
  </si>
  <si>
    <t>CICU2405724</t>
  </si>
  <si>
    <t>GLORY BULK LIMITED</t>
  </si>
  <si>
    <t>91JN2101CHI0549</t>
  </si>
  <si>
    <t>1245 CHAPMAN DRIVE ,WAUKESHA WI 53186</t>
  </si>
  <si>
    <t>FIRESTONE BUILDING PRODUCTS - GACO--PLEASE CONTACT SHERRI FEKETE AT 262 -832-0678 / FEKETESHERRI@FIRESTONEBP.COM</t>
  </si>
  <si>
    <t>SOC  to NLN， Acceptance: IEMUSA -- Overweight &amp; transload/ARMANDO-OG/VELA-IG</t>
  </si>
  <si>
    <t xml:space="preserve">yes  </t>
  </si>
  <si>
    <t>am f</t>
  </si>
  <si>
    <t xml:space="preserve">wh </t>
  </si>
  <si>
    <t>BG102151</t>
  </si>
  <si>
    <t>CICU2406989</t>
  </si>
  <si>
    <t>SOC  to NLN， Acceptance: IEMUSA -- Overweight &amp; transload/HUANG-OG,IG</t>
  </si>
  <si>
    <t>BG102152</t>
  </si>
  <si>
    <t>CICU2406994</t>
  </si>
  <si>
    <t>SOC  to NLN， Acceptance: IEMUSA -- Overweight &amp; transload/JAVIER-IG</t>
  </si>
  <si>
    <t>BG102153</t>
  </si>
  <si>
    <t>CICU2407917</t>
  </si>
  <si>
    <t>SOC  to NLN， Acceptance: IEMUSA -- Overweight &amp; transload/FRAN-OG/ZHANG-IG</t>
  </si>
  <si>
    <t>BG102154</t>
  </si>
  <si>
    <t>CICU2405196</t>
  </si>
  <si>
    <t>91JN2101CHI0547</t>
  </si>
  <si>
    <t>SOC  to NLN， Acceptance: IEMUSA -- Overweight &amp; transload/HUANG-OG/ZHANG-IG</t>
  </si>
  <si>
    <t>BG102155</t>
  </si>
  <si>
    <t>CICU2405658</t>
  </si>
  <si>
    <t>SOC  to NLN， Acceptance: IEMUSA -- Overweight &amp; transload/CHEN-IG</t>
  </si>
  <si>
    <t xml:space="preserve">yes </t>
  </si>
  <si>
    <t>BG102156</t>
  </si>
  <si>
    <t>CICU2407901</t>
  </si>
  <si>
    <t>BG102157</t>
  </si>
  <si>
    <t>CICU2406119</t>
  </si>
  <si>
    <t>91JN2101CHI0548</t>
  </si>
  <si>
    <t>018468</t>
  </si>
  <si>
    <t>SOC  to NLN， Acceptance: IEMUSA -- Overweight &amp; transload/FRAN-OG/OMAR-IG</t>
  </si>
  <si>
    <t>BG101308</t>
  </si>
  <si>
    <t>HLXU1413335</t>
  </si>
  <si>
    <t>10-20 at 11 am</t>
  </si>
  <si>
    <t>10-18 pending devan /overweighted</t>
  </si>
  <si>
    <t>BG102158</t>
    <phoneticPr fontId="82" type="noConversion"/>
  </si>
  <si>
    <t>CICU2406931</t>
  </si>
  <si>
    <t xml:space="preserve"> 12-6 by 2pm</t>
  </si>
  <si>
    <t>SOC  to NLN， Acceptance: IEMUSA -- Overweight &amp; /transload/ZHANG-IG</t>
  </si>
  <si>
    <t>u</t>
  </si>
  <si>
    <t>BG102159</t>
    <phoneticPr fontId="82" type="noConversion"/>
  </si>
  <si>
    <t>CICU2406952</t>
  </si>
  <si>
    <t xml:space="preserve"> 12-7 by 2pm</t>
  </si>
  <si>
    <t>SOC  to NLN， Acceptance: IEMUSA -- Overweight &amp; transload/HUANG-OG</t>
  </si>
  <si>
    <t xml:space="preserve">yes    </t>
  </si>
  <si>
    <t>wh</t>
  </si>
  <si>
    <t>BG101305</t>
  </si>
  <si>
    <t>TGHU0925137</t>
  </si>
  <si>
    <t>10-21  at 1 pm</t>
  </si>
  <si>
    <t>BG101307</t>
  </si>
  <si>
    <t>HLXU3382531</t>
  </si>
  <si>
    <t>10-22  at 1 pm</t>
  </si>
  <si>
    <t>10-21 sent</t>
  </si>
  <si>
    <t>BG101306</t>
  </si>
  <si>
    <t>HLXU1113410</t>
  </si>
  <si>
    <t>10-22 at 11am to 12pm</t>
  </si>
  <si>
    <t>BG101820</t>
    <phoneticPr fontId="82" type="noConversion"/>
  </si>
  <si>
    <t>UACU3579932</t>
  </si>
  <si>
    <t>HLCUNG12108CXBE2</t>
  </si>
  <si>
    <t>11-11 at 11 am</t>
  </si>
  <si>
    <t>11-5 rcvd pu#, cntr at GO, wait for CC to clear demurrage / overweight and transload</t>
  </si>
  <si>
    <t>BG102160</t>
    <phoneticPr fontId="82" type="noConversion"/>
  </si>
  <si>
    <t>BEAU2217327</t>
    <phoneticPr fontId="82" type="noConversion"/>
  </si>
  <si>
    <t>HLCUNG12108CXAP2</t>
    <phoneticPr fontId="82" type="noConversion"/>
  </si>
  <si>
    <t>overweight and transload</t>
  </si>
  <si>
    <t>BG102161</t>
    <phoneticPr fontId="82" type="noConversion"/>
  </si>
  <si>
    <t>HLBU1219359</t>
    <phoneticPr fontId="82" type="noConversion"/>
  </si>
  <si>
    <t>HLCUNG12108CXAP2</t>
  </si>
  <si>
    <t>so</t>
  </si>
  <si>
    <t>BG102162</t>
    <phoneticPr fontId="82" type="noConversion"/>
  </si>
  <si>
    <t>HLXU3490480</t>
    <phoneticPr fontId="82" type="noConversion"/>
  </si>
  <si>
    <t>BG102163</t>
    <phoneticPr fontId="82" type="noConversion"/>
  </si>
  <si>
    <t>BEAU2206744</t>
    <phoneticPr fontId="82" type="noConversion"/>
  </si>
  <si>
    <t>BG102164</t>
    <phoneticPr fontId="82" type="noConversion"/>
  </si>
  <si>
    <t>UACU3386086</t>
    <phoneticPr fontId="82" type="noConversion"/>
  </si>
  <si>
    <t>BG110399</t>
    <phoneticPr fontId="82" type="noConversion"/>
  </si>
  <si>
    <t>UACU3918234</t>
  </si>
  <si>
    <t>HLCUNG12108CXBH5</t>
  </si>
  <si>
    <t>11-9 at 1  pm</t>
  </si>
  <si>
    <t>we rcvd DO on 11-3 night, which passed the LFD / overweight and transload / return to ITI Wilmington</t>
  </si>
  <si>
    <t>BG102593</t>
  </si>
  <si>
    <t>GLDU3737923</t>
  </si>
  <si>
    <t>MEDUNL132275</t>
  </si>
  <si>
    <t>11-9  at 11 am</t>
  </si>
  <si>
    <t>188492  </t>
  </si>
  <si>
    <t>估计 11-6</t>
  </si>
  <si>
    <t xml:space="preserve">appt for 11-8 / CN surchage, chassis split / Overweight + transload / </t>
  </si>
  <si>
    <t>BG102595</t>
  </si>
  <si>
    <t>MEDU3795881</t>
  </si>
  <si>
    <t>11-9 at 12；30 pm</t>
  </si>
  <si>
    <t xml:space="preserve">‘057838  </t>
  </si>
  <si>
    <t>BG102177</t>
  </si>
  <si>
    <t>TCLU2385888</t>
  </si>
  <si>
    <t>HLCUSHA2108BWCE8</t>
  </si>
  <si>
    <t>Direct drayage/ overweight</t>
  </si>
  <si>
    <t>BG102179</t>
  </si>
  <si>
    <t>CAIU6689331</t>
  </si>
  <si>
    <t>CAAU6382872</t>
  </si>
  <si>
    <t>10-25 at7 pm</t>
  </si>
  <si>
    <t>E2716B</t>
  </si>
  <si>
    <t>11-3 bobtail fee $350 /11-2 因后续5天之内没有新柜子去这个地址，司机需要 dry run 去 还空柜。所以 收费是 double drayage / 10-28 空柜</t>
  </si>
  <si>
    <t>CAAU6377346</t>
  </si>
  <si>
    <t>BFC094</t>
  </si>
  <si>
    <t>11-3 bobtail fee $350 - returned to BN but got rejected /11-2 因后续5天之内没有新柜子去这个地址，司机需要 dry run 去 还空柜。所以 收费是 double drayage / 10-29 evening 空柜</t>
  </si>
  <si>
    <t>BG102183</t>
  </si>
  <si>
    <t>HLBU2285078</t>
  </si>
  <si>
    <t>BG102175</t>
  </si>
  <si>
    <t>HLBU2342239</t>
  </si>
  <si>
    <t>U</t>
  </si>
  <si>
    <t>BG102594</t>
  </si>
  <si>
    <t>MEDU1818144</t>
  </si>
  <si>
    <t xml:space="preserve">CN surchage, chassis split / Overweight + transload / </t>
  </si>
  <si>
    <t>BG102596</t>
  </si>
  <si>
    <t>MSCU3870422</t>
  </si>
  <si>
    <t>BG102176</t>
  </si>
  <si>
    <t>UETU2802075</t>
  </si>
  <si>
    <t>CMAU7809440</t>
  </si>
  <si>
    <t>NBDN377694</t>
  </si>
  <si>
    <t>11/11 5PM</t>
  </si>
  <si>
    <t>F5BA05</t>
  </si>
  <si>
    <t>PO2021101900013</t>
  </si>
  <si>
    <t>BG1108102</t>
    <phoneticPr fontId="82" type="noConversion"/>
  </si>
  <si>
    <t>MRSU5564123</t>
    <phoneticPr fontId="82" type="noConversion"/>
  </si>
  <si>
    <t>40HQ</t>
    <phoneticPr fontId="82" type="noConversion"/>
  </si>
  <si>
    <t>SUD</t>
  </si>
  <si>
    <t>SUDUN1KCA037808X</t>
  </si>
  <si>
    <t>11/16 9AM</t>
  </si>
  <si>
    <t>2434 CENTURY DRIVE GOSHEN,IN 46528</t>
  </si>
  <si>
    <t>BED4F2</t>
  </si>
  <si>
    <t xml:space="preserve">11-16 driver detention for 4 hours and 30 mins / 11-8 CC 说约送货时间直接找CC。 不用找仓库/ rcvd DO on 11-8, yet LFD is 11-8/ </t>
  </si>
  <si>
    <t>BG102178</t>
  </si>
  <si>
    <t>TEMU2224751</t>
  </si>
  <si>
    <t>TGHU6550300</t>
  </si>
  <si>
    <t>SGN1272630</t>
  </si>
  <si>
    <t>11-22  at 5;30pm</t>
  </si>
  <si>
    <t>11-24 清空柜 / on UP stack since 11-17, become available on 11-22  / PO2021101300048/FRAN-OG,D/HUANG-IG</t>
  </si>
  <si>
    <t>MRSU4744687</t>
  </si>
  <si>
    <t>11-22 at 5 pm</t>
  </si>
  <si>
    <t xml:space="preserve">E0048F </t>
  </si>
  <si>
    <t>MRSU4742391</t>
  </si>
  <si>
    <t>11-22 at 7;45 pm</t>
  </si>
  <si>
    <t>9705DE</t>
  </si>
  <si>
    <t>Reroute $175 to CN / ITC/JUAN-IG</t>
  </si>
  <si>
    <t>MRSU3456135</t>
  </si>
  <si>
    <t>11-22 at 9；20 pm</t>
  </si>
  <si>
    <t>C54B5A</t>
  </si>
  <si>
    <t>MRKU2786320</t>
  </si>
  <si>
    <t>11-24 at 6;30pm</t>
  </si>
  <si>
    <t>F4B781</t>
  </si>
  <si>
    <t>UETU5906710</t>
  </si>
  <si>
    <t>HLCUNG12108EFOX6</t>
  </si>
  <si>
    <t>11-24 at 9 am to 12 pm</t>
  </si>
  <si>
    <t>2050 S. MT. PROSPECT RD.UNIT B,DES PLAINES,IL 60018</t>
  </si>
  <si>
    <t>re-route/ DIRECT DRAYAGE/  return to 3100 W 77 th street, Chicago, IL 60652 / turn in ref# 75040351 / pull out detention for 1.5 hr / HUANG-OG,D,IG</t>
  </si>
  <si>
    <t>FANU1626567</t>
  </si>
  <si>
    <t>LJL21080592</t>
  </si>
  <si>
    <t>11-26 at 9 am to 12pm</t>
  </si>
  <si>
    <t>2050 S. MT. PROSPECT RD.UNIT B,DES PLAINES, ILLINOIS 60018</t>
  </si>
  <si>
    <t>re-route/DIRECT DRAYAGE/  return to 3100 W 77 th street, Chicago, IL 60652 / turn in ref# 75040351/HUANG-OG/CHEN-IG</t>
  </si>
  <si>
    <t>BG102180</t>
  </si>
  <si>
    <t>TRLU9164194</t>
  </si>
  <si>
    <t>IGLPC/ Direct drayage/ overweight</t>
  </si>
  <si>
    <t>BG102181</t>
  </si>
  <si>
    <t>CAIU2493989</t>
  </si>
  <si>
    <t>BG102182</t>
  </si>
  <si>
    <t>TCKU3664806</t>
  </si>
  <si>
    <t>估计 11-17</t>
  </si>
  <si>
    <t>BG102184</t>
  </si>
  <si>
    <t>TEMU1463324</t>
  </si>
  <si>
    <t>BG102140</t>
    <phoneticPr fontId="82" type="noConversion"/>
  </si>
  <si>
    <t>CICU2406464</t>
  </si>
  <si>
    <t>91JN2101CHI0550</t>
  </si>
  <si>
    <t>12-6 at 11 am</t>
  </si>
  <si>
    <t>过了 LFD 给的 pu# / SOC to NLN-HCS at 3305 S. Lawndale, Chicago, IL 60623 /Acceptance: IEMUSA / -- Overweight &amp; transload/ARMANDO-OG,D,IG</t>
  </si>
  <si>
    <t>wsp</t>
  </si>
  <si>
    <t>BG102141</t>
    <phoneticPr fontId="82" type="noConversion"/>
  </si>
  <si>
    <t>CICU2406485</t>
  </si>
  <si>
    <t>12-6 at 12 pm</t>
  </si>
  <si>
    <t>过了 LFD 给的 pu# / SOC to NLN-HCS at 3305 S. Lawndale, Chicago, IL 60623 /Acceptance: IEMUSA / -- Overweight &amp; transload/VELA-OG</t>
  </si>
  <si>
    <t>BG102146</t>
    <phoneticPr fontId="82" type="noConversion"/>
  </si>
  <si>
    <t>CICU2407239</t>
  </si>
  <si>
    <t>12-6 at 1 pm</t>
  </si>
  <si>
    <t>过了 LFD 给的 pu# / SOC to NLN-HCS at 3305 S. Lawndale, Chicago, IL 60623 /Acceptance: IEMUSA / -- Overweight &amp; transload / chassis split/HUANG-IG</t>
  </si>
  <si>
    <t>BG102147</t>
    <phoneticPr fontId="82" type="noConversion"/>
  </si>
  <si>
    <t>CICU2407265</t>
  </si>
  <si>
    <t>12-7 at 11 am</t>
  </si>
  <si>
    <t>SOC to NLN-HCS at 3305 S. Lawndale, Chicago, IL 60623 /Acceptance: IEMUSA / -- Overweight &amp; transload</t>
  </si>
  <si>
    <t>BG102145</t>
    <phoneticPr fontId="82" type="noConversion"/>
  </si>
  <si>
    <t>CICU2407157</t>
  </si>
  <si>
    <t>12-7 at 12 pm</t>
  </si>
  <si>
    <t>过了 LFD 给的 pu# /SOC to NLN-HCS at 3305 S. Lawndale, Chicago, IL 60623 /Acceptance: IEMUSA / -- Overweight &amp; transload</t>
  </si>
  <si>
    <t>BG102142</t>
  </si>
  <si>
    <t>CICU2407100</t>
  </si>
  <si>
    <t>12-7 at 1 pm</t>
  </si>
  <si>
    <t>过了 LFD 给的 pu# / SOC to NLN-HCS at 3305 S. Lawndale, Chicago, IL 60623 /Acceptance: IEMUSA / -- Overweight &amp; transload</t>
  </si>
  <si>
    <t>BG102149</t>
    <phoneticPr fontId="82" type="noConversion"/>
  </si>
  <si>
    <t>CICU2407310</t>
  </si>
  <si>
    <t>12-3 at 1 pm</t>
  </si>
  <si>
    <t>SOC to NLN-HCS at 3305 S. Lawndale, Chicago, IL 60623 /Acceptance: IEMUSA / -- Overweight &amp; transload/FRAN-IG</t>
  </si>
  <si>
    <t>KH01</t>
  </si>
  <si>
    <t xml:space="preserve">BBTU8679529   </t>
  </si>
  <si>
    <t>SSHMN01004</t>
  </si>
  <si>
    <t>12-2 at 9 am</t>
  </si>
  <si>
    <t xml:space="preserve">4501 S WESTERN BLVD， Chicago， IL 60609 </t>
  </si>
  <si>
    <t xml:space="preserve">电话：773-847-1400 ：agonzalez@newstarlighting.com / Angela Gonzalez   </t>
  </si>
  <si>
    <t>11-30 hold released / 11-23 put on HOLD by cc / per diem due to CC HOLD the container / SOC Return Location: ITS ConGlobal 6401 W, 46th St, Forest View, IL 60402, TIN#CoA21A124/FRAN-OG/OMAR-D,IG</t>
  </si>
  <si>
    <t>BG102143</t>
    <phoneticPr fontId="82" type="noConversion"/>
  </si>
  <si>
    <t>CICU2407115</t>
  </si>
  <si>
    <t>12-8 at 11 am</t>
  </si>
  <si>
    <t>过了 LFD 给的 pu# /SOC to NLN-HCS at 3305 S. Lawndale, Chicago, IL 60623 /Acceptance: IEMUSA / -- Overweight &amp; transload/ZHANG-IG</t>
  </si>
  <si>
    <t>BG102148</t>
    <phoneticPr fontId="82" type="noConversion"/>
  </si>
  <si>
    <t>CICU2407305</t>
  </si>
  <si>
    <t>12-8 at 12 pm</t>
  </si>
  <si>
    <t>SOC to NLN-HCS at 3305 S. Lawndale, Chicago, IL 60623 /Acceptance: IEMUSA / -- Overweight &amp; transload/JAVIER-IG</t>
  </si>
  <si>
    <t>CICU2405365</t>
  </si>
  <si>
    <t>DZ SHIPPING MANAGMENT</t>
  </si>
  <si>
    <t>91JN2102CHI0569</t>
  </si>
  <si>
    <t>11-30 at 10 am</t>
  </si>
  <si>
    <t>overweight and transload. SOC to NLN at 3305 S Lawndale, Chicago, IL 60623 / REF# AARKCH1101/HUANG-OG/FRAN-IG</t>
  </si>
  <si>
    <t>CICU2405529</t>
  </si>
  <si>
    <t>12-3 at 10 am</t>
  </si>
  <si>
    <t>overweight and transload. SOC to NLN at 3305 S Lawndale, Chicago, IL 60623 / REF# AARKCH1101/JUAN-OG/CHEN-IG</t>
  </si>
  <si>
    <t>CICU2407882</t>
  </si>
  <si>
    <t>12-8 at 10 am</t>
  </si>
  <si>
    <t>048454</t>
  </si>
  <si>
    <t>overweight and transload. SOC to NLN at 3305 S Lawndale, Chicago, IL 60623 / REF# AARKCH1101/JUAN-OG</t>
  </si>
  <si>
    <t>CICU2408425</t>
  </si>
  <si>
    <t>12-9 at 12 pm</t>
  </si>
  <si>
    <t>overweight and transload. SOC to NLN at 3305 S Lawndale, Chicago, IL 60623 / REF# AARKCH1101/OMAR-PREPULL/ZHANG-IG</t>
  </si>
  <si>
    <t>CICU2405339</t>
  </si>
  <si>
    <t>11-29 at 12 pm</t>
  </si>
  <si>
    <t>overweight and transload. SOC to NLN at 3305 S Lawndale, Chicago, IL 60623 / REF# AARKCH1101/CHEN-OG</t>
  </si>
  <si>
    <t>CICU2406124</t>
  </si>
  <si>
    <t>91JN2101CHI0546</t>
  </si>
  <si>
    <t>customer wants to change address from 21800 S. CICERO AVE, MATTESON IL 60443 to 21751 Jason Rasmussen Dr.Sauk Village, IL  60411</t>
  </si>
  <si>
    <t>920-731-3579</t>
  </si>
  <si>
    <t>overweight and transload soc to NLN-HCS at 3305 S. Lawndale ave, Chicago, IL 60623 / Acceptance: /IEMUSA/JUAN-OG/JAVIER-IG</t>
  </si>
  <si>
    <t>am f - 8607345332</t>
  </si>
  <si>
    <t>CICU2405391</t>
  </si>
  <si>
    <t>11-30 at 12 pm</t>
  </si>
  <si>
    <t>overweight and transload. SOC to NLN at 3305 S Lawndale, Chicago, IL 60623 / REF# AARKCH1101/JAVIER-IG</t>
  </si>
  <si>
    <t>CICU2405827</t>
  </si>
  <si>
    <t xml:space="preserve">12-10 at 1 pm </t>
  </si>
  <si>
    <t>overweight and transload. SOC to NLN at 3305 S Lawndale, Chicago, IL 60623 / REF# AARKCH1101/FRAN-OG/CHEN-IG</t>
  </si>
  <si>
    <t>CICU2406546</t>
  </si>
  <si>
    <t>overweight and transload soc to NLN-HCS at 3305 S. Lawndale ave, Chicago, IL 60623 / Acceptance: IEMUSA/OMAR-IG</t>
  </si>
  <si>
    <t>CICU2405787</t>
  </si>
  <si>
    <t>12-1 at 12 pm</t>
  </si>
  <si>
    <t>overweight and transload. SOC to NLN at 3305 S Lawndale, Chicago, IL 60623 / REF# AARKCH1101/OMAR-OG</t>
  </si>
  <si>
    <t>CICU2405832</t>
  </si>
  <si>
    <t>12-10 at 10 am</t>
  </si>
  <si>
    <t>overweight and transload. SOC to NLN at 3305 S Lawndale, Chicago, IL 60623 / REF# AARKCH1101/FRAN-OG/HUANG-IG</t>
  </si>
  <si>
    <t>CICU2407516</t>
  </si>
  <si>
    <t>12-6 at 2 pm</t>
  </si>
  <si>
    <t>overweight and transload soc to NLN-HCS at 3305 S. Lawndale ave, Chicago, IL 60623 / Acceptance: IEMUSA/JAVIER-IG</t>
  </si>
  <si>
    <t>CICU2407286</t>
  </si>
  <si>
    <t>12-10 at 12 pm</t>
  </si>
  <si>
    <t>overweight and transload. SOC to NLN at 3305 S Lawndale, Chicago, IL 60623 / REF# AARKCH1101/JUAN-OG/HUANG-IG</t>
  </si>
  <si>
    <t>BG102144</t>
    <phoneticPr fontId="82" type="noConversion"/>
  </si>
  <si>
    <t>CICU2407120</t>
  </si>
  <si>
    <t xml:space="preserve">12-9 at 1 pm </t>
  </si>
  <si>
    <t>SOC to NLN-HCS at 3305 S. Lawndale, Chicago, IL 60623 /Acceptance: IEMUSA / -- Overweight &amp; transload/JUAN-OG/HUANG-IG</t>
  </si>
  <si>
    <t>BG102592</t>
  </si>
  <si>
    <t>TGCU2157214</t>
  </si>
  <si>
    <t>MEDUNL132283</t>
  </si>
  <si>
    <t>12-3 at 11 am</t>
  </si>
  <si>
    <t>21420A</t>
  </si>
  <si>
    <t>Overweight + transload / HUANG-PREPULL/JUAN-IG</t>
  </si>
  <si>
    <t>BG102591</t>
  </si>
  <si>
    <t>MEDU6543219</t>
  </si>
  <si>
    <t>5F1E65</t>
  </si>
  <si>
    <t xml:space="preserve">Overweight + transload / </t>
  </si>
  <si>
    <t>BG102589</t>
  </si>
  <si>
    <t>MEDU6968609</t>
  </si>
  <si>
    <t>1F66A3</t>
  </si>
  <si>
    <t>am f -7129182397</t>
  </si>
  <si>
    <t>BG102590</t>
  </si>
  <si>
    <t>TCKU1795725</t>
  </si>
  <si>
    <t>2A52D5</t>
  </si>
  <si>
    <t>Overweight + transload / JUAN-IG/ dry run fee, the warehouse rejected our driver on 12-6.</t>
  </si>
  <si>
    <t>yes - pending POD,no fo</t>
  </si>
  <si>
    <t>1st attempt pod sent/ pending 2nd pod</t>
  </si>
  <si>
    <t>BG102587</t>
  </si>
  <si>
    <t>HLBU2953860</t>
  </si>
  <si>
    <t>HLCUNG12108CXDX2</t>
  </si>
  <si>
    <t>Overweight + transload / EMP RTN to ITI Ref# 73634692/FRAN-IG</t>
  </si>
  <si>
    <t>FANU1336172</t>
  </si>
  <si>
    <t>HLCUNG12107ERYC2</t>
  </si>
  <si>
    <t>12-3 at 12pm</t>
  </si>
  <si>
    <t>708-868-0816 (1633)</t>
  </si>
  <si>
    <t>overweight &amp; transload/ return to ITI / ABL got DO on 11-30 after the LFD /HUANG-PREPULL</t>
  </si>
  <si>
    <t>TGHU3829332</t>
  </si>
  <si>
    <t>HLCUNG12107ERAN6</t>
  </si>
  <si>
    <t>12-3 at 1pm</t>
  </si>
  <si>
    <t>overweight &amp; transload/ return to ITI / ABL got DO on 11-30 after the LFD /JUAN-IG</t>
  </si>
  <si>
    <t>BG102585</t>
    <phoneticPr fontId="82" type="noConversion"/>
  </si>
  <si>
    <t>FCIU2923795</t>
  </si>
  <si>
    <t>12-9 at 11 am</t>
  </si>
  <si>
    <t>Overweight + transload / EMP RTN to ITI Ref# 74774526/CHEN-OG</t>
  </si>
  <si>
    <t xml:space="preserve">yes   </t>
  </si>
  <si>
    <t>BG102586</t>
    <phoneticPr fontId="82" type="noConversion"/>
  </si>
  <si>
    <t>HLXU3329389</t>
  </si>
  <si>
    <t>Overweight + transload / EMP RTN to ITI Ref# 75027863/ARMANDO-OG/JAVIER-IG</t>
  </si>
  <si>
    <t>BG102588</t>
  </si>
  <si>
    <t>FCIU4743431</t>
  </si>
  <si>
    <t>12-9 at 1 pm</t>
  </si>
  <si>
    <t>Overweight + transload / EMP RTN to ITI Ref# 75535823/FRAN-PREPULL/OMAR-IG</t>
  </si>
  <si>
    <t>DFSU2672116</t>
  </si>
  <si>
    <t>HLCUNG12108CXAH4</t>
  </si>
  <si>
    <t>overweight &amp; transload/ ABL got DO on 11-30 after the LFD /HUANG-IG</t>
  </si>
  <si>
    <t>GLDU3402895</t>
  </si>
  <si>
    <t>HLCUNG12107ERYB1</t>
  </si>
  <si>
    <t>overweight &amp; transload/ ABL got DO on 11-30 after the LFD /JUAN-IG</t>
  </si>
  <si>
    <t>UACU3481735</t>
  </si>
  <si>
    <t>HLCUNG12108CWZY1</t>
  </si>
  <si>
    <t>overweight &amp; transload/ ABL got DO on 11-30 after the LFD /OMAR-OG</t>
  </si>
  <si>
    <t>BG102030</t>
  </si>
  <si>
    <t>FYCU1038506</t>
  </si>
  <si>
    <t>COSU6885544830</t>
  </si>
  <si>
    <t>81F885</t>
  </si>
  <si>
    <t>rcvd pu# after LFD from CC / overweight and transload/HUANG-IG</t>
  </si>
  <si>
    <t>BG102031</t>
  </si>
  <si>
    <t>FYCU1039565</t>
  </si>
  <si>
    <t>FAD2ED</t>
  </si>
  <si>
    <t xml:space="preserve">am f - </t>
  </si>
  <si>
    <t>BG102028</t>
  </si>
  <si>
    <t>FYCU1036988</t>
  </si>
  <si>
    <t>FB46E0</t>
  </si>
  <si>
    <t>BG102029</t>
  </si>
  <si>
    <t>FYCU1037048</t>
  </si>
  <si>
    <t>rcvd pu# after LFD from CC / overweight and transload/JUAN-OG/HUANG-IG</t>
  </si>
  <si>
    <t>BG102032</t>
  </si>
  <si>
    <t>FYCU1039884</t>
  </si>
  <si>
    <t>1DB63D</t>
  </si>
  <si>
    <t>BG102033</t>
  </si>
  <si>
    <t>OOLU3012867</t>
  </si>
  <si>
    <t>12/13  by 1 pm</t>
  </si>
  <si>
    <t>rcvd pu# after LFD from CC / overweight and transload/JAVIER-OG,D&amp;IG</t>
  </si>
  <si>
    <t>ACCU2160952</t>
  </si>
  <si>
    <t>CMDUNBLG352022</t>
  </si>
  <si>
    <t>12-14 by 1 pm</t>
  </si>
  <si>
    <t>2B7619</t>
  </si>
  <si>
    <t>SOC TO NLN/Overweight + transload /JUAN-OG</t>
  </si>
  <si>
    <t>ACCU2161244</t>
  </si>
  <si>
    <t>2A369F</t>
  </si>
  <si>
    <t>SOC TO NLN/Overweight + transload / FRAN-OG</t>
  </si>
  <si>
    <t>ACCU2152598</t>
  </si>
  <si>
    <t>CMDUNBLG352015</t>
  </si>
  <si>
    <t>12-16 by 1 pm</t>
  </si>
  <si>
    <t>0D574F</t>
  </si>
  <si>
    <t xml:space="preserve">SOC TO NLN/Overweight + transload / </t>
  </si>
  <si>
    <t>ACCU2153655</t>
  </si>
  <si>
    <t>12-15 by 1 pm</t>
  </si>
  <si>
    <t>0DF066</t>
  </si>
  <si>
    <t>SOC TO NLN/Overweight + transload / HUANG-OG</t>
  </si>
  <si>
    <t>BG102034</t>
  </si>
  <si>
    <t>BEAU2037109</t>
  </si>
  <si>
    <t>COSU6885532390</t>
  </si>
  <si>
    <t>12-15 at 10；15</t>
  </si>
  <si>
    <t>FFF561   </t>
  </si>
  <si>
    <t>cc sent pu# after LFD/ overweight and direct drayage/ZHANG-PREPULL/HUANG-D,IG</t>
  </si>
  <si>
    <t>direct dra</t>
  </si>
  <si>
    <t>BG102038</t>
  </si>
  <si>
    <t>SLSU2031402</t>
  </si>
  <si>
    <t>12-20 by 2 pm</t>
  </si>
  <si>
    <t>BD21C3 </t>
  </si>
  <si>
    <t>overweight and direct drayage / 12-17 no chassis from BN rail /  pre-pull yard storage</t>
  </si>
  <si>
    <t>YES</t>
  </si>
  <si>
    <t>BG102039</t>
  </si>
  <si>
    <t>UETU2503768</t>
  </si>
  <si>
    <t>09E6DC</t>
  </si>
  <si>
    <t>PONU7872103</t>
  </si>
  <si>
    <t>12-27 at 10 am</t>
  </si>
  <si>
    <t>335 W Crossroads Pkwy, Suite A,
Bolingbrook, IL 60440</t>
  </si>
  <si>
    <t>0DDEA5</t>
  </si>
  <si>
    <t>direct drayage/ 12-28 仓库清空柜子/ ig CN</t>
  </si>
  <si>
    <t>MRSU5104128</t>
  </si>
  <si>
    <t>12-29 at 10；40 am</t>
  </si>
  <si>
    <t>9720F6</t>
  </si>
  <si>
    <t>direct drayage/ pu# 在 有LFD之后发给我们的/ 12-31 仓库清空柜子/ IG ITC</t>
  </si>
  <si>
    <t>MRSU3419194</t>
  </si>
  <si>
    <t>12-29 DROP</t>
  </si>
  <si>
    <t>direct drayage/ pu# 在 有LFD之后发给我们的/12-31 仓库清空柜子/ IG CN</t>
  </si>
  <si>
    <t>不需要给wsp发DO的。</t>
  </si>
  <si>
    <t>BGKS01</t>
    <phoneticPr fontId="82" type="noConversion"/>
  </si>
  <si>
    <t>XINU1128419</t>
  </si>
  <si>
    <t>HLCUNG12109ENSL9</t>
  </si>
  <si>
    <t>KANSAS CITY</t>
  </si>
  <si>
    <t>686 S ADAMS ST, KANSAS CITY KS 66105</t>
  </si>
  <si>
    <t>Heather Henty at 2539837529</t>
  </si>
  <si>
    <t xml:space="preserve"> 6D5545</t>
  </si>
  <si>
    <t>rcvd pu# after LFD from CC / Chassis Split / Re-ingate / Tanker</t>
  </si>
  <si>
    <t>kcin</t>
  </si>
  <si>
    <t>BGKS02</t>
    <phoneticPr fontId="82" type="noConversion"/>
  </si>
  <si>
    <t>UACU3488597</t>
  </si>
  <si>
    <t xml:space="preserve"> 4DCCD6</t>
  </si>
  <si>
    <t>rcvd pu# after LFD from CC / Chassis Split / Redelivery / Detention 1:30PM-3:54PM / Tanker/ yard storage</t>
  </si>
  <si>
    <t>BGKS03</t>
  </si>
  <si>
    <t>BEAU2984170</t>
  </si>
  <si>
    <t>6E4A67</t>
  </si>
  <si>
    <t>rcvd pu# after LFD from CC / Chassis Split / Stop off / Redelivery / Tanker</t>
  </si>
  <si>
    <t>BGKS04</t>
  </si>
  <si>
    <t>GESU3879032</t>
  </si>
  <si>
    <t xml:space="preserve"> 4DE467</t>
  </si>
  <si>
    <t>BGKS05</t>
  </si>
  <si>
    <t>GLDU3182424</t>
  </si>
  <si>
    <t xml:space="preserve"> 4E579B</t>
  </si>
  <si>
    <t>rcvd pu# after LFD from CC / Chassis Split / Stop off / Redelivery / Return hold till 1/24 / Tanker</t>
  </si>
  <si>
    <t>BGKS06</t>
  </si>
  <si>
    <t>HLXU1395843</t>
  </si>
  <si>
    <t xml:space="preserve"> 6DA8C0</t>
  </si>
  <si>
    <t>rcvd pu# after LFD from CC / Chassis Split / Tanker/ yard storage</t>
  </si>
  <si>
    <t>BGKS07</t>
  </si>
  <si>
    <t>TLLU2508384</t>
  </si>
  <si>
    <t>HLCUNG12109ENHG8</t>
  </si>
  <si>
    <t>4EBCA3</t>
  </si>
  <si>
    <t>rcvd pu# after LFD from CC / overweight / Chassis Split / Redelivery / 9:40AM-11:40AM / Return hold till 1/24 / Tanker</t>
  </si>
  <si>
    <t>BGKS08</t>
  </si>
  <si>
    <t>SEGU1369501</t>
  </si>
  <si>
    <t xml:space="preserve"> 4FCD0A</t>
  </si>
  <si>
    <t>rcvd pu# after LFD from CC / overweight / Chassis Split / Redelivery / Return hold till 1/24 / Tanker</t>
  </si>
  <si>
    <t>BGKS09</t>
  </si>
  <si>
    <t>UACU4164592</t>
  </si>
  <si>
    <t xml:space="preserve"> 4F36ED</t>
  </si>
  <si>
    <t>rcvd pu# after LFD from CC / overweight / Chassis Split / Redelivery / Detention 9:30AM-11:20AM / Tanker / Return hold till 1/24</t>
  </si>
  <si>
    <t>BGKS10</t>
  </si>
  <si>
    <t>TGBU2241790</t>
  </si>
  <si>
    <t xml:space="preserve"> 4EEE7D</t>
  </si>
  <si>
    <t>rcvd pu# after LFD from CC / overweight /Chassis Split / Detention 8:15AM-9:40AM / Tanker</t>
  </si>
  <si>
    <t>BGKS11</t>
  </si>
  <si>
    <t>BEAU2203730</t>
  </si>
  <si>
    <t>6D4BAF</t>
  </si>
  <si>
    <t>rcvd pu# after LFD from CC / overweight / Chassis Split / Redelivery / Tanker</t>
  </si>
  <si>
    <t>BG102997</t>
    <phoneticPr fontId="82" type="noConversion"/>
  </si>
  <si>
    <t>CARU3087390</t>
  </si>
  <si>
    <t>MEDUNL487075</t>
  </si>
  <si>
    <t>12-28 by 8；45am</t>
  </si>
  <si>
    <t>A8E63D</t>
  </si>
  <si>
    <t>overweight and direct drayage</t>
  </si>
  <si>
    <t>BG102998</t>
    <phoneticPr fontId="82" type="noConversion"/>
  </si>
  <si>
    <t>TCLU1981882</t>
  </si>
  <si>
    <t>12-27 at 12 pm</t>
  </si>
  <si>
    <t>A3A9B6</t>
  </si>
  <si>
    <t>BG1104100</t>
    <phoneticPr fontId="82" type="noConversion"/>
  </si>
  <si>
    <t>TEMU5840766</t>
  </si>
  <si>
    <t>MEDUNL487000</t>
  </si>
  <si>
    <t>9828C9</t>
  </si>
  <si>
    <t>overweight and direct drayage / re-route to CN</t>
  </si>
  <si>
    <t>BG1104101</t>
    <phoneticPr fontId="82" type="noConversion"/>
  </si>
  <si>
    <t>CAIU2957122</t>
  </si>
  <si>
    <t>MEDUNL487083</t>
  </si>
  <si>
    <t>12-27 at 11 am</t>
  </si>
  <si>
    <t>9F5F05</t>
  </si>
  <si>
    <t>BG102035</t>
  </si>
  <si>
    <t>CSLU1266600</t>
  </si>
  <si>
    <t>1/3 1pm</t>
  </si>
  <si>
    <t>BE1A9D </t>
  </si>
  <si>
    <t>overweight and direct drayage,pu# sent</t>
  </si>
  <si>
    <t>BG102037</t>
  </si>
  <si>
    <t>OOLU1516278</t>
  </si>
  <si>
    <t>1-4 at 10;05 am</t>
  </si>
  <si>
    <t xml:space="preserve">000A8E </t>
  </si>
  <si>
    <t xml:space="preserve">overweight and direct drayage,pu# sent </t>
  </si>
  <si>
    <t>BG102036</t>
  </si>
  <si>
    <t>FCIU5896862</t>
  </si>
  <si>
    <t>BDE031</t>
  </si>
  <si>
    <t>TRHU4584600</t>
  </si>
  <si>
    <t>direct drayage/ 12-28 仓库清空柜子/ re-route to CN</t>
  </si>
  <si>
    <t>MRKU5503193</t>
  </si>
  <si>
    <t>014094</t>
  </si>
  <si>
    <t>direct drayage/ 12-29 仓库清空柜子/ ig ITC</t>
  </si>
  <si>
    <t>SEGU4706587</t>
  </si>
  <si>
    <t>NBLY016146</t>
  </si>
  <si>
    <t>1-4 at 10;30am</t>
  </si>
  <si>
    <t>335 W Crossroads Pkwy, Suite A,, Bolingbrook, IL 60440</t>
  </si>
  <si>
    <t>direct drayage, drop off/ 1-7 清空柜子/ return to LPC</t>
  </si>
  <si>
    <t>AARU6803469</t>
  </si>
  <si>
    <t>SKADJH210116</t>
  </si>
  <si>
    <t>1331 SCHIFERL BARTLETT, IL, 60103 USA</t>
  </si>
  <si>
    <t> 680009</t>
  </si>
  <si>
    <t>SOC to NLN - acceptance AARQCH1212 / dry run / canceled</t>
  </si>
  <si>
    <t>AARU6803480</t>
  </si>
  <si>
    <t> 420525</t>
  </si>
  <si>
    <t>AARU6803725</t>
  </si>
  <si>
    <t> 290408</t>
  </si>
  <si>
    <t>AARU6803638</t>
  </si>
  <si>
    <t> 496303</t>
  </si>
  <si>
    <t>AARU6803643</t>
  </si>
  <si>
    <t> 765166</t>
  </si>
  <si>
    <t>AARU6808476</t>
  </si>
  <si>
    <t>CNSDJH210140</t>
  </si>
  <si>
    <t>AARU680847</t>
  </si>
  <si>
    <t>CORWITH – BNSF</t>
  </si>
  <si>
    <t>AARU6808500</t>
  </si>
  <si>
    <t>AARU680850</t>
  </si>
  <si>
    <t>AARU6808590</t>
  </si>
  <si>
    <t>CNSDJH210158</t>
  </si>
  <si>
    <t>AARU680859</t>
  </si>
  <si>
    <t>AARU6809451</t>
  </si>
  <si>
    <t>AARU680945</t>
  </si>
  <si>
    <t>AARU6808521</t>
  </si>
  <si>
    <t>CNSDJH210155</t>
  </si>
  <si>
    <t>AARU680852</t>
  </si>
  <si>
    <t>AARU6808542</t>
  </si>
  <si>
    <t>AARU680854</t>
  </si>
  <si>
    <t>AARU6809071</t>
  </si>
  <si>
    <t>AARU680907</t>
  </si>
  <si>
    <t xml:space="preserve">AARU6809282 </t>
  </si>
  <si>
    <t>AARU680928</t>
  </si>
  <si>
    <t>#065992</t>
  </si>
  <si>
    <t>AARU6808481</t>
  </si>
  <si>
    <t>CNSDJH210157</t>
  </si>
  <si>
    <t>AARU680848</t>
  </si>
  <si>
    <t>AARU6809050</t>
  </si>
  <si>
    <t>AARU680905</t>
  </si>
  <si>
    <t>AARU6808080</t>
  </si>
  <si>
    <t>CNSDJH210167</t>
  </si>
  <si>
    <t>AARU680808</t>
  </si>
  <si>
    <t>#079138</t>
  </si>
  <si>
    <t>AARU6808809</t>
  </si>
  <si>
    <t>CNSDJH210153</t>
  </si>
  <si>
    <t>AARU680880</t>
  </si>
  <si>
    <t>3/4 @4pm cut off</t>
  </si>
  <si>
    <t>AARU6808814</t>
  </si>
  <si>
    <t>AARU680881</t>
  </si>
  <si>
    <t>3/2 @4pm cut off</t>
  </si>
  <si>
    <t>AARU6809446</t>
  </si>
  <si>
    <t>AARU680944</t>
  </si>
  <si>
    <t>AARU6808537</t>
  </si>
  <si>
    <t>AARU680853</t>
  </si>
  <si>
    <t>单件状态查询</t>
  </si>
  <si>
    <t>月份</t>
  </si>
  <si>
    <t>SEP</t>
  </si>
  <si>
    <t>TGBU8766636</t>
  </si>
  <si>
    <t>按超链接跳转到该货物</t>
  </si>
  <si>
    <t>Destination</t>
  </si>
  <si>
    <t>nov</t>
  </si>
  <si>
    <t>SMLU7701709</t>
  </si>
  <si>
    <t>VSTU9407960</t>
  </si>
  <si>
    <t>SteamLine</t>
  </si>
  <si>
    <t>统计客户单量</t>
  </si>
  <si>
    <t>若任意值都可以请输入"*"</t>
  </si>
  <si>
    <t>JAN 2021</t>
  </si>
  <si>
    <t>DEC 2020</t>
  </si>
  <si>
    <t>公司</t>
  </si>
  <si>
    <t>Forest-厦门</t>
  </si>
  <si>
    <t>MAR 2021</t>
  </si>
  <si>
    <t>地点</t>
  </si>
  <si>
    <t>**ABL**</t>
  </si>
  <si>
    <t>数量</t>
  </si>
  <si>
    <t>Cancel Date</t>
  </si>
  <si>
    <t>Driver SCAC</t>
  </si>
  <si>
    <t>列3</t>
  </si>
  <si>
    <t>XINU1572700</t>
  </si>
  <si>
    <t>CJ CANCEL</t>
  </si>
  <si>
    <t>BARTLETT IL 60103</t>
  </si>
  <si>
    <t>11-12 被别家卡车提走 /SOC to Con Global / Direct delivery / FCFS</t>
  </si>
  <si>
    <t>AWOT</t>
  </si>
  <si>
    <t>APSU2002147</t>
  </si>
  <si>
    <t xml:space="preserve">GLORY BULK LIMITED. </t>
  </si>
  <si>
    <t>BARTONVILLE, IL61607</t>
  </si>
  <si>
    <t>11-15 我们不保证CN提柜时间，  AWOT把柜子分给别的卡车</t>
  </si>
  <si>
    <t>APSU2002152</t>
  </si>
  <si>
    <t>APSU2002173</t>
  </si>
  <si>
    <t>APSU2002189</t>
  </si>
  <si>
    <t>APSU2002208</t>
  </si>
  <si>
    <t>GLDU3635198</t>
  </si>
  <si>
    <t>11/22 est</t>
  </si>
  <si>
    <t>11-12 ABL 取消 DO /  over weight --19026 kgs/Baltimore Port - Seagirt terminal</t>
  </si>
  <si>
    <t>MSDU1210486</t>
  </si>
  <si>
    <t>FCIU3532033</t>
  </si>
  <si>
    <t>MEDU5565717</t>
  </si>
  <si>
    <t>GLDU3429480</t>
  </si>
  <si>
    <t>MEDU3965226</t>
  </si>
  <si>
    <t>APSU2002168</t>
  </si>
  <si>
    <t>APSU2002194</t>
  </si>
  <si>
    <t>GLDU3055538</t>
  </si>
  <si>
    <t>GLDU3054212</t>
  </si>
  <si>
    <t>WHLU2411676</t>
  </si>
  <si>
    <t>11-11 CANCEL DO / Direct delivery / FCFS</t>
  </si>
  <si>
    <t>GLDU3107272</t>
  </si>
  <si>
    <t>GLDU3094339</t>
  </si>
  <si>
    <t>GLDU3014349</t>
  </si>
  <si>
    <t>JZPU2170658</t>
  </si>
  <si>
    <t>11-11 CANCEL DO /Direct delivery / FCFS</t>
  </si>
  <si>
    <t>WHLU2414696</t>
  </si>
  <si>
    <t>11-11 CANCEL DO /11-8 柜子从 CN Harvey 被转移到 CN Joliet。 网页上写 LFD 是 11-9 号，但柜子要在 11-11号才能到达 CN Joliet。CC需要找船东更改 LFD /  Direct delivery / FCFS</t>
  </si>
  <si>
    <t>GLDU3178065</t>
  </si>
  <si>
    <t>JZPU2074989</t>
  </si>
  <si>
    <t>JZPU2129783</t>
  </si>
  <si>
    <t>JZPU2124816</t>
  </si>
  <si>
    <t>CAIU3024395</t>
  </si>
  <si>
    <t>11-12 被别家卡车提走 /overweight and transload</t>
  </si>
  <si>
    <t>CXDU1519835</t>
  </si>
  <si>
    <t>NIDU2188583</t>
  </si>
  <si>
    <t>NIDU2199459</t>
  </si>
  <si>
    <t>NIDU2351448</t>
  </si>
  <si>
    <t>NIDU2362463</t>
  </si>
  <si>
    <t>11-11别家卡车 NAVA 提走柜子/  overweight and transload</t>
  </si>
  <si>
    <t>TCKU2667647</t>
  </si>
  <si>
    <t>TCLU3875513</t>
  </si>
  <si>
    <t>别家卡车 NAVA 提走柜子/  overweight and transload</t>
  </si>
  <si>
    <t>TEMU4552810</t>
  </si>
  <si>
    <t>CAXU6706976</t>
  </si>
  <si>
    <t>GVCU2043483</t>
  </si>
  <si>
    <t>被OCNE卡车提走了。 /overweight and transload</t>
  </si>
  <si>
    <t>LLTU2053327</t>
  </si>
  <si>
    <t>GLDU3058917</t>
  </si>
  <si>
    <t>40'HC</t>
  </si>
  <si>
    <t>HOLD</t>
  </si>
  <si>
    <t>OAK BROOK, IL</t>
  </si>
  <si>
    <t>11/19@1600</t>
  </si>
  <si>
    <t>OE2111009 / ERD 11.14</t>
  </si>
  <si>
    <t>HC</t>
  </si>
  <si>
    <t>JZPU1149614</t>
    <phoneticPr fontId="82" type="noConversion"/>
  </si>
  <si>
    <t>11-8 柜子从 CN Harvey 被转移到 CN Joliet。 网页上写 LFD 是 11-9 号，但柜子要在 11-11号才能到达 CN Joliet。CC需要找船东更改 LFD /  Direct delivery / FCFS</t>
  </si>
  <si>
    <t>GLDU3409890</t>
  </si>
  <si>
    <t>TNET</t>
  </si>
  <si>
    <t>NYKU5159334</t>
  </si>
  <si>
    <t>Cancelled</t>
  </si>
  <si>
    <t>G3</t>
  </si>
  <si>
    <t>ANGOLA, IN</t>
  </si>
  <si>
    <t>not available yet</t>
  </si>
  <si>
    <t>SLAXS21084670</t>
  </si>
  <si>
    <t>TGBU4525950</t>
  </si>
  <si>
    <t>TGBU9813434</t>
  </si>
  <si>
    <t>DFSU2250764</t>
  </si>
  <si>
    <t>COSU6885539580</t>
  </si>
  <si>
    <t>NAVA</t>
  </si>
  <si>
    <t>TRHU3833062</t>
  </si>
  <si>
    <t>TLLU2716541</t>
  </si>
  <si>
    <t>TRLU3275570</t>
  </si>
  <si>
    <t>ABL to CORTLAND IL 60112</t>
  </si>
  <si>
    <t>11-12 被别家卡车提走 /</t>
  </si>
  <si>
    <t>CBHU4301468</t>
  </si>
  <si>
    <t>CCLU3811019</t>
  </si>
  <si>
    <t xml:space="preserve">40HQ </t>
  </si>
  <si>
    <t xml:space="preserve">12/7 @16:00 </t>
  </si>
  <si>
    <t>ERD 12.2(Check with customer If they need this booking by 12.2) / Forwarder-Rapid Frigeht / Customer hasn't received payment yet, pending instruction to proceed before 11/8.</t>
  </si>
  <si>
    <t>12/3/2021
HP</t>
  </si>
  <si>
    <t>Rapid Freight</t>
  </si>
  <si>
    <t>RICBQV831300</t>
  </si>
  <si>
    <t>JANESVILLE WI 53546</t>
  </si>
  <si>
    <t>12/13 @8am</t>
  </si>
  <si>
    <t>booking delay了，改用新booking号， 这个取消</t>
  </si>
  <si>
    <t>AARU6803875</t>
  </si>
  <si>
    <t>BULK VESSEL</t>
  </si>
  <si>
    <t>BARTLETT, IL</t>
  </si>
  <si>
    <t>Attention! RETURN: ACCEPTANCE AARQCH1130 NLN 3305 S.LAWNDALE CHICAGO, IL 60623 OFFICE: (708) 629-5741 need 24hours pior to make appt</t>
  </si>
  <si>
    <t>TH</t>
  </si>
  <si>
    <t>AARU6804001</t>
  </si>
  <si>
    <t>AARU6804104</t>
  </si>
  <si>
    <t>AARU6804125</t>
  </si>
  <si>
    <t>QQIU8602851</t>
  </si>
  <si>
    <t>YCH909355</t>
  </si>
  <si>
    <t>2-2-2022 ??</t>
  </si>
  <si>
    <t>8AM ??</t>
  </si>
  <si>
    <t>2-1 @0:00??</t>
  </si>
  <si>
    <t xml:space="preserve">改新booking， cancel这个 / ERD 1-31 / SO#222686  / POL: LAX, POD: KOBE </t>
  </si>
  <si>
    <t>TGBU9666101</t>
  </si>
  <si>
    <t>谁会去提柜子？</t>
  </si>
  <si>
    <t>direct drayage</t>
  </si>
  <si>
    <t>NO</t>
  </si>
  <si>
    <t>MRKU2201081</t>
  </si>
  <si>
    <t>CAAU6494527</t>
  </si>
  <si>
    <t>SUDU6568070</t>
  </si>
  <si>
    <t>RICBWJ241600</t>
  </si>
  <si>
    <t>1-13 @16:00</t>
  </si>
  <si>
    <t>Booking was cancelled by SSL, will advise new booking. ERD 1-8 / so#223048 /  Empty PU location: ITS CONGLOBAL -JOLIET / POL: LAX / POD： KOBE / NYKU0862350</t>
  </si>
  <si>
    <t xml:space="preserve">Superlinking </t>
  </si>
  <si>
    <t>TCKU1858459</t>
  </si>
  <si>
    <t>OVERWEIGHT</t>
  </si>
  <si>
    <t>1/12  TH</t>
  </si>
  <si>
    <t>HLBU1878124</t>
  </si>
  <si>
    <t>EVANS (NEED DO)</t>
  </si>
  <si>
    <t>IOWA FALLS,IA 50126</t>
  </si>
  <si>
    <t>customer changed their mind</t>
  </si>
  <si>
    <t>I</t>
  </si>
  <si>
    <t>Superlinking</t>
  </si>
  <si>
    <t>CSNU1868440</t>
  </si>
  <si>
    <t>CRAWFORDSVILLE, IN, 47933</t>
  </si>
  <si>
    <t>overweight and they don't want to pay too much</t>
  </si>
  <si>
    <t>file# SPHNS2112117</t>
  </si>
  <si>
    <t>OOLU0515087</t>
  </si>
  <si>
    <t>CBHU5656483</t>
  </si>
  <si>
    <t>CSNU1655110</t>
  </si>
  <si>
    <t>TRHU3432120</t>
  </si>
  <si>
    <t>YCH909333</t>
  </si>
  <si>
    <t>2/7--&gt;1/24??</t>
  </si>
  <si>
    <t>8AM--&gt;9am??</t>
  </si>
  <si>
    <t>2-8 @ 18:00</t>
  </si>
  <si>
    <t xml:space="preserve">船期Delay， cancel booking， ERD 2-7 / New SO# 223055  / old SO#222685 cancelled/ POL: LAX, POD: KOBE </t>
  </si>
  <si>
    <t>YCH914687</t>
  </si>
  <si>
    <t>1-25 @ 18:00</t>
  </si>
  <si>
    <t xml:space="preserve">Cancel /ERD 1-24/ SO#223051  /POL: LAX, POD: KOBE </t>
  </si>
  <si>
    <t>Cancel /ERD 1-24/ New SO# 223055  / old SO#222685 cancelled/ POL: LAX, POD: KOBE / Old Booking# YCH909333</t>
  </si>
  <si>
    <t>2-1 @ 18: 00 change 2-15 @ 18:00</t>
  </si>
  <si>
    <t xml:space="preserve">Cancel /ERD 1-31 change to 2-14 / SO#223050 </t>
  </si>
  <si>
    <t>YCH910509</t>
  </si>
  <si>
    <t>2/8 @18:00</t>
  </si>
  <si>
    <t>Cancel /ERD 2-7/ SO#222686  / POL: LAX, POD: KOBE / Old bk# YCH909355</t>
  </si>
  <si>
    <t>YCH914688</t>
  </si>
  <si>
    <t>Cancel /ERD 2-7  / SO#223050  / Old BK# YCH909355</t>
  </si>
  <si>
    <t>YCH915013</t>
  </si>
  <si>
    <t>2-1 @18:00</t>
  </si>
  <si>
    <t>Cancel /ERD 1-31 / SO#223050  / Old BK# YCH909355 / Old bk# YCH914688</t>
  </si>
  <si>
    <t>YCH914683</t>
  </si>
  <si>
    <t>1/31/2022, need new booking</t>
  </si>
  <si>
    <t>2-1 @18:00
Need new booking</t>
  </si>
  <si>
    <t>ERD 1-31 / SO#223050  / Old BK# YCH909355 / Old bk# YCH914688 /  Old bk# YCH915013 / Canceled</t>
  </si>
  <si>
    <t>RICBZF742600</t>
  </si>
  <si>
    <t>Aurora, IL</t>
  </si>
  <si>
    <t>Feb 17 @08:00</t>
  </si>
  <si>
    <t>CNTR#/ERD Feb 09/Live load/Cancelled on Feb 03</t>
  </si>
  <si>
    <t>RICBZF742601</t>
  </si>
  <si>
    <t>CNTR#/ERD Feb 09/Live load /Cancelled on Feb 03</t>
  </si>
  <si>
    <t xml:space="preserve"> 2-15 @ 18:00</t>
  </si>
  <si>
    <t>Cancel / ERD 2-14 / SO#223699 / Pickup location: BNSF RAIL YARD LOT 16/ POL: LAX / POD: KOBE</t>
  </si>
  <si>
    <t>CU Trans</t>
  </si>
  <si>
    <t>CMAU7157887</t>
  </si>
  <si>
    <t>BUFFALO GROVE, IL 60089</t>
  </si>
  <si>
    <t>requested</t>
  </si>
  <si>
    <t>Cancel</t>
  </si>
  <si>
    <t>YCH914692</t>
  </si>
  <si>
    <t>3-8 @18:00</t>
  </si>
  <si>
    <t>export</t>
  </si>
  <si>
    <t>Cancel /changed to YCH914700 / ERD 3-7 / SO#223699 / Pickup location: BNSF RAIL YARD LOT 16/ POL: LAX / POD: KOBE</t>
  </si>
  <si>
    <t xml:space="preserve">YCH914692
</t>
  </si>
  <si>
    <t>2/22 may need to change to 2/21</t>
  </si>
  <si>
    <t>2/22 @ 18:00</t>
  </si>
  <si>
    <t>Cancel /changed to YCH909333 /ERD 2-22 / SO#223050 / Pick up  Locatiion: BNSF RAIL LOT 16 / POL: LAX /  POD : KOBE / Old BK# YCH909355 / Old bk# YCH914688 / Old# YCH914683</t>
  </si>
  <si>
    <t>Zipto</t>
  </si>
  <si>
    <t>FCIU7491185</t>
  </si>
  <si>
    <t>hapag</t>
  </si>
  <si>
    <t>ARLINGTON HEIGHTS, IL</t>
  </si>
  <si>
    <t>no reply</t>
  </si>
  <si>
    <t>CSNU7121766</t>
  </si>
  <si>
    <t>COSU6886337740 / WH IN&amp;OUT</t>
  </si>
  <si>
    <t>YF</t>
  </si>
  <si>
    <t>YCH914700</t>
  </si>
  <si>
    <t>Cancel /  changed to EBKG02650438 / ERD 3-7 / SO#223700 / / POL: LAX / POD: KOBE</t>
  </si>
  <si>
    <t>Cancel /  changed to EBKG02650438 /ERD 3-7 / SO#223699 / Pickup location: BNSF RAIL YARD LOT 16/ POL: LAX / POD: KOBE/ Old BK# YCH914692</t>
  </si>
  <si>
    <t>JHA</t>
  </si>
  <si>
    <t>OOCU7401752</t>
  </si>
  <si>
    <t>Cancel / CN SUR / COSU6886581950</t>
  </si>
  <si>
    <t>UETU5092850</t>
  </si>
  <si>
    <t>Cancel /CN SUR / Urgent Fee $100 / COSU6886581980</t>
  </si>
  <si>
    <t>TGBU7896677</t>
  </si>
  <si>
    <t>DES MOINES, IA 50315</t>
  </si>
  <si>
    <t>CANCEL / 2-7 discharged / EGLV003104493059</t>
  </si>
  <si>
    <t>EITU1493409</t>
  </si>
  <si>
    <t>CANCEL /2-20 discharged / EGLV003104639576</t>
  </si>
  <si>
    <t>EITU1089892</t>
  </si>
  <si>
    <t>CANCEL /2-20 discharged /  EGLV003104639568</t>
  </si>
  <si>
    <t>TCNU3365749</t>
  </si>
  <si>
    <t>CANCEL /EGLV003200077100</t>
  </si>
  <si>
    <t>TLLU4583920</t>
  </si>
  <si>
    <t>CANCEL / EGLV003104532861</t>
  </si>
  <si>
    <t>EMCU8725752</t>
  </si>
  <si>
    <t>？</t>
  </si>
  <si>
    <t>CANCEL /EGLV003200106916</t>
  </si>
  <si>
    <t>CMAU7434317</t>
  </si>
  <si>
    <t>2-25??</t>
  </si>
  <si>
    <t>CSX</t>
  </si>
  <si>
    <t>cancel / CMDUTWN0635947 / CSX SUR</t>
  </si>
  <si>
    <t>Golden Arcus</t>
  </si>
  <si>
    <t>DALA59554200</t>
  </si>
  <si>
    <t>OAK BROOK, IL 60523</t>
  </si>
  <si>
    <t>AARU6808619</t>
  </si>
  <si>
    <t>AARU680861</t>
  </si>
  <si>
    <t>CANCELED</t>
  </si>
  <si>
    <t>AARU6808603</t>
  </si>
  <si>
    <t>AARU680860</t>
  </si>
  <si>
    <t>AARU6809169</t>
  </si>
  <si>
    <t>AARU680916</t>
  </si>
  <si>
    <t>AARU6809220</t>
  </si>
  <si>
    <t>AARU680922</t>
  </si>
  <si>
    <t>NS OH</t>
  </si>
  <si>
    <t>CLEVELAND, OH 44135</t>
  </si>
  <si>
    <t>3/6@15:00</t>
  </si>
  <si>
    <t>DALA98759200 / LFS may load at shipper on 3-2</t>
  </si>
  <si>
    <t>customer Linda canceled on 3-3</t>
  </si>
  <si>
    <t>MSDU8952419</t>
  </si>
  <si>
    <t>08235C</t>
  </si>
  <si>
    <t>SZX21120291A</t>
  </si>
  <si>
    <t>Andy canceled on Mar 06</t>
  </si>
  <si>
    <t>American New</t>
  </si>
  <si>
    <t>EITU0141492</t>
  </si>
  <si>
    <t>EVERGREEN LINE</t>
  </si>
  <si>
    <t>BOSTON PORT</t>
  </si>
  <si>
    <t>HOLBROOK, MA 02343</t>
  </si>
  <si>
    <t xml:space="preserve">EGLV142250128112 </t>
  </si>
  <si>
    <t>FCIU8879072</t>
  </si>
  <si>
    <t>pending</t>
  </si>
  <si>
    <t>等RAIL</t>
  </si>
  <si>
    <t>OAK3</t>
  </si>
  <si>
    <t>MEDUNV799048</t>
  </si>
  <si>
    <t>3-22 @00:00</t>
  </si>
  <si>
    <t>Cancel / ERD 3-21 changed to 3-28?? / SO# 225286 / POL-LAX / POD-KOBE</t>
  </si>
  <si>
    <t>YCH922624</t>
  </si>
  <si>
    <t>APPT 3/28</t>
  </si>
  <si>
    <t>3-29 @00:00</t>
  </si>
  <si>
    <t>CANCEL /3-28 failed pick up empty container due to bk# is not valid from BNSF system, DRY RUN *2   / 3-25 Skip vessel , pending booking / ERD 3-28 / SO# 225284 / POL-LAX / POD-KOBE</t>
  </si>
  <si>
    <t>need to rescheudle, old APPT 3/28</t>
  </si>
  <si>
    <t>CANCEL /3-25 Skip vessel , pending booking /ERD 3-28 / SO# 225282 / POL-LAX / POD-KOBE</t>
  </si>
  <si>
    <t>required</t>
  </si>
  <si>
    <t>Chicago IL 60620</t>
  </si>
  <si>
    <t>4/17 @ 16:00</t>
  </si>
  <si>
    <t xml:space="preserve">Cancel / ERD  4-13 / PO020953 / POL-LAX/ POD-XINGANG </t>
  </si>
  <si>
    <t>RICCL1228300</t>
  </si>
  <si>
    <t>4/6need to change</t>
  </si>
  <si>
    <t>4-13 @00:00</t>
  </si>
  <si>
    <t>Cancel / changed to new bk# RICCJ4263300 / ERD 4-5 / SO#225282 /  Empty pick up: ITS CONGLOBSL JOLIET / POL-LAX /POD-KOBE / OLD BK# YCH914683</t>
  </si>
  <si>
    <t>TCNU8238650</t>
  </si>
  <si>
    <t>CUSTOMER/WESHIP</t>
  </si>
  <si>
    <t>44 PLTS, ETA 4/8，cannot unload</t>
  </si>
  <si>
    <t>ZCSU7919210</t>
  </si>
  <si>
    <t>48 PLTS, ETA 4/8, cannot unload</t>
  </si>
  <si>
    <t>FANU1834703</t>
  </si>
  <si>
    <t>Forwardair</t>
  </si>
  <si>
    <t>Eden Valley, MN  55329</t>
  </si>
  <si>
    <t xml:space="preserve">SEF220212067 / 709394 / HLCUSZX2201CRWK1 / 客人在5-4 还没给pu# </t>
  </si>
  <si>
    <t>TRHU4247282</t>
  </si>
  <si>
    <t>40FT</t>
  </si>
  <si>
    <t>80C1A1</t>
  </si>
  <si>
    <t>MAEU217166440/ 需要打板 一车走</t>
  </si>
  <si>
    <t>ZL</t>
  </si>
  <si>
    <t>FFAU1484052</t>
  </si>
  <si>
    <t>OMAHA, NE</t>
  </si>
  <si>
    <t>Mather Trucking</t>
  </si>
  <si>
    <t>等DO</t>
  </si>
  <si>
    <t xml:space="preserve"> CENTERVILLE, IA 52544</t>
  </si>
  <si>
    <t>ONEYTA1DV5448300</t>
  </si>
  <si>
    <t>TCLU8284730</t>
  </si>
  <si>
    <t>YCH944563</t>
  </si>
  <si>
    <t>JANESVILLE, WI 53546</t>
  </si>
  <si>
    <t>CANCEL / SO228280 / ERD 6/13</t>
  </si>
  <si>
    <t>CANCEL / SO228281 / ERD 6/13</t>
  </si>
  <si>
    <t>CANCEL / SO228282 / ERD 6/13</t>
  </si>
  <si>
    <t>Cancel/ Changed to new bk#  DALA68442100 /ERD 6-26</t>
  </si>
  <si>
    <t>RICCAR337300</t>
  </si>
  <si>
    <t>Janesville WI 53546</t>
  </si>
  <si>
    <t>7/2 @8am</t>
  </si>
  <si>
    <t>Cancel / May roll over booking/ ERD 6-23 / SO228284  / Change to new booking# RICCDK613300</t>
  </si>
  <si>
    <t xml:space="preserve">OOLU1045141 </t>
  </si>
  <si>
    <t>AW HEAVY</t>
  </si>
  <si>
    <t>MAEU914032949 / SOC $500</t>
  </si>
  <si>
    <t xml:space="preserve">OOLU1227193 </t>
  </si>
  <si>
    <t xml:space="preserve">OOLU3729652 </t>
  </si>
  <si>
    <t>MAEU914032962 / SOC $500</t>
  </si>
  <si>
    <t xml:space="preserve">SNBU2165919 </t>
  </si>
  <si>
    <t xml:space="preserve">SNCU2800469 </t>
  </si>
  <si>
    <t>CCLU4914011</t>
  </si>
  <si>
    <t>MOUNT VERNON IL 62864</t>
  </si>
  <si>
    <t>pending ground</t>
  </si>
  <si>
    <t>6-28 Cancelled / OOLU2700120580</t>
  </si>
  <si>
    <t>MATU2763199</t>
  </si>
  <si>
    <t>ELKHART, IN 46516</t>
  </si>
  <si>
    <t>MATS2597267000,URGENT150</t>
  </si>
  <si>
    <t>YONG SHI TONG</t>
  </si>
  <si>
    <t>SEGU5640910</t>
  </si>
  <si>
    <t>ABL/CHASKA,MN</t>
  </si>
  <si>
    <t>CP SUR/$150 URGENT FEE&amp;$150 EXTRA HANDLING FEE</t>
  </si>
  <si>
    <t>PL SENT</t>
  </si>
  <si>
    <t>HP-0708</t>
  </si>
  <si>
    <t xml:space="preserve">RICCAR356400 </t>
  </si>
  <si>
    <t>7/15/2022 @ 8:00 AM</t>
  </si>
  <si>
    <r>
      <rPr>
        <sz val="11"/>
        <color rgb="FFFF0000"/>
        <rFont val="Calibri"/>
        <family val="2"/>
        <scheme val="minor"/>
      </rPr>
      <t>Cancel / ERD changed to 7-19, may need to change booking</t>
    </r>
    <r>
      <rPr>
        <sz val="11"/>
        <color theme="1"/>
        <rFont val="Calibri"/>
        <family val="2"/>
        <scheme val="minor"/>
      </rPr>
      <t xml:space="preserve"> / Updated ERD 7-10 / SO# 228283 / Empty pick up: ITS CONGLOBAL JOLIET
3201 CENTERPOINT WAY,
ELWOOD, IL</t>
    </r>
  </si>
  <si>
    <t>7/28 @16:00</t>
  </si>
  <si>
    <t xml:space="preserve">Cancel / ERD 7/24 </t>
  </si>
  <si>
    <t>Transpacific</t>
  </si>
  <si>
    <t>ZCSU7734900</t>
  </si>
  <si>
    <t>CSX - CHICAGO</t>
  </si>
  <si>
    <t>CHICAGO IL 60609</t>
  </si>
  <si>
    <t>ZIMUNGB86029097</t>
  </si>
  <si>
    <t>FSCU8098720</t>
  </si>
  <si>
    <t>CSX - BEDFORD</t>
  </si>
  <si>
    <t>CHICAGO IL 60609_x000D_</t>
  </si>
  <si>
    <t>ZIMUSHH30836880</t>
  </si>
  <si>
    <t>ZCSU8511408</t>
  </si>
  <si>
    <t>ZIMUSHH30836879</t>
  </si>
  <si>
    <t>ZCSU8915190</t>
  </si>
  <si>
    <t>ZIMUSHH30836883</t>
  </si>
  <si>
    <t>TGBU4498638</t>
  </si>
  <si>
    <t>ONEYNB2JB4413400</t>
  </si>
  <si>
    <t>KKFU8097847</t>
  </si>
  <si>
    <t>ONEYNB2BF9792300</t>
  </si>
  <si>
    <t xml:space="preserve">DO NOT LOAD </t>
  </si>
  <si>
    <t>7/25/2022 @16:00</t>
  </si>
  <si>
    <t>Cancel/ERD 7-21</t>
  </si>
  <si>
    <t>BEAU5511844</t>
  </si>
  <si>
    <t>NORMAL, IL 61761</t>
  </si>
  <si>
    <t>ONEYSH2YX0985500</t>
  </si>
  <si>
    <t>DRYU6035882</t>
  </si>
  <si>
    <t>FFAU1407159</t>
  </si>
  <si>
    <t>NYKU4333570</t>
  </si>
  <si>
    <t>TCNU6972520</t>
  </si>
  <si>
    <t>TGBU5146360</t>
  </si>
  <si>
    <t>TLLU5525317</t>
  </si>
  <si>
    <t>TLLU5528450</t>
  </si>
  <si>
    <t>Forest - Camille</t>
  </si>
  <si>
    <t xml:space="preserve">MIEU0038313  </t>
  </si>
  <si>
    <t>Jacksonville Terminal -SSA Cooper</t>
  </si>
  <si>
    <t>Jacksonville, FL 32254   </t>
  </si>
  <si>
    <t>8-16 cancel</t>
  </si>
  <si>
    <t>maeu219895478</t>
  </si>
  <si>
    <t>TGHU8877462</t>
  </si>
  <si>
    <t>FIRSTKING</t>
  </si>
  <si>
    <t>ROCKFORD, IL 61102</t>
  </si>
  <si>
    <t>MAEU219705136</t>
  </si>
  <si>
    <t>JUSDA</t>
  </si>
  <si>
    <t>MSKU1916360</t>
  </si>
  <si>
    <t>UP MAYBE</t>
  </si>
  <si>
    <t>PORTAGE IN 46368</t>
  </si>
  <si>
    <t>MAEU219733595</t>
  </si>
  <si>
    <t>MRKU2910066</t>
  </si>
  <si>
    <t>APMU8065069</t>
  </si>
  <si>
    <t>TCKU6539285</t>
  </si>
  <si>
    <t>TCKU6633239</t>
  </si>
  <si>
    <t>MRKU5204994</t>
  </si>
  <si>
    <t>MAEU219780132</t>
  </si>
  <si>
    <t>XINU8088806</t>
  </si>
  <si>
    <t>SUDU8685564</t>
  </si>
  <si>
    <t>MRSU6201544</t>
  </si>
  <si>
    <t>MSKU8422055</t>
  </si>
  <si>
    <t>FSCU8373000</t>
  </si>
  <si>
    <t>CMDUSHZ5097974</t>
  </si>
  <si>
    <t>TRLU7333931</t>
  </si>
  <si>
    <t>FFAU1211320</t>
  </si>
  <si>
    <t>TCNU6701050</t>
  </si>
  <si>
    <t>MRKU6093560</t>
  </si>
  <si>
    <t>MAEU218207146</t>
  </si>
  <si>
    <t>MRSU5839154</t>
  </si>
  <si>
    <t>TEMU8347075</t>
  </si>
  <si>
    <t>HASU4278254</t>
  </si>
  <si>
    <t>MAEU218359319</t>
  </si>
  <si>
    <t>TLLU4696676</t>
  </si>
  <si>
    <t>MRKU2117767</t>
  </si>
  <si>
    <t>FFAU1478281</t>
  </si>
  <si>
    <t>ONEYSZPCL1760904</t>
  </si>
  <si>
    <t>GAOU6585300</t>
  </si>
  <si>
    <t>FFAU1802873</t>
  </si>
  <si>
    <t>MTSU9605008</t>
  </si>
  <si>
    <t>TLLU5599285</t>
  </si>
  <si>
    <t>TCNU7687960</t>
  </si>
  <si>
    <t>SEKU6014520</t>
  </si>
  <si>
    <t>CMDUSHZ4984479</t>
  </si>
  <si>
    <t>BMOU4361791</t>
  </si>
  <si>
    <t>CAIU9451218</t>
  </si>
  <si>
    <t>CMAU9568737</t>
  </si>
  <si>
    <t>CMDUSHZ4984482</t>
  </si>
  <si>
    <t>CMAU9576440</t>
  </si>
  <si>
    <t>China Interocean</t>
  </si>
  <si>
    <t>FFAU1475873</t>
  </si>
  <si>
    <t>BROWNSBURG, IN 46112</t>
  </si>
  <si>
    <t>ONEYNB2BF9856400</t>
  </si>
  <si>
    <t>CAIU8766680</t>
  </si>
  <si>
    <t xml:space="preserve">ZIMUNGB9902797 </t>
  </si>
  <si>
    <t>AIR SEA</t>
  </si>
  <si>
    <t>BEAU6285715</t>
  </si>
  <si>
    <t>HBL TLX</t>
  </si>
  <si>
    <t>VINEYARD</t>
  </si>
  <si>
    <t>South Bend IN 46628</t>
  </si>
  <si>
    <t>SMLMSHSY1A329600</t>
  </si>
  <si>
    <t>SMCU1249811</t>
  </si>
  <si>
    <t>CheetahExpress</t>
  </si>
  <si>
    <t>EXPORT</t>
  </si>
  <si>
    <t>HONGKONG</t>
  </si>
  <si>
    <t>FCC</t>
  </si>
  <si>
    <t>TCNU4035464</t>
  </si>
  <si>
    <t>BENSENVILLE, IL 60106</t>
  </si>
  <si>
    <t>D121AB</t>
  </si>
  <si>
    <t>COSU6340371900 /  PO14424-C
M-F 8AM-2PM, Need APPT, Liveload</t>
  </si>
  <si>
    <t>FFAU3315848</t>
  </si>
  <si>
    <t>CR Express</t>
  </si>
  <si>
    <t xml:space="preserve">JOLIET, IL 60436 </t>
  </si>
  <si>
    <t>053498</t>
  </si>
  <si>
    <t xml:space="preserve">URGENT,PLTS LIVE UNLOAD, </t>
  </si>
  <si>
    <t>STORM</t>
  </si>
  <si>
    <t>TCNU8595791</t>
  </si>
  <si>
    <t>NS SOUTHERN CHICAGO</t>
  </si>
  <si>
    <t>CHICAGO,IL</t>
  </si>
  <si>
    <t xml:space="preserve">RAIL INFORMATION PENDING BY CUSTOMER
</t>
  </si>
  <si>
    <t>CANCELED ORDER/DONE</t>
  </si>
  <si>
    <t>ZCSU7180455</t>
  </si>
  <si>
    <t xml:space="preserve">CSX </t>
  </si>
  <si>
    <t>ELK GROVE VILLAGE,IL</t>
  </si>
  <si>
    <t>CXS SUR</t>
  </si>
  <si>
    <t>TCNU4955312</t>
  </si>
  <si>
    <t>CXS SUR,ZIMUNGB9744855</t>
  </si>
  <si>
    <t>TCNU8750218</t>
  </si>
  <si>
    <t>ZIPTO</t>
  </si>
  <si>
    <t>BSIU9578620</t>
  </si>
  <si>
    <t>PRIMELINE</t>
  </si>
  <si>
    <t xml:space="preserve">CEDAR SPRINGS, MI 49319 </t>
  </si>
  <si>
    <t>6EE654</t>
  </si>
  <si>
    <t>COSU6339047550</t>
  </si>
  <si>
    <t>OOCU7140480</t>
  </si>
  <si>
    <t>410BF6</t>
  </si>
  <si>
    <t>COSU6340170310</t>
  </si>
  <si>
    <t>DRYU9163892</t>
  </si>
  <si>
    <t>7FCF97</t>
  </si>
  <si>
    <t>8/15 -&gt;8/16-&gt;8/26</t>
  </si>
  <si>
    <r>
      <t>COSU6337640400/</t>
    </r>
    <r>
      <rPr>
        <sz val="11"/>
        <color rgb="FFFF0000"/>
        <rFont val="Calibri"/>
        <family val="2"/>
      </rPr>
      <t>CONGLOBAL</t>
    </r>
  </si>
  <si>
    <t>TCNU2590410</t>
  </si>
  <si>
    <t>67889D</t>
  </si>
  <si>
    <t>COSU6339047210</t>
  </si>
  <si>
    <t>TGBU8776315</t>
  </si>
  <si>
    <t>6D523C</t>
  </si>
  <si>
    <t>Cancel $100</t>
  </si>
  <si>
    <t>TRHU5339676</t>
  </si>
  <si>
    <t>700D78</t>
  </si>
  <si>
    <t>CANCELLED ORDER/Cleared demurrage $300 will be sent once we receive invoice from rail</t>
  </si>
  <si>
    <t>ASPEED-SXJD</t>
  </si>
  <si>
    <t>TGCU2105735</t>
  </si>
  <si>
    <t>OAKLAND CA PORT</t>
  </si>
  <si>
    <t xml:space="preserve">MEDFORD, OR 97501 </t>
  </si>
  <si>
    <t>Transload / HLCUXM1220616525 / Quotation# 09141921</t>
  </si>
  <si>
    <t>APHU6327830</t>
  </si>
  <si>
    <t>CENTERVILLE, IA 52544</t>
  </si>
  <si>
    <t>18543D</t>
  </si>
  <si>
    <t>CMDUNBDN459441</t>
  </si>
  <si>
    <t>Forest -Nicole</t>
  </si>
  <si>
    <t xml:space="preserve">MSDU5593594  </t>
  </si>
  <si>
    <t xml:space="preserve">OH 43125 </t>
  </si>
  <si>
    <t xml:space="preserve">MEDUJF094182    </t>
  </si>
  <si>
    <t>ELITE</t>
  </si>
  <si>
    <t>TRHU6439664</t>
  </si>
  <si>
    <t>ROMEOVILLE, IL 60446</t>
  </si>
  <si>
    <t>CMDUQDAP026817</t>
  </si>
  <si>
    <t>TRHU4993532</t>
  </si>
  <si>
    <t>ONEYTA1DW1217800</t>
  </si>
  <si>
    <t>CMAU9574663</t>
  </si>
  <si>
    <t>Itasca IL 60143</t>
  </si>
  <si>
    <t>CMDUSHZ4984480</t>
  </si>
  <si>
    <t>CMAU9572491</t>
  </si>
  <si>
    <t>NEPTUNE</t>
  </si>
  <si>
    <t xml:space="preserve">TEMU1723571 </t>
  </si>
  <si>
    <t>SCHAUMBURG, IL 60193</t>
  </si>
  <si>
    <t>MEDUO1125857</t>
  </si>
  <si>
    <t xml:space="preserve">MEDU6833049 </t>
  </si>
  <si>
    <t>BNSF - MEMPHIS</t>
  </si>
  <si>
    <t>PRIMO</t>
  </si>
  <si>
    <t>HICKORY, KY 42051</t>
  </si>
  <si>
    <t>MEDUDI221885</t>
  </si>
  <si>
    <t xml:space="preserve">GLDU5131616 </t>
  </si>
  <si>
    <t>HICKORY, KY 42051_x000D_</t>
  </si>
  <si>
    <t>CHEETAH</t>
  </si>
  <si>
    <t xml:space="preserve">YCH975116 </t>
  </si>
  <si>
    <t>ERD: 10/6</t>
  </si>
  <si>
    <t>CUT – OFF: 10/10</t>
  </si>
  <si>
    <t>YCH976248</t>
  </si>
  <si>
    <t>ERD: 10/10</t>
  </si>
  <si>
    <t>Cutoff: 10/12</t>
  </si>
  <si>
    <t>RAPID FREIGHT</t>
  </si>
  <si>
    <t>RICCJD719900</t>
  </si>
  <si>
    <t>10/4/2022 @8AM</t>
  </si>
  <si>
    <t>ERD changed to 9-29/ / Pickup Ref# SO233005</t>
  </si>
  <si>
    <t xml:space="preserve">NYKU0756620 </t>
  </si>
  <si>
    <t>Newaygo, MI 49337</t>
  </si>
  <si>
    <t>ONEYSH2YX1944800</t>
  </si>
  <si>
    <t>canceled</t>
  </si>
  <si>
    <t>EMCU8457198</t>
  </si>
  <si>
    <t>EGLV140201896440</t>
  </si>
  <si>
    <t>APEX-AMZ</t>
  </si>
  <si>
    <t>GAOU6121607</t>
  </si>
  <si>
    <t>SZX22050476A</t>
  </si>
  <si>
    <t>EGHU9135801</t>
  </si>
  <si>
    <t>NAPERVILLE, IL 60563</t>
  </si>
  <si>
    <t>EGLV140201896709</t>
  </si>
  <si>
    <t>NYKU4417239</t>
  </si>
  <si>
    <t>ONEYTA2PTG045700</t>
  </si>
  <si>
    <t>FOREST- CAMILLE</t>
  </si>
  <si>
    <t xml:space="preserve">TSSU5170508  </t>
  </si>
  <si>
    <t>TSL</t>
  </si>
  <si>
    <t>JACOSONVILLE</t>
  </si>
  <si>
    <t>SOUTHERN CARTAGE</t>
  </si>
  <si>
    <t>JACKSONVILLE TERMINAL</t>
  </si>
  <si>
    <t xml:space="preserve">TXZJ741250159789 </t>
  </si>
  <si>
    <t xml:space="preserve">FSCU8199325  </t>
  </si>
  <si>
    <t>ERD 10/18</t>
  </si>
  <si>
    <t>CUT OFF 10/20 @4PM</t>
  </si>
  <si>
    <t>SHEBOYGAN FALLS WI 53085</t>
  </si>
  <si>
    <t>CAIU7516449</t>
  </si>
  <si>
    <t>MADISON,WI</t>
  </si>
  <si>
    <t>HDMUNKGM41708200/SHE22093550</t>
  </si>
  <si>
    <t xml:space="preserve">CANCLLED </t>
  </si>
  <si>
    <t>RICCLJ081700</t>
  </si>
  <si>
    <t>10/29 @8AM</t>
  </si>
  <si>
    <t>ERD changed to 10-24 / SO#234414</t>
  </si>
  <si>
    <t>LEADERS</t>
  </si>
  <si>
    <t>IMTU1042990</t>
  </si>
  <si>
    <t>ELK GROVE VILLAGE, IL</t>
  </si>
  <si>
    <t>EGLV003201992073/DROP</t>
  </si>
  <si>
    <t>CANCEL/DONE</t>
  </si>
  <si>
    <t xml:space="preserve">TCLU4341997 </t>
  </si>
  <si>
    <t>EGLV003202582499/DROP</t>
  </si>
  <si>
    <t>NYKU4855195</t>
  </si>
  <si>
    <t>Portage, IN 46368</t>
  </si>
  <si>
    <t>ONEYSH2YX2208900</t>
  </si>
  <si>
    <t>SUPER-LINKING</t>
  </si>
  <si>
    <t>HLBU1650387</t>
  </si>
  <si>
    <t>CN/CP DET</t>
  </si>
  <si>
    <t>DNJ</t>
  </si>
  <si>
    <t>MENARDS SIGINAW,MI,48601</t>
  </si>
  <si>
    <t>HLCUSZX2207CQXR0/SEAL#HLG4441529</t>
  </si>
  <si>
    <t>HLBU1551384</t>
  </si>
  <si>
    <t xml:space="preserve"> MENARDS HOLIDAY CITY, OH</t>
  </si>
  <si>
    <t xml:space="preserve">HLCUSZX2207CQJP1/SEAL#HLG3680888 </t>
  </si>
  <si>
    <t>TRHU5055089</t>
  </si>
  <si>
    <t>OAKLAND PORT？</t>
  </si>
  <si>
    <t>MENOMONEE FALLS WI 53051</t>
  </si>
  <si>
    <t>MEDUO4099562</t>
  </si>
  <si>
    <t xml:space="preserve">MSMU6972310 </t>
  </si>
  <si>
    <t>MEDUO4034395</t>
  </si>
  <si>
    <t>TGBU7027185</t>
  </si>
  <si>
    <t>NS ATL GA</t>
  </si>
  <si>
    <t>Douglasville,GA 30122</t>
  </si>
  <si>
    <t>EGLV143261320735 / NON SOC / Quotation# 709394275 &amp; 709394276</t>
  </si>
  <si>
    <t>EITU1365434</t>
  </si>
  <si>
    <t>EMCU8380440</t>
  </si>
  <si>
    <t>ATL</t>
  </si>
  <si>
    <t>Douglasville, GA 30122</t>
  </si>
  <si>
    <t>Non-SOC / EGLV143261322509 /  Quotation# 709394275 --&gt; W23011901	
Deliver to: 9000 Riverside Pkwy, Suite300 , Douglasville, GA 30122
ATTN：VMVD+BANYAN, , TEL：646-919-8909
E-MAIL：sinoinvestment2021@gmail.com ; info@sinouscorp.com
CC：op1_sxjd@aspeed.cn
         sales2_sxjd@aspeed.cn</t>
  </si>
  <si>
    <t>EGHU9852422</t>
  </si>
  <si>
    <t xml:space="preserve">AMERICAN NEW </t>
  </si>
  <si>
    <t>INBU3669473</t>
  </si>
  <si>
    <t>BUFFALO GROVE,IL</t>
  </si>
  <si>
    <t>MEDUZF412882/AN will make delivery APPT</t>
  </si>
  <si>
    <t>CMAU6671084</t>
  </si>
  <si>
    <t>BNSF / LPC</t>
  </si>
  <si>
    <t>6723E4</t>
  </si>
  <si>
    <t>CMDUSGN1764646 / Conglobal congestion 150 / pre-pull 175+ yard storage</t>
  </si>
  <si>
    <t>YMMU6234723</t>
  </si>
  <si>
    <t>C77B3C</t>
  </si>
  <si>
    <t>YMPRW490426113 / PO 14740-A / OI-22228847</t>
  </si>
  <si>
    <t xml:space="preserve"> SPRING GROVE IL 60081</t>
  </si>
  <si>
    <r>
      <t xml:space="preserve">C/O 2-15 /  APPT 2-15 @8AM / </t>
    </r>
    <r>
      <rPr>
        <sz val="11"/>
        <color rgb="FFFF0000"/>
        <rFont val="Calibri"/>
        <family val="2"/>
        <scheme val="minor"/>
      </rPr>
      <t>OW $350</t>
    </r>
    <r>
      <rPr>
        <sz val="11"/>
        <color theme="1"/>
        <rFont val="Calibri"/>
        <family val="2"/>
        <scheme val="minor"/>
      </rPr>
      <t xml:space="preserve"> / 22316.75 KGS</t>
    </r>
  </si>
  <si>
    <t>CANCEL, DRY RUN INV# 128109</t>
  </si>
  <si>
    <t>TCNU5829242</t>
  </si>
  <si>
    <t>ONEY</t>
  </si>
  <si>
    <t>Plainfield, IL 60544</t>
  </si>
  <si>
    <t>ONEYSGNCV1763300</t>
  </si>
  <si>
    <t>CANCEL ,2/28email</t>
  </si>
  <si>
    <t>SEGU4782587</t>
  </si>
  <si>
    <t>ONEYSGNCV1777800</t>
  </si>
  <si>
    <t>CAIU9156819</t>
  </si>
  <si>
    <t>ONEYNB1IU2436800</t>
  </si>
  <si>
    <t>TCNU4981440</t>
  </si>
  <si>
    <t>ONEYSGNCV7079900</t>
  </si>
  <si>
    <t>Seasky</t>
  </si>
  <si>
    <t>EITU0512891</t>
  </si>
  <si>
    <t>Chicago, IL 60622</t>
  </si>
  <si>
    <t>EGLV147300055742 / Q#SSKY2923W / Seal#EMCMQQ4951 / residential - transload needed
Cancelled</t>
  </si>
  <si>
    <t>Hannah</t>
  </si>
  <si>
    <t>FFAU2049070</t>
  </si>
  <si>
    <t>HANOVER PARK,IL</t>
  </si>
  <si>
    <t>OOLU4118552640/Q#AG-0123</t>
  </si>
  <si>
    <t>EGO BIKE-Metalrays LLC</t>
  </si>
  <si>
    <t>TRHU7606998</t>
  </si>
  <si>
    <t>DDP TERM</t>
  </si>
  <si>
    <r>
      <rPr>
        <sz val="11"/>
        <color rgb="FFFF0000"/>
        <rFont val="Calibri"/>
        <family val="2"/>
        <scheme val="minor"/>
      </rPr>
      <t>DDP Term, origin agent will arrange customs entry and delivery</t>
    </r>
    <r>
      <rPr>
        <sz val="11"/>
        <color theme="1"/>
        <rFont val="Calibri"/>
        <family val="2"/>
        <scheme val="minor"/>
      </rPr>
      <t xml:space="preserve">  / MEDUZF921833</t>
    </r>
  </si>
  <si>
    <t xml:space="preserve">EGHU9743885     </t>
  </si>
  <si>
    <t>Baltimore</t>
  </si>
  <si>
    <t>exam hold</t>
  </si>
  <si>
    <t>EGLV143351575082 / Q# 0331AN2-HP / 发账单给武汉team /  chassis prepaid,所以不收chassis rental</t>
  </si>
  <si>
    <t>XYLU8119158</t>
  </si>
  <si>
    <t>SSL CHECK</t>
  </si>
  <si>
    <t>DO WILL SEND TO SOUTHERN</t>
  </si>
  <si>
    <t>AMZ XLX6</t>
  </si>
  <si>
    <t xml:space="preserve">OOLU2139748250/Q#WUH030623X/LAYOVER $300/  </t>
  </si>
  <si>
    <t>TCKU7886205</t>
  </si>
  <si>
    <t xml:space="preserve">OOLU8810349640/Q#WUH030623X/LAYOVER $300/ </t>
  </si>
  <si>
    <t>TCLU3792980</t>
  </si>
  <si>
    <t xml:space="preserve">ABL </t>
  </si>
  <si>
    <t>ONEYHKGD27612800/84235</t>
  </si>
  <si>
    <t xml:space="preserve">SEGU4909922  </t>
  </si>
  <si>
    <t>Savannah L738</t>
  </si>
  <si>
    <t>Bloomingdale，GA 31302</t>
  </si>
  <si>
    <t>COSU6355266710 /Q# 0322LN4-IW / cancel</t>
  </si>
  <si>
    <t>HAIYI</t>
  </si>
  <si>
    <t>CSNU6449067</t>
  </si>
  <si>
    <t>AMAZON IGQ2
University Park, IL 60484,</t>
  </si>
  <si>
    <t>OOLU2300265220 / PO# 5419KU7W, 961 CTNS /  PO# 1QA9W4SW , 274 CTNS</t>
  </si>
  <si>
    <t>OOLU9725090</t>
  </si>
  <si>
    <t xml:space="preserve">OOLU2300268960 / PO# 48QJPCDA, 1720 CTNS </t>
  </si>
  <si>
    <t xml:space="preserve">TRHU4677597 </t>
  </si>
  <si>
    <t>OOLU2300275320 / PO# 5419KU7W, 756 CTNS / PO# 1QA9W4SW, 702 CTNS</t>
  </si>
  <si>
    <t xml:space="preserve">AIMPACIFIC </t>
  </si>
  <si>
    <t>CICU4606570</t>
  </si>
  <si>
    <t>HOLD FOR DELIVERY</t>
  </si>
  <si>
    <t>Wayland, MI 49348</t>
  </si>
  <si>
    <t>Requested</t>
  </si>
  <si>
    <r>
      <t xml:space="preserve">HDMUXMNM97003000 / </t>
    </r>
    <r>
      <rPr>
        <sz val="11"/>
        <color rgb="FFFF0000"/>
        <rFont val="Calibri"/>
        <family val="2"/>
        <scheme val="minor"/>
      </rPr>
      <t>SOC return to CUB Terminal , 5300 JOLIET ROAD, McCOOK, IL 60525</t>
    </r>
  </si>
  <si>
    <t>XCHANGE</t>
  </si>
  <si>
    <t>XHCU5523015</t>
  </si>
  <si>
    <t>MAEU226381332</t>
  </si>
  <si>
    <t>ONEYRICDR9156400</t>
  </si>
  <si>
    <t>Holland, MI 49423</t>
  </si>
  <si>
    <t>6/5 7PM</t>
  </si>
  <si>
    <t>ONEYRICDR9156400/TO TW/hold</t>
  </si>
  <si>
    <t>TCKU3151737</t>
  </si>
  <si>
    <r>
      <t>OW $350 / CMDUNGP0309242 / Make APPT on</t>
    </r>
    <r>
      <rPr>
        <sz val="11"/>
        <color rgb="FFFF0000"/>
        <rFont val="Calibri"/>
        <family val="2"/>
        <scheme val="minor"/>
      </rPr>
      <t xml:space="preserve"> OpenDock websit, WH name Now Foods Bloomingdale IL </t>
    </r>
    <r>
      <rPr>
        <sz val="11"/>
        <color theme="1"/>
        <rFont val="Calibri"/>
        <family val="2"/>
        <scheme val="minor"/>
      </rPr>
      <t xml:space="preserve">/ INVOICE NO.: NOWHK23007， CONTRACT NO: 448655 / Q# 0512EL0WC / </t>
    </r>
    <r>
      <rPr>
        <sz val="11"/>
        <color rgb="FFFF0000"/>
        <rFont val="Calibri"/>
        <family val="2"/>
        <scheme val="minor"/>
      </rPr>
      <t>Reroute $250 + chassis split</t>
    </r>
    <r>
      <rPr>
        <sz val="11"/>
        <color theme="1"/>
        <rFont val="Calibri"/>
        <family val="2"/>
        <scheme val="minor"/>
      </rPr>
      <t xml:space="preserve"> for SOC return to NLN / </t>
    </r>
  </si>
  <si>
    <t xml:space="preserve">MATU2720617 </t>
  </si>
  <si>
    <t>MOBERLY,MO,65270</t>
  </si>
  <si>
    <t>MATS8056807000/Q#FR-0309</t>
  </si>
  <si>
    <t>NOT AN ORDER/ONLY TO CHECK IGT VENDOR</t>
  </si>
  <si>
    <t>MATU2626093</t>
  </si>
  <si>
    <t xml:space="preserve">MATS1451848000  </t>
  </si>
  <si>
    <t>DALA28967600</t>
  </si>
  <si>
    <t>ERD#8.5/CNTR#</t>
  </si>
  <si>
    <t>DALA23546100</t>
  </si>
  <si>
    <t xml:space="preserve">TRHU7196759 </t>
  </si>
  <si>
    <t>EGLV 140301419295</t>
  </si>
  <si>
    <t>OOCU7761770</t>
  </si>
  <si>
    <t>NYC port-Maher Terminals</t>
  </si>
  <si>
    <t>ABL-FBA</t>
  </si>
  <si>
    <r>
      <t>OOLU2141684500 /</t>
    </r>
    <r>
      <rPr>
        <sz val="11"/>
        <color rgb="FFFF0000"/>
        <rFont val="Calibri"/>
        <family val="2"/>
        <scheme val="minor"/>
      </rPr>
      <t xml:space="preserve"> 等客人确认报价</t>
    </r>
    <r>
      <rPr>
        <sz val="11"/>
        <color theme="1"/>
        <rFont val="Calibri"/>
        <family val="2"/>
        <scheme val="minor"/>
      </rPr>
      <t xml:space="preserve">
TEB9:理发器： 114箱  FBA1792SFVP8/65M5P5NA 
                       61箱    FBA178TN53NQ/6A1TEZET
                       438箱  FBA179FVFXD2/1W3STSMX
IND9:涤纶印花毯子：129箱  FBA179MQ7LMM/54TN2DBY
MEM1:空灵鼓：77箱  暂扣放海外仓，需要重新贴标派送.</t>
    </r>
  </si>
  <si>
    <t>OOLU8872861</t>
  </si>
  <si>
    <t>OOLU2141911300/ canceled</t>
  </si>
  <si>
    <t>TRHU4577108</t>
  </si>
  <si>
    <t>LAX-WBCT terminal</t>
  </si>
  <si>
    <r>
      <t xml:space="preserve">ONEYXMND57222400 / COC
</t>
    </r>
    <r>
      <rPr>
        <sz val="11"/>
        <color rgb="FFFF0000"/>
        <rFont val="Calibri"/>
        <family val="2"/>
        <scheme val="minor"/>
      </rPr>
      <t>等ASPEED确认是否需要称重</t>
    </r>
    <r>
      <rPr>
        <sz val="11"/>
        <color theme="1"/>
        <rFont val="Calibri"/>
        <family val="2"/>
        <scheme val="minor"/>
      </rPr>
      <t xml:space="preserve">
ATTN：Mr.Jim
tel:(602)272-2006
Email:jim@claytonglass.com
抄送：op1_sxjd@aspeed.cn
 sales2_sxjd@aspeed.cn</t>
    </r>
  </si>
  <si>
    <t>CAIU3232399</t>
  </si>
  <si>
    <t>LAX FENIX TERMINAL</t>
  </si>
  <si>
    <t>PHONEIX , AZ 85017</t>
  </si>
  <si>
    <t>ONEYXMND66859600 /COC</t>
  </si>
  <si>
    <t>CSOU4102576</t>
  </si>
  <si>
    <t xml:space="preserve">cmduNGP0523396 </t>
  </si>
  <si>
    <t>OOCU8087820</t>
  </si>
  <si>
    <t>NS PITTSBURGH</t>
  </si>
  <si>
    <t>HOLD FOR DELIVERY UNTIL RECEIVE PAYMENT</t>
  </si>
  <si>
    <t>AMZ PIT2-PA 15126</t>
  </si>
  <si>
    <t>Cancel / COSU6364408360</t>
  </si>
  <si>
    <t xml:space="preserve"> FFAU2426390</t>
  </si>
  <si>
    <r>
      <t>OOLU8810550830 /</t>
    </r>
    <r>
      <rPr>
        <sz val="11"/>
        <color rgb="FFFF0000"/>
        <rFont val="Calibri"/>
        <family val="2"/>
        <scheme val="minor"/>
      </rPr>
      <t xml:space="preserve"> </t>
    </r>
    <r>
      <rPr>
        <sz val="11"/>
        <rFont val="Calibri"/>
        <family val="2"/>
        <scheme val="minor"/>
      </rPr>
      <t xml:space="preserve">/ Q# UPDATED-FRST102722S / </t>
    </r>
    <r>
      <rPr>
        <sz val="11"/>
        <color rgb="FFFF0000"/>
        <rFont val="Calibri"/>
        <family val="2"/>
        <scheme val="minor"/>
      </rPr>
      <t xml:space="preserve">
9.26 大森林确认不需要liftgate， 整柜直送</t>
    </r>
  </si>
  <si>
    <t>GREEN BAY,WI,54304</t>
  </si>
  <si>
    <t>COSU6367018920</t>
  </si>
  <si>
    <t>DUPLICATE</t>
  </si>
  <si>
    <t>YMMU6799864</t>
  </si>
  <si>
    <t>AMZ STL 4-Edwardsville,IL,62025</t>
  </si>
  <si>
    <t>MBL#W226440389001 / Q# FRST070723A / 2 hrs free</t>
  </si>
  <si>
    <t>CSNU7848009</t>
  </si>
  <si>
    <t xml:space="preserve">10/30/2023 18:00 EDT	</t>
  </si>
  <si>
    <t>ISA# 6749192980-LLL- Cancelled</t>
  </si>
  <si>
    <t>COSU6364399230</t>
  </si>
  <si>
    <t>OOCU7753060</t>
  </si>
  <si>
    <t xml:space="preserve">10/30/2023 19:00 EDT	</t>
  </si>
  <si>
    <t>ISA# 6749202980-LLL-Cancelled</t>
  </si>
  <si>
    <t>TGBU8956451</t>
  </si>
  <si>
    <t xml:space="preserve">10/31/2023 18:00 EDT	</t>
  </si>
  <si>
    <t>ISA# 6749222980-LLL-Cancelled</t>
  </si>
  <si>
    <t>COSU6365192510</t>
  </si>
  <si>
    <t>OOLU9223023</t>
  </si>
  <si>
    <t>GRANDVIEW,MO,64030</t>
  </si>
  <si>
    <t>TEMU7973201</t>
  </si>
  <si>
    <t>Baltimore- Seagirt Marine Terminal</t>
  </si>
  <si>
    <t>11/26/2023, 10:00 AM</t>
  </si>
  <si>
    <t xml:space="preserve">Cancelled Walmart Delivery# 60982250-Palletized FTL </t>
  </si>
  <si>
    <r>
      <rPr>
        <sz val="11"/>
        <color rgb="FFFF0000"/>
        <rFont val="Calibri"/>
        <family val="2"/>
        <scheme val="minor"/>
      </rPr>
      <t>Walmart PHL4n</t>
    </r>
    <r>
      <rPr>
        <sz val="11"/>
        <color theme="1"/>
        <rFont val="Calibri"/>
        <family val="2"/>
        <scheme val="minor"/>
      </rPr>
      <t>-Shippensburg, PA, 17257</t>
    </r>
  </si>
  <si>
    <t>COSU6363624080 / Q# PGNE090123B</t>
  </si>
  <si>
    <t>ONEYSH3WT2916300/SHE23093878</t>
  </si>
  <si>
    <t>TGBU6577422</t>
  </si>
  <si>
    <t>NYC- MAHER TERMINALS</t>
  </si>
  <si>
    <t>EGLV143361794895 / Transload /Q#  FOCU111023NY1</t>
  </si>
  <si>
    <t xml:space="preserve">CAIU4363388 </t>
  </si>
  <si>
    <t>Elgin,IL 60123</t>
  </si>
  <si>
    <t>SMLMTATU3A607700 / Next Door Warehouse LLC
1051 Davis Rd,Elgin,Illinois 60123
邮箱： vee@qujiatech.com
CC：info@pg-network.com；cus1.ngb@tplsupplychain.com；darrylwang.ngb@tplsupplychain.com；cus2.ngb@tplsupplychain.com
联系人：Vee</t>
  </si>
  <si>
    <t>HDMUTPEM59971000/MTPE23110053/3725-3825/CHASSIS BILL TO ROHANA?</t>
  </si>
  <si>
    <t xml:space="preserve">CANCEL/DUPLICATE </t>
  </si>
  <si>
    <t>CONU2380279</t>
  </si>
  <si>
    <t>CSX- BEDFORD PARK</t>
  </si>
  <si>
    <r>
      <t xml:space="preserve">HDMUNBOZ98469100 / Q# EVAN091823A/ </t>
    </r>
    <r>
      <rPr>
        <sz val="11"/>
        <color rgb="FF0000CC"/>
        <rFont val="Calibri"/>
        <family val="2"/>
        <scheme val="minor"/>
      </rPr>
      <t>Make APPT on Opendock</t>
    </r>
    <r>
      <rPr>
        <sz val="11"/>
        <color theme="1"/>
        <rFont val="Calibri"/>
        <family val="2"/>
        <charset val="134"/>
        <scheme val="minor"/>
      </rPr>
      <t xml:space="preserve">/ OW 45,635.69 LBS / </t>
    </r>
    <r>
      <rPr>
        <sz val="11"/>
        <color rgb="FFFF0000"/>
        <rFont val="Calibri"/>
        <family val="2"/>
        <scheme val="minor"/>
      </rPr>
      <t>SOC return to Conglobal Joliet / reroute $150 + chassis split+ OW $300 / chassis split for OG CSX+ CSX Congestion fee $150</t>
    </r>
  </si>
  <si>
    <t>ZCSU8727634</t>
  </si>
  <si>
    <t>TCT</t>
  </si>
  <si>
    <t>ORLANDO , FL 32824</t>
  </si>
  <si>
    <t xml:space="preserve">ZIMUXIA8358341 </t>
  </si>
  <si>
    <t>ZCSU6651191</t>
  </si>
  <si>
    <t>ZCSU7415040</t>
  </si>
  <si>
    <t>EGSU9409948</t>
  </si>
  <si>
    <t>NYC Trasloading</t>
  </si>
  <si>
    <r>
      <t>Trasnlaod / EGLV143400013372 
此柜共664件，</t>
    </r>
    <r>
      <rPr>
        <sz val="11"/>
        <color rgb="FFFF0000"/>
        <rFont val="Calibri"/>
        <family val="2"/>
        <scheme val="minor"/>
      </rPr>
      <t>需要随机抽出264件送到 300 Cedar Lane Suite B, Edison NJ 08817，邮箱预约入仓要求如下：
邮件标题： Inbound Delivery request: 柜号+入库单号 +进仓编号  
进仓编号邮件预约派送（EGSU9409948+IOKZM661-240329-2001+Z420R7）
TO： nj_rec@jwfulfillment.com； njjw.op@jwfulfillm
抄送：payneguo@51-delivery.com</t>
    </r>
    <r>
      <rPr>
        <sz val="11"/>
        <color theme="1"/>
        <rFont val="Calibri"/>
        <family val="2"/>
        <scheme val="minor"/>
      </rPr>
      <t xml:space="preserve">
剩下的400件待通知后操作，继续暂扣在仓库，谢谢 </t>
    </r>
  </si>
  <si>
    <t>MSDU6389986</t>
  </si>
  <si>
    <t>Chicago, IL 60609</t>
  </si>
  <si>
    <t xml:space="preserve">MEDUX6411524 / WUHO040324D-报价$580+detention 2 hrs free                   </t>
  </si>
  <si>
    <t>FSCU8890635-canceled</t>
  </si>
  <si>
    <t>B6460A</t>
  </si>
  <si>
    <t>COSU6378743243 / 客户改成 整柜直送</t>
  </si>
  <si>
    <t>CAIU7290731</t>
  </si>
  <si>
    <t>COSU6374869654</t>
  </si>
  <si>
    <t>TEMU8250383</t>
  </si>
  <si>
    <t>cosu6376827350          / cancel</t>
  </si>
  <si>
    <t>SUN POWER</t>
  </si>
  <si>
    <t>BK# 6386598600</t>
  </si>
  <si>
    <t>booking   LONG BEACH--YANTIAN  1*40HQ</t>
  </si>
  <si>
    <t>Booking #6387441080</t>
  </si>
  <si>
    <t>booking  LONG BEACH--YANTIAN  1*40HQ  COSCO ENGLAND 063W</t>
  </si>
  <si>
    <t>CCLU7433642</t>
  </si>
  <si>
    <t>cencel</t>
  </si>
  <si>
    <t>COSU6386233860 - canceled by customer</t>
  </si>
  <si>
    <t>FCIU8546873</t>
  </si>
  <si>
    <t xml:space="preserve">Csx Fairburn - Atlanta (404)
</t>
  </si>
  <si>
    <t>CK TRUCKING</t>
  </si>
  <si>
    <t>Atlanta, GA, 30349</t>
  </si>
  <si>
    <t>MEDUX6775050</t>
  </si>
  <si>
    <t>OOCU7085649</t>
  </si>
  <si>
    <t>EXAM SITE
H&amp;M International
700 Belleville Turnpike
Kearny, NJ</t>
  </si>
  <si>
    <t>Secaucus, NJ， 07094</t>
  </si>
  <si>
    <t>7/11 at port TML
7/31 at H&amp;M Exam site</t>
  </si>
  <si>
    <t>7/11 OG from port TML</t>
  </si>
  <si>
    <t>OOLU2738168010, pay attention to instrution / 海关自己挪柜去EXAM SITE / 等客户通知EXAM release 和提柜地址
Terabithia &lt;1134350556@qq.com&gt;</t>
  </si>
  <si>
    <t>BOYU</t>
  </si>
  <si>
    <t>TGBU7081801</t>
  </si>
  <si>
    <t>ZIMUNGB20274399</t>
  </si>
  <si>
    <t>TGBU8781501</t>
  </si>
  <si>
    <t>Savannah,GA,Chatham</t>
  </si>
  <si>
    <t>CK change to PBI</t>
  </si>
  <si>
    <t>From Savannah, GA 31322
to Rincon GA 31326</t>
  </si>
  <si>
    <t>COSU6388661390</t>
  </si>
  <si>
    <t>BEAU6043202</t>
  </si>
  <si>
    <t>OOCU8378702</t>
  </si>
  <si>
    <t>COSU6388675090</t>
  </si>
  <si>
    <t xml:space="preserve">ZCSU6780270  </t>
  </si>
  <si>
    <t xml:space="preserve">ZIM </t>
  </si>
  <si>
    <t>Channel EXAM site -Bensenville, IL 60106</t>
  </si>
  <si>
    <r>
      <rPr>
        <sz val="11"/>
        <color rgb="FFFF0000"/>
        <rFont val="Calibri"/>
        <family val="2"/>
        <scheme val="minor"/>
      </rPr>
      <t>EXAM MOVING</t>
    </r>
    <r>
      <rPr>
        <sz val="11"/>
        <color theme="1"/>
        <rFont val="Calibri"/>
        <family val="2"/>
        <scheme val="minor"/>
      </rPr>
      <t xml:space="preserve"> / ZIMUSHH31416193 / Q# UQQB090624A, $800+ BONDED fee $250</t>
    </r>
  </si>
  <si>
    <t>EXAM MOVING</t>
  </si>
  <si>
    <t>FFAU1728272</t>
  </si>
  <si>
    <r>
      <t xml:space="preserve">MEDUX7560279  / Q# RABS071524B, $ 530 / </t>
    </r>
    <r>
      <rPr>
        <sz val="11"/>
        <color rgb="FFFF0000"/>
        <rFont val="Calibri"/>
        <family val="2"/>
        <scheme val="minor"/>
      </rPr>
      <t xml:space="preserve">Bill to WUH </t>
    </r>
    <r>
      <rPr>
        <sz val="11"/>
        <color theme="1"/>
        <rFont val="Calibri"/>
        <family val="2"/>
        <scheme val="minor"/>
      </rPr>
      <t xml:space="preserve">/PAQS清关+ABL派送 /  送仓之前请联系chris确认一遍地址和送仓时间 / Chris Pounds/ cpounds@lyonworkspace.com / (630) 947-1334                                </t>
    </r>
  </si>
  <si>
    <t>MSDU7799563</t>
  </si>
  <si>
    <t>MSMU7129491</t>
  </si>
  <si>
    <t xml:space="preserve">MSNU7018378 </t>
  </si>
  <si>
    <t>MSBU5004357</t>
  </si>
  <si>
    <r>
      <t xml:space="preserve">MEDUX7595309  / Q# RABS071524B, $ 530 / </t>
    </r>
    <r>
      <rPr>
        <sz val="11"/>
        <color rgb="FFFF0000"/>
        <rFont val="Calibri"/>
        <family val="2"/>
        <scheme val="minor"/>
      </rPr>
      <t>Bill to WUH</t>
    </r>
    <r>
      <rPr>
        <sz val="11"/>
        <color theme="1"/>
        <rFont val="Calibri"/>
        <family val="2"/>
        <scheme val="minor"/>
      </rPr>
      <t xml:space="preserve"> /PAQS清关+ABL派送 / /  送仓之前请联系chris确认一遍地址和送仓时间 / Chris Pounds/ cpounds@lyonworkspace.com / (630) 947-1334                                </t>
    </r>
  </si>
  <si>
    <t>MSDU5381888</t>
  </si>
  <si>
    <t>MEDU4908684</t>
  </si>
  <si>
    <t>MSMU6689486</t>
  </si>
  <si>
    <t>CAAU5025192</t>
  </si>
  <si>
    <t xml:space="preserve">MEDU7937897 </t>
  </si>
  <si>
    <t>GLDU7393847</t>
  </si>
  <si>
    <r>
      <t xml:space="preserve">MEDUX7492390  / Q# RABS071524B, $ 530 / </t>
    </r>
    <r>
      <rPr>
        <sz val="11"/>
        <color rgb="FFFF0000"/>
        <rFont val="Calibri"/>
        <family val="2"/>
        <scheme val="minor"/>
      </rPr>
      <t>Bill to WUH</t>
    </r>
    <r>
      <rPr>
        <sz val="11"/>
        <color theme="1"/>
        <rFont val="Calibri"/>
        <family val="2"/>
        <scheme val="minor"/>
      </rPr>
      <t xml:space="preserve"> /PAQS清关+ABL派送 / /  送仓之前请联系chris确认一遍地址和送仓时间 / Chris Pounds/ cpounds@lyonworkspace.com / (630) 947-1334                                </t>
    </r>
  </si>
  <si>
    <t xml:space="preserve">MEDU7190306 </t>
  </si>
  <si>
    <t>FFAU2191233</t>
  </si>
  <si>
    <t xml:space="preserve">MEDUX7636145   / Q# RABS071524B, $ 530 / Bill to WUH /PAQS清关+ABL派送 / /  送仓之前请联系chris确认一遍地址和送仓时间 / Chris Pounds/ cpounds@lyonworkspace.com / (630) 947-1334                           </t>
  </si>
  <si>
    <t>TRLU7509548</t>
  </si>
  <si>
    <t xml:space="preserve">MSDU8092214 </t>
  </si>
  <si>
    <t>MSMU6456890</t>
  </si>
  <si>
    <t xml:space="preserve">MEDUX7636152    / Q# RABS071524B, $ 530 / Bill to WUH /PAQS清关+ABL派送 / /  送仓之前请联系chris确认一遍地址和送仓时间 / Chris Pounds/ cpounds@lyonworkspace.com / (630) 947-1334                           </t>
  </si>
  <si>
    <t>MEDU4674689</t>
  </si>
  <si>
    <t xml:space="preserve">MSMU7123019 </t>
  </si>
  <si>
    <t>CLHU8890767</t>
  </si>
  <si>
    <t>拆柜</t>
  </si>
  <si>
    <t>16477 Slover Ave,Fontana, CA 92337</t>
  </si>
  <si>
    <t>OOCU2304090064 / pending price</t>
  </si>
  <si>
    <t>**MTPE24100150, Shipper cancelled booking</t>
  </si>
  <si>
    <t>2x40HQ</t>
  </si>
  <si>
    <t>NEW SHPT S/HOMEWELL C/AUTOSPEC INC. // TYN TO Chicago via LAX 2X40HQ CLS10/24 **MTPE24100150</t>
  </si>
  <si>
    <t>HLBU1981425</t>
  </si>
  <si>
    <t>HLCU？</t>
  </si>
  <si>
    <t>武汉负责</t>
  </si>
  <si>
    <t>Lemont, IL 60439</t>
  </si>
  <si>
    <t>SZX2409DARV0</t>
  </si>
  <si>
    <t>MSKU4429880</t>
  </si>
  <si>
    <t>BNSF Logistics Park Joliet</t>
  </si>
  <si>
    <t xml:space="preserve">1250 East 145th Street East Chicago IN 46312 </t>
  </si>
  <si>
    <t>MAEU243934856 / weship直接做了</t>
  </si>
  <si>
    <t xml:space="preserve">CICU4995738 </t>
  </si>
  <si>
    <t>HORIZON-DE</t>
  </si>
  <si>
    <r>
      <rPr>
        <sz val="11"/>
        <color rgb="FF000000"/>
        <rFont val="Calibri"/>
        <family val="2"/>
        <scheme val="minor"/>
      </rPr>
      <t>XMNM89635600 /</t>
    </r>
    <r>
      <rPr>
        <sz val="11"/>
        <color rgb="FFFF0000"/>
        <rFont val="Calibri"/>
        <family val="2"/>
        <scheme val="minor"/>
      </rPr>
      <t xml:space="preserve"> ISF on file</t>
    </r>
    <r>
      <rPr>
        <sz val="11"/>
        <color rgb="FF000000"/>
        <rFont val="Calibri"/>
        <family val="2"/>
        <scheme val="minor"/>
      </rPr>
      <t xml:space="preserve">/ Cancel Customs entry &amp; delivery. ABL doesn't need to send out A/N. </t>
    </r>
  </si>
  <si>
    <t>ISF INV# 155451</t>
  </si>
  <si>
    <t>CWWU1242766</t>
  </si>
  <si>
    <t>UP G3</t>
  </si>
  <si>
    <r>
      <t>XMNM05495600 /</t>
    </r>
    <r>
      <rPr>
        <sz val="11"/>
        <color rgb="FFFF0000"/>
        <rFont val="Calibri"/>
        <family val="2"/>
        <scheme val="minor"/>
      </rPr>
      <t xml:space="preserve"> ISF on file</t>
    </r>
    <r>
      <rPr>
        <sz val="11"/>
        <color theme="1"/>
        <rFont val="Calibri"/>
        <family val="2"/>
        <scheme val="minor"/>
      </rPr>
      <t xml:space="preserve">/ Cancel Customs entry &amp; delivery. ABL doesn't need to send out A/N. </t>
    </r>
  </si>
  <si>
    <t>ISF INV# 155448</t>
  </si>
  <si>
    <t>JIU MAO</t>
  </si>
  <si>
    <t>BSIU8361310</t>
  </si>
  <si>
    <t>SLS</t>
  </si>
  <si>
    <t>Z978 SSA TERM</t>
  </si>
  <si>
    <t>Junction</t>
  </si>
  <si>
    <t>Sun Valley, CA 91352</t>
  </si>
  <si>
    <t>SJHHSLSQDBK2950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</si>
</sst>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1">
    <numFmt numFmtId="6" formatCode="&quot;$&quot;#,##0_);[Red]\(&quot;$&quot;#,##0\)"/>
    <numFmt numFmtId="8" formatCode="&quot;$&quot;#,##0.00_);[Red]\(&quot;$&quot;#,##0.00\)"/>
    <numFmt numFmtId="44" formatCode="_(&quot;$&quot;* #,##0.00_);_(&quot;$&quot;* \(#,##0.00\);_(&quot;$&quot;* &quot;-&quot;??_);_(@_)"/>
    <numFmt numFmtId="43" formatCode="_(* #,##0.00_);_(* \(#,##0.00\);_(* &quot;-&quot;??_);_(@_)"/>
    <numFmt numFmtId="164" formatCode="m/d;@"/>
    <numFmt numFmtId="165" formatCode="h:mm;@"/>
    <numFmt numFmtId="166" formatCode="_([$$-409]* #,##0.00_);_([$$-409]* \(#,##0.00\);_([$$-409]* &quot;-&quot;??_);_(@_)"/>
    <numFmt numFmtId="167" formatCode="_(&quot;$&quot;* #,##0.0_);_(&quot;$&quot;* \(#,##0.0\);_(&quot;$&quot;* &quot;-&quot;?_);_(@_)"/>
    <numFmt numFmtId="168" formatCode="m/d"/>
    <numFmt numFmtId="169" formatCode="m&quot;月&quot;d&quot;日&quot;;@"/>
    <numFmt numFmtId="170" formatCode="mm/dd"/>
    <numFmt numFmtId="171" formatCode="0.000%"/>
    <numFmt numFmtId="172" formatCode="_ * #,##0_ ;_ * \-#,##0_ ;_ * &quot;-&quot;_ ;_ @_ "/>
    <numFmt numFmtId="173" formatCode="_ * #,##0.00_ ;_ * \-#,##0.00_ ;_ * &quot;-&quot;??_ ;_ @_ "/>
    <numFmt numFmtId="174" formatCode="_(&quot;$&quot;* #,##0.0_);_(&quot;$&quot;* \(#,##0.0\);_(&quot;$&quot;* &quot;-&quot;??_);_(@_)"/>
    <numFmt numFmtId="175" formatCode="mm/dd/yy_)"/>
    <numFmt numFmtId="176" formatCode="_(&quot;$&quot;* #,##0_);_(&quot;$&quot;* \(#,##0\);_(&quot;$&quot;* &quot;-&quot;??_);_(@_)"/>
    <numFmt numFmtId="177" formatCode="mmm\ dd\,\ yy"/>
    <numFmt numFmtId="178" formatCode="0.0%"/>
    <numFmt numFmtId="179" formatCode="[$-409]h:mm\ AM/PM;@"/>
    <numFmt numFmtId="180" formatCode="&quot;$&quot;#,##0.00"/>
  </numFmts>
  <fonts count="321">
    <font>
      <sz val="11"/>
      <color theme="1"/>
      <name val="Calibri"/>
      <charset val="134"/>
      <scheme val="minor"/>
    </font>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34"/>
      <scheme val="minor"/>
    </font>
    <font>
      <sz val="11"/>
      <color theme="1"/>
      <name val="Calibri"/>
      <family val="2"/>
      <charset val="134"/>
      <scheme val="minor"/>
    </font>
    <font>
      <sz val="11"/>
      <color theme="1"/>
      <name val="Calibri"/>
      <family val="2"/>
      <scheme val="minor"/>
    </font>
    <font>
      <b/>
      <sz val="11"/>
      <color theme="1"/>
      <name val="Calibri"/>
      <family val="2"/>
      <scheme val="minor"/>
    </font>
    <font>
      <b/>
      <sz val="11"/>
      <color rgb="FFFF0000"/>
      <name val="Calibri"/>
      <family val="2"/>
      <scheme val="minor"/>
    </font>
    <font>
      <u/>
      <sz val="11"/>
      <color theme="10"/>
      <name val="Calibri"/>
      <family val="2"/>
      <scheme val="minor"/>
    </font>
    <font>
      <sz val="11"/>
      <color rgb="FFFF0000"/>
      <name val="Calibri"/>
      <family val="2"/>
      <scheme val="minor"/>
    </font>
    <font>
      <sz val="11"/>
      <name val="Calibri"/>
      <family val="2"/>
      <scheme val="minor"/>
    </font>
    <font>
      <u/>
      <sz val="11"/>
      <color theme="1"/>
      <name val="Calibri"/>
      <family val="2"/>
      <scheme val="minor"/>
    </font>
    <font>
      <sz val="11"/>
      <color theme="0"/>
      <name val="Calibri"/>
      <family val="2"/>
      <scheme val="minor"/>
    </font>
    <font>
      <sz val="8"/>
      <name val="Calibri"/>
      <family val="2"/>
      <scheme val="minor"/>
    </font>
    <font>
      <b/>
      <sz val="11"/>
      <name val="Calibri"/>
      <family val="2"/>
      <scheme val="minor"/>
    </font>
    <font>
      <sz val="11"/>
      <color rgb="FF000000"/>
      <name val="Calibri"/>
      <family val="2"/>
      <scheme val="minor"/>
    </font>
    <font>
      <sz val="9"/>
      <color rgb="FF000000"/>
      <name val="Arial"/>
      <family val="2"/>
    </font>
    <font>
      <sz val="8"/>
      <color theme="1"/>
      <name val="Calibri"/>
      <family val="2"/>
      <scheme val="minor"/>
    </font>
    <font>
      <sz val="10"/>
      <name val="Arial"/>
      <family val="2"/>
    </font>
    <font>
      <sz val="18"/>
      <color theme="3"/>
      <name val="Calibri Light"/>
      <family val="2"/>
      <charset val="134"/>
      <scheme val="major"/>
    </font>
    <font>
      <b/>
      <sz val="15"/>
      <color theme="3"/>
      <name val="Calibri"/>
      <family val="2"/>
      <charset val="134"/>
      <scheme val="minor"/>
    </font>
    <font>
      <b/>
      <sz val="13"/>
      <color theme="3"/>
      <name val="Calibri"/>
      <family val="2"/>
      <charset val="134"/>
      <scheme val="minor"/>
    </font>
    <font>
      <b/>
      <sz val="11"/>
      <color theme="3"/>
      <name val="Calibri"/>
      <family val="2"/>
      <charset val="134"/>
      <scheme val="minor"/>
    </font>
    <font>
      <sz val="11"/>
      <color rgb="FF006100"/>
      <name val="Calibri"/>
      <family val="2"/>
      <charset val="134"/>
      <scheme val="minor"/>
    </font>
    <font>
      <sz val="11"/>
      <color rgb="FF9C0006"/>
      <name val="Calibri"/>
      <family val="2"/>
      <charset val="134"/>
      <scheme val="minor"/>
    </font>
    <font>
      <sz val="11"/>
      <color rgb="FF9C5700"/>
      <name val="Calibri"/>
      <family val="2"/>
      <charset val="134"/>
      <scheme val="minor"/>
    </font>
    <font>
      <sz val="11"/>
      <color rgb="FF3F3F76"/>
      <name val="Calibri"/>
      <family val="2"/>
      <charset val="134"/>
      <scheme val="minor"/>
    </font>
    <font>
      <b/>
      <sz val="11"/>
      <color rgb="FF3F3F3F"/>
      <name val="Calibri"/>
      <family val="2"/>
      <charset val="134"/>
      <scheme val="minor"/>
    </font>
    <font>
      <b/>
      <sz val="11"/>
      <color rgb="FFFA7D00"/>
      <name val="Calibri"/>
      <family val="2"/>
      <charset val="134"/>
      <scheme val="minor"/>
    </font>
    <font>
      <sz val="11"/>
      <color rgb="FFFA7D00"/>
      <name val="Calibri"/>
      <family val="2"/>
      <charset val="134"/>
      <scheme val="minor"/>
    </font>
    <font>
      <b/>
      <sz val="11"/>
      <color theme="0"/>
      <name val="Calibri"/>
      <family val="2"/>
      <charset val="134"/>
      <scheme val="minor"/>
    </font>
    <font>
      <sz val="11"/>
      <color rgb="FFFF0000"/>
      <name val="Calibri"/>
      <family val="2"/>
      <charset val="134"/>
      <scheme val="minor"/>
    </font>
    <font>
      <i/>
      <sz val="11"/>
      <color rgb="FF7F7F7F"/>
      <name val="Calibri"/>
      <family val="2"/>
      <charset val="134"/>
      <scheme val="minor"/>
    </font>
    <font>
      <b/>
      <sz val="11"/>
      <color theme="1"/>
      <name val="Calibri"/>
      <family val="2"/>
      <charset val="134"/>
      <scheme val="minor"/>
    </font>
    <font>
      <sz val="11"/>
      <color theme="0"/>
      <name val="Calibri"/>
      <family val="2"/>
      <charset val="134"/>
      <scheme val="minor"/>
    </font>
    <font>
      <b/>
      <sz val="11"/>
      <color rgb="FF3F3F3F"/>
      <name val="Calibri"/>
      <family val="2"/>
    </font>
    <font>
      <b/>
      <sz val="11"/>
      <color rgb="FFFF0000"/>
      <name val="Calibri"/>
      <family val="2"/>
      <charset val="134"/>
      <scheme val="minor"/>
    </font>
    <font>
      <u/>
      <sz val="11"/>
      <color theme="10"/>
      <name val="Calibri"/>
      <family val="2"/>
      <charset val="134"/>
      <scheme val="minor"/>
    </font>
    <font>
      <sz val="11"/>
      <color rgb="FF000000"/>
      <name val="Calibri"/>
      <family val="2"/>
      <charset val="1"/>
    </font>
    <font>
      <sz val="11"/>
      <color rgb="FF000000"/>
      <name val="Calibri"/>
      <family val="2"/>
    </font>
    <font>
      <b/>
      <sz val="11"/>
      <color theme="0"/>
      <name val="Calibri"/>
      <family val="2"/>
      <scheme val="minor"/>
    </font>
    <font>
      <sz val="11"/>
      <color rgb="FFFF0000"/>
      <name val="Calibri"/>
      <family val="2"/>
    </font>
    <font>
      <sz val="11"/>
      <name val="Calibri"/>
      <family val="2"/>
      <charset val="134"/>
      <scheme val="minor"/>
    </font>
    <font>
      <sz val="11"/>
      <color rgb="FF000000"/>
      <name val="Calibri"/>
      <family val="2"/>
      <charset val="134"/>
      <scheme val="minor"/>
    </font>
    <font>
      <b/>
      <sz val="11"/>
      <color rgb="FF000000"/>
      <name val="Calibri"/>
      <family val="2"/>
      <scheme val="minor"/>
    </font>
    <font>
      <u/>
      <sz val="11"/>
      <color rgb="FF000000"/>
      <name val="Calibri"/>
      <family val="2"/>
      <scheme val="minor"/>
    </font>
    <font>
      <sz val="11"/>
      <color theme="1"/>
      <name val="Calibri"/>
      <family val="2"/>
      <charset val="1"/>
    </font>
    <font>
      <sz val="11"/>
      <color rgb="FF444444"/>
      <name val="Calibri"/>
      <family val="2"/>
      <charset val="1"/>
    </font>
    <font>
      <sz val="10"/>
      <color rgb="FF3F464D"/>
      <name val="Microsoft YaHei UI"/>
      <family val="2"/>
    </font>
    <font>
      <sz val="11"/>
      <name val="宋体"/>
      <charset val="134"/>
    </font>
    <font>
      <b/>
      <sz val="11"/>
      <color rgb="FFFF0000"/>
      <name val="Calibri"/>
      <family val="2"/>
    </font>
    <font>
      <sz val="12"/>
      <color rgb="FF000000"/>
      <name val="Calibri"/>
      <family val="2"/>
    </font>
    <font>
      <sz val="11"/>
      <color theme="1"/>
      <name val="Calibri"/>
      <family val="2"/>
    </font>
    <font>
      <u val="double"/>
      <sz val="11"/>
      <color theme="1"/>
      <name val="Calibri"/>
      <family val="2"/>
      <scheme val="minor"/>
    </font>
    <font>
      <sz val="12"/>
      <color rgb="FF000000"/>
      <name val="Calibri"/>
      <family val="2"/>
      <charset val="1"/>
    </font>
    <font>
      <b/>
      <sz val="11"/>
      <name val="Calibri"/>
      <family val="2"/>
      <charset val="134"/>
      <scheme val="minor"/>
    </font>
    <font>
      <sz val="11"/>
      <name val="Calibri"/>
      <family val="2"/>
    </font>
    <font>
      <b/>
      <sz val="11"/>
      <color theme="0"/>
      <name val="Abadi"/>
      <family val="2"/>
    </font>
    <font>
      <b/>
      <sz val="11"/>
      <color rgb="FFFF0000"/>
      <name val="Abadi"/>
      <family val="2"/>
    </font>
    <font>
      <sz val="11"/>
      <color rgb="FFFF6699"/>
      <name val="Calibri"/>
      <family val="2"/>
      <charset val="134"/>
      <scheme val="minor"/>
    </font>
    <font>
      <sz val="11"/>
      <color rgb="FFFF6699"/>
      <name val="Calibri"/>
      <family val="2"/>
      <scheme val="minor"/>
    </font>
    <font>
      <b/>
      <sz val="11"/>
      <color rgb="FF000000"/>
      <name val="Calibri"/>
      <family val="2"/>
    </font>
    <font>
      <sz val="11"/>
      <color rgb="FFFF6699"/>
      <name val="Calibri"/>
      <family val="2"/>
    </font>
    <font>
      <sz val="10"/>
      <color rgb="FF000000"/>
      <name val="Arial"/>
      <family val="2"/>
    </font>
    <font>
      <sz val="10"/>
      <color rgb="FF000000"/>
      <name val="Roboto"/>
    </font>
    <font>
      <u val="double"/>
      <sz val="10"/>
      <name val="Arial"/>
      <family val="2"/>
    </font>
    <font>
      <sz val="11"/>
      <color theme="1"/>
      <name val="Calibri"/>
      <family val="2"/>
      <scheme val="minor"/>
    </font>
    <font>
      <sz val="11"/>
      <color rgb="FF000000"/>
      <name val="Calibri"/>
      <family val="2"/>
      <scheme val="minor"/>
    </font>
    <font>
      <sz val="11"/>
      <color theme="1"/>
      <name val="Calibri"/>
      <family val="2"/>
      <scheme val="minor"/>
    </font>
    <font>
      <b/>
      <sz val="10"/>
      <color rgb="FF000000"/>
      <name val="Arial"/>
      <family val="2"/>
    </font>
    <font>
      <sz val="10"/>
      <color theme="1"/>
      <name val="Arial"/>
      <family val="2"/>
    </font>
    <font>
      <sz val="10"/>
      <color rgb="FF000000"/>
      <name val="Calibri Light"/>
      <family val="2"/>
      <scheme val="major"/>
    </font>
    <font>
      <sz val="10"/>
      <color rgb="FFFF0000"/>
      <name val="Calibri Light"/>
      <family val="2"/>
      <scheme val="major"/>
    </font>
    <font>
      <sz val="10"/>
      <color theme="1"/>
      <name val="Calibri Light"/>
      <family val="2"/>
      <scheme val="major"/>
    </font>
    <font>
      <sz val="10"/>
      <name val="Calibri Light"/>
      <family val="2"/>
      <scheme val="major"/>
    </font>
    <font>
      <sz val="10"/>
      <color rgb="FF00B050"/>
      <name val="Calibri Light"/>
      <family val="2"/>
      <scheme val="major"/>
    </font>
    <font>
      <b/>
      <sz val="10"/>
      <color theme="0"/>
      <name val="Abadi"/>
      <family val="2"/>
    </font>
    <font>
      <sz val="10"/>
      <color theme="1"/>
      <name val="Calibri"/>
      <family val="2"/>
      <scheme val="minor"/>
    </font>
    <font>
      <b/>
      <sz val="10"/>
      <color rgb="FF000000"/>
      <name val="Calibri"/>
      <family val="2"/>
      <charset val="134"/>
      <scheme val="minor"/>
    </font>
    <font>
      <b/>
      <sz val="10"/>
      <color rgb="FF000000"/>
      <name val="Abadi"/>
      <family val="2"/>
    </font>
    <font>
      <sz val="8"/>
      <name val="Calibri Light"/>
      <family val="2"/>
      <scheme val="major"/>
    </font>
    <font>
      <sz val="8"/>
      <color theme="1"/>
      <name val="Calibri Light"/>
      <family val="2"/>
      <scheme val="major"/>
    </font>
    <font>
      <sz val="11"/>
      <color rgb="FF00B050"/>
      <name val="Calibri"/>
      <family val="2"/>
    </font>
    <font>
      <sz val="11"/>
      <color rgb="FF000000"/>
      <name val="Calibri"/>
      <family val="2"/>
      <scheme val="minor"/>
    </font>
    <font>
      <sz val="11"/>
      <color rgb="FFFF0000"/>
      <name val="Calibri"/>
      <family val="2"/>
    </font>
    <font>
      <sz val="11"/>
      <color theme="1"/>
      <name val="Calibri"/>
      <family val="2"/>
    </font>
    <font>
      <sz val="11"/>
      <color rgb="FF000000"/>
      <name val="Calibri"/>
      <family val="2"/>
    </font>
    <font>
      <b/>
      <sz val="11"/>
      <color theme="1"/>
      <name val="Calibri"/>
      <family val="2"/>
    </font>
    <font>
      <u/>
      <sz val="11"/>
      <name val="Calibri"/>
      <family val="2"/>
    </font>
    <font>
      <b/>
      <sz val="10"/>
      <color rgb="FF000000"/>
      <name val="Calibri Light"/>
      <family val="2"/>
      <scheme val="major"/>
    </font>
    <font>
      <sz val="8"/>
      <color rgb="FF000000"/>
      <name val="Calibri Light"/>
      <family val="2"/>
      <scheme val="major"/>
    </font>
    <font>
      <sz val="10"/>
      <color rgb="FF000000"/>
      <name val="Calibri"/>
      <family val="2"/>
      <charset val="1"/>
    </font>
    <font>
      <sz val="11"/>
      <color rgb="FF00B050"/>
      <name val="Calibri"/>
      <family val="2"/>
      <scheme val="minor"/>
    </font>
    <font>
      <sz val="11"/>
      <color rgb="FF00B050"/>
      <name val="Calibri"/>
      <family val="2"/>
      <charset val="134"/>
      <scheme val="minor"/>
    </font>
    <font>
      <sz val="11"/>
      <color rgb="FF000000"/>
      <name val="Calibri"/>
      <family val="2"/>
      <scheme val="minor"/>
    </font>
    <font>
      <sz val="10.5"/>
      <color rgb="FF000000"/>
      <name val="Microsoft YaHei UI"/>
      <family val="2"/>
      <charset val="1"/>
    </font>
    <font>
      <sz val="10"/>
      <name val="Calibri Light"/>
      <family val="2"/>
    </font>
    <font>
      <sz val="11"/>
      <color rgb="FFF562DC"/>
      <name val="Calibri"/>
      <family val="2"/>
      <scheme val="minor"/>
    </font>
    <font>
      <sz val="11"/>
      <color rgb="FF201F1E"/>
      <name val="Calibri"/>
      <family val="2"/>
      <charset val="134"/>
      <scheme val="minor"/>
    </font>
    <font>
      <sz val="10.5"/>
      <color rgb="FF000000"/>
      <name val="Arial"/>
      <family val="2"/>
      <charset val="1"/>
    </font>
    <font>
      <sz val="10"/>
      <color rgb="FF000000"/>
      <name val="Arial"/>
      <family val="2"/>
      <charset val="1"/>
    </font>
    <font>
      <u/>
      <sz val="11"/>
      <color theme="1"/>
      <name val="Calibri"/>
      <family val="2"/>
      <charset val="134"/>
      <scheme val="minor"/>
    </font>
    <font>
      <sz val="11"/>
      <color rgb="FFF562DC"/>
      <name val="Calibri"/>
      <family val="2"/>
      <charset val="134"/>
      <scheme val="minor"/>
    </font>
    <font>
      <sz val="11"/>
      <color rgb="FF333333"/>
      <name val="Calibri"/>
      <family val="2"/>
      <scheme val="minor"/>
    </font>
    <font>
      <sz val="11"/>
      <color rgb="FF333333"/>
      <name val="Calibri"/>
      <family val="2"/>
      <charset val="134"/>
      <scheme val="minor"/>
    </font>
    <font>
      <sz val="11"/>
      <color rgb="FF333333"/>
      <name val="Calibri"/>
      <family val="2"/>
    </font>
    <font>
      <sz val="11"/>
      <color theme="1"/>
      <name val="Calibri"/>
      <family val="2"/>
      <scheme val="minor"/>
    </font>
    <font>
      <sz val="11"/>
      <color theme="1"/>
      <name val="Calibri"/>
      <family val="2"/>
      <scheme val="minor"/>
    </font>
    <font>
      <sz val="11"/>
      <color rgb="FF0000CC"/>
      <name val="Calibri"/>
      <family val="2"/>
      <scheme val="minor"/>
    </font>
    <font>
      <sz val="8"/>
      <color rgb="FF000000"/>
      <name val="Verdana"/>
      <family val="2"/>
    </font>
    <font>
      <sz val="10.5"/>
      <color theme="1"/>
      <name val="Microsoft YaHei"/>
      <family val="2"/>
      <charset val="1"/>
    </font>
    <font>
      <sz val="11"/>
      <color rgb="FF444444"/>
      <name val="Calibri"/>
      <family val="2"/>
    </font>
    <font>
      <sz val="11"/>
      <color theme="2" tint="-0.749992370372631"/>
      <name val="Calibri"/>
      <family val="2"/>
      <scheme val="minor"/>
    </font>
    <font>
      <sz val="11"/>
      <color rgb="FF4472C4"/>
      <name val="Calibri"/>
      <family val="2"/>
      <charset val="134"/>
      <scheme val="minor"/>
    </font>
    <font>
      <sz val="12"/>
      <color rgb="FF000000"/>
      <name val="Calibri"/>
      <family val="2"/>
      <scheme val="minor"/>
    </font>
    <font>
      <sz val="10.5"/>
      <color rgb="FF000000"/>
      <name val="Tahoma"/>
      <family val="2"/>
      <charset val="1"/>
    </font>
    <font>
      <u/>
      <sz val="11"/>
      <color rgb="FFFF6699"/>
      <name val="Calibri"/>
      <family val="2"/>
      <charset val="134"/>
      <scheme val="minor"/>
    </font>
    <font>
      <sz val="12"/>
      <color theme="1"/>
      <name val="SimSun"/>
    </font>
    <font>
      <sz val="12"/>
      <color rgb="FF000000"/>
      <name val="SimSun"/>
    </font>
    <font>
      <sz val="11"/>
      <color rgb="FF000040"/>
      <name val="Calibri"/>
      <family val="2"/>
    </font>
    <font>
      <sz val="10.5"/>
      <color rgb="FF000000"/>
      <name val="Microsoft YaHei"/>
      <family val="2"/>
      <charset val="1"/>
    </font>
    <font>
      <sz val="10"/>
      <color rgb="FF000000"/>
      <name val="Microsoft YaHei"/>
      <family val="2"/>
      <charset val="1"/>
    </font>
    <font>
      <sz val="12"/>
      <color theme="1"/>
      <name val="Times New Roman"/>
      <family val="1"/>
      <charset val="1"/>
    </font>
    <font>
      <sz val="11"/>
      <color rgb="FF212B60"/>
      <name val="Calibri"/>
      <family val="2"/>
    </font>
    <font>
      <sz val="11"/>
      <color rgb="FF0000FF"/>
      <name val="Calibri"/>
      <family val="2"/>
      <scheme val="minor"/>
    </font>
    <font>
      <sz val="10.5"/>
      <color rgb="FF000000"/>
      <name val="Calibri"/>
      <family val="2"/>
      <charset val="1"/>
    </font>
    <font>
      <u val="double"/>
      <sz val="11"/>
      <color rgb="FF000000"/>
      <name val="Calibri"/>
      <family val="2"/>
    </font>
    <font>
      <sz val="11"/>
      <color rgb="FF000000"/>
      <name val="Calibri"/>
      <family val="2"/>
      <scheme val="minor"/>
    </font>
    <font>
      <sz val="11"/>
      <color rgb="FFC00000"/>
      <name val="Calibri"/>
      <family val="2"/>
      <scheme val="minor"/>
    </font>
    <font>
      <sz val="10.5"/>
      <color rgb="FF0F1111"/>
      <name val="Arial"/>
      <family val="2"/>
      <charset val="1"/>
    </font>
    <font>
      <sz val="10"/>
      <color rgb="FF000000"/>
      <name val="Helvetica"/>
      <charset val="1"/>
    </font>
    <font>
      <sz val="11"/>
      <color rgb="FF0F1111"/>
      <name val="Amazon Ember"/>
      <charset val="1"/>
    </font>
    <font>
      <sz val="10"/>
      <color rgb="FF000000"/>
      <name val="Verdana"/>
      <family val="2"/>
    </font>
    <font>
      <sz val="9"/>
      <color theme="1"/>
      <name val="Calibri"/>
      <family val="2"/>
      <scheme val="minor"/>
    </font>
    <font>
      <sz val="11"/>
      <color rgb="FF1F497D"/>
      <name val="Calibri"/>
      <family val="2"/>
      <charset val="1"/>
    </font>
    <font>
      <sz val="10"/>
      <color rgb="FF000000"/>
      <name val="Verdana"/>
      <family val="2"/>
      <charset val="1"/>
    </font>
    <font>
      <sz val="10"/>
      <color rgb="FFFF0000"/>
      <name val="Calibri"/>
      <family val="2"/>
      <scheme val="minor"/>
    </font>
    <font>
      <sz val="10"/>
      <color rgb="FFFF0000"/>
      <name val="Proxima-Nova"/>
      <charset val="1"/>
    </font>
    <font>
      <u/>
      <sz val="11"/>
      <name val="Calibri"/>
      <family val="2"/>
      <scheme val="minor"/>
    </font>
    <font>
      <sz val="11"/>
      <color rgb="FF444444"/>
      <name val="Verdana"/>
      <family val="2"/>
      <charset val="1"/>
    </font>
    <font>
      <sz val="11"/>
      <color indexed="8"/>
      <name val="SansSerif"/>
      <family val="2"/>
    </font>
    <font>
      <sz val="12"/>
      <color rgb="FF000000"/>
      <name val="Tahoma"/>
      <family val="2"/>
      <charset val="1"/>
    </font>
    <font>
      <sz val="11"/>
      <name val="宋体"/>
    </font>
    <font>
      <sz val="10"/>
      <color indexed="8"/>
      <name val="微软雅黑"/>
      <family val="2"/>
      <charset val="134"/>
    </font>
    <font>
      <sz val="10"/>
      <color rgb="FF000000"/>
      <name val="Microsoft YaHei UI"/>
      <family val="2"/>
      <charset val="1"/>
    </font>
    <font>
      <sz val="10"/>
      <color theme="1"/>
      <name val="Helvetica Neue"/>
      <family val="1"/>
      <charset val="1"/>
    </font>
    <font>
      <sz val="11"/>
      <color theme="7" tint="-0.499984740745262"/>
      <name val="Calibri"/>
      <family val="2"/>
      <scheme val="minor"/>
    </font>
    <font>
      <sz val="11"/>
      <color theme="1"/>
      <name val="Calibri"/>
      <family val="2"/>
      <scheme val="minor"/>
    </font>
    <font>
      <sz val="11"/>
      <color rgb="FF0F1111"/>
      <name val="Arial"/>
      <family val="2"/>
    </font>
    <font>
      <sz val="11"/>
      <color theme="4"/>
      <name val="Calibri"/>
      <family val="2"/>
      <charset val="134"/>
      <scheme val="minor"/>
    </font>
    <font>
      <sz val="10"/>
      <color rgb="FFFF0000"/>
      <name val="Arial"/>
      <family val="2"/>
    </font>
    <font>
      <sz val="11.5"/>
      <color rgb="FF000000"/>
      <name val="Helvetica"/>
      <family val="2"/>
      <charset val="1"/>
    </font>
    <font>
      <sz val="10"/>
      <color indexed="8"/>
      <name val="微软雅黑"/>
      <family val="2"/>
    </font>
    <font>
      <b/>
      <sz val="13.5"/>
      <color rgb="FF000000"/>
      <name val="Courier"/>
      <charset val="1"/>
    </font>
    <font>
      <b/>
      <sz val="12"/>
      <color rgb="FF000000"/>
      <name val="Courier"/>
      <charset val="1"/>
    </font>
    <font>
      <b/>
      <sz val="11"/>
      <color rgb="FF000000"/>
      <name val="Calibri"/>
      <family val="2"/>
      <charset val="1"/>
    </font>
    <font>
      <sz val="11.5"/>
      <color rgb="FF1D1C1D"/>
      <name val="Arial"/>
      <family val="2"/>
    </font>
    <font>
      <sz val="10.5"/>
      <color rgb="FF000000"/>
      <name val="Helvetica"/>
      <family val="2"/>
      <charset val="1"/>
    </font>
    <font>
      <sz val="11"/>
      <color theme="4"/>
      <name val="Calibri"/>
      <family val="2"/>
      <scheme val="minor"/>
    </font>
    <font>
      <sz val="10"/>
      <color rgb="FF000000"/>
      <name val="Calibri"/>
      <family val="2"/>
      <scheme val="minor"/>
    </font>
    <font>
      <sz val="11"/>
      <color theme="1"/>
      <name val="Calibri"/>
      <family val="2"/>
      <scheme val="minor"/>
    </font>
    <font>
      <sz val="11"/>
      <color indexed="8"/>
      <name val="Calibri"/>
      <family val="2"/>
      <scheme val="minor"/>
    </font>
    <font>
      <sz val="11"/>
      <color rgb="FFFF0000"/>
      <name val="Calibri"/>
      <family val="2"/>
      <charset val="1"/>
    </font>
    <font>
      <sz val="10"/>
      <color indexed="8"/>
      <name val="微软雅黑"/>
    </font>
    <font>
      <sz val="10"/>
      <color rgb="FF000000"/>
      <name val="Calibri"/>
      <family val="2"/>
      <charset val="134"/>
      <scheme val="minor"/>
    </font>
    <font>
      <sz val="10.5"/>
      <color rgb="FF000000"/>
      <name val="Segoe UI"/>
      <family val="2"/>
      <charset val="1"/>
    </font>
    <font>
      <sz val="9"/>
      <color theme="1"/>
      <name val="Calibri"/>
      <family val="2"/>
      <charset val="1"/>
    </font>
    <font>
      <sz val="11"/>
      <color indexed="8"/>
      <name val="Calibri"/>
      <family val="2"/>
      <scheme val="minor"/>
    </font>
    <font>
      <sz val="10.5"/>
      <color theme="1"/>
      <name val="Verdana"/>
      <family val="2"/>
      <charset val="1"/>
    </font>
    <font>
      <sz val="9"/>
      <color rgb="FF000000"/>
      <name val="Arial"/>
      <family val="2"/>
      <charset val="1"/>
    </font>
    <font>
      <sz val="11"/>
      <color theme="1"/>
      <name val="Lucida Grande"/>
      <family val="1"/>
      <charset val="1"/>
    </font>
    <font>
      <sz val="7"/>
      <color theme="1"/>
      <name val="Helvetica"/>
      <family val="2"/>
      <charset val="1"/>
    </font>
    <font>
      <u/>
      <sz val="11"/>
      <color rgb="FF000000"/>
      <name val="Calibri"/>
      <family val="2"/>
      <charset val="134"/>
      <scheme val="minor"/>
    </font>
    <font>
      <sz val="11.5"/>
      <color rgb="FF000000"/>
      <name val="Microsoft YaHei"/>
      <family val="2"/>
      <charset val="1"/>
    </font>
    <font>
      <sz val="10.5"/>
      <color rgb="FFFF0000"/>
      <name val="Helvetica"/>
    </font>
    <font>
      <sz val="11"/>
      <color theme="1" tint="0.34998626667073579"/>
      <name val="Calibri"/>
      <family val="2"/>
      <scheme val="minor"/>
    </font>
    <font>
      <sz val="11"/>
      <color theme="1" tint="0.34998626667073579"/>
      <name val="Calibri"/>
      <family val="2"/>
      <scheme val="minor"/>
    </font>
    <font>
      <sz val="11"/>
      <color theme="1" tint="0.34998626667073579"/>
      <name val="Calibri"/>
      <family val="2"/>
      <charset val="134"/>
      <scheme val="minor"/>
    </font>
    <font>
      <sz val="10"/>
      <color theme="1"/>
      <name val="微软雅黑"/>
    </font>
    <font>
      <sz val="11"/>
      <color rgb="FF000000"/>
      <name val="Calibri"/>
      <family val="2"/>
      <charset val="134"/>
    </font>
    <font>
      <sz val="11"/>
      <color rgb="FFFF3300"/>
      <name val="Calibri"/>
      <family val="2"/>
      <scheme val="minor"/>
    </font>
    <font>
      <sz val="10.5"/>
      <color rgb="FF000000"/>
      <name val="Source Han Sans"/>
      <family val="1"/>
      <charset val="1"/>
    </font>
    <font>
      <sz val="12"/>
      <color rgb="FF000000"/>
      <name val="Segoe UI"/>
      <family val="2"/>
      <charset val="1"/>
    </font>
    <font>
      <sz val="11"/>
      <color rgb="FF000000"/>
      <name val="Calibri"/>
      <family val="2"/>
      <scheme val="minor"/>
    </font>
    <font>
      <sz val="10.5"/>
      <color theme="1"/>
      <name val="Arial"/>
      <family val="2"/>
      <charset val="1"/>
    </font>
    <font>
      <sz val="11"/>
      <color indexed="8"/>
      <name val="Tahoma"/>
      <family val="2"/>
    </font>
    <font>
      <sz val="11"/>
      <color indexed="8"/>
      <name val="宋体"/>
      <charset val="134"/>
    </font>
    <font>
      <sz val="10"/>
      <name val="Helv"/>
      <charset val="134"/>
    </font>
    <font>
      <sz val="12"/>
      <name val="Times New Roman"/>
      <family val="1"/>
    </font>
    <font>
      <sz val="11"/>
      <color indexed="8"/>
      <name val="Calibri"/>
      <family val="2"/>
    </font>
    <font>
      <sz val="11"/>
      <color indexed="9"/>
      <name val="Calibri"/>
      <family val="2"/>
    </font>
    <font>
      <sz val="11"/>
      <color indexed="9"/>
      <name val="宋体"/>
      <charset val="134"/>
    </font>
    <font>
      <sz val="11"/>
      <color indexed="42"/>
      <name val="宋体"/>
      <charset val="134"/>
    </font>
    <font>
      <sz val="11"/>
      <color indexed="20"/>
      <name val="Calibri"/>
      <family val="2"/>
    </font>
    <font>
      <b/>
      <sz val="11"/>
      <color indexed="52"/>
      <name val="Calibri"/>
      <family val="2"/>
    </font>
    <font>
      <b/>
      <sz val="11"/>
      <color indexed="9"/>
      <name val="Calibri"/>
      <family val="2"/>
    </font>
    <font>
      <sz val="11"/>
      <color indexed="17"/>
      <name val="Calibri"/>
      <family val="2"/>
    </font>
    <font>
      <sz val="8"/>
      <name val="Arial"/>
      <family val="2"/>
    </font>
    <font>
      <sz val="11"/>
      <color indexed="62"/>
      <name val="Calibri"/>
      <family val="2"/>
    </font>
    <font>
      <sz val="11"/>
      <color indexed="60"/>
      <name val="Calibri"/>
      <family val="2"/>
    </font>
    <font>
      <b/>
      <i/>
      <sz val="16"/>
      <name val="Helv"/>
      <charset val="134"/>
    </font>
    <font>
      <sz val="10"/>
      <name val="Times New Roman"/>
      <family val="1"/>
    </font>
    <font>
      <sz val="12"/>
      <name val="宋体"/>
      <charset val="134"/>
    </font>
    <font>
      <b/>
      <sz val="11"/>
      <color indexed="63"/>
      <name val="Calibri"/>
      <family val="2"/>
    </font>
    <font>
      <b/>
      <sz val="20"/>
      <color indexed="8"/>
      <name val="黑体"/>
      <charset val="134"/>
    </font>
    <font>
      <sz val="10"/>
      <color indexed="8"/>
      <name val="宋体"/>
      <charset val="134"/>
    </font>
    <font>
      <b/>
      <sz val="10"/>
      <color indexed="8"/>
      <name val="黑体"/>
      <charset val="134"/>
    </font>
    <font>
      <b/>
      <sz val="11"/>
      <color indexed="8"/>
      <name val="Calibri"/>
      <family val="2"/>
    </font>
    <font>
      <sz val="11"/>
      <color indexed="17"/>
      <name val="宋体"/>
      <charset val="134"/>
    </font>
    <font>
      <sz val="11"/>
      <color indexed="17"/>
      <name val="Tahoma"/>
      <family val="2"/>
    </font>
    <font>
      <sz val="11"/>
      <color indexed="20"/>
      <name val="宋体"/>
      <charset val="134"/>
    </font>
    <font>
      <sz val="11"/>
      <color indexed="20"/>
      <name val="Tahoma"/>
      <family val="2"/>
    </font>
    <font>
      <sz val="9"/>
      <name val="宋体"/>
      <charset val="134"/>
    </font>
    <font>
      <b/>
      <sz val="15"/>
      <color indexed="56"/>
      <name val="宋体"/>
      <charset val="134"/>
    </font>
    <font>
      <b/>
      <sz val="15"/>
      <color indexed="62"/>
      <name val="宋体"/>
      <charset val="134"/>
    </font>
    <font>
      <b/>
      <sz val="18"/>
      <color indexed="56"/>
      <name val="宋体"/>
      <charset val="134"/>
    </font>
    <font>
      <b/>
      <sz val="13"/>
      <color indexed="56"/>
      <name val="宋体"/>
      <charset val="134"/>
    </font>
    <font>
      <b/>
      <sz val="13"/>
      <color indexed="62"/>
      <name val="宋体"/>
      <charset val="134"/>
    </font>
    <font>
      <b/>
      <sz val="11"/>
      <color indexed="56"/>
      <name val="宋体"/>
      <charset val="134"/>
    </font>
    <font>
      <b/>
      <sz val="11"/>
      <color indexed="62"/>
      <name val="宋体"/>
      <charset val="134"/>
    </font>
    <font>
      <b/>
      <sz val="18"/>
      <color indexed="62"/>
      <name val="宋体"/>
      <charset val="134"/>
    </font>
    <font>
      <b/>
      <sz val="11"/>
      <color indexed="9"/>
      <name val="宋体"/>
      <charset val="134"/>
    </font>
    <font>
      <b/>
      <sz val="11"/>
      <color indexed="42"/>
      <name val="宋体"/>
      <charset val="134"/>
    </font>
    <font>
      <b/>
      <sz val="11"/>
      <color indexed="8"/>
      <name val="宋体"/>
      <charset val="134"/>
    </font>
    <font>
      <i/>
      <sz val="11"/>
      <color indexed="23"/>
      <name val="宋体"/>
      <charset val="134"/>
    </font>
    <font>
      <sz val="11"/>
      <color indexed="10"/>
      <name val="宋体"/>
      <charset val="134"/>
    </font>
    <font>
      <b/>
      <sz val="11"/>
      <color indexed="52"/>
      <name val="宋体"/>
      <charset val="134"/>
    </font>
    <font>
      <u/>
      <sz val="12"/>
      <color indexed="12"/>
      <name val="宋体"/>
      <charset val="134"/>
    </font>
    <font>
      <sz val="11"/>
      <color indexed="62"/>
      <name val="宋体"/>
      <charset val="134"/>
    </font>
    <font>
      <b/>
      <sz val="11"/>
      <color indexed="63"/>
      <name val="宋体"/>
      <charset val="134"/>
    </font>
    <font>
      <sz val="11"/>
      <color indexed="60"/>
      <name val="宋体"/>
      <charset val="134"/>
    </font>
    <font>
      <sz val="11"/>
      <name val="蹈框"/>
      <charset val="134"/>
    </font>
    <font>
      <sz val="11"/>
      <color indexed="52"/>
      <name val="宋体"/>
      <charset val="134"/>
    </font>
    <font>
      <sz val="10"/>
      <color rgb="FFFF0000"/>
      <name val="微软雅黑"/>
    </font>
    <font>
      <sz val="12"/>
      <color rgb="FF000000"/>
      <name val="Aptos"/>
      <family val="2"/>
      <charset val="1"/>
    </font>
    <font>
      <sz val="11"/>
      <color rgb="FF000000"/>
      <name val="Calibri"/>
      <family val="2"/>
      <scheme val="minor"/>
    </font>
    <font>
      <sz val="12"/>
      <color rgb="FF000000"/>
      <name val="Helvetica Neue"/>
      <family val="1"/>
      <charset val="1"/>
    </font>
    <font>
      <sz val="11"/>
      <color indexed="8"/>
      <name val="Calibri"/>
      <family val="2"/>
      <charset val="134"/>
      <scheme val="minor"/>
    </font>
    <font>
      <sz val="12"/>
      <color theme="1"/>
      <name val="Aptos"/>
      <family val="2"/>
      <charset val="1"/>
    </font>
    <font>
      <sz val="11"/>
      <color rgb="FF000000"/>
      <name val="Helvetica"/>
      <family val="2"/>
      <charset val="1"/>
    </font>
    <font>
      <sz val="12"/>
      <color rgb="FF1F4E79"/>
      <name val="Calibri"/>
      <family val="2"/>
      <charset val="1"/>
    </font>
    <font>
      <sz val="10"/>
      <color rgb="FF000000"/>
      <name val="Times New Roman"/>
      <family val="1"/>
    </font>
    <font>
      <sz val="12"/>
      <color rgb="FF000000"/>
      <name val="Helvetica Neue"/>
      <charset val="1"/>
    </font>
    <font>
      <sz val="11"/>
      <color rgb="FF000000"/>
      <name val="Calibri"/>
      <family val="2"/>
      <scheme val="minor"/>
    </font>
    <font>
      <sz val="10"/>
      <color theme="0"/>
      <name val="Calibri"/>
      <family val="2"/>
      <charset val="134"/>
      <scheme val="minor"/>
    </font>
    <font>
      <sz val="11"/>
      <color rgb="FF000000"/>
      <name val="Aptos"/>
      <family val="2"/>
      <charset val="1"/>
    </font>
    <font>
      <sz val="11"/>
      <color indexed="8"/>
      <name val="Calibri"/>
      <family val="2"/>
      <scheme val="minor"/>
    </font>
    <font>
      <sz val="9"/>
      <color theme="1"/>
      <name val="微软雅黑"/>
      <charset val="134"/>
    </font>
    <font>
      <sz val="13.5"/>
      <color rgb="FF000000"/>
      <name val="Helvetica"/>
      <family val="2"/>
      <charset val="1"/>
    </font>
    <font>
      <sz val="10.5"/>
      <color rgb="FF500050"/>
      <name val="Arial"/>
      <family val="2"/>
      <charset val="1"/>
    </font>
    <font>
      <sz val="11"/>
      <color rgb="FF000000"/>
      <name val="Calibri"/>
      <family val="2"/>
      <scheme val="minor"/>
    </font>
    <font>
      <sz val="12"/>
      <color rgb="FF000000"/>
      <name val="Arial"/>
      <family val="2"/>
      <charset val="1"/>
    </font>
    <font>
      <b/>
      <sz val="11"/>
      <color rgb="FFFFFFFF"/>
      <name val="Calibri"/>
      <family val="2"/>
    </font>
    <font>
      <sz val="11"/>
      <color rgb="FF000000"/>
      <name val="Aptos"/>
      <family val="2"/>
    </font>
    <font>
      <sz val="8"/>
      <color rgb="FF242424"/>
      <name val="Segoe UI"/>
      <family val="2"/>
    </font>
    <font>
      <b/>
      <u/>
      <sz val="11"/>
      <color rgb="FFFF0000"/>
      <name val="Calibri"/>
      <family val="2"/>
      <scheme val="minor"/>
    </font>
    <font>
      <strike/>
      <sz val="11"/>
      <color theme="1"/>
      <name val="Calibri"/>
      <family val="2"/>
      <scheme val="minor"/>
    </font>
    <font>
      <sz val="11"/>
      <color theme="4"/>
      <name val="Aptos"/>
      <family val="2"/>
    </font>
    <font>
      <b/>
      <sz val="11"/>
      <color theme="4"/>
      <name val="Calibri"/>
      <family val="2"/>
    </font>
    <font>
      <sz val="11"/>
      <color rgb="FF000000"/>
      <name val="Segoe UI"/>
      <family val="2"/>
    </font>
    <font>
      <sz val="11"/>
      <color rgb="FFFF0000"/>
      <name val="Aptos"/>
      <family val="2"/>
    </font>
    <font>
      <sz val="12"/>
      <color rgb="FFFF0000"/>
      <name val="Arial"/>
      <family val="2"/>
      <charset val="1"/>
    </font>
    <font>
      <b/>
      <sz val="11"/>
      <color rgb="FF404040"/>
      <name val="Calibri"/>
      <family val="2"/>
      <charset val="1"/>
    </font>
    <font>
      <sz val="10"/>
      <color rgb="FFFF0000"/>
      <name val="Calibri"/>
      <family val="2"/>
    </font>
    <font>
      <sz val="11"/>
      <name val="Aptos"/>
      <family val="2"/>
    </font>
    <font>
      <b/>
      <sz val="11"/>
      <color rgb="FF203864"/>
      <name val="Calibri"/>
      <family val="2"/>
      <charset val="1"/>
    </font>
    <font>
      <sz val="11"/>
      <color rgb="FFFFFFFF"/>
      <name val="Calibri"/>
      <family val="2"/>
    </font>
    <font>
      <sz val="12"/>
      <color theme="1"/>
      <name val="Calibri"/>
      <family val="2"/>
      <scheme val="minor"/>
    </font>
    <font>
      <sz val="11"/>
      <color rgb="FF003399"/>
      <name val="Calibri"/>
      <family val="2"/>
      <scheme val="minor"/>
    </font>
    <font>
      <sz val="10"/>
      <color theme="1"/>
      <name val="微软雅黑"/>
      <charset val="134"/>
    </font>
    <font>
      <b/>
      <sz val="11"/>
      <color rgb="FF0000FF"/>
      <name val="Calibri"/>
      <family val="2"/>
      <scheme val="minor"/>
    </font>
    <font>
      <sz val="9.35"/>
      <name val="Calibri"/>
      <family val="2"/>
    </font>
    <font>
      <b/>
      <sz val="12"/>
      <color rgb="FFFF0000"/>
      <name val="Calibri"/>
      <family val="2"/>
    </font>
    <font>
      <sz val="11"/>
      <color theme="1"/>
      <name val="Aptos"/>
      <family val="2"/>
      <charset val="1"/>
    </font>
    <font>
      <sz val="10"/>
      <color rgb="FF000000"/>
      <name val="微软雅黑"/>
      <charset val="134"/>
    </font>
    <font>
      <sz val="12"/>
      <name val="Calibri"/>
      <family val="2"/>
    </font>
    <font>
      <sz val="11"/>
      <color rgb="FF393A3D"/>
      <name val="Arial"/>
      <family val="2"/>
    </font>
    <font>
      <sz val="11"/>
      <color rgb="FF393A3D"/>
      <name val="Helvetica Neue LT W1G"/>
      <charset val="1"/>
    </font>
    <font>
      <sz val="11"/>
      <color theme="1"/>
      <name val="Times New Roman"/>
      <family val="1"/>
      <charset val="1"/>
    </font>
    <font>
      <sz val="10"/>
      <color theme="1"/>
      <name val="Helvetica"/>
      <family val="2"/>
      <charset val="1"/>
    </font>
    <font>
      <b/>
      <sz val="9"/>
      <color rgb="FF002149"/>
      <name val="Arial-BoldMT"/>
      <family val="1"/>
      <charset val="1"/>
    </font>
    <font>
      <sz val="13"/>
      <color rgb="FF000000"/>
      <name val="UICTFontTextStyleBody"/>
      <family val="1"/>
      <charset val="1"/>
    </font>
    <font>
      <sz val="14"/>
      <name val="Calibri"/>
      <family val="2"/>
      <scheme val="minor"/>
    </font>
    <font>
      <sz val="11"/>
      <color theme="1"/>
      <name val="Microsoft YaHei"/>
      <family val="2"/>
      <charset val="1"/>
    </font>
    <font>
      <sz val="12"/>
      <color theme="1"/>
      <name val="Calibri"/>
      <family val="2"/>
      <charset val="134"/>
      <scheme val="minor"/>
    </font>
    <font>
      <b/>
      <i/>
      <sz val="11"/>
      <color theme="1"/>
      <name val="Calibri"/>
      <family val="2"/>
    </font>
    <font>
      <sz val="13.5"/>
      <color theme="1"/>
      <name val="Helvetica"/>
      <family val="2"/>
      <charset val="1"/>
    </font>
    <font>
      <sz val="11"/>
      <color rgb="FF393A3D"/>
      <name val="Avenir Next ForINTUIT"/>
      <charset val="1"/>
    </font>
    <font>
      <sz val="11"/>
      <color rgb="FF393A3D"/>
      <name val="WordVisi_MSFontService"/>
      <charset val="1"/>
    </font>
    <font>
      <sz val="12"/>
      <color theme="1"/>
      <name val="Helvetica"/>
      <family val="2"/>
      <charset val="1"/>
    </font>
    <font>
      <sz val="11"/>
      <color rgb="FF3F464D"/>
      <name val="Calibri"/>
      <family val="2"/>
      <scheme val="minor"/>
    </font>
    <font>
      <sz val="11"/>
      <color rgb="FF000000"/>
      <name val="Aptos Narrow"/>
      <family val="2"/>
    </font>
    <font>
      <sz val="12"/>
      <color rgb="FF444444"/>
      <name val="Verdana"/>
      <family val="2"/>
      <charset val="1"/>
    </font>
    <font>
      <sz val="11"/>
      <color rgb="FFFF0000"/>
      <name val="Calibri"/>
      <charset val="134"/>
      <scheme val="minor"/>
    </font>
    <font>
      <sz val="11"/>
      <color rgb="FF000000"/>
      <name val="Calibri"/>
      <scheme val="minor"/>
    </font>
    <font>
      <sz val="11"/>
      <color rgb="FFFF0000"/>
      <name val="Calibri"/>
      <scheme val="minor"/>
    </font>
    <font>
      <sz val="11"/>
      <color theme="1"/>
      <name val="Calibri"/>
    </font>
    <font>
      <sz val="11"/>
      <color rgb="FFFFFF00"/>
      <name val="Calibri"/>
      <family val="2"/>
      <scheme val="minor"/>
    </font>
    <font>
      <sz val="11"/>
      <color rgb="FF000000"/>
      <name val="Calibri"/>
    </font>
    <font>
      <sz val="11"/>
      <color rgb="FFFF0000"/>
      <name val="Calibri"/>
    </font>
    <font>
      <sz val="12"/>
      <color rgb="FF141414"/>
      <name val="Maersk Text"/>
      <charset val="1"/>
    </font>
    <font>
      <sz val="12"/>
      <color rgb="FF000000"/>
      <name val="Aptos"/>
      <charset val="1"/>
    </font>
    <font>
      <sz val="11"/>
      <color rgb="FF000000"/>
      <name val="Calibri"/>
      <charset val="134"/>
      <scheme val="minor"/>
    </font>
    <font>
      <sz val="11"/>
      <color rgb="FF000000"/>
      <name val="Calibri"/>
      <charset val="1"/>
    </font>
    <font>
      <sz val="11"/>
      <color rgb="FF003399"/>
      <name val="Calibri"/>
      <scheme val="minor"/>
    </font>
    <font>
      <sz val="12"/>
      <color rgb="FF000000"/>
      <name val="Calibri"/>
      <scheme val="minor"/>
    </font>
    <font>
      <sz val="12"/>
      <color rgb="FFFF0000"/>
      <name val="Calibri"/>
      <scheme val="minor"/>
    </font>
  </fonts>
  <fills count="119">
    <fill>
      <patternFill patternType="none"/>
    </fill>
    <fill>
      <patternFill patternType="gray125"/>
    </fill>
    <fill>
      <patternFill patternType="solid">
        <fgColor theme="1" tint="0.499984740745262"/>
        <bgColor indexed="64"/>
      </patternFill>
    </fill>
    <fill>
      <patternFill patternType="solid">
        <fgColor theme="0" tint="-0.49998474074526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theme="8" tint="0.59999389629810485"/>
        <bgColor indexed="64"/>
      </patternFill>
    </fill>
    <fill>
      <patternFill patternType="solid">
        <fgColor rgb="FF808080"/>
        <bgColor indexed="64"/>
      </patternFill>
    </fill>
    <fill>
      <gradientFill degree="180">
        <stop position="0">
          <color theme="2" tint="-0.49803155613879818"/>
        </stop>
        <stop position="1">
          <color theme="4"/>
        </stop>
      </gradientFill>
    </fill>
    <fill>
      <patternFill patternType="solid">
        <fgColor rgb="FF00B0F0"/>
        <bgColor indexed="64"/>
      </patternFill>
    </fill>
    <fill>
      <patternFill patternType="solid">
        <fgColor rgb="FF92D050"/>
        <bgColor indexed="64"/>
      </patternFill>
    </fill>
    <fill>
      <patternFill patternType="solid">
        <fgColor rgb="FFA6A6A6"/>
        <bgColor indexed="64"/>
      </patternFill>
    </fill>
    <fill>
      <patternFill patternType="solid">
        <fgColor rgb="FFE2EFDA"/>
        <bgColor indexed="64"/>
      </patternFill>
    </fill>
    <fill>
      <patternFill patternType="solid">
        <fgColor rgb="FF808080"/>
        <bgColor rgb="FF000000"/>
      </patternFill>
    </fill>
    <fill>
      <patternFill patternType="solid">
        <fgColor rgb="FFFFC000"/>
        <bgColor indexed="64"/>
      </patternFill>
    </fill>
    <fill>
      <patternFill patternType="solid">
        <fgColor rgb="FFFFFF00"/>
        <bgColor auto="1"/>
      </patternFill>
    </fill>
    <fill>
      <patternFill patternType="solid">
        <fgColor theme="0" tint="-0.499984740745262"/>
        <bgColor rgb="FF000000"/>
      </patternFill>
    </fill>
    <fill>
      <patternFill patternType="solid">
        <fgColor theme="7" tint="0.79998168889431442"/>
        <bgColor indexed="64"/>
      </patternFill>
    </fill>
    <fill>
      <patternFill patternType="solid">
        <fgColor theme="2"/>
        <bgColor indexed="64"/>
      </patternFill>
    </fill>
    <fill>
      <patternFill patternType="solid">
        <fgColor theme="0" tint="-0.249977111117893"/>
        <bgColor indexed="64"/>
      </patternFill>
    </fill>
    <fill>
      <patternFill patternType="solid">
        <fgColor rgb="FF79D9C4"/>
        <bgColor indexed="64"/>
      </patternFill>
    </fill>
    <fill>
      <patternFill patternType="solid">
        <fgColor rgb="FFFF9900"/>
        <bgColor indexed="64"/>
      </patternFill>
    </fill>
    <fill>
      <patternFill patternType="solid">
        <fgColor theme="9" tint="0.79998168889431442"/>
        <bgColor indexed="64"/>
      </patternFill>
    </fill>
    <fill>
      <patternFill patternType="solid">
        <fgColor rgb="FFEDCBF7"/>
        <bgColor indexed="64"/>
      </patternFill>
    </fill>
    <fill>
      <patternFill patternType="solid">
        <fgColor rgb="FFFFF2CC"/>
        <bgColor indexed="64"/>
      </patternFill>
    </fill>
    <fill>
      <patternFill patternType="solid">
        <fgColor rgb="FFF4B084"/>
        <bgColor indexed="64"/>
      </patternFill>
    </fill>
    <fill>
      <patternFill patternType="solid">
        <fgColor rgb="FFC6E0B4"/>
        <bgColor indexed="64"/>
      </patternFill>
    </fill>
    <fill>
      <patternFill patternType="solid">
        <fgColor rgb="FFF8CBAD"/>
        <bgColor indexed="64"/>
      </patternFill>
    </fill>
    <fill>
      <patternFill patternType="solid">
        <fgColor rgb="FFFCE4D6"/>
        <bgColor rgb="FF000000"/>
      </patternFill>
    </fill>
    <fill>
      <patternFill patternType="solid">
        <fgColor theme="1" tint="0.499984740745262"/>
        <bgColor rgb="FF000000"/>
      </patternFill>
    </fill>
    <fill>
      <patternFill patternType="solid">
        <fgColor theme="2" tint="-0.49803155613879818"/>
        <bgColor indexed="64"/>
      </patternFill>
    </fill>
    <fill>
      <patternFill patternType="solid">
        <fgColor theme="8" tint="0.79998168889431442"/>
        <bgColor indexed="64"/>
      </patternFill>
    </fill>
    <fill>
      <patternFill patternType="solid">
        <fgColor rgb="FFDDEBF7"/>
        <bgColor indexed="64"/>
      </patternFill>
    </fill>
    <fill>
      <patternFill patternType="solid">
        <fgColor theme="2" tint="-0.49803155613879818"/>
        <bgColor theme="1"/>
      </patternFill>
    </fill>
    <fill>
      <patternFill patternType="solid">
        <fgColor rgb="FFF562DC"/>
        <bgColor indexed="64"/>
      </patternFill>
    </fill>
    <fill>
      <patternFill patternType="solid">
        <fgColor rgb="FFBDD7EE"/>
        <bgColor indexed="64"/>
      </patternFill>
    </fill>
    <fill>
      <patternFill patternType="solid">
        <fgColor rgb="FFFFFFFF"/>
        <bgColor rgb="FF000000"/>
      </patternFill>
    </fill>
    <fill>
      <patternFill patternType="solid">
        <fgColor rgb="FFFFD966"/>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rgb="FFFFFF99"/>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rgb="FFF8CBAD"/>
        <bgColor rgb="FF000000"/>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9"/>
        <bgColor indexed="64"/>
      </patternFill>
    </fill>
    <fill>
      <patternFill patternType="solid">
        <fgColor indexed="26"/>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22"/>
        <bgColor indexed="64"/>
      </patternFill>
    </fill>
    <fill>
      <patternFill patternType="solid">
        <fgColor indexed="43"/>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55"/>
        <bgColor indexed="64"/>
      </patternFill>
    </fill>
    <fill>
      <patternFill patternType="solid">
        <fgColor indexed="54"/>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rgb="FFFFCC99"/>
        <bgColor indexed="64"/>
      </patternFill>
    </fill>
    <fill>
      <patternFill patternType="solid">
        <fgColor theme="5" tint="-0.249977111117893"/>
        <bgColor indexed="64"/>
      </patternFill>
    </fill>
    <fill>
      <patternFill patternType="solid">
        <fgColor theme="2" tint="-0.499984740745262"/>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0070C0"/>
        <bgColor indexed="64"/>
      </patternFill>
    </fill>
    <fill>
      <patternFill patternType="solid">
        <fgColor theme="4"/>
        <bgColor indexed="64"/>
      </patternFill>
    </fill>
  </fills>
  <borders count="108">
    <border>
      <left/>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3F3F3F"/>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top/>
      <bottom style="thin">
        <color rgb="FF000000"/>
      </bottom>
      <diagonal/>
    </border>
    <border>
      <left/>
      <right/>
      <top style="thin">
        <color rgb="FF000000"/>
      </top>
      <bottom/>
      <diagonal/>
    </border>
    <border>
      <left/>
      <right style="thin">
        <color auto="1"/>
      </right>
      <top/>
      <bottom/>
      <diagonal/>
    </border>
    <border>
      <left style="thin">
        <color auto="1"/>
      </left>
      <right/>
      <top/>
      <bottom/>
      <diagonal/>
    </border>
    <border>
      <left style="thin">
        <color rgb="FF000000"/>
      </left>
      <right style="thin">
        <color rgb="FF000000"/>
      </right>
      <top style="thin">
        <color rgb="FF000000"/>
      </top>
      <bottom style="thin">
        <color auto="1"/>
      </bottom>
      <diagonal/>
    </border>
    <border>
      <left/>
      <right/>
      <top/>
      <bottom style="thin">
        <color auto="1"/>
      </bottom>
      <diagonal/>
    </border>
    <border>
      <left/>
      <right/>
      <top style="thin">
        <color auto="1"/>
      </top>
      <bottom/>
      <diagonal/>
    </border>
    <border>
      <left style="thin">
        <color auto="1"/>
      </left>
      <right/>
      <top style="thin">
        <color rgb="FF000000"/>
      </top>
      <bottom/>
      <diagonal/>
    </border>
    <border>
      <left style="thin">
        <color rgb="FF000000"/>
      </left>
      <right style="thin">
        <color auto="1"/>
      </right>
      <top style="thin">
        <color rgb="FF000000"/>
      </top>
      <bottom/>
      <diagonal/>
    </border>
    <border>
      <left/>
      <right/>
      <top style="thin">
        <color theme="4"/>
      </top>
      <bottom/>
      <diagonal/>
    </border>
    <border>
      <left style="thin">
        <color rgb="FF000000"/>
      </left>
      <right style="thin">
        <color rgb="FF000000"/>
      </right>
      <top style="thin">
        <color theme="4"/>
      </top>
      <bottom style="thin">
        <color rgb="FF000000"/>
      </bottom>
      <diagonal/>
    </border>
    <border>
      <left style="thin">
        <color indexed="64"/>
      </left>
      <right style="thin">
        <color rgb="FF000000"/>
      </right>
      <top style="thin">
        <color rgb="FF000000"/>
      </top>
      <bottom/>
      <diagonal/>
    </border>
    <border>
      <left style="thin">
        <color rgb="FF000000"/>
      </left>
      <right style="thin">
        <color rgb="FF000000"/>
      </right>
      <top style="thin">
        <color theme="4"/>
      </top>
      <bottom/>
      <diagonal/>
    </border>
    <border>
      <left/>
      <right style="medium">
        <color indexed="64"/>
      </right>
      <top/>
      <bottom style="medium">
        <color indexed="64"/>
      </bottom>
      <diagonal/>
    </border>
    <border>
      <left/>
      <right style="thin">
        <color rgb="FF000000"/>
      </right>
      <top style="thin">
        <color theme="4"/>
      </top>
      <bottom/>
      <diagonal/>
    </border>
    <border>
      <left/>
      <right/>
      <top style="thin">
        <color theme="4"/>
      </top>
      <bottom style="thin">
        <color rgb="FF000000"/>
      </bottom>
      <diagonal/>
    </border>
    <border>
      <left style="thin">
        <color auto="1"/>
      </left>
      <right style="thin">
        <color auto="1"/>
      </right>
      <top style="thin">
        <color rgb="FF000000"/>
      </top>
      <bottom style="thin">
        <color rgb="FF000000"/>
      </bottom>
      <diagonal/>
    </border>
    <border>
      <left style="thin">
        <color auto="1"/>
      </left>
      <right style="thin">
        <color auto="1"/>
      </right>
      <top style="thin">
        <color rgb="FF000000"/>
      </top>
      <bottom/>
      <diagonal/>
    </border>
    <border>
      <left style="thin">
        <color auto="1"/>
      </left>
      <right style="thin">
        <color auto="1"/>
      </right>
      <top style="thin">
        <color rgb="FF000000"/>
      </top>
      <bottom style="thin">
        <color auto="1"/>
      </bottom>
      <diagonal/>
    </border>
    <border>
      <left style="thin">
        <color rgb="FF000000"/>
      </left>
      <right/>
      <top style="thin">
        <color theme="1"/>
      </top>
      <bottom/>
      <diagonal/>
    </border>
    <border>
      <left style="thin">
        <color rgb="FF000000"/>
      </left>
      <right style="thin">
        <color theme="1"/>
      </right>
      <top style="thin">
        <color theme="1"/>
      </top>
      <bottom/>
      <diagonal/>
    </border>
    <border>
      <left style="thin">
        <color rgb="FF000000"/>
      </left>
      <right style="thin">
        <color auto="1"/>
      </right>
      <top style="thin">
        <color rgb="FF000000"/>
      </top>
      <bottom style="thin">
        <color auto="1"/>
      </bottom>
      <diagonal/>
    </border>
    <border>
      <left style="thin">
        <color theme="8"/>
      </left>
      <right style="thin">
        <color theme="8"/>
      </right>
      <top style="thin">
        <color theme="8"/>
      </top>
      <bottom style="thin">
        <color theme="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rgb="FF000000"/>
      </left>
      <right/>
      <top style="thin">
        <color rgb="FF000000"/>
      </top>
      <bottom style="thin">
        <color auto="1"/>
      </bottom>
      <diagonal/>
    </border>
    <border>
      <left style="thin">
        <color rgb="FF000000"/>
      </left>
      <right style="thin">
        <color rgb="FF000000"/>
      </right>
      <top/>
      <bottom style="thin">
        <color auto="1"/>
      </bottom>
      <diagonal/>
    </border>
    <border>
      <left/>
      <right style="thin">
        <color rgb="FF000000"/>
      </right>
      <top/>
      <bottom style="thin">
        <color auto="1"/>
      </bottom>
      <diagonal/>
    </border>
    <border>
      <left style="thin">
        <color rgb="FF000000"/>
      </left>
      <right/>
      <top/>
      <bottom style="thin">
        <color auto="1"/>
      </bottom>
      <diagonal/>
    </border>
    <border>
      <left style="thin">
        <color rgb="FF000000"/>
      </left>
      <right style="thin">
        <color auto="1"/>
      </right>
      <top/>
      <bottom style="thin">
        <color auto="1"/>
      </bottom>
      <diagonal/>
    </border>
    <border>
      <left style="thin">
        <color auto="1"/>
      </left>
      <right style="thin">
        <color rgb="FF000000"/>
      </right>
      <top/>
      <bottom style="thin">
        <color rgb="FF000000"/>
      </bottom>
      <diagonal/>
    </border>
    <border>
      <left style="thin">
        <color indexed="64"/>
      </left>
      <right style="thin">
        <color indexed="64"/>
      </right>
      <top style="thin">
        <color indexed="64"/>
      </top>
      <bottom style="thin">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style="thin">
        <color indexed="64"/>
      </right>
      <top style="thin">
        <color rgb="FF000000"/>
      </top>
      <bottom style="thin">
        <color rgb="FF000000"/>
      </bottom>
      <diagonal/>
    </border>
    <border>
      <left style="thin">
        <color indexed="64"/>
      </left>
      <right/>
      <top style="thin">
        <color rgb="FF000000"/>
      </top>
      <bottom style="thin">
        <color rgb="FF000000"/>
      </bottom>
      <diagonal/>
    </border>
    <border>
      <left/>
      <right style="thin">
        <color indexed="64"/>
      </right>
      <top style="thin">
        <color rgb="FF000000"/>
      </top>
      <bottom/>
      <diagonal/>
    </border>
    <border>
      <left style="thin">
        <color auto="1"/>
      </left>
      <right style="thin">
        <color rgb="FF000000"/>
      </right>
      <top style="thin">
        <color rgb="FF000000"/>
      </top>
      <bottom style="thin">
        <color auto="1"/>
      </bottom>
      <diagonal/>
    </border>
    <border>
      <left style="thin">
        <color indexed="64"/>
      </left>
      <right style="thin">
        <color indexed="64"/>
      </right>
      <top style="thin">
        <color auto="1"/>
      </top>
      <bottom style="thin">
        <color indexed="64"/>
      </bottom>
      <diagonal/>
    </border>
    <border>
      <left/>
      <right style="thin">
        <color indexed="64"/>
      </right>
      <top style="thin">
        <color auto="1"/>
      </top>
      <bottom/>
      <diagonal/>
    </border>
    <border>
      <left style="thin">
        <color indexed="64"/>
      </left>
      <right style="thin">
        <color indexed="64"/>
      </right>
      <top style="thin">
        <color auto="1"/>
      </top>
      <bottom/>
      <diagonal/>
    </border>
    <border>
      <left style="thin">
        <color indexed="64"/>
      </left>
      <right/>
      <top style="thin">
        <color indexed="64"/>
      </top>
      <bottom/>
      <diagonal/>
    </border>
    <border>
      <left style="thin">
        <color auto="1"/>
      </left>
      <right style="medium">
        <color auto="1"/>
      </right>
      <top style="thin">
        <color auto="1"/>
      </top>
      <bottom/>
      <diagonal/>
    </border>
    <border>
      <left style="thin">
        <color rgb="FF000000"/>
      </left>
      <right/>
      <top style="thin">
        <color auto="1"/>
      </top>
      <bottom/>
      <diagonal/>
    </border>
    <border>
      <left/>
      <right style="thin">
        <color indexed="64"/>
      </right>
      <top style="thin">
        <color auto="1"/>
      </top>
      <bottom style="thin">
        <color indexed="64"/>
      </bottom>
      <diagonal/>
    </border>
    <border>
      <left style="thin">
        <color rgb="FF000000"/>
      </left>
      <right style="thin">
        <color indexed="64"/>
      </right>
      <top style="thin">
        <color indexed="64"/>
      </top>
      <bottom/>
      <diagonal/>
    </border>
    <border>
      <left/>
      <right/>
      <top style="thin">
        <color auto="1"/>
      </top>
      <bottom style="thin">
        <color auto="1"/>
      </bottom>
      <diagonal/>
    </border>
    <border>
      <left style="medium">
        <color auto="1"/>
      </left>
      <right style="thin">
        <color auto="1"/>
      </right>
      <top style="thin">
        <color auto="1"/>
      </top>
      <bottom/>
      <diagonal/>
    </border>
    <border>
      <left style="thin">
        <color auto="1"/>
      </left>
      <right style="thin">
        <color rgb="FF000000"/>
      </right>
      <top style="thin">
        <color auto="1"/>
      </top>
      <bottom style="thin">
        <color rgb="FF000000"/>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rgb="FF000000"/>
      </left>
      <right/>
      <top style="thin">
        <color auto="1"/>
      </top>
      <bottom style="thin">
        <color theme="1"/>
      </bottom>
      <diagonal/>
    </border>
    <border>
      <left style="thin">
        <color auto="1"/>
      </left>
      <right style="thin">
        <color theme="1"/>
      </right>
      <top style="thin">
        <color auto="1"/>
      </top>
      <bottom style="thin">
        <color auto="1"/>
      </bottom>
      <diagonal/>
    </border>
    <border>
      <left/>
      <right style="thin">
        <color auto="1"/>
      </right>
      <top style="thin">
        <color auto="1"/>
      </top>
      <bottom style="thin">
        <color theme="1"/>
      </bottom>
      <diagonal/>
    </border>
    <border>
      <left style="thin">
        <color rgb="FF000000"/>
      </left>
      <right style="thin">
        <color auto="1"/>
      </right>
      <top style="thin">
        <color auto="1"/>
      </top>
      <bottom style="thin">
        <color rgb="FF000000"/>
      </bottom>
      <diagonal/>
    </border>
    <border>
      <left style="thin">
        <color indexed="64"/>
      </left>
      <right/>
      <top style="thin">
        <color auto="1"/>
      </top>
      <bottom style="thin">
        <color indexed="64"/>
      </bottom>
      <diagonal/>
    </border>
    <border>
      <left style="thin">
        <color indexed="64"/>
      </left>
      <right style="thin">
        <color indexed="64"/>
      </right>
      <top style="thin">
        <color auto="1"/>
      </top>
      <bottom style="thin">
        <color indexed="64"/>
      </bottom>
      <diagonal/>
    </border>
    <border>
      <left style="thin">
        <color rgb="FF000000"/>
      </left>
      <right/>
      <top style="thin">
        <color auto="1"/>
      </top>
      <bottom style="thin">
        <color auto="1"/>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rgb="FF000000"/>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right style="thin">
        <color rgb="FF000000"/>
      </right>
      <top style="thin">
        <color auto="1"/>
      </top>
      <bottom style="thin">
        <color rgb="FF000000"/>
      </bottom>
      <diagonal/>
    </border>
    <border>
      <left style="thin">
        <color rgb="FF000000"/>
      </left>
      <right style="thin">
        <color indexed="64"/>
      </right>
      <top style="thin">
        <color indexed="64"/>
      </top>
      <bottom style="thin">
        <color auto="1"/>
      </bottom>
      <diagonal/>
    </border>
  </borders>
  <cellStyleXfs count="4072">
    <xf numFmtId="0" fontId="0" fillId="0" borderId="0"/>
    <xf numFmtId="0" fontId="22" fillId="0" borderId="0" applyNumberFormat="0" applyFill="0" applyBorder="0" applyAlignment="0" applyProtection="0"/>
    <xf numFmtId="0" fontId="19" fillId="0" borderId="0"/>
    <xf numFmtId="0" fontId="32" fillId="0" borderId="0"/>
    <xf numFmtId="0" fontId="33" fillId="0" borderId="0" applyNumberFormat="0" applyFill="0" applyBorder="0" applyAlignment="0" applyProtection="0"/>
    <xf numFmtId="0" fontId="34" fillId="0" borderId="7" applyNumberFormat="0" applyFill="0" applyAlignment="0" applyProtection="0"/>
    <xf numFmtId="0" fontId="35" fillId="0" borderId="8" applyNumberFormat="0" applyFill="0" applyAlignment="0" applyProtection="0"/>
    <xf numFmtId="0" fontId="36" fillId="0" borderId="9" applyNumberFormat="0" applyFill="0" applyAlignment="0" applyProtection="0"/>
    <xf numFmtId="0" fontId="36" fillId="0" borderId="0" applyNumberFormat="0" applyFill="0" applyBorder="0" applyAlignment="0" applyProtection="0"/>
    <xf numFmtId="0" fontId="37" fillId="7" borderId="0" applyNumberFormat="0" applyBorder="0" applyAlignment="0" applyProtection="0"/>
    <xf numFmtId="0" fontId="38" fillId="8" borderId="0" applyNumberFormat="0" applyBorder="0" applyAlignment="0" applyProtection="0"/>
    <xf numFmtId="0" fontId="39" fillId="9" borderId="0" applyNumberFormat="0" applyBorder="0" applyAlignment="0" applyProtection="0"/>
    <xf numFmtId="0" fontId="40" fillId="10" borderId="10" applyNumberFormat="0" applyAlignment="0" applyProtection="0"/>
    <xf numFmtId="0" fontId="41" fillId="11" borderId="11" applyNumberFormat="0" applyAlignment="0" applyProtection="0"/>
    <xf numFmtId="0" fontId="42" fillId="11" borderId="10" applyNumberFormat="0" applyAlignment="0" applyProtection="0"/>
    <xf numFmtId="0" fontId="43" fillId="0" borderId="12" applyNumberFormat="0" applyFill="0" applyAlignment="0" applyProtection="0"/>
    <xf numFmtId="0" fontId="44" fillId="12" borderId="13"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15" applyNumberFormat="0" applyFill="0" applyAlignment="0" applyProtection="0"/>
    <xf numFmtId="0" fontId="4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4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4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4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4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18" fillId="33" borderId="0" applyNumberFormat="0" applyBorder="0" applyAlignment="0" applyProtection="0"/>
    <xf numFmtId="0" fontId="48" fillId="34" borderId="0" applyNumberFormat="0" applyBorder="0" applyAlignment="0" applyProtection="0"/>
    <xf numFmtId="0" fontId="18" fillId="35" borderId="0" applyNumberFormat="0" applyBorder="0" applyAlignment="0" applyProtection="0"/>
    <xf numFmtId="0" fontId="18" fillId="36" borderId="0" applyNumberFormat="0" applyBorder="0" applyAlignment="0" applyProtection="0"/>
    <xf numFmtId="0" fontId="18" fillId="37" borderId="0" applyNumberFormat="0" applyBorder="0" applyAlignment="0" applyProtection="0"/>
    <xf numFmtId="0" fontId="18" fillId="0" borderId="0"/>
    <xf numFmtId="0" fontId="18" fillId="13" borderId="14" applyNumberFormat="0" applyFont="0" applyAlignment="0" applyProtection="0"/>
    <xf numFmtId="0" fontId="63" fillId="0" borderId="0"/>
    <xf numFmtId="44" fontId="80" fillId="0" borderId="0" applyFont="0" applyFill="0" applyBorder="0" applyAlignment="0" applyProtection="0"/>
    <xf numFmtId="0" fontId="16" fillId="0" borderId="0"/>
    <xf numFmtId="0" fontId="16" fillId="0" borderId="0">
      <alignment vertical="center"/>
    </xf>
    <xf numFmtId="0" fontId="16" fillId="0" borderId="0">
      <alignment vertical="center"/>
    </xf>
    <xf numFmtId="0" fontId="15" fillId="0" borderId="0"/>
    <xf numFmtId="0" fontId="15" fillId="0" borderId="0"/>
    <xf numFmtId="0" fontId="17"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17" fillId="33"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7" borderId="0" applyNumberFormat="0" applyBorder="0" applyAlignment="0" applyProtection="0"/>
    <xf numFmtId="0" fontId="17" fillId="0" borderId="0"/>
    <xf numFmtId="0" fontId="17" fillId="13" borderId="14" applyNumberFormat="0" applyFont="0" applyAlignment="0" applyProtection="0"/>
    <xf numFmtId="44" fontId="15" fillId="0" borderId="0" applyFont="0" applyFill="0" applyBorder="0" applyAlignment="0" applyProtection="0"/>
    <xf numFmtId="0" fontId="15" fillId="0" borderId="0"/>
    <xf numFmtId="0" fontId="15" fillId="0" borderId="0">
      <alignment vertical="center"/>
    </xf>
    <xf numFmtId="0" fontId="15" fillId="0" borderId="0">
      <alignment vertical="center"/>
    </xf>
    <xf numFmtId="9" fontId="120" fillId="0" borderId="0" applyFont="0" applyFill="0" applyBorder="0" applyAlignment="0" applyProtection="0"/>
    <xf numFmtId="0" fontId="32" fillId="0" borderId="0"/>
    <xf numFmtId="43" fontId="121" fillId="0" borderId="0" applyFont="0" applyFill="0" applyBorder="0" applyAlignment="0" applyProtection="0"/>
    <xf numFmtId="0" fontId="14" fillId="0" borderId="0"/>
    <xf numFmtId="0" fontId="13" fillId="0" borderId="0"/>
    <xf numFmtId="0" fontId="11" fillId="0" borderId="0"/>
    <xf numFmtId="0" fontId="156" fillId="0" borderId="0"/>
    <xf numFmtId="0" fontId="161" fillId="0" borderId="0">
      <alignment vertical="center"/>
    </xf>
    <xf numFmtId="0" fontId="10" fillId="0" borderId="0">
      <alignment vertical="center"/>
    </xf>
    <xf numFmtId="0" fontId="174" fillId="0" borderId="0">
      <alignment vertical="center"/>
    </xf>
    <xf numFmtId="0" fontId="175" fillId="0" borderId="0">
      <alignment vertical="center"/>
    </xf>
    <xf numFmtId="0" fontId="181" fillId="0" borderId="0">
      <alignment vertical="center"/>
    </xf>
    <xf numFmtId="0" fontId="9" fillId="0" borderId="0">
      <alignment vertical="center"/>
    </xf>
    <xf numFmtId="0" fontId="199" fillId="0" borderId="0"/>
    <xf numFmtId="0" fontId="201" fillId="0" borderId="0"/>
    <xf numFmtId="0" fontId="32" fillId="0" borderId="0"/>
    <xf numFmtId="0" fontId="32" fillId="0" borderId="0"/>
    <xf numFmtId="0" fontId="202" fillId="0" borderId="0"/>
    <xf numFmtId="0" fontId="32" fillId="0" borderId="0"/>
    <xf numFmtId="0" fontId="32" fillId="0" borderId="0"/>
    <xf numFmtId="0" fontId="202" fillId="0" borderId="0"/>
    <xf numFmtId="0" fontId="203" fillId="80" borderId="0" applyNumberFormat="0" applyBorder="0" applyAlignment="0" applyProtection="0"/>
    <xf numFmtId="0" fontId="203" fillId="81" borderId="0" applyNumberFormat="0" applyBorder="0" applyAlignment="0" applyProtection="0"/>
    <xf numFmtId="0" fontId="203" fillId="82" borderId="0" applyNumberFormat="0" applyBorder="0" applyAlignment="0" applyProtection="0"/>
    <xf numFmtId="0" fontId="203" fillId="83" borderId="0" applyNumberFormat="0" applyBorder="0" applyAlignment="0" applyProtection="0"/>
    <xf numFmtId="0" fontId="203" fillId="84" borderId="0" applyNumberFormat="0" applyBorder="0" applyAlignment="0" applyProtection="0"/>
    <xf numFmtId="0" fontId="203" fillId="85" borderId="0" applyNumberFormat="0" applyBorder="0" applyAlignment="0" applyProtection="0"/>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6"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6"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0"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5"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5"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1"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7"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7" borderId="0" applyNumberFormat="0" applyBorder="0" applyAlignment="0" applyProtection="0">
      <alignment vertical="center"/>
    </xf>
    <xf numFmtId="0" fontId="200" fillId="87"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7"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7" borderId="0" applyNumberFormat="0" applyBorder="0" applyAlignment="0" applyProtection="0">
      <alignment vertical="center"/>
    </xf>
    <xf numFmtId="0" fontId="200" fillId="87" borderId="0" applyNumberFormat="0" applyBorder="0" applyAlignment="0" applyProtection="0">
      <alignment vertical="center"/>
    </xf>
    <xf numFmtId="0" fontId="200" fillId="87" borderId="0" applyNumberFormat="0" applyBorder="0" applyAlignment="0" applyProtection="0">
      <alignment vertical="center"/>
    </xf>
    <xf numFmtId="0" fontId="200" fillId="87"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7" borderId="0" applyNumberFormat="0" applyBorder="0" applyAlignment="0" applyProtection="0">
      <alignment vertical="center"/>
    </xf>
    <xf numFmtId="0" fontId="200" fillId="87" borderId="0" applyNumberFormat="0" applyBorder="0" applyAlignment="0" applyProtection="0">
      <alignment vertical="center"/>
    </xf>
    <xf numFmtId="0" fontId="200" fillId="87" borderId="0" applyNumberFormat="0" applyBorder="0" applyAlignment="0" applyProtection="0">
      <alignment vertical="center"/>
    </xf>
    <xf numFmtId="0" fontId="200" fillId="87" borderId="0" applyNumberFormat="0" applyBorder="0" applyAlignment="0" applyProtection="0">
      <alignment vertical="center"/>
    </xf>
    <xf numFmtId="0" fontId="200" fillId="87" borderId="0" applyNumberFormat="0" applyBorder="0" applyAlignment="0" applyProtection="0">
      <alignment vertical="center"/>
    </xf>
    <xf numFmtId="0" fontId="200" fillId="87" borderId="0" applyNumberFormat="0" applyBorder="0" applyAlignment="0" applyProtection="0">
      <alignment vertical="center"/>
    </xf>
    <xf numFmtId="0" fontId="200" fillId="87"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2"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6"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6"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6"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4"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3" fillId="88" borderId="0" applyNumberFormat="0" applyBorder="0" applyAlignment="0" applyProtection="0"/>
    <xf numFmtId="0" fontId="203" fillId="89" borderId="0" applyNumberFormat="0" applyBorder="0" applyAlignment="0" applyProtection="0"/>
    <xf numFmtId="0" fontId="203" fillId="90" borderId="0" applyNumberFormat="0" applyBorder="0" applyAlignment="0" applyProtection="0"/>
    <xf numFmtId="0" fontId="203" fillId="83" borderId="0" applyNumberFormat="0" applyBorder="0" applyAlignment="0" applyProtection="0"/>
    <xf numFmtId="0" fontId="203" fillId="88" borderId="0" applyNumberFormat="0" applyBorder="0" applyAlignment="0" applyProtection="0"/>
    <xf numFmtId="0" fontId="203" fillId="91" borderId="0" applyNumberFormat="0" applyBorder="0" applyAlignment="0" applyProtection="0"/>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92"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92"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89"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3"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3" borderId="0" applyNumberFormat="0" applyBorder="0" applyAlignment="0" applyProtection="0">
      <alignment vertical="center"/>
    </xf>
    <xf numFmtId="0" fontId="200" fillId="93"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3"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3" borderId="0" applyNumberFormat="0" applyBorder="0" applyAlignment="0" applyProtection="0">
      <alignment vertical="center"/>
    </xf>
    <xf numFmtId="0" fontId="200" fillId="93" borderId="0" applyNumberFormat="0" applyBorder="0" applyAlignment="0" applyProtection="0">
      <alignment vertical="center"/>
    </xf>
    <xf numFmtId="0" fontId="200" fillId="93" borderId="0" applyNumberFormat="0" applyBorder="0" applyAlignment="0" applyProtection="0">
      <alignment vertical="center"/>
    </xf>
    <xf numFmtId="0" fontId="200" fillId="93"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3" borderId="0" applyNumberFormat="0" applyBorder="0" applyAlignment="0" applyProtection="0">
      <alignment vertical="center"/>
    </xf>
    <xf numFmtId="0" fontId="200" fillId="93" borderId="0" applyNumberFormat="0" applyBorder="0" applyAlignment="0" applyProtection="0">
      <alignment vertical="center"/>
    </xf>
    <xf numFmtId="0" fontId="200" fillId="93" borderId="0" applyNumberFormat="0" applyBorder="0" applyAlignment="0" applyProtection="0">
      <alignment vertical="center"/>
    </xf>
    <xf numFmtId="0" fontId="200" fillId="93" borderId="0" applyNumberFormat="0" applyBorder="0" applyAlignment="0" applyProtection="0">
      <alignment vertical="center"/>
    </xf>
    <xf numFmtId="0" fontId="200" fillId="93" borderId="0" applyNumberFormat="0" applyBorder="0" applyAlignment="0" applyProtection="0">
      <alignment vertical="center"/>
    </xf>
    <xf numFmtId="0" fontId="200" fillId="93" borderId="0" applyNumberFormat="0" applyBorder="0" applyAlignment="0" applyProtection="0">
      <alignment vertical="center"/>
    </xf>
    <xf numFmtId="0" fontId="200" fillId="93"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90"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92"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92"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92"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3"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88"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85"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85"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85"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0" fillId="91" borderId="0" applyNumberFormat="0" applyBorder="0" applyAlignment="0" applyProtection="0">
      <alignment vertical="center"/>
    </xf>
    <xf numFmtId="0" fontId="204" fillId="94" borderId="0" applyNumberFormat="0" applyBorder="0" applyAlignment="0" applyProtection="0"/>
    <xf numFmtId="0" fontId="204" fillId="89" borderId="0" applyNumberFormat="0" applyBorder="0" applyAlignment="0" applyProtection="0"/>
    <xf numFmtId="0" fontId="204" fillId="90" borderId="0" applyNumberFormat="0" applyBorder="0" applyAlignment="0" applyProtection="0"/>
    <xf numFmtId="0" fontId="204" fillId="95" borderId="0" applyNumberFormat="0" applyBorder="0" applyAlignment="0" applyProtection="0"/>
    <xf numFmtId="0" fontId="204" fillId="96" borderId="0" applyNumberFormat="0" applyBorder="0" applyAlignment="0" applyProtection="0"/>
    <xf numFmtId="0" fontId="204" fillId="97" borderId="0" applyNumberFormat="0" applyBorder="0" applyAlignment="0" applyProtection="0"/>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6" fillId="96"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6" fillId="96"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94"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6"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6" fillId="89" borderId="0" applyNumberFormat="0" applyBorder="0" applyAlignment="0" applyProtection="0">
      <alignment vertical="center"/>
    </xf>
    <xf numFmtId="0" fontId="206"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6"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6" fillId="89" borderId="0" applyNumberFormat="0" applyBorder="0" applyAlignment="0" applyProtection="0">
      <alignment vertical="center"/>
    </xf>
    <xf numFmtId="0" fontId="206" fillId="89" borderId="0" applyNumberFormat="0" applyBorder="0" applyAlignment="0" applyProtection="0">
      <alignment vertical="center"/>
    </xf>
    <xf numFmtId="0" fontId="206" fillId="89" borderId="0" applyNumberFormat="0" applyBorder="0" applyAlignment="0" applyProtection="0">
      <alignment vertical="center"/>
    </xf>
    <xf numFmtId="0" fontId="206"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6" fillId="89" borderId="0" applyNumberFormat="0" applyBorder="0" applyAlignment="0" applyProtection="0">
      <alignment vertical="center"/>
    </xf>
    <xf numFmtId="0" fontId="206" fillId="89" borderId="0" applyNumberFormat="0" applyBorder="0" applyAlignment="0" applyProtection="0">
      <alignment vertical="center"/>
    </xf>
    <xf numFmtId="0" fontId="206" fillId="89" borderId="0" applyNumberFormat="0" applyBorder="0" applyAlignment="0" applyProtection="0">
      <alignment vertical="center"/>
    </xf>
    <xf numFmtId="0" fontId="206" fillId="89" borderId="0" applyNumberFormat="0" applyBorder="0" applyAlignment="0" applyProtection="0">
      <alignment vertical="center"/>
    </xf>
    <xf numFmtId="0" fontId="206" fillId="89" borderId="0" applyNumberFormat="0" applyBorder="0" applyAlignment="0" applyProtection="0">
      <alignment vertical="center"/>
    </xf>
    <xf numFmtId="0" fontId="206" fillId="89" borderId="0" applyNumberFormat="0" applyBorder="0" applyAlignment="0" applyProtection="0">
      <alignment vertical="center"/>
    </xf>
    <xf numFmtId="0" fontId="206"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89"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6" fillId="93"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6" fillId="93" borderId="0" applyNumberFormat="0" applyBorder="0" applyAlignment="0" applyProtection="0">
      <alignment vertical="center"/>
    </xf>
    <xf numFmtId="0" fontId="206" fillId="93"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6" fillId="93"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6" fillId="93" borderId="0" applyNumberFormat="0" applyBorder="0" applyAlignment="0" applyProtection="0">
      <alignment vertical="center"/>
    </xf>
    <xf numFmtId="0" fontId="206" fillId="93" borderId="0" applyNumberFormat="0" applyBorder="0" applyAlignment="0" applyProtection="0">
      <alignment vertical="center"/>
    </xf>
    <xf numFmtId="0" fontId="206" fillId="93" borderId="0" applyNumberFormat="0" applyBorder="0" applyAlignment="0" applyProtection="0">
      <alignment vertical="center"/>
    </xf>
    <xf numFmtId="0" fontId="206" fillId="93"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6" fillId="93" borderId="0" applyNumberFormat="0" applyBorder="0" applyAlignment="0" applyProtection="0">
      <alignment vertical="center"/>
    </xf>
    <xf numFmtId="0" fontId="206" fillId="93" borderId="0" applyNumberFormat="0" applyBorder="0" applyAlignment="0" applyProtection="0">
      <alignment vertical="center"/>
    </xf>
    <xf numFmtId="0" fontId="206" fillId="93" borderId="0" applyNumberFormat="0" applyBorder="0" applyAlignment="0" applyProtection="0">
      <alignment vertical="center"/>
    </xf>
    <xf numFmtId="0" fontId="206" fillId="93" borderId="0" applyNumberFormat="0" applyBorder="0" applyAlignment="0" applyProtection="0">
      <alignment vertical="center"/>
    </xf>
    <xf numFmtId="0" fontId="206" fillId="93" borderId="0" applyNumberFormat="0" applyBorder="0" applyAlignment="0" applyProtection="0">
      <alignment vertical="center"/>
    </xf>
    <xf numFmtId="0" fontId="206" fillId="93" borderId="0" applyNumberFormat="0" applyBorder="0" applyAlignment="0" applyProtection="0">
      <alignment vertical="center"/>
    </xf>
    <xf numFmtId="0" fontId="206" fillId="93"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0"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6" fillId="92"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6" fillId="92" borderId="0" applyNumberFormat="0" applyBorder="0" applyAlignment="0" applyProtection="0">
      <alignment vertical="center"/>
    </xf>
    <xf numFmtId="0" fontId="206" fillId="92"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6" fillId="92"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6" fillId="92" borderId="0" applyNumberFormat="0" applyBorder="0" applyAlignment="0" applyProtection="0">
      <alignment vertical="center"/>
    </xf>
    <xf numFmtId="0" fontId="206" fillId="92" borderId="0" applyNumberFormat="0" applyBorder="0" applyAlignment="0" applyProtection="0">
      <alignment vertical="center"/>
    </xf>
    <xf numFmtId="0" fontId="206" fillId="92" borderId="0" applyNumberFormat="0" applyBorder="0" applyAlignment="0" applyProtection="0">
      <alignment vertical="center"/>
    </xf>
    <xf numFmtId="0" fontId="206" fillId="92"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6" fillId="92" borderId="0" applyNumberFormat="0" applyBorder="0" applyAlignment="0" applyProtection="0">
      <alignment vertical="center"/>
    </xf>
    <xf numFmtId="0" fontId="206" fillId="92" borderId="0" applyNumberFormat="0" applyBorder="0" applyAlignment="0" applyProtection="0">
      <alignment vertical="center"/>
    </xf>
    <xf numFmtId="0" fontId="206" fillId="92" borderId="0" applyNumberFormat="0" applyBorder="0" applyAlignment="0" applyProtection="0">
      <alignment vertical="center"/>
    </xf>
    <xf numFmtId="0" fontId="206" fillId="92" borderId="0" applyNumberFormat="0" applyBorder="0" applyAlignment="0" applyProtection="0">
      <alignment vertical="center"/>
    </xf>
    <xf numFmtId="0" fontId="206" fillId="92" borderId="0" applyNumberFormat="0" applyBorder="0" applyAlignment="0" applyProtection="0">
      <alignment vertical="center"/>
    </xf>
    <xf numFmtId="0" fontId="206" fillId="92" borderId="0" applyNumberFormat="0" applyBorder="0" applyAlignment="0" applyProtection="0">
      <alignment vertical="center"/>
    </xf>
    <xf numFmtId="0" fontId="206" fillId="92"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6"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6"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6" fillId="85"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6" fillId="85" borderId="0" applyNumberFormat="0" applyBorder="0" applyAlignment="0" applyProtection="0">
      <alignment vertical="center"/>
    </xf>
    <xf numFmtId="0" fontId="206" fillId="85"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6" fillId="85"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6" fillId="85" borderId="0" applyNumberFormat="0" applyBorder="0" applyAlignment="0" applyProtection="0">
      <alignment vertical="center"/>
    </xf>
    <xf numFmtId="0" fontId="206" fillId="85" borderId="0" applyNumberFormat="0" applyBorder="0" applyAlignment="0" applyProtection="0">
      <alignment vertical="center"/>
    </xf>
    <xf numFmtId="0" fontId="206" fillId="85" borderId="0" applyNumberFormat="0" applyBorder="0" applyAlignment="0" applyProtection="0">
      <alignment vertical="center"/>
    </xf>
    <xf numFmtId="0" fontId="206" fillId="85"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6" fillId="85" borderId="0" applyNumberFormat="0" applyBorder="0" applyAlignment="0" applyProtection="0">
      <alignment vertical="center"/>
    </xf>
    <xf numFmtId="0" fontId="206" fillId="85" borderId="0" applyNumberFormat="0" applyBorder="0" applyAlignment="0" applyProtection="0">
      <alignment vertical="center"/>
    </xf>
    <xf numFmtId="0" fontId="206" fillId="85" borderId="0" applyNumberFormat="0" applyBorder="0" applyAlignment="0" applyProtection="0">
      <alignment vertical="center"/>
    </xf>
    <xf numFmtId="0" fontId="206" fillId="85" borderId="0" applyNumberFormat="0" applyBorder="0" applyAlignment="0" applyProtection="0">
      <alignment vertical="center"/>
    </xf>
    <xf numFmtId="0" fontId="206" fillId="85" borderId="0" applyNumberFormat="0" applyBorder="0" applyAlignment="0" applyProtection="0">
      <alignment vertical="center"/>
    </xf>
    <xf numFmtId="0" fontId="206" fillId="85" borderId="0" applyNumberFormat="0" applyBorder="0" applyAlignment="0" applyProtection="0">
      <alignment vertical="center"/>
    </xf>
    <xf numFmtId="0" fontId="206" fillId="85"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5" fillId="97" borderId="0" applyNumberFormat="0" applyBorder="0" applyAlignment="0" applyProtection="0">
      <alignment vertical="center"/>
    </xf>
    <xf numFmtId="0" fontId="204" fillId="98" borderId="0" applyNumberFormat="0" applyBorder="0" applyAlignment="0" applyProtection="0"/>
    <xf numFmtId="0" fontId="204" fillId="99" borderId="0" applyNumberFormat="0" applyBorder="0" applyAlignment="0" applyProtection="0"/>
    <xf numFmtId="0" fontId="204" fillId="100" borderId="0" applyNumberFormat="0" applyBorder="0" applyAlignment="0" applyProtection="0"/>
    <xf numFmtId="0" fontId="204" fillId="95" borderId="0" applyNumberFormat="0" applyBorder="0" applyAlignment="0" applyProtection="0"/>
    <xf numFmtId="0" fontId="204" fillId="96" borderId="0" applyNumberFormat="0" applyBorder="0" applyAlignment="0" applyProtection="0"/>
    <xf numFmtId="0" fontId="204" fillId="101" borderId="0" applyNumberFormat="0" applyBorder="0" applyAlignment="0" applyProtection="0"/>
    <xf numFmtId="0" fontId="207" fillId="81" borderId="0" applyNumberFormat="0" applyBorder="0" applyAlignment="0" applyProtection="0"/>
    <xf numFmtId="0" fontId="208" fillId="92" borderId="63" applyNumberFormat="0" applyAlignment="0" applyProtection="0"/>
    <xf numFmtId="0" fontId="208" fillId="92" borderId="63" applyNumberFormat="0" applyAlignment="0" applyProtection="0"/>
    <xf numFmtId="0" fontId="208" fillId="92" borderId="63" applyNumberFormat="0" applyAlignment="0" applyProtection="0"/>
    <xf numFmtId="0" fontId="209" fillId="102" borderId="64" applyNumberFormat="0" applyAlignment="0" applyProtection="0"/>
    <xf numFmtId="0" fontId="210" fillId="82" borderId="0" applyNumberFormat="0" applyBorder="0" applyAlignment="0" applyProtection="0"/>
    <xf numFmtId="38" fontId="211" fillId="92" borderId="0" applyBorder="0" applyAlignment="0" applyProtection="0"/>
    <xf numFmtId="10" fontId="211" fillId="86" borderId="62" applyBorder="0" applyAlignment="0" applyProtection="0"/>
    <xf numFmtId="10" fontId="211" fillId="86" borderId="62" applyBorder="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2" fillId="85" borderId="63" applyNumberFormat="0" applyAlignment="0" applyProtection="0"/>
    <xf numFmtId="0" fontId="213" fillId="93" borderId="0" applyNumberFormat="0" applyBorder="0" applyAlignment="0" applyProtection="0"/>
    <xf numFmtId="0" fontId="214" fillId="0" borderId="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6" fillId="87" borderId="69" applyNumberFormat="0" applyFont="0" applyAlignment="0" applyProtection="0"/>
    <xf numFmtId="0" fontId="217" fillId="92" borderId="70" applyNumberFormat="0" applyAlignment="0" applyProtection="0"/>
    <xf numFmtId="0" fontId="217" fillId="92" borderId="70" applyNumberFormat="0" applyAlignment="0" applyProtection="0"/>
    <xf numFmtId="0" fontId="217" fillId="92" borderId="70" applyNumberFormat="0" applyAlignment="0" applyProtection="0"/>
    <xf numFmtId="10" fontId="32" fillId="0" borderId="0" applyFont="0" applyFill="0" applyBorder="0" applyAlignment="0" applyProtection="0"/>
    <xf numFmtId="10" fontId="32" fillId="0" borderId="0" applyFont="0" applyFill="0" applyBorder="0" applyAlignment="0" applyProtection="0"/>
    <xf numFmtId="49" fontId="218" fillId="86" borderId="0">
      <alignment horizontal="center" vertical="center"/>
    </xf>
    <xf numFmtId="49" fontId="218" fillId="86" borderId="0">
      <alignment horizontal="center" vertical="center"/>
    </xf>
    <xf numFmtId="49" fontId="219" fillId="86" borderId="0">
      <alignment horizontal="left" vertical="top"/>
    </xf>
    <xf numFmtId="49" fontId="219" fillId="86" borderId="0">
      <alignment horizontal="left" vertical="top"/>
    </xf>
    <xf numFmtId="49" fontId="219" fillId="86" borderId="0">
      <alignment horizontal="left" vertical="top"/>
    </xf>
    <xf numFmtId="49" fontId="219" fillId="86" borderId="0">
      <alignment horizontal="left" vertical="top"/>
    </xf>
    <xf numFmtId="49" fontId="219" fillId="86" borderId="0">
      <alignment horizontal="left" vertical="top"/>
    </xf>
    <xf numFmtId="49" fontId="219" fillId="86" borderId="0">
      <alignment horizontal="left" vertical="top"/>
    </xf>
    <xf numFmtId="49" fontId="219" fillId="86" borderId="0">
      <alignment horizontal="left" vertical="top"/>
    </xf>
    <xf numFmtId="49" fontId="219" fillId="86" borderId="0">
      <alignment horizontal="left" vertical="top"/>
    </xf>
    <xf numFmtId="49" fontId="219" fillId="86" borderId="0">
      <alignment horizontal="left" vertical="top"/>
    </xf>
    <xf numFmtId="49" fontId="219" fillId="86" borderId="0">
      <alignment horizontal="left" vertical="top"/>
    </xf>
    <xf numFmtId="49" fontId="219" fillId="86" borderId="0">
      <alignment horizontal="left" vertical="top"/>
    </xf>
    <xf numFmtId="49" fontId="219" fillId="86" borderId="0">
      <alignment horizontal="left" vertical="top"/>
    </xf>
    <xf numFmtId="49" fontId="219" fillId="86" borderId="0">
      <alignment horizontal="left" vertical="top"/>
    </xf>
    <xf numFmtId="49" fontId="219" fillId="86" borderId="0">
      <alignment horizontal="left" vertical="top"/>
    </xf>
    <xf numFmtId="49" fontId="219" fillId="86" borderId="0">
      <alignment horizontal="left" vertical="top"/>
    </xf>
    <xf numFmtId="49" fontId="219" fillId="86" borderId="0">
      <alignment horizontal="left" vertical="top"/>
    </xf>
    <xf numFmtId="49" fontId="219" fillId="86" borderId="0">
      <alignment horizontal="left" vertical="top"/>
    </xf>
    <xf numFmtId="49" fontId="219" fillId="86" borderId="0">
      <alignment horizontal="right" vertical="top"/>
    </xf>
    <xf numFmtId="49" fontId="219" fillId="86" borderId="0">
      <alignment horizontal="right" vertical="top"/>
    </xf>
    <xf numFmtId="49" fontId="219" fillId="86" borderId="0">
      <alignment horizontal="right" vertical="top"/>
    </xf>
    <xf numFmtId="49" fontId="219" fillId="86" borderId="0">
      <alignment horizontal="right" vertical="top"/>
    </xf>
    <xf numFmtId="49" fontId="219" fillId="86" borderId="0">
      <alignment horizontal="right" vertical="top"/>
    </xf>
    <xf numFmtId="49" fontId="219" fillId="86" borderId="0">
      <alignment horizontal="right" vertical="top"/>
    </xf>
    <xf numFmtId="49" fontId="219" fillId="86" borderId="0">
      <alignment horizontal="right" vertical="top"/>
    </xf>
    <xf numFmtId="49" fontId="219" fillId="86" borderId="0">
      <alignment horizontal="right" vertical="top"/>
    </xf>
    <xf numFmtId="49" fontId="219" fillId="86" borderId="0">
      <alignment horizontal="right" vertical="top"/>
    </xf>
    <xf numFmtId="49" fontId="219" fillId="86" borderId="0">
      <alignment horizontal="right" vertical="top"/>
    </xf>
    <xf numFmtId="49" fontId="219" fillId="86" borderId="0">
      <alignment horizontal="right" vertical="top"/>
    </xf>
    <xf numFmtId="49" fontId="219" fillId="86" borderId="0">
      <alignment horizontal="right" vertical="top"/>
    </xf>
    <xf numFmtId="49" fontId="219" fillId="86" borderId="0">
      <alignment horizontal="right" vertical="top"/>
    </xf>
    <xf numFmtId="49" fontId="219" fillId="86" borderId="0">
      <alignment horizontal="right" vertical="top"/>
    </xf>
    <xf numFmtId="49" fontId="219" fillId="86" borderId="0">
      <alignment horizontal="right" vertical="top"/>
    </xf>
    <xf numFmtId="49" fontId="219" fillId="86" borderId="0">
      <alignment horizontal="right" vertical="top"/>
    </xf>
    <xf numFmtId="49" fontId="219" fillId="86" borderId="0">
      <alignment horizontal="right" vertical="top"/>
    </xf>
    <xf numFmtId="49" fontId="220" fillId="86" borderId="0">
      <alignment horizontal="center" vertical="center"/>
    </xf>
    <xf numFmtId="49" fontId="220" fillId="86" borderId="0">
      <alignment horizontal="center" vertical="center"/>
    </xf>
    <xf numFmtId="49" fontId="219" fillId="86" borderId="0">
      <alignment horizontal="center" vertical="center"/>
    </xf>
    <xf numFmtId="49" fontId="219" fillId="86" borderId="0">
      <alignment horizontal="center" vertical="center"/>
    </xf>
    <xf numFmtId="49" fontId="219" fillId="86" borderId="0">
      <alignment horizontal="center" vertical="center"/>
    </xf>
    <xf numFmtId="49" fontId="219" fillId="86" borderId="0">
      <alignment horizontal="center" vertical="center"/>
    </xf>
    <xf numFmtId="49" fontId="219" fillId="86" borderId="0">
      <alignment horizontal="center" vertical="center"/>
    </xf>
    <xf numFmtId="49" fontId="219" fillId="86" borderId="0">
      <alignment horizontal="center" vertical="center"/>
    </xf>
    <xf numFmtId="49" fontId="219" fillId="86" borderId="0">
      <alignment horizontal="center" vertical="center"/>
    </xf>
    <xf numFmtId="49" fontId="219" fillId="86" borderId="0">
      <alignment horizontal="center" vertical="center"/>
    </xf>
    <xf numFmtId="49" fontId="219" fillId="86" borderId="0">
      <alignment horizontal="center" vertical="center"/>
    </xf>
    <xf numFmtId="49" fontId="219" fillId="86" borderId="0">
      <alignment horizontal="center" vertical="center"/>
    </xf>
    <xf numFmtId="49" fontId="219" fillId="86" borderId="0">
      <alignment horizontal="center" vertical="center"/>
    </xf>
    <xf numFmtId="49" fontId="219" fillId="86" borderId="0">
      <alignment horizontal="center" vertical="center"/>
    </xf>
    <xf numFmtId="49" fontId="219" fillId="86" borderId="0">
      <alignment horizontal="center" vertical="center"/>
    </xf>
    <xf numFmtId="49" fontId="219" fillId="86" borderId="0">
      <alignment horizontal="center" vertical="center"/>
    </xf>
    <xf numFmtId="49" fontId="219" fillId="86" borderId="0">
      <alignment horizontal="center" vertical="center"/>
    </xf>
    <xf numFmtId="49" fontId="219" fillId="86" borderId="0">
      <alignment horizontal="center" vertical="center"/>
    </xf>
    <xf numFmtId="49" fontId="219" fillId="86" borderId="0">
      <alignment horizontal="center" vertical="center"/>
    </xf>
    <xf numFmtId="49" fontId="219" fillId="86" borderId="0">
      <alignment horizontal="left" vertical="center"/>
    </xf>
    <xf numFmtId="49" fontId="219" fillId="86" borderId="0">
      <alignment horizontal="left" vertical="center"/>
    </xf>
    <xf numFmtId="49" fontId="219" fillId="86" borderId="0">
      <alignment horizontal="left" vertical="center"/>
    </xf>
    <xf numFmtId="49" fontId="219" fillId="86" borderId="0">
      <alignment horizontal="left" vertical="center"/>
    </xf>
    <xf numFmtId="49" fontId="219" fillId="86" borderId="0">
      <alignment horizontal="left" vertical="center"/>
    </xf>
    <xf numFmtId="49" fontId="219" fillId="86" borderId="0">
      <alignment horizontal="left" vertical="center"/>
    </xf>
    <xf numFmtId="49" fontId="219" fillId="86" borderId="0">
      <alignment horizontal="left" vertical="center"/>
    </xf>
    <xf numFmtId="49" fontId="219" fillId="86" borderId="0">
      <alignment horizontal="left" vertical="center"/>
    </xf>
    <xf numFmtId="49" fontId="219" fillId="86" borderId="0">
      <alignment horizontal="left" vertical="center"/>
    </xf>
    <xf numFmtId="49" fontId="219" fillId="86" borderId="0">
      <alignment horizontal="left" vertical="center"/>
    </xf>
    <xf numFmtId="49" fontId="219" fillId="86" borderId="0">
      <alignment horizontal="left" vertical="center"/>
    </xf>
    <xf numFmtId="49" fontId="219" fillId="86" borderId="0">
      <alignment horizontal="left" vertical="center"/>
    </xf>
    <xf numFmtId="49" fontId="219" fillId="86" borderId="0">
      <alignment horizontal="left" vertical="center"/>
    </xf>
    <xf numFmtId="49" fontId="219" fillId="86" borderId="0">
      <alignment horizontal="left" vertical="center"/>
    </xf>
    <xf numFmtId="49" fontId="219" fillId="86" borderId="0">
      <alignment horizontal="left" vertical="center"/>
    </xf>
    <xf numFmtId="49" fontId="219" fillId="86" borderId="0">
      <alignment horizontal="left" vertical="center"/>
    </xf>
    <xf numFmtId="49" fontId="219" fillId="86" borderId="0">
      <alignment horizontal="left" vertical="center"/>
    </xf>
    <xf numFmtId="49" fontId="219" fillId="86" borderId="0">
      <alignment horizontal="right" vertical="center"/>
    </xf>
    <xf numFmtId="49" fontId="219" fillId="86" borderId="0">
      <alignment horizontal="right" vertical="center"/>
    </xf>
    <xf numFmtId="49" fontId="219" fillId="86" borderId="0">
      <alignment horizontal="right" vertical="center"/>
    </xf>
    <xf numFmtId="49" fontId="219" fillId="86" borderId="0">
      <alignment horizontal="right" vertical="center"/>
    </xf>
    <xf numFmtId="49" fontId="219" fillId="86" borderId="0">
      <alignment horizontal="right" vertical="center"/>
    </xf>
    <xf numFmtId="49" fontId="219" fillId="86" borderId="0">
      <alignment horizontal="right" vertical="center"/>
    </xf>
    <xf numFmtId="49" fontId="219" fillId="86" borderId="0">
      <alignment horizontal="right" vertical="center"/>
    </xf>
    <xf numFmtId="49" fontId="219" fillId="86" borderId="0">
      <alignment horizontal="right" vertical="center"/>
    </xf>
    <xf numFmtId="49" fontId="219" fillId="86" borderId="0">
      <alignment horizontal="right" vertical="center"/>
    </xf>
    <xf numFmtId="49" fontId="219" fillId="86" borderId="0">
      <alignment horizontal="right" vertical="center"/>
    </xf>
    <xf numFmtId="49" fontId="219" fillId="86" borderId="0">
      <alignment horizontal="right" vertical="center"/>
    </xf>
    <xf numFmtId="49" fontId="219" fillId="86" borderId="0">
      <alignment horizontal="right" vertical="center"/>
    </xf>
    <xf numFmtId="49" fontId="219" fillId="86" borderId="0">
      <alignment horizontal="right" vertical="center"/>
    </xf>
    <xf numFmtId="49" fontId="219" fillId="86" borderId="0">
      <alignment horizontal="right" vertical="center"/>
    </xf>
    <xf numFmtId="49" fontId="219" fillId="86" borderId="0">
      <alignment horizontal="right" vertical="center"/>
    </xf>
    <xf numFmtId="49" fontId="219" fillId="86" borderId="0">
      <alignment horizontal="right" vertical="center"/>
    </xf>
    <xf numFmtId="49" fontId="219" fillId="86" borderId="0">
      <alignment horizontal="right" vertical="center"/>
    </xf>
    <xf numFmtId="0" fontId="221" fillId="0" borderId="71" applyNumberFormat="0" applyFill="0" applyAlignment="0" applyProtection="0"/>
    <xf numFmtId="172" fontId="215" fillId="0" borderId="0" applyFont="0" applyFill="0" applyBorder="0" applyAlignment="0" applyProtection="0"/>
    <xf numFmtId="173" fontId="215" fillId="0" borderId="0" applyFont="0" applyFill="0" applyBorder="0" applyAlignment="0" applyProtection="0"/>
    <xf numFmtId="172" fontId="215" fillId="0" borderId="0" applyFont="0" applyFill="0" applyBorder="0" applyAlignment="0" applyProtection="0"/>
    <xf numFmtId="173" fontId="215" fillId="0" borderId="0" applyFont="0" applyFill="0" applyBorder="0" applyAlignment="0" applyProtection="0"/>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2"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3" fillId="82"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4"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25" fillId="81" borderId="0" applyNumberFormat="0" applyBorder="0" applyAlignment="0" applyProtection="0">
      <alignment vertical="center"/>
    </xf>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26" fillId="0" borderId="0" applyFont="0" applyAlignment="0">
      <alignment vertical="center"/>
    </xf>
    <xf numFmtId="0" fontId="226" fillId="0" borderId="0" applyFont="0" applyAlignment="0">
      <alignment vertical="center"/>
    </xf>
    <xf numFmtId="0" fontId="226" fillId="0" borderId="0" applyFont="0" applyAlignment="0">
      <alignment vertical="center"/>
    </xf>
    <xf numFmtId="0" fontId="226" fillId="0" borderId="0" applyFont="0" applyAlignment="0">
      <alignment vertical="center"/>
    </xf>
    <xf numFmtId="0" fontId="226" fillId="0" borderId="0" applyFont="0" applyAlignment="0">
      <alignment vertical="center"/>
    </xf>
    <xf numFmtId="0" fontId="226" fillId="0" borderId="0" applyFont="0" applyAlignment="0">
      <alignment vertical="center"/>
    </xf>
    <xf numFmtId="0" fontId="226" fillId="0" borderId="0" applyFont="0" applyAlignment="0">
      <alignment vertical="center"/>
    </xf>
    <xf numFmtId="0" fontId="226" fillId="0" borderId="0" applyFont="0" applyAlignment="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00" fillId="0" borderId="0">
      <alignment vertical="center"/>
    </xf>
    <xf numFmtId="0" fontId="200" fillId="0" borderId="0">
      <alignment vertical="center"/>
    </xf>
    <xf numFmtId="0" fontId="200" fillId="0" borderId="0">
      <alignment vertical="center"/>
    </xf>
    <xf numFmtId="0" fontId="216" fillId="0" borderId="0">
      <alignment vertical="center"/>
    </xf>
    <xf numFmtId="0" fontId="216" fillId="0" borderId="0">
      <alignment vertical="center"/>
    </xf>
    <xf numFmtId="0" fontId="200" fillId="0" borderId="0">
      <alignment vertical="center"/>
    </xf>
    <xf numFmtId="0" fontId="216" fillId="0" borderId="0">
      <alignment vertical="center"/>
    </xf>
    <xf numFmtId="0" fontId="216" fillId="0" borderId="0"/>
    <xf numFmtId="0" fontId="216" fillId="0" borderId="0"/>
    <xf numFmtId="0" fontId="216" fillId="0" borderId="0"/>
    <xf numFmtId="0" fontId="216" fillId="0" borderId="0"/>
    <xf numFmtId="0" fontId="32" fillId="0" borderId="0"/>
    <xf numFmtId="0" fontId="32" fillId="0" borderId="0"/>
    <xf numFmtId="0" fontId="216" fillId="0" borderId="0"/>
    <xf numFmtId="0" fontId="216" fillId="0" borderId="0"/>
    <xf numFmtId="0" fontId="216" fillId="0" borderId="0"/>
    <xf numFmtId="0" fontId="32" fillId="0" borderId="0"/>
    <xf numFmtId="0" fontId="32" fillId="0" borderId="0"/>
    <xf numFmtId="0" fontId="216" fillId="0" borderId="0"/>
    <xf numFmtId="0" fontId="200" fillId="0" borderId="0">
      <alignment vertical="center"/>
    </xf>
    <xf numFmtId="0" fontId="200" fillId="0" borderId="0">
      <alignment vertical="center"/>
    </xf>
    <xf numFmtId="0" fontId="200"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00"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00" fillId="0" borderId="0">
      <alignment vertical="center"/>
    </xf>
    <xf numFmtId="0" fontId="200"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00"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16" fillId="0" borderId="0">
      <alignment vertical="center"/>
    </xf>
    <xf numFmtId="0" fontId="216" fillId="0" borderId="0">
      <alignment vertical="center"/>
    </xf>
    <xf numFmtId="0" fontId="216" fillId="0" borderId="0">
      <alignment vertical="center"/>
    </xf>
    <xf numFmtId="0" fontId="200" fillId="0" borderId="0">
      <alignment vertical="center"/>
    </xf>
    <xf numFmtId="0" fontId="200" fillId="0" borderId="0">
      <alignment vertical="center"/>
    </xf>
    <xf numFmtId="0" fontId="200" fillId="0" borderId="0">
      <alignment vertical="center"/>
    </xf>
    <xf numFmtId="0" fontId="216" fillId="0" borderId="0">
      <alignment vertical="center"/>
    </xf>
    <xf numFmtId="0" fontId="216" fillId="0" borderId="0">
      <alignment vertical="center"/>
    </xf>
    <xf numFmtId="0" fontId="216"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16" fillId="0" borderId="0">
      <alignment vertical="center"/>
    </xf>
    <xf numFmtId="0" fontId="216" fillId="0" borderId="0">
      <alignment vertical="center"/>
    </xf>
    <xf numFmtId="0" fontId="216"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00"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26" fillId="0" borderId="0" applyFont="0" applyAlignment="0">
      <alignment vertical="center"/>
    </xf>
    <xf numFmtId="0" fontId="226" fillId="0" borderId="0" applyFont="0" applyAlignment="0">
      <alignment vertical="center"/>
    </xf>
    <xf numFmtId="0" fontId="226" fillId="0" borderId="0" applyFont="0" applyAlignment="0">
      <alignment vertical="center"/>
    </xf>
    <xf numFmtId="0" fontId="226" fillId="0" borderId="0" applyFont="0" applyAlignment="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26" fillId="0" borderId="0" applyFont="0" applyAlignment="0">
      <alignment vertical="center"/>
    </xf>
    <xf numFmtId="0" fontId="216" fillId="0" borderId="0">
      <alignment vertical="center"/>
    </xf>
    <xf numFmtId="0" fontId="216" fillId="0" borderId="0">
      <alignment vertical="center"/>
    </xf>
    <xf numFmtId="0" fontId="216" fillId="0" borderId="0"/>
    <xf numFmtId="0" fontId="216" fillId="0" borderId="0"/>
    <xf numFmtId="0" fontId="216" fillId="0" borderId="0"/>
    <xf numFmtId="0" fontId="216" fillId="0" borderId="0">
      <alignment vertical="center"/>
    </xf>
    <xf numFmtId="0" fontId="216" fillId="0" borderId="0">
      <alignment vertical="center"/>
    </xf>
    <xf numFmtId="0" fontId="216" fillId="0" borderId="0">
      <alignment vertical="center"/>
    </xf>
    <xf numFmtId="0" fontId="216" fillId="0" borderId="0"/>
    <xf numFmtId="0" fontId="216" fillId="0" borderId="0">
      <alignment vertical="center"/>
    </xf>
    <xf numFmtId="0" fontId="216" fillId="0" borderId="0">
      <alignment vertical="center"/>
    </xf>
    <xf numFmtId="0" fontId="216" fillId="0" borderId="0">
      <alignment vertical="center"/>
    </xf>
    <xf numFmtId="0" fontId="216" fillId="0" borderId="0"/>
    <xf numFmtId="0" fontId="216" fillId="0" borderId="0"/>
    <xf numFmtId="0" fontId="216" fillId="0" borderId="0">
      <alignment vertical="center"/>
    </xf>
    <xf numFmtId="0" fontId="216" fillId="0" borderId="0">
      <alignment vertical="center"/>
    </xf>
    <xf numFmtId="0" fontId="216" fillId="0" borderId="0">
      <alignment vertical="center"/>
    </xf>
    <xf numFmtId="0" fontId="216" fillId="0" borderId="0"/>
    <xf numFmtId="0" fontId="216" fillId="0" borderId="0">
      <alignment vertical="center"/>
    </xf>
    <xf numFmtId="0" fontId="216" fillId="0" borderId="0">
      <alignment vertical="center"/>
    </xf>
    <xf numFmtId="0" fontId="216" fillId="0" borderId="0">
      <alignment vertical="center"/>
    </xf>
    <xf numFmtId="0" fontId="216" fillId="0" borderId="0"/>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216" fillId="0" borderId="0">
      <alignment vertical="center"/>
    </xf>
    <xf numFmtId="0" fontId="199" fillId="0" borderId="0">
      <alignment vertical="center"/>
    </xf>
    <xf numFmtId="0" fontId="199"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alignment vertical="center"/>
    </xf>
    <xf numFmtId="0" fontId="216" fillId="0" borderId="0">
      <alignment vertical="center"/>
    </xf>
    <xf numFmtId="0" fontId="216" fillId="0" borderId="0">
      <alignment vertical="center"/>
    </xf>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alignment vertical="center"/>
    </xf>
    <xf numFmtId="0" fontId="216" fillId="0" borderId="0">
      <alignment vertical="center"/>
    </xf>
    <xf numFmtId="0" fontId="216" fillId="0" borderId="0">
      <alignment vertical="center"/>
    </xf>
    <xf numFmtId="0" fontId="216" fillId="0" borderId="0"/>
    <xf numFmtId="0" fontId="216" fillId="0" borderId="0"/>
    <xf numFmtId="0" fontId="199" fillId="0" borderId="0">
      <alignment vertical="center"/>
    </xf>
    <xf numFmtId="0" fontId="199" fillId="0" borderId="0">
      <alignment vertical="center"/>
    </xf>
    <xf numFmtId="0" fontId="216" fillId="0" borderId="0"/>
    <xf numFmtId="0" fontId="216" fillId="0" borderId="0"/>
    <xf numFmtId="0" fontId="216" fillId="0" borderId="0"/>
    <xf numFmtId="0" fontId="216" fillId="0" borderId="0"/>
    <xf numFmtId="0" fontId="199" fillId="0" borderId="0">
      <alignment vertical="center"/>
    </xf>
    <xf numFmtId="0" fontId="199" fillId="0" borderId="0">
      <alignment vertical="center"/>
    </xf>
    <xf numFmtId="0" fontId="216" fillId="0" borderId="0"/>
    <xf numFmtId="0" fontId="216" fillId="0" borderId="0"/>
    <xf numFmtId="0" fontId="216" fillId="0" borderId="0">
      <alignment vertical="center"/>
    </xf>
    <xf numFmtId="0" fontId="216" fillId="0" borderId="0">
      <alignment vertical="center"/>
    </xf>
    <xf numFmtId="0" fontId="216" fillId="0" borderId="0">
      <alignment vertical="center"/>
    </xf>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199" fillId="0" borderId="0"/>
    <xf numFmtId="0" fontId="199"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16" fillId="0" borderId="0"/>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6" fillId="96"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6" fillId="96"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8"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6"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6" fillId="99" borderId="0" applyNumberFormat="0" applyBorder="0" applyAlignment="0" applyProtection="0">
      <alignment vertical="center"/>
    </xf>
    <xf numFmtId="0" fontId="206"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6"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6" fillId="99" borderId="0" applyNumberFormat="0" applyBorder="0" applyAlignment="0" applyProtection="0">
      <alignment vertical="center"/>
    </xf>
    <xf numFmtId="0" fontId="206" fillId="99" borderId="0" applyNumberFormat="0" applyBorder="0" applyAlignment="0" applyProtection="0">
      <alignment vertical="center"/>
    </xf>
    <xf numFmtId="0" fontId="206" fillId="99" borderId="0" applyNumberFormat="0" applyBorder="0" applyAlignment="0" applyProtection="0">
      <alignment vertical="center"/>
    </xf>
    <xf numFmtId="0" fontId="206"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6" fillId="99" borderId="0" applyNumberFormat="0" applyBorder="0" applyAlignment="0" applyProtection="0">
      <alignment vertical="center"/>
    </xf>
    <xf numFmtId="0" fontId="206" fillId="99" borderId="0" applyNumberFormat="0" applyBorder="0" applyAlignment="0" applyProtection="0">
      <alignment vertical="center"/>
    </xf>
    <xf numFmtId="0" fontId="206" fillId="99" borderId="0" applyNumberFormat="0" applyBorder="0" applyAlignment="0" applyProtection="0">
      <alignment vertical="center"/>
    </xf>
    <xf numFmtId="0" fontId="206" fillId="99" borderId="0" applyNumberFormat="0" applyBorder="0" applyAlignment="0" applyProtection="0">
      <alignment vertical="center"/>
    </xf>
    <xf numFmtId="0" fontId="206" fillId="99" borderId="0" applyNumberFormat="0" applyBorder="0" applyAlignment="0" applyProtection="0">
      <alignment vertical="center"/>
    </xf>
    <xf numFmtId="0" fontId="206" fillId="99" borderId="0" applyNumberFormat="0" applyBorder="0" applyAlignment="0" applyProtection="0">
      <alignment vertical="center"/>
    </xf>
    <xf numFmtId="0" fontId="206"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99"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6"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6" fillId="100" borderId="0" applyNumberFormat="0" applyBorder="0" applyAlignment="0" applyProtection="0">
      <alignment vertical="center"/>
    </xf>
    <xf numFmtId="0" fontId="206"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6"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6" fillId="100" borderId="0" applyNumberFormat="0" applyBorder="0" applyAlignment="0" applyProtection="0">
      <alignment vertical="center"/>
    </xf>
    <xf numFmtId="0" fontId="206" fillId="100" borderId="0" applyNumberFormat="0" applyBorder="0" applyAlignment="0" applyProtection="0">
      <alignment vertical="center"/>
    </xf>
    <xf numFmtId="0" fontId="206" fillId="100" borderId="0" applyNumberFormat="0" applyBorder="0" applyAlignment="0" applyProtection="0">
      <alignment vertical="center"/>
    </xf>
    <xf numFmtId="0" fontId="206"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6" fillId="100" borderId="0" applyNumberFormat="0" applyBorder="0" applyAlignment="0" applyProtection="0">
      <alignment vertical="center"/>
    </xf>
    <xf numFmtId="0" fontId="206" fillId="100" borderId="0" applyNumberFormat="0" applyBorder="0" applyAlignment="0" applyProtection="0">
      <alignment vertical="center"/>
    </xf>
    <xf numFmtId="0" fontId="206" fillId="100" borderId="0" applyNumberFormat="0" applyBorder="0" applyAlignment="0" applyProtection="0">
      <alignment vertical="center"/>
    </xf>
    <xf numFmtId="0" fontId="206" fillId="100" borderId="0" applyNumberFormat="0" applyBorder="0" applyAlignment="0" applyProtection="0">
      <alignment vertical="center"/>
    </xf>
    <xf numFmtId="0" fontId="206" fillId="100" borderId="0" applyNumberFormat="0" applyBorder="0" applyAlignment="0" applyProtection="0">
      <alignment vertical="center"/>
    </xf>
    <xf numFmtId="0" fontId="206" fillId="100" borderId="0" applyNumberFormat="0" applyBorder="0" applyAlignment="0" applyProtection="0">
      <alignment vertical="center"/>
    </xf>
    <xf numFmtId="0" fontId="206"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100"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6" fillId="103"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6" fillId="103" borderId="0" applyNumberFormat="0" applyBorder="0" applyAlignment="0" applyProtection="0">
      <alignment vertical="center"/>
    </xf>
    <xf numFmtId="0" fontId="206" fillId="103"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6" fillId="103"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6" fillId="103" borderId="0" applyNumberFormat="0" applyBorder="0" applyAlignment="0" applyProtection="0">
      <alignment vertical="center"/>
    </xf>
    <xf numFmtId="0" fontId="206" fillId="103" borderId="0" applyNumberFormat="0" applyBorder="0" applyAlignment="0" applyProtection="0">
      <alignment vertical="center"/>
    </xf>
    <xf numFmtId="0" fontId="206" fillId="103" borderId="0" applyNumberFormat="0" applyBorder="0" applyAlignment="0" applyProtection="0">
      <alignment vertical="center"/>
    </xf>
    <xf numFmtId="0" fontId="206" fillId="103"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6" fillId="103" borderId="0" applyNumberFormat="0" applyBorder="0" applyAlignment="0" applyProtection="0">
      <alignment vertical="center"/>
    </xf>
    <xf numFmtId="0" fontId="206" fillId="103" borderId="0" applyNumberFormat="0" applyBorder="0" applyAlignment="0" applyProtection="0">
      <alignment vertical="center"/>
    </xf>
    <xf numFmtId="0" fontId="206" fillId="103" borderId="0" applyNumberFormat="0" applyBorder="0" applyAlignment="0" applyProtection="0">
      <alignment vertical="center"/>
    </xf>
    <xf numFmtId="0" fontId="206" fillId="103" borderId="0" applyNumberFormat="0" applyBorder="0" applyAlignment="0" applyProtection="0">
      <alignment vertical="center"/>
    </xf>
    <xf numFmtId="0" fontId="206" fillId="103" borderId="0" applyNumberFormat="0" applyBorder="0" applyAlignment="0" applyProtection="0">
      <alignment vertical="center"/>
    </xf>
    <xf numFmtId="0" fontId="206" fillId="103" borderId="0" applyNumberFormat="0" applyBorder="0" applyAlignment="0" applyProtection="0">
      <alignment vertical="center"/>
    </xf>
    <xf numFmtId="0" fontId="206" fillId="103"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5"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6"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6"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6"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96"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6"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6" fillId="101" borderId="0" applyNumberFormat="0" applyBorder="0" applyAlignment="0" applyProtection="0">
      <alignment vertical="center"/>
    </xf>
    <xf numFmtId="0" fontId="206"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6"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6" fillId="101" borderId="0" applyNumberFormat="0" applyBorder="0" applyAlignment="0" applyProtection="0">
      <alignment vertical="center"/>
    </xf>
    <xf numFmtId="0" fontId="206" fillId="101" borderId="0" applyNumberFormat="0" applyBorder="0" applyAlignment="0" applyProtection="0">
      <alignment vertical="center"/>
    </xf>
    <xf numFmtId="0" fontId="206" fillId="101" borderId="0" applyNumberFormat="0" applyBorder="0" applyAlignment="0" applyProtection="0">
      <alignment vertical="center"/>
    </xf>
    <xf numFmtId="0" fontId="206"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6" fillId="101" borderId="0" applyNumberFormat="0" applyBorder="0" applyAlignment="0" applyProtection="0">
      <alignment vertical="center"/>
    </xf>
    <xf numFmtId="0" fontId="206" fillId="101" borderId="0" applyNumberFormat="0" applyBorder="0" applyAlignment="0" applyProtection="0">
      <alignment vertical="center"/>
    </xf>
    <xf numFmtId="0" fontId="206" fillId="101" borderId="0" applyNumberFormat="0" applyBorder="0" applyAlignment="0" applyProtection="0">
      <alignment vertical="center"/>
    </xf>
    <xf numFmtId="0" fontId="206" fillId="101" borderId="0" applyNumberFormat="0" applyBorder="0" applyAlignment="0" applyProtection="0">
      <alignment vertical="center"/>
    </xf>
    <xf numFmtId="0" fontId="206" fillId="101" borderId="0" applyNumberFormat="0" applyBorder="0" applyAlignment="0" applyProtection="0">
      <alignment vertical="center"/>
    </xf>
    <xf numFmtId="0" fontId="206" fillId="101" borderId="0" applyNumberFormat="0" applyBorder="0" applyAlignment="0" applyProtection="0">
      <alignment vertical="center"/>
    </xf>
    <xf numFmtId="0" fontId="206"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05" fillId="101" borderId="0" applyNumberFormat="0" applyBorder="0" applyAlignment="0" applyProtection="0">
      <alignment vertical="center"/>
    </xf>
    <xf numFmtId="0" fontId="215" fillId="0" borderId="0"/>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8" fillId="0" borderId="72"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8" fillId="0" borderId="72" applyNumberFormat="0" applyFill="0" applyAlignment="0" applyProtection="0">
      <alignment vertical="center"/>
    </xf>
    <xf numFmtId="0" fontId="228" fillId="0" borderId="72"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8" fillId="0" borderId="72"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8" fillId="0" borderId="72" applyNumberFormat="0" applyFill="0" applyAlignment="0" applyProtection="0">
      <alignment vertical="center"/>
    </xf>
    <xf numFmtId="0" fontId="228" fillId="0" borderId="72" applyNumberFormat="0" applyFill="0" applyAlignment="0" applyProtection="0">
      <alignment vertical="center"/>
    </xf>
    <xf numFmtId="0" fontId="228" fillId="0" borderId="72" applyNumberFormat="0" applyFill="0" applyAlignment="0" applyProtection="0">
      <alignment vertical="center"/>
    </xf>
    <xf numFmtId="0" fontId="228" fillId="0" borderId="72"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8" fillId="0" borderId="72" applyNumberFormat="0" applyFill="0" applyAlignment="0" applyProtection="0">
      <alignment vertical="center"/>
    </xf>
    <xf numFmtId="0" fontId="228" fillId="0" borderId="72" applyNumberFormat="0" applyFill="0" applyAlignment="0" applyProtection="0">
      <alignment vertical="center"/>
    </xf>
    <xf numFmtId="0" fontId="228" fillId="0" borderId="72" applyNumberFormat="0" applyFill="0" applyAlignment="0" applyProtection="0">
      <alignment vertical="center"/>
    </xf>
    <xf numFmtId="0" fontId="228" fillId="0" borderId="72"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7" fillId="0" borderId="65" applyNumberFormat="0" applyFill="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1"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1" fillId="0" borderId="66" applyNumberFormat="0" applyFill="0" applyAlignment="0" applyProtection="0">
      <alignment vertical="center"/>
    </xf>
    <xf numFmtId="0" fontId="231"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1"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1" fillId="0" borderId="66" applyNumberFormat="0" applyFill="0" applyAlignment="0" applyProtection="0">
      <alignment vertical="center"/>
    </xf>
    <xf numFmtId="0" fontId="231" fillId="0" borderId="66" applyNumberFormat="0" applyFill="0" applyAlignment="0" applyProtection="0">
      <alignment vertical="center"/>
    </xf>
    <xf numFmtId="0" fontId="231" fillId="0" borderId="66" applyNumberFormat="0" applyFill="0" applyAlignment="0" applyProtection="0">
      <alignment vertical="center"/>
    </xf>
    <xf numFmtId="0" fontId="231"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1" fillId="0" borderId="66" applyNumberFormat="0" applyFill="0" applyAlignment="0" applyProtection="0">
      <alignment vertical="center"/>
    </xf>
    <xf numFmtId="0" fontId="231" fillId="0" borderId="66" applyNumberFormat="0" applyFill="0" applyAlignment="0" applyProtection="0">
      <alignment vertical="center"/>
    </xf>
    <xf numFmtId="0" fontId="231" fillId="0" borderId="66" applyNumberFormat="0" applyFill="0" applyAlignment="0" applyProtection="0">
      <alignment vertical="center"/>
    </xf>
    <xf numFmtId="0" fontId="231"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0" fillId="0" borderId="66"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3" fillId="0" borderId="73"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3" fillId="0" borderId="73" applyNumberFormat="0" applyFill="0" applyAlignment="0" applyProtection="0">
      <alignment vertical="center"/>
    </xf>
    <xf numFmtId="0" fontId="233" fillId="0" borderId="73"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3" fillId="0" borderId="73"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3" fillId="0" borderId="73" applyNumberFormat="0" applyFill="0" applyAlignment="0" applyProtection="0">
      <alignment vertical="center"/>
    </xf>
    <xf numFmtId="0" fontId="233" fillId="0" borderId="73" applyNumberFormat="0" applyFill="0" applyAlignment="0" applyProtection="0">
      <alignment vertical="center"/>
    </xf>
    <xf numFmtId="0" fontId="233" fillId="0" borderId="73" applyNumberFormat="0" applyFill="0" applyAlignment="0" applyProtection="0">
      <alignment vertical="center"/>
    </xf>
    <xf numFmtId="0" fontId="233" fillId="0" borderId="73"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3" fillId="0" borderId="73" applyNumberFormat="0" applyFill="0" applyAlignment="0" applyProtection="0">
      <alignment vertical="center"/>
    </xf>
    <xf numFmtId="0" fontId="233" fillId="0" borderId="73" applyNumberFormat="0" applyFill="0" applyAlignment="0" applyProtection="0">
      <alignment vertical="center"/>
    </xf>
    <xf numFmtId="0" fontId="233" fillId="0" borderId="73" applyNumberFormat="0" applyFill="0" applyAlignment="0" applyProtection="0">
      <alignment vertical="center"/>
    </xf>
    <xf numFmtId="0" fontId="233" fillId="0" borderId="73"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67" applyNumberFormat="0" applyFill="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3"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3" fillId="0" borderId="0" applyNumberFormat="0" applyFill="0" applyBorder="0" applyAlignment="0" applyProtection="0">
      <alignment vertical="center"/>
    </xf>
    <xf numFmtId="0" fontId="233"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3"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3" fillId="0" borderId="0" applyNumberFormat="0" applyFill="0" applyBorder="0" applyAlignment="0" applyProtection="0">
      <alignment vertical="center"/>
    </xf>
    <xf numFmtId="0" fontId="233" fillId="0" borderId="0" applyNumberFormat="0" applyFill="0" applyBorder="0" applyAlignment="0" applyProtection="0">
      <alignment vertical="center"/>
    </xf>
    <xf numFmtId="0" fontId="233" fillId="0" borderId="0" applyNumberFormat="0" applyFill="0" applyBorder="0" applyAlignment="0" applyProtection="0">
      <alignment vertical="center"/>
    </xf>
    <xf numFmtId="0" fontId="233"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3" fillId="0" borderId="0" applyNumberFormat="0" applyFill="0" applyBorder="0" applyAlignment="0" applyProtection="0">
      <alignment vertical="center"/>
    </xf>
    <xf numFmtId="0" fontId="233" fillId="0" borderId="0" applyNumberFormat="0" applyFill="0" applyBorder="0" applyAlignment="0" applyProtection="0">
      <alignment vertical="center"/>
    </xf>
    <xf numFmtId="0" fontId="233" fillId="0" borderId="0" applyNumberFormat="0" applyFill="0" applyBorder="0" applyAlignment="0" applyProtection="0">
      <alignment vertical="center"/>
    </xf>
    <xf numFmtId="0" fontId="233"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2" fillId="0" borderId="0" applyNumberFormat="0" applyFill="0" applyBorder="0" applyAlignment="0" applyProtection="0">
      <alignment vertical="center"/>
    </xf>
    <xf numFmtId="0" fontId="234"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34" fillId="0" borderId="0" applyNumberFormat="0" applyFill="0" applyBorder="0" applyAlignment="0" applyProtection="0">
      <alignment vertical="center"/>
    </xf>
    <xf numFmtId="0" fontId="234"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34"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34" fillId="0" borderId="0" applyNumberFormat="0" applyFill="0" applyBorder="0" applyAlignment="0" applyProtection="0">
      <alignment vertical="center"/>
    </xf>
    <xf numFmtId="0" fontId="234" fillId="0" borderId="0" applyNumberFormat="0" applyFill="0" applyBorder="0" applyAlignment="0" applyProtection="0">
      <alignment vertical="center"/>
    </xf>
    <xf numFmtId="0" fontId="234" fillId="0" borderId="0" applyNumberFormat="0" applyFill="0" applyBorder="0" applyAlignment="0" applyProtection="0">
      <alignment vertical="center"/>
    </xf>
    <xf numFmtId="0" fontId="234"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34" fillId="0" borderId="0" applyNumberFormat="0" applyFill="0" applyBorder="0" applyAlignment="0" applyProtection="0">
      <alignment vertical="center"/>
    </xf>
    <xf numFmtId="0" fontId="234" fillId="0" borderId="0" applyNumberFormat="0" applyFill="0" applyBorder="0" applyAlignment="0" applyProtection="0">
      <alignment vertical="center"/>
    </xf>
    <xf numFmtId="0" fontId="234" fillId="0" borderId="0" applyNumberFormat="0" applyFill="0" applyBorder="0" applyAlignment="0" applyProtection="0">
      <alignment vertical="center"/>
    </xf>
    <xf numFmtId="0" fontId="234"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29" fillId="0" borderId="0" applyNumberFormat="0" applyFill="0" applyBorder="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6"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6" fillId="102" borderId="64" applyNumberFormat="0" applyAlignment="0" applyProtection="0">
      <alignment vertical="center"/>
    </xf>
    <xf numFmtId="0" fontId="236"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6"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6" fillId="102" borderId="64" applyNumberFormat="0" applyAlignment="0" applyProtection="0">
      <alignment vertical="center"/>
    </xf>
    <xf numFmtId="0" fontId="236" fillId="102" borderId="64" applyNumberFormat="0" applyAlignment="0" applyProtection="0">
      <alignment vertical="center"/>
    </xf>
    <xf numFmtId="0" fontId="236" fillId="102" borderId="64" applyNumberFormat="0" applyAlignment="0" applyProtection="0">
      <alignment vertical="center"/>
    </xf>
    <xf numFmtId="0" fontId="236"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6" fillId="102" borderId="64" applyNumberFormat="0" applyAlignment="0" applyProtection="0">
      <alignment vertical="center"/>
    </xf>
    <xf numFmtId="0" fontId="236" fillId="102" borderId="64" applyNumberFormat="0" applyAlignment="0" applyProtection="0">
      <alignment vertical="center"/>
    </xf>
    <xf numFmtId="0" fontId="236" fillId="102" borderId="64" applyNumberFormat="0" applyAlignment="0" applyProtection="0">
      <alignment vertical="center"/>
    </xf>
    <xf numFmtId="0" fontId="236" fillId="102" borderId="64" applyNumberFormat="0" applyAlignment="0" applyProtection="0">
      <alignment vertical="center"/>
    </xf>
    <xf numFmtId="0" fontId="236" fillId="102" borderId="64" applyNumberFormat="0" applyAlignment="0" applyProtection="0">
      <alignment vertical="center"/>
    </xf>
    <xf numFmtId="0" fontId="236" fillId="102" borderId="64" applyNumberFormat="0" applyAlignment="0" applyProtection="0">
      <alignment vertical="center"/>
    </xf>
    <xf numFmtId="0" fontId="236"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5" fillId="102" borderId="64" applyNumberFormat="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4"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4"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4"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0" fontId="237" fillId="0" borderId="71" applyNumberFormat="0" applyFill="0" applyAlignment="0" applyProtection="0">
      <alignment vertical="center"/>
    </xf>
    <xf numFmtId="174" fontId="216" fillId="0" borderId="0" applyFont="0" applyFill="0" applyBorder="0" applyAlignment="0" applyProtection="0"/>
    <xf numFmtId="175" fontId="216" fillId="0" borderId="0" applyFont="0" applyFill="0" applyBorder="0" applyAlignment="0" applyProtection="0"/>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8"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39" fillId="0" borderId="0" applyNumberFormat="0" applyFill="0" applyBorder="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86"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0" fillId="92" borderId="63" applyNumberFormat="0" applyAlignment="0" applyProtection="0">
      <alignment vertical="center"/>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1" fillId="0" borderId="0" applyNumberFormat="0" applyFill="0" applyBorder="0" applyAlignment="0" applyProtection="0">
      <alignment vertical="top"/>
      <protection locked="0"/>
    </xf>
    <xf numFmtId="0" fontId="242" fillId="85" borderId="63" applyNumberFormat="0" applyAlignment="0" applyProtection="0">
      <alignment vertical="center"/>
    </xf>
    <xf numFmtId="0" fontId="242" fillId="85" borderId="63" applyNumberFormat="0" applyAlignment="0" applyProtection="0">
      <alignment vertical="center"/>
    </xf>
    <xf numFmtId="0" fontId="242" fillId="85" borderId="63" applyNumberFormat="0" applyAlignment="0" applyProtection="0">
      <alignment vertical="center"/>
    </xf>
    <xf numFmtId="0" fontId="242" fillId="85" borderId="63" applyNumberFormat="0" applyAlignment="0" applyProtection="0">
      <alignment vertical="center"/>
    </xf>
    <xf numFmtId="0" fontId="242" fillId="85" borderId="63"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86"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3" fillId="92" borderId="70" applyNumberFormat="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4" fillId="93" borderId="0" applyNumberFormat="0" applyBorder="0" applyAlignment="0" applyProtection="0">
      <alignment vertical="center"/>
    </xf>
    <xf numFmtId="0" fontId="245" fillId="0" borderId="0"/>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0" fontId="246" fillId="0" borderId="68" applyNumberFormat="0" applyFill="0" applyAlignment="0" applyProtection="0">
      <alignment vertical="center"/>
    </xf>
    <xf numFmtId="176" fontId="216" fillId="0" borderId="0" applyFont="0" applyFill="0" applyBorder="0" applyAlignment="0" applyProtection="0"/>
    <xf numFmtId="177" fontId="216" fillId="0" borderId="0" applyFont="0" applyFill="0" applyBorder="0" applyAlignment="0" applyProtection="0"/>
    <xf numFmtId="0" fontId="260" fillId="0" borderId="0">
      <alignment vertical="center"/>
    </xf>
    <xf numFmtId="0" fontId="260" fillId="0" borderId="0">
      <alignment vertical="center"/>
    </xf>
    <xf numFmtId="0" fontId="22" fillId="0" borderId="0" applyNumberFormat="0" applyFill="0" applyBorder="0" applyAlignment="0" applyProtection="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75" fillId="0" borderId="0">
      <alignment vertical="center"/>
    </xf>
    <xf numFmtId="0" fontId="175" fillId="0" borderId="0">
      <alignment vertical="center"/>
    </xf>
    <xf numFmtId="0" fontId="175" fillId="0" borderId="0">
      <alignment vertical="center"/>
    </xf>
    <xf numFmtId="0" fontId="175" fillId="0" borderId="0"/>
    <xf numFmtId="0" fontId="175" fillId="0" borderId="0"/>
    <xf numFmtId="0" fontId="175" fillId="0" borderId="0"/>
    <xf numFmtId="0" fontId="175" fillId="0" borderId="0"/>
    <xf numFmtId="0" fontId="199" fillId="0" borderId="0"/>
    <xf numFmtId="10" fontId="211" fillId="86" borderId="79" applyBorder="0" applyAlignment="0" applyProtection="0"/>
    <xf numFmtId="10" fontId="211" fillId="86" borderId="79" applyBorder="0" applyAlignment="0" applyProtection="0"/>
    <xf numFmtId="0" fontId="175" fillId="0" borderId="0"/>
    <xf numFmtId="0" fontId="175" fillId="0" borderId="0">
      <alignment vertical="center"/>
    </xf>
    <xf numFmtId="0" fontId="175" fillId="0" borderId="0"/>
    <xf numFmtId="0" fontId="175" fillId="0" borderId="0"/>
    <xf numFmtId="0" fontId="5" fillId="0" borderId="0"/>
    <xf numFmtId="0" fontId="5" fillId="0" borderId="0"/>
    <xf numFmtId="0" fontId="5" fillId="0" borderId="0"/>
    <xf numFmtId="0" fontId="175" fillId="0" borderId="0"/>
  </cellStyleXfs>
  <cellXfs count="6251">
    <xf numFmtId="0" fontId="0" fillId="0" borderId="0" xfId="0"/>
    <xf numFmtId="0" fontId="0" fillId="2" borderId="0" xfId="0" applyFill="1" applyAlignment="1">
      <alignment horizontal="center"/>
    </xf>
    <xf numFmtId="0" fontId="0" fillId="0" borderId="0" xfId="0" applyAlignment="1">
      <alignment horizontal="center"/>
    </xf>
    <xf numFmtId="0" fontId="0" fillId="3" borderId="0" xfId="0" applyFill="1"/>
    <xf numFmtId="0" fontId="22" fillId="0" borderId="0" xfId="1"/>
    <xf numFmtId="0" fontId="31" fillId="0" borderId="0" xfId="1" applyFont="1"/>
    <xf numFmtId="164" fontId="0" fillId="0" borderId="0" xfId="0" applyNumberFormat="1" applyAlignment="1">
      <alignment horizontal="center"/>
    </xf>
    <xf numFmtId="0" fontId="0" fillId="0" borderId="0" xfId="0" applyAlignment="1">
      <alignment horizontal="center" vertical="center"/>
    </xf>
    <xf numFmtId="0" fontId="49" fillId="0" borderId="16" xfId="0" applyFont="1" applyBorder="1"/>
    <xf numFmtId="0" fontId="0" fillId="40" borderId="0" xfId="0" applyFill="1" applyAlignment="1">
      <alignment horizontal="center"/>
    </xf>
    <xf numFmtId="0" fontId="0" fillId="40" borderId="0" xfId="0" applyFill="1"/>
    <xf numFmtId="0" fontId="0" fillId="40" borderId="17" xfId="0" applyFill="1" applyBorder="1" applyAlignment="1">
      <alignment horizontal="center"/>
    </xf>
    <xf numFmtId="0" fontId="0" fillId="40" borderId="17" xfId="0" applyFill="1" applyBorder="1" applyAlignment="1">
      <alignment horizontal="center" vertical="center"/>
    </xf>
    <xf numFmtId="0" fontId="0" fillId="3" borderId="0" xfId="0" applyFill="1" applyAlignment="1">
      <alignment horizontal="center"/>
    </xf>
    <xf numFmtId="0" fontId="0" fillId="40" borderId="0" xfId="0" applyFill="1" applyAlignment="1">
      <alignment horizontal="center" vertical="center"/>
    </xf>
    <xf numFmtId="0" fontId="0" fillId="3" borderId="17" xfId="0" applyFill="1" applyBorder="1" applyAlignment="1">
      <alignment horizontal="center"/>
    </xf>
    <xf numFmtId="0" fontId="0" fillId="0" borderId="4" xfId="0" applyBorder="1" applyAlignment="1">
      <alignment horizontal="center" vertical="center"/>
    </xf>
    <xf numFmtId="164" fontId="0" fillId="40" borderId="17" xfId="0" applyNumberFormat="1" applyFill="1" applyBorder="1" applyAlignment="1">
      <alignment horizontal="center"/>
    </xf>
    <xf numFmtId="0" fontId="0" fillId="2" borderId="17" xfId="0" applyFill="1" applyBorder="1" applyAlignment="1">
      <alignment horizontal="center" vertical="center"/>
    </xf>
    <xf numFmtId="0" fontId="0" fillId="3" borderId="17" xfId="0" applyFill="1" applyBorder="1" applyAlignment="1">
      <alignment horizontal="center" vertical="center"/>
    </xf>
    <xf numFmtId="0" fontId="53" fillId="0" borderId="0" xfId="0" applyFont="1"/>
    <xf numFmtId="0" fontId="0" fillId="0" borderId="17" xfId="0" applyBorder="1" applyAlignment="1">
      <alignment horizontal="center"/>
    </xf>
    <xf numFmtId="0" fontId="24" fillId="3" borderId="0" xfId="0" applyFont="1" applyFill="1" applyAlignment="1">
      <alignment horizontal="center"/>
    </xf>
    <xf numFmtId="0" fontId="0" fillId="40" borderId="18" xfId="0" applyFill="1" applyBorder="1" applyAlignment="1">
      <alignment horizontal="center" vertical="center"/>
    </xf>
    <xf numFmtId="0" fontId="0" fillId="3" borderId="17" xfId="0" applyFill="1" applyBorder="1"/>
    <xf numFmtId="0" fontId="0" fillId="3" borderId="0" xfId="0" applyFill="1" applyAlignment="1">
      <alignment horizontal="center" vertical="center"/>
    </xf>
    <xf numFmtId="0" fontId="0" fillId="0" borderId="0" xfId="0" applyAlignment="1">
      <alignment horizontal="left"/>
    </xf>
    <xf numFmtId="0" fontId="53" fillId="40" borderId="17" xfId="0" applyFont="1" applyFill="1" applyBorder="1" applyAlignment="1">
      <alignment horizontal="center"/>
    </xf>
    <xf numFmtId="0" fontId="0" fillId="0" borderId="17" xfId="0" applyBorder="1"/>
    <xf numFmtId="0" fontId="0" fillId="40" borderId="18" xfId="0" applyFill="1" applyBorder="1" applyAlignment="1">
      <alignment horizontal="center"/>
    </xf>
    <xf numFmtId="0" fontId="29" fillId="40" borderId="17" xfId="0" applyFont="1" applyFill="1" applyBorder="1" applyAlignment="1">
      <alignment horizontal="center" vertical="center"/>
    </xf>
    <xf numFmtId="0" fontId="0" fillId="3" borderId="18" xfId="0" applyFill="1" applyBorder="1" applyAlignment="1">
      <alignment horizontal="center" vertical="center"/>
    </xf>
    <xf numFmtId="0" fontId="0" fillId="40" borderId="20" xfId="0" applyFill="1" applyBorder="1" applyAlignment="1">
      <alignment horizontal="center" vertical="center"/>
    </xf>
    <xf numFmtId="0" fontId="0" fillId="3" borderId="17" xfId="0" applyFill="1" applyBorder="1" applyAlignment="1">
      <alignment horizontal="left"/>
    </xf>
    <xf numFmtId="164" fontId="23" fillId="40" borderId="17" xfId="0" applyNumberFormat="1" applyFont="1" applyFill="1" applyBorder="1" applyAlignment="1">
      <alignment horizontal="center" vertical="center"/>
    </xf>
    <xf numFmtId="164" fontId="0" fillId="40" borderId="17" xfId="0" applyNumberFormat="1" applyFill="1" applyBorder="1" applyAlignment="1">
      <alignment horizontal="center" vertical="center"/>
    </xf>
    <xf numFmtId="0" fontId="0" fillId="3" borderId="0" xfId="0" applyFill="1" applyAlignment="1">
      <alignment vertical="center"/>
    </xf>
    <xf numFmtId="0" fontId="0" fillId="3" borderId="18" xfId="0" applyFill="1" applyBorder="1" applyAlignment="1">
      <alignment horizontal="center"/>
    </xf>
    <xf numFmtId="0" fontId="0" fillId="3" borderId="4" xfId="0" applyFill="1" applyBorder="1" applyAlignment="1">
      <alignment horizontal="center" vertical="center"/>
    </xf>
    <xf numFmtId="0" fontId="0" fillId="40" borderId="0" xfId="0" applyFill="1" applyAlignment="1">
      <alignment horizontal="left"/>
    </xf>
    <xf numFmtId="0" fontId="0" fillId="3" borderId="18" xfId="0" applyFill="1" applyBorder="1"/>
    <xf numFmtId="164" fontId="0" fillId="40" borderId="18" xfId="0" applyNumberFormat="1" applyFill="1" applyBorder="1" applyAlignment="1">
      <alignment horizontal="center"/>
    </xf>
    <xf numFmtId="0" fontId="0" fillId="40" borderId="17" xfId="0" applyFill="1" applyBorder="1" applyAlignment="1">
      <alignment horizontal="center" vertical="center" wrapText="1"/>
    </xf>
    <xf numFmtId="0" fontId="0" fillId="0" borderId="0" xfId="0" applyAlignment="1">
      <alignment horizontal="center" vertical="center" wrapText="1"/>
    </xf>
    <xf numFmtId="0" fontId="0" fillId="0" borderId="18" xfId="0" applyBorder="1"/>
    <xf numFmtId="0" fontId="0" fillId="40" borderId="17" xfId="0" applyFill="1" applyBorder="1" applyAlignment="1">
      <alignment horizontal="left" vertical="center"/>
    </xf>
    <xf numFmtId="0" fontId="53" fillId="40" borderId="18" xfId="0" applyFont="1" applyFill="1" applyBorder="1" applyAlignment="1">
      <alignment horizontal="center"/>
    </xf>
    <xf numFmtId="0" fontId="0" fillId="40" borderId="22" xfId="0" applyFill="1" applyBorder="1" applyAlignment="1">
      <alignment horizontal="center" vertical="center"/>
    </xf>
    <xf numFmtId="164" fontId="0" fillId="3" borderId="17" xfId="0" applyNumberFormat="1" applyFill="1" applyBorder="1" applyAlignment="1">
      <alignment horizontal="center"/>
    </xf>
    <xf numFmtId="164" fontId="0" fillId="3" borderId="17" xfId="0" applyNumberFormat="1" applyFill="1" applyBorder="1" applyAlignment="1">
      <alignment horizontal="center" vertical="center"/>
    </xf>
    <xf numFmtId="0" fontId="0" fillId="40" borderId="21" xfId="0" applyFill="1" applyBorder="1" applyAlignment="1">
      <alignment horizontal="center" vertical="center"/>
    </xf>
    <xf numFmtId="0" fontId="0" fillId="40" borderId="0" xfId="0" applyFill="1" applyAlignment="1">
      <alignment horizontal="left" vertical="center"/>
    </xf>
    <xf numFmtId="0" fontId="0" fillId="0" borderId="0" xfId="0" applyAlignment="1">
      <alignment vertical="center"/>
    </xf>
    <xf numFmtId="0" fontId="0" fillId="38" borderId="0" xfId="0" applyFill="1"/>
    <xf numFmtId="164" fontId="23" fillId="40" borderId="18" xfId="0" applyNumberFormat="1" applyFont="1" applyFill="1" applyBorder="1" applyAlignment="1">
      <alignment horizontal="center" vertical="center"/>
    </xf>
    <xf numFmtId="164" fontId="23" fillId="3" borderId="17" xfId="0" applyNumberFormat="1" applyFont="1" applyFill="1" applyBorder="1" applyAlignment="1">
      <alignment horizontal="center" vertical="center"/>
    </xf>
    <xf numFmtId="0" fontId="0" fillId="40" borderId="18" xfId="0" applyFill="1" applyBorder="1" applyAlignment="1">
      <alignment horizontal="left" vertical="center"/>
    </xf>
    <xf numFmtId="164" fontId="0" fillId="40" borderId="18" xfId="0" applyNumberFormat="1" applyFill="1" applyBorder="1" applyAlignment="1">
      <alignment horizontal="center" vertical="center"/>
    </xf>
    <xf numFmtId="0" fontId="0" fillId="2" borderId="0" xfId="0" applyFill="1" applyAlignment="1">
      <alignment horizontal="center" vertical="center"/>
    </xf>
    <xf numFmtId="0" fontId="0" fillId="40" borderId="18" xfId="0" applyFill="1" applyBorder="1" applyAlignment="1">
      <alignment horizontal="center" vertical="center" wrapText="1"/>
    </xf>
    <xf numFmtId="0" fontId="0" fillId="40" borderId="20" xfId="0" applyFill="1" applyBorder="1" applyAlignment="1">
      <alignment horizontal="left" vertical="center"/>
    </xf>
    <xf numFmtId="0" fontId="0" fillId="40" borderId="23" xfId="0" applyFill="1" applyBorder="1" applyAlignment="1">
      <alignment horizontal="center" vertical="center"/>
    </xf>
    <xf numFmtId="164" fontId="24" fillId="3" borderId="17" xfId="0" applyNumberFormat="1" applyFont="1" applyFill="1" applyBorder="1" applyAlignment="1">
      <alignment horizontal="center" vertical="center"/>
    </xf>
    <xf numFmtId="0" fontId="0" fillId="40" borderId="0" xfId="0" applyFill="1" applyAlignment="1">
      <alignment vertical="center"/>
    </xf>
    <xf numFmtId="0" fontId="0" fillId="40" borderId="27" xfId="0" applyFill="1" applyBorder="1" applyAlignment="1">
      <alignment horizontal="center" vertical="center"/>
    </xf>
    <xf numFmtId="0" fontId="29" fillId="40" borderId="0" xfId="0" applyFont="1" applyFill="1" applyAlignment="1">
      <alignment horizontal="center" vertical="center"/>
    </xf>
    <xf numFmtId="164" fontId="0" fillId="3" borderId="18" xfId="0" applyNumberFormat="1" applyFill="1" applyBorder="1" applyAlignment="1">
      <alignment horizontal="center" vertical="center"/>
    </xf>
    <xf numFmtId="0" fontId="0" fillId="2" borderId="4" xfId="0" applyFill="1" applyBorder="1" applyAlignment="1">
      <alignment horizontal="center"/>
    </xf>
    <xf numFmtId="164" fontId="24" fillId="3" borderId="0" xfId="0" applyNumberFormat="1" applyFont="1" applyFill="1" applyAlignment="1">
      <alignment horizontal="center" vertical="center"/>
    </xf>
    <xf numFmtId="0" fontId="0" fillId="40" borderId="0" xfId="0" applyFill="1" applyAlignment="1">
      <alignment horizontal="center" vertical="center" wrapText="1"/>
    </xf>
    <xf numFmtId="0" fontId="29" fillId="40" borderId="17" xfId="0" applyFont="1" applyFill="1" applyBorder="1" applyAlignment="1">
      <alignment horizontal="center" vertical="top"/>
    </xf>
    <xf numFmtId="164" fontId="0" fillId="3" borderId="18" xfId="0" applyNumberFormat="1" applyFill="1" applyBorder="1" applyAlignment="1">
      <alignment horizontal="center"/>
    </xf>
    <xf numFmtId="0" fontId="0" fillId="4" borderId="17" xfId="0" applyFill="1" applyBorder="1" applyAlignment="1">
      <alignment horizontal="center"/>
    </xf>
    <xf numFmtId="0" fontId="24" fillId="0" borderId="0" xfId="0" applyFont="1" applyAlignment="1">
      <alignment horizontal="center"/>
    </xf>
    <xf numFmtId="0" fontId="57" fillId="40" borderId="17" xfId="0" applyFont="1" applyFill="1" applyBorder="1" applyAlignment="1">
      <alignment horizontal="center" vertical="center"/>
    </xf>
    <xf numFmtId="0" fontId="53" fillId="40" borderId="17" xfId="0" applyFont="1" applyFill="1" applyBorder="1" applyAlignment="1">
      <alignment horizontal="center" vertical="center"/>
    </xf>
    <xf numFmtId="0" fontId="53" fillId="40" borderId="18" xfId="0" applyFont="1" applyFill="1" applyBorder="1" applyAlignment="1">
      <alignment horizontal="center" vertical="center" wrapText="1"/>
    </xf>
    <xf numFmtId="0" fontId="24" fillId="40" borderId="0" xfId="0" applyFont="1" applyFill="1" applyAlignment="1">
      <alignment horizontal="center" vertical="center"/>
    </xf>
    <xf numFmtId="0" fontId="29" fillId="40" borderId="0" xfId="0" applyFont="1" applyFill="1"/>
    <xf numFmtId="0" fontId="66" fillId="40" borderId="17" xfId="0" applyFont="1" applyFill="1" applyBorder="1" applyAlignment="1">
      <alignment horizontal="center" vertical="center"/>
    </xf>
    <xf numFmtId="0" fontId="0" fillId="4" borderId="18" xfId="0" applyFill="1" applyBorder="1"/>
    <xf numFmtId="164" fontId="70" fillId="40" borderId="17" xfId="0" applyNumberFormat="1" applyFont="1" applyFill="1" applyBorder="1" applyAlignment="1">
      <alignment horizontal="center" vertical="center"/>
    </xf>
    <xf numFmtId="0" fontId="70" fillId="3" borderId="17" xfId="0" applyFont="1" applyFill="1" applyBorder="1" applyAlignment="1">
      <alignment horizontal="center" vertical="center"/>
    </xf>
    <xf numFmtId="0" fontId="70" fillId="40" borderId="17" xfId="0" applyFont="1" applyFill="1"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24" fillId="0" borderId="0" xfId="0" applyFont="1" applyAlignment="1">
      <alignment horizontal="left"/>
    </xf>
    <xf numFmtId="164" fontId="53" fillId="40" borderId="17" xfId="0" applyNumberFormat="1" applyFont="1" applyFill="1" applyBorder="1" applyAlignment="1">
      <alignment horizontal="center"/>
    </xf>
    <xf numFmtId="0" fontId="0" fillId="5" borderId="6" xfId="0" applyFill="1" applyBorder="1" applyAlignment="1">
      <alignment horizontal="center" vertical="center"/>
    </xf>
    <xf numFmtId="0" fontId="62" fillId="0" borderId="0" xfId="0" applyFont="1" applyAlignment="1">
      <alignment horizontal="center" vertical="center"/>
    </xf>
    <xf numFmtId="0" fontId="53" fillId="40" borderId="17" xfId="0" applyFont="1" applyFill="1" applyBorder="1"/>
    <xf numFmtId="49" fontId="53" fillId="40" borderId="17" xfId="0" applyNumberFormat="1" applyFont="1" applyFill="1" applyBorder="1" applyAlignment="1">
      <alignment horizontal="center" vertical="center" wrapText="1"/>
    </xf>
    <xf numFmtId="0" fontId="53" fillId="40" borderId="17" xfId="0" applyFont="1" applyFill="1" applyBorder="1" applyAlignment="1">
      <alignment horizontal="left"/>
    </xf>
    <xf numFmtId="0" fontId="0" fillId="0" borderId="17" xfId="0" applyBorder="1" applyAlignment="1">
      <alignment horizontal="left" vertical="center"/>
    </xf>
    <xf numFmtId="0" fontId="0" fillId="0" borderId="20" xfId="0" applyBorder="1" applyAlignment="1">
      <alignment horizontal="center" vertical="center"/>
    </xf>
    <xf numFmtId="0" fontId="0" fillId="40" borderId="17" xfId="0" applyFill="1" applyBorder="1" applyAlignment="1">
      <alignment horizontal="left" vertical="center" wrapText="1"/>
    </xf>
    <xf numFmtId="164" fontId="53" fillId="40" borderId="17" xfId="0" applyNumberFormat="1" applyFont="1" applyFill="1" applyBorder="1" applyAlignment="1">
      <alignment horizontal="center" vertical="center"/>
    </xf>
    <xf numFmtId="0" fontId="53" fillId="40" borderId="0" xfId="0" applyFont="1" applyFill="1" applyAlignment="1">
      <alignment horizontal="center" vertical="center"/>
    </xf>
    <xf numFmtId="164" fontId="0" fillId="40" borderId="0" xfId="0" applyNumberFormat="1" applyFill="1" applyAlignment="1">
      <alignment horizontal="center" vertical="center"/>
    </xf>
    <xf numFmtId="164" fontId="0" fillId="40" borderId="20" xfId="0" applyNumberFormat="1" applyFill="1" applyBorder="1" applyAlignment="1">
      <alignment horizontal="center" vertical="center"/>
    </xf>
    <xf numFmtId="0" fontId="53" fillId="40" borderId="0" xfId="0" applyFont="1" applyFill="1"/>
    <xf numFmtId="0" fontId="0" fillId="3" borderId="23" xfId="0" applyFill="1" applyBorder="1" applyAlignment="1">
      <alignment horizontal="center" vertical="center"/>
    </xf>
    <xf numFmtId="16" fontId="0" fillId="3" borderId="17" xfId="0" applyNumberFormat="1" applyFill="1" applyBorder="1" applyAlignment="1">
      <alignment horizontal="center" vertical="center"/>
    </xf>
    <xf numFmtId="0" fontId="53" fillId="40" borderId="23" xfId="0" applyFont="1" applyFill="1" applyBorder="1" applyAlignment="1">
      <alignment horizontal="center"/>
    </xf>
    <xf numFmtId="49" fontId="0" fillId="3" borderId="0" xfId="0" applyNumberFormat="1" applyFill="1" applyAlignment="1">
      <alignment horizontal="center" vertical="center"/>
    </xf>
    <xf numFmtId="0" fontId="29" fillId="40" borderId="0" xfId="0" applyFont="1" applyFill="1" applyAlignment="1">
      <alignment horizontal="center" vertical="top"/>
    </xf>
    <xf numFmtId="0" fontId="0" fillId="0" borderId="0" xfId="0" applyAlignment="1">
      <alignment horizontal="left" vertical="center"/>
    </xf>
    <xf numFmtId="164" fontId="53" fillId="40" borderId="18" xfId="0" applyNumberFormat="1" applyFont="1" applyFill="1" applyBorder="1" applyAlignment="1">
      <alignment horizontal="center"/>
    </xf>
    <xf numFmtId="0" fontId="53" fillId="40" borderId="18" xfId="0" applyFont="1" applyFill="1" applyBorder="1" applyAlignment="1">
      <alignment horizontal="center" vertical="center"/>
    </xf>
    <xf numFmtId="0" fontId="53" fillId="40" borderId="0" xfId="0" applyFont="1" applyFill="1" applyAlignment="1">
      <alignment horizontal="center" wrapText="1"/>
    </xf>
    <xf numFmtId="0" fontId="0" fillId="0" borderId="20" xfId="0" applyBorder="1" applyAlignment="1">
      <alignment horizontal="left" vertical="center"/>
    </xf>
    <xf numFmtId="0" fontId="29" fillId="40" borderId="18" xfId="0" applyFont="1" applyFill="1" applyBorder="1" applyAlignment="1">
      <alignment horizontal="center" vertical="center"/>
    </xf>
    <xf numFmtId="0" fontId="0" fillId="3" borderId="24" xfId="0" applyFill="1" applyBorder="1" applyAlignment="1">
      <alignment horizontal="center" vertical="center"/>
    </xf>
    <xf numFmtId="0" fontId="0" fillId="3" borderId="23" xfId="0" applyFill="1" applyBorder="1" applyAlignment="1">
      <alignment horizontal="left" vertical="center"/>
    </xf>
    <xf numFmtId="164" fontId="29" fillId="40" borderId="17" xfId="0" applyNumberFormat="1" applyFont="1" applyFill="1" applyBorder="1" applyAlignment="1">
      <alignment horizontal="center" vertical="center"/>
    </xf>
    <xf numFmtId="164" fontId="53" fillId="3" borderId="17" xfId="0" applyNumberFormat="1" applyFont="1" applyFill="1" applyBorder="1" applyAlignment="1">
      <alignment horizontal="center"/>
    </xf>
    <xf numFmtId="0" fontId="0" fillId="0" borderId="23" xfId="0" applyBorder="1" applyAlignment="1">
      <alignment horizontal="center" vertical="center"/>
    </xf>
    <xf numFmtId="0" fontId="0" fillId="3" borderId="0" xfId="0" applyFill="1" applyAlignment="1">
      <alignment horizontal="left" vertical="center"/>
    </xf>
    <xf numFmtId="164" fontId="23" fillId="3" borderId="18" xfId="0" applyNumberFormat="1" applyFont="1" applyFill="1" applyBorder="1" applyAlignment="1">
      <alignment horizontal="center" vertical="center"/>
    </xf>
    <xf numFmtId="164" fontId="53" fillId="40" borderId="20" xfId="0" applyNumberFormat="1" applyFont="1" applyFill="1" applyBorder="1" applyAlignment="1">
      <alignment horizontal="center" vertical="center"/>
    </xf>
    <xf numFmtId="0" fontId="0" fillId="3" borderId="17" xfId="0" applyFill="1" applyBorder="1" applyAlignment="1">
      <alignment horizontal="left" vertical="center"/>
    </xf>
    <xf numFmtId="0" fontId="0" fillId="0" borderId="4" xfId="0" applyBorder="1" applyAlignment="1">
      <alignment horizontal="left"/>
    </xf>
    <xf numFmtId="0" fontId="0" fillId="0" borderId="31" xfId="0" applyBorder="1" applyAlignment="1">
      <alignment horizontal="center" vertical="center"/>
    </xf>
    <xf numFmtId="0" fontId="53" fillId="40" borderId="0" xfId="0" applyFont="1" applyFill="1" applyAlignment="1">
      <alignment horizontal="center"/>
    </xf>
    <xf numFmtId="0" fontId="53" fillId="40" borderId="0" xfId="0" applyFont="1" applyFill="1" applyAlignment="1">
      <alignment horizontal="left"/>
    </xf>
    <xf numFmtId="164" fontId="57" fillId="40" borderId="17" xfId="0" applyNumberFormat="1" applyFont="1" applyFill="1" applyBorder="1" applyAlignment="1">
      <alignment horizontal="center" vertical="center"/>
    </xf>
    <xf numFmtId="164" fontId="0" fillId="0" borderId="0" xfId="0" applyNumberFormat="1" applyAlignment="1">
      <alignment horizontal="center" vertical="center"/>
    </xf>
    <xf numFmtId="49" fontId="0" fillId="0" borderId="0" xfId="0" applyNumberFormat="1" applyAlignment="1">
      <alignment horizontal="center" vertical="center"/>
    </xf>
    <xf numFmtId="164" fontId="29" fillId="40" borderId="18" xfId="0" applyNumberFormat="1" applyFont="1" applyFill="1" applyBorder="1" applyAlignment="1">
      <alignment horizontal="center" vertical="center"/>
    </xf>
    <xf numFmtId="164" fontId="23" fillId="40" borderId="0" xfId="0" applyNumberFormat="1" applyFont="1" applyFill="1" applyAlignment="1">
      <alignment horizontal="center" vertical="center"/>
    </xf>
    <xf numFmtId="0" fontId="57" fillId="40" borderId="18" xfId="0" applyFont="1" applyFill="1" applyBorder="1" applyAlignment="1">
      <alignment horizontal="center" vertical="center"/>
    </xf>
    <xf numFmtId="164" fontId="23" fillId="40" borderId="17" xfId="0" applyNumberFormat="1" applyFont="1" applyFill="1" applyBorder="1" applyAlignment="1">
      <alignment horizontal="center" vertical="center" wrapText="1"/>
    </xf>
    <xf numFmtId="0" fontId="0" fillId="4" borderId="0" xfId="0" applyFill="1" applyAlignment="1">
      <alignment horizontal="left" vertical="center"/>
    </xf>
    <xf numFmtId="0" fontId="57" fillId="40" borderId="0" xfId="0" applyFont="1" applyFill="1" applyAlignment="1">
      <alignment horizontal="center" vertical="center"/>
    </xf>
    <xf numFmtId="0" fontId="53" fillId="40" borderId="18" xfId="0" applyFont="1" applyFill="1" applyBorder="1"/>
    <xf numFmtId="0" fontId="53" fillId="40" borderId="19" xfId="0" applyFont="1" applyFill="1" applyBorder="1"/>
    <xf numFmtId="0" fontId="53" fillId="40" borderId="22" xfId="0" applyFont="1" applyFill="1" applyBorder="1" applyAlignment="1">
      <alignment horizontal="center" vertical="center"/>
    </xf>
    <xf numFmtId="0" fontId="17" fillId="0" borderId="0" xfId="0" applyFont="1"/>
    <xf numFmtId="164" fontId="45" fillId="40" borderId="18" xfId="0" applyNumberFormat="1" applyFont="1" applyFill="1" applyBorder="1" applyAlignment="1">
      <alignment horizontal="center" vertical="center" wrapText="1"/>
    </xf>
    <xf numFmtId="164" fontId="53" fillId="40" borderId="18" xfId="0" applyNumberFormat="1" applyFont="1" applyFill="1" applyBorder="1" applyAlignment="1">
      <alignment horizontal="center" vertical="center"/>
    </xf>
    <xf numFmtId="164" fontId="57" fillId="40" borderId="0" xfId="0" applyNumberFormat="1" applyFont="1" applyFill="1" applyAlignment="1">
      <alignment horizontal="center" vertical="center"/>
    </xf>
    <xf numFmtId="164" fontId="29" fillId="40" borderId="0" xfId="0" applyNumberFormat="1" applyFont="1" applyFill="1" applyAlignment="1">
      <alignment horizontal="center" vertical="center"/>
    </xf>
    <xf numFmtId="164" fontId="23" fillId="40" borderId="18" xfId="0" applyNumberFormat="1" applyFont="1" applyFill="1" applyBorder="1" applyAlignment="1">
      <alignment horizontal="center" vertical="center" wrapText="1"/>
    </xf>
    <xf numFmtId="164" fontId="23" fillId="0" borderId="0" xfId="0" applyNumberFormat="1" applyFont="1" applyAlignment="1">
      <alignment horizontal="center" vertical="center"/>
    </xf>
    <xf numFmtId="164" fontId="0" fillId="0" borderId="0" xfId="0" applyNumberFormat="1" applyAlignment="1">
      <alignment horizontal="left" vertical="center"/>
    </xf>
    <xf numFmtId="0" fontId="0" fillId="0" borderId="21" xfId="0" applyBorder="1" applyAlignment="1">
      <alignment horizontal="left" vertical="center"/>
    </xf>
    <xf numFmtId="0" fontId="0" fillId="0" borderId="31" xfId="0" applyBorder="1" applyAlignment="1">
      <alignment horizontal="left" vertical="center"/>
    </xf>
    <xf numFmtId="0" fontId="0" fillId="0" borderId="0" xfId="0" applyAlignment="1">
      <alignment horizontal="left" vertical="center" wrapText="1"/>
    </xf>
    <xf numFmtId="0" fontId="56" fillId="0" borderId="17" xfId="0" applyFont="1" applyBorder="1" applyAlignment="1">
      <alignment horizontal="center" vertical="center"/>
    </xf>
    <xf numFmtId="164" fontId="71" fillId="41" borderId="19" xfId="0" applyNumberFormat="1" applyFont="1" applyFill="1" applyBorder="1" applyAlignment="1" applyProtection="1">
      <alignment horizontal="center" vertical="center" wrapText="1"/>
      <protection locked="0"/>
    </xf>
    <xf numFmtId="49" fontId="71" fillId="41" borderId="19" xfId="0" applyNumberFormat="1" applyFont="1" applyFill="1" applyBorder="1" applyAlignment="1" applyProtection="1">
      <alignment horizontal="center" vertical="center" wrapText="1"/>
      <protection locked="0"/>
    </xf>
    <xf numFmtId="164" fontId="71" fillId="41" borderId="19" xfId="0" applyNumberFormat="1" applyFont="1" applyFill="1" applyBorder="1" applyAlignment="1" applyProtection="1">
      <alignment horizontal="center" vertical="center"/>
      <protection locked="0"/>
    </xf>
    <xf numFmtId="0" fontId="0" fillId="0" borderId="18" xfId="0" applyBorder="1" applyAlignment="1">
      <alignment horizontal="left" vertical="center"/>
    </xf>
    <xf numFmtId="14" fontId="0" fillId="0" borderId="0" xfId="0" applyNumberFormat="1" applyAlignment="1">
      <alignment horizontal="left"/>
    </xf>
    <xf numFmtId="0" fontId="59" fillId="0" borderId="0" xfId="1" applyFont="1"/>
    <xf numFmtId="0" fontId="17" fillId="0" borderId="0" xfId="0" applyFont="1" applyAlignment="1">
      <alignment horizontal="left"/>
    </xf>
    <xf numFmtId="0" fontId="17" fillId="0" borderId="0" xfId="0" applyFont="1" applyAlignment="1">
      <alignment horizontal="center" vertical="center"/>
    </xf>
    <xf numFmtId="44" fontId="0" fillId="0" borderId="4" xfId="47" applyFont="1" applyBorder="1" applyAlignment="1">
      <alignment horizontal="center" vertical="center"/>
    </xf>
    <xf numFmtId="0" fontId="0" fillId="51" borderId="0" xfId="0" applyFill="1" applyAlignment="1">
      <alignment horizontal="center" vertical="center"/>
    </xf>
    <xf numFmtId="0" fontId="17" fillId="51" borderId="0" xfId="0" applyFont="1" applyFill="1" applyAlignment="1">
      <alignment horizontal="center" vertical="center"/>
    </xf>
    <xf numFmtId="0" fontId="53" fillId="0" borderId="17" xfId="0" applyFont="1" applyBorder="1" applyAlignment="1">
      <alignment horizontal="center"/>
    </xf>
    <xf numFmtId="0" fontId="77" fillId="0" borderId="17" xfId="0" applyFont="1" applyBorder="1" applyAlignment="1">
      <alignment horizontal="center"/>
    </xf>
    <xf numFmtId="0" fontId="56" fillId="0" borderId="18" xfId="0" applyFont="1" applyBorder="1" applyAlignment="1">
      <alignment horizontal="center" vertical="center"/>
    </xf>
    <xf numFmtId="0" fontId="29" fillId="0" borderId="0" xfId="0" applyFont="1" applyAlignment="1">
      <alignment horizontal="left" vertical="center"/>
    </xf>
    <xf numFmtId="0" fontId="83" fillId="0" borderId="0" xfId="0" applyFont="1" applyAlignment="1">
      <alignment horizontal="center"/>
    </xf>
    <xf numFmtId="0" fontId="91" fillId="0" borderId="0" xfId="0" applyFont="1" applyAlignment="1">
      <alignment horizontal="center" vertical="center"/>
    </xf>
    <xf numFmtId="0" fontId="56" fillId="0" borderId="20" xfId="0" applyFont="1" applyBorder="1" applyAlignment="1">
      <alignment horizontal="center" vertical="center"/>
    </xf>
    <xf numFmtId="0" fontId="53" fillId="0" borderId="17" xfId="0" applyFont="1" applyBorder="1" applyAlignment="1">
      <alignment horizontal="left"/>
    </xf>
    <xf numFmtId="0" fontId="53" fillId="0" borderId="18" xfId="0" applyFont="1" applyBorder="1" applyAlignment="1">
      <alignment horizontal="left"/>
    </xf>
    <xf numFmtId="0" fontId="53" fillId="0" borderId="20" xfId="0" applyFont="1" applyBorder="1" applyAlignment="1">
      <alignment horizontal="left"/>
    </xf>
    <xf numFmtId="0" fontId="81" fillId="0" borderId="0" xfId="0" applyFont="1" applyAlignment="1">
      <alignment horizontal="left"/>
    </xf>
    <xf numFmtId="16" fontId="53" fillId="0" borderId="17" xfId="0" applyNumberFormat="1" applyFont="1" applyBorder="1" applyAlignment="1">
      <alignment horizontal="center"/>
    </xf>
    <xf numFmtId="0" fontId="78" fillId="0" borderId="17" xfId="0" applyFont="1" applyBorder="1" applyAlignment="1">
      <alignment horizontal="center"/>
    </xf>
    <xf numFmtId="0" fontId="53" fillId="0" borderId="18" xfId="0" applyFont="1" applyBorder="1" applyAlignment="1">
      <alignment horizontal="center"/>
    </xf>
    <xf numFmtId="16" fontId="53" fillId="0" borderId="18" xfId="0" applyNumberFormat="1" applyFont="1" applyBorder="1" applyAlignment="1">
      <alignment horizontal="center"/>
    </xf>
    <xf numFmtId="0" fontId="53" fillId="0" borderId="20" xfId="0" applyFont="1" applyBorder="1" applyAlignment="1">
      <alignment horizontal="center"/>
    </xf>
    <xf numFmtId="16" fontId="53" fillId="0" borderId="20" xfId="0" applyNumberFormat="1" applyFont="1" applyBorder="1" applyAlignment="1">
      <alignment horizontal="center"/>
    </xf>
    <xf numFmtId="0" fontId="77" fillId="0" borderId="20" xfId="0" applyFont="1" applyBorder="1" applyAlignment="1">
      <alignment horizontal="center"/>
    </xf>
    <xf numFmtId="0" fontId="81" fillId="0" borderId="0" xfId="0" applyFont="1" applyAlignment="1">
      <alignment horizontal="center"/>
    </xf>
    <xf numFmtId="0" fontId="0" fillId="38" borderId="17" xfId="0" applyFill="1" applyBorder="1" applyAlignment="1">
      <alignment horizontal="left" vertical="center"/>
    </xf>
    <xf numFmtId="0" fontId="0" fillId="38" borderId="20" xfId="0" applyFill="1" applyBorder="1" applyAlignment="1">
      <alignment horizontal="left" vertical="center"/>
    </xf>
    <xf numFmtId="0" fontId="0" fillId="38" borderId="19" xfId="0" applyFill="1" applyBorder="1" applyAlignment="1">
      <alignment horizontal="left" vertical="center"/>
    </xf>
    <xf numFmtId="0" fontId="0" fillId="3" borderId="20" xfId="0" applyFill="1" applyBorder="1" applyAlignment="1">
      <alignment horizontal="left" vertical="center"/>
    </xf>
    <xf numFmtId="0" fontId="0" fillId="38" borderId="21" xfId="0" applyFill="1" applyBorder="1" applyAlignment="1">
      <alignment horizontal="left" vertical="center"/>
    </xf>
    <xf numFmtId="0" fontId="85" fillId="0" borderId="17" xfId="0" applyFont="1" applyBorder="1"/>
    <xf numFmtId="0" fontId="29" fillId="38" borderId="20" xfId="0" applyFont="1" applyFill="1" applyBorder="1" applyAlignment="1">
      <alignment horizontal="left" vertical="center"/>
    </xf>
    <xf numFmtId="0" fontId="53" fillId="0" borderId="17" xfId="0" applyFont="1" applyBorder="1" applyAlignment="1">
      <alignment horizontal="center" wrapText="1"/>
    </xf>
    <xf numFmtId="0" fontId="29" fillId="0" borderId="17" xfId="0" applyFont="1" applyBorder="1" applyAlignment="1">
      <alignment horizontal="center"/>
    </xf>
    <xf numFmtId="16" fontId="53" fillId="0" borderId="17" xfId="0" applyNumberFormat="1" applyFont="1" applyBorder="1" applyAlignment="1">
      <alignment horizontal="center" wrapText="1"/>
    </xf>
    <xf numFmtId="0" fontId="53" fillId="0" borderId="17" xfId="0" applyFont="1" applyBorder="1" applyAlignment="1">
      <alignment horizontal="left" vertical="top" wrapText="1"/>
    </xf>
    <xf numFmtId="0" fontId="53" fillId="0" borderId="29" xfId="0" applyFont="1" applyBorder="1"/>
    <xf numFmtId="0" fontId="29" fillId="0" borderId="18" xfId="0" applyFont="1" applyBorder="1" applyAlignment="1">
      <alignment horizontal="center"/>
    </xf>
    <xf numFmtId="0" fontId="29" fillId="0" borderId="20" xfId="0" applyFont="1" applyBorder="1" applyAlignment="1">
      <alignment horizontal="center"/>
    </xf>
    <xf numFmtId="0" fontId="99" fillId="0" borderId="0" xfId="0" applyFont="1"/>
    <xf numFmtId="0" fontId="100" fillId="0" borderId="0" xfId="0" applyFont="1" applyAlignment="1">
      <alignment horizontal="center" vertical="center"/>
    </xf>
    <xf numFmtId="0" fontId="100" fillId="0" borderId="0" xfId="0" applyFont="1" applyAlignment="1">
      <alignment horizontal="center"/>
    </xf>
    <xf numFmtId="164" fontId="100" fillId="0" borderId="0" xfId="0" applyNumberFormat="1" applyFont="1" applyAlignment="1">
      <alignment horizontal="center"/>
    </xf>
    <xf numFmtId="0" fontId="100" fillId="0" borderId="0" xfId="0" applyFont="1"/>
    <xf numFmtId="0" fontId="99" fillId="0" borderId="0" xfId="44" applyFont="1" applyAlignment="1">
      <alignment horizontal="center" vertical="center"/>
    </xf>
    <xf numFmtId="0" fontId="99" fillId="0" borderId="0" xfId="44" applyFont="1"/>
    <xf numFmtId="0" fontId="29" fillId="0" borderId="0" xfId="0" applyFont="1" applyAlignment="1">
      <alignment horizontal="left"/>
    </xf>
    <xf numFmtId="164" fontId="72" fillId="48" borderId="19" xfId="0" applyNumberFormat="1" applyFont="1" applyFill="1" applyBorder="1" applyAlignment="1" applyProtection="1">
      <alignment horizontal="center" vertical="center" wrapText="1"/>
      <protection locked="0"/>
    </xf>
    <xf numFmtId="0" fontId="97" fillId="38" borderId="0" xfId="0" applyFont="1" applyFill="1"/>
    <xf numFmtId="0" fontId="79" fillId="38" borderId="19" xfId="0" applyFont="1" applyFill="1" applyBorder="1" applyAlignment="1">
      <alignment horizontal="left" vertical="center"/>
    </xf>
    <xf numFmtId="0" fontId="52" fillId="38" borderId="19" xfId="0" applyFont="1" applyFill="1" applyBorder="1" applyAlignment="1">
      <alignment horizontal="left"/>
    </xf>
    <xf numFmtId="0" fontId="79" fillId="38" borderId="17" xfId="0" applyFont="1" applyFill="1" applyBorder="1" applyAlignment="1">
      <alignment horizontal="left" vertical="center"/>
    </xf>
    <xf numFmtId="0" fontId="52" fillId="38" borderId="17" xfId="0" applyFont="1" applyFill="1" applyBorder="1" applyAlignment="1">
      <alignment horizontal="left"/>
    </xf>
    <xf numFmtId="0" fontId="79" fillId="38" borderId="20" xfId="0" applyFont="1" applyFill="1" applyBorder="1" applyAlignment="1">
      <alignment horizontal="left" vertical="center"/>
    </xf>
    <xf numFmtId="0" fontId="52" fillId="38" borderId="20" xfId="0" applyFont="1" applyFill="1" applyBorder="1" applyAlignment="1">
      <alignment horizontal="left"/>
    </xf>
    <xf numFmtId="0" fontId="0" fillId="38" borderId="25" xfId="0" applyFill="1" applyBorder="1" applyAlignment="1">
      <alignment horizontal="left" vertical="center"/>
    </xf>
    <xf numFmtId="0" fontId="0" fillId="38" borderId="26" xfId="0" applyFill="1" applyBorder="1" applyAlignment="1">
      <alignment horizontal="left" vertical="center"/>
    </xf>
    <xf numFmtId="164" fontId="29" fillId="38" borderId="17" xfId="0" applyNumberFormat="1" applyFont="1" applyFill="1" applyBorder="1" applyAlignment="1">
      <alignment horizontal="center" vertical="center"/>
    </xf>
    <xf numFmtId="0" fontId="29" fillId="38" borderId="0" xfId="0" applyFont="1" applyFill="1"/>
    <xf numFmtId="0" fontId="81" fillId="38" borderId="0" xfId="0" applyFont="1" applyFill="1"/>
    <xf numFmtId="0" fontId="89" fillId="38" borderId="17" xfId="0" applyFont="1" applyFill="1" applyBorder="1" applyAlignment="1">
      <alignment horizontal="center"/>
    </xf>
    <xf numFmtId="0" fontId="0" fillId="38" borderId="17" xfId="0" applyFill="1" applyBorder="1" applyAlignment="1">
      <alignment horizontal="center"/>
    </xf>
    <xf numFmtId="0" fontId="53" fillId="38" borderId="2" xfId="0" applyFont="1" applyFill="1" applyBorder="1" applyAlignment="1">
      <alignment horizontal="center"/>
    </xf>
    <xf numFmtId="16" fontId="53" fillId="38" borderId="2" xfId="0" applyNumberFormat="1" applyFont="1" applyFill="1" applyBorder="1" applyAlignment="1">
      <alignment horizontal="center"/>
    </xf>
    <xf numFmtId="0" fontId="53" fillId="38" borderId="17" xfId="0" applyFont="1" applyFill="1" applyBorder="1" applyAlignment="1">
      <alignment horizontal="center" vertical="center"/>
    </xf>
    <xf numFmtId="164" fontId="29" fillId="38" borderId="19" xfId="0" applyNumberFormat="1" applyFont="1" applyFill="1" applyBorder="1" applyAlignment="1">
      <alignment horizontal="left" vertical="center"/>
    </xf>
    <xf numFmtId="164" fontId="29" fillId="38" borderId="17" xfId="0" applyNumberFormat="1" applyFont="1" applyFill="1" applyBorder="1" applyAlignment="1">
      <alignment horizontal="left" vertical="center"/>
    </xf>
    <xf numFmtId="164" fontId="29" fillId="38" borderId="20" xfId="0" applyNumberFormat="1" applyFont="1" applyFill="1" applyBorder="1" applyAlignment="1">
      <alignment horizontal="left" vertical="center"/>
    </xf>
    <xf numFmtId="0" fontId="52" fillId="38" borderId="0" xfId="0" applyFont="1" applyFill="1" applyAlignment="1">
      <alignment horizontal="left"/>
    </xf>
    <xf numFmtId="0" fontId="52" fillId="38" borderId="24" xfId="0" applyFont="1" applyFill="1" applyBorder="1" applyAlignment="1">
      <alignment horizontal="left"/>
    </xf>
    <xf numFmtId="0" fontId="66" fillId="0" borderId="0" xfId="0" applyFont="1"/>
    <xf numFmtId="0" fontId="102" fillId="40" borderId="17" xfId="1" applyFont="1" applyFill="1" applyBorder="1"/>
    <xf numFmtId="16" fontId="0" fillId="38" borderId="0" xfId="0" applyNumberFormat="1" applyFill="1" applyAlignment="1">
      <alignment horizontal="center"/>
    </xf>
    <xf numFmtId="164" fontId="0" fillId="40" borderId="17" xfId="0" applyNumberFormat="1" applyFill="1" applyBorder="1" applyAlignment="1">
      <alignment horizontal="center" vertical="center" wrapText="1"/>
    </xf>
    <xf numFmtId="0" fontId="0" fillId="0" borderId="4" xfId="0" applyBorder="1" applyAlignment="1">
      <alignment horizontal="left" vertical="center"/>
    </xf>
    <xf numFmtId="0" fontId="53" fillId="0" borderId="17" xfId="0" applyFont="1" applyBorder="1" applyAlignment="1">
      <alignment horizontal="center" vertical="center"/>
    </xf>
    <xf numFmtId="0" fontId="29" fillId="40" borderId="0" xfId="0" applyFont="1" applyFill="1" applyAlignment="1">
      <alignment horizontal="center" vertical="center" wrapText="1"/>
    </xf>
    <xf numFmtId="164" fontId="0" fillId="40" borderId="18" xfId="0" applyNumberFormat="1" applyFill="1" applyBorder="1" applyAlignment="1">
      <alignment horizontal="center" vertical="center" wrapText="1"/>
    </xf>
    <xf numFmtId="164" fontId="17" fillId="0" borderId="0" xfId="0" applyNumberFormat="1" applyFont="1" applyAlignment="1">
      <alignment horizontal="center" vertical="center"/>
    </xf>
    <xf numFmtId="164" fontId="56" fillId="0" borderId="17" xfId="0" applyNumberFormat="1" applyFont="1" applyBorder="1" applyAlignment="1">
      <alignment horizontal="center" vertical="center"/>
    </xf>
    <xf numFmtId="0" fontId="29" fillId="38" borderId="17" xfId="0" applyFont="1" applyFill="1" applyBorder="1" applyAlignment="1">
      <alignment horizontal="left" vertical="center"/>
    </xf>
    <xf numFmtId="0" fontId="53" fillId="40" borderId="17" xfId="0" applyFont="1" applyFill="1" applyBorder="1" applyAlignment="1">
      <alignment horizontal="center" vertical="top"/>
    </xf>
    <xf numFmtId="0" fontId="66" fillId="40" borderId="17" xfId="44" applyFont="1" applyFill="1" applyBorder="1"/>
    <xf numFmtId="0" fontId="53" fillId="40" borderId="17" xfId="0" quotePrefix="1" applyFont="1" applyFill="1" applyBorder="1" applyAlignment="1">
      <alignment horizontal="center" vertical="center"/>
    </xf>
    <xf numFmtId="0" fontId="53" fillId="0" borderId="0" xfId="0" applyFont="1" applyAlignment="1">
      <alignment horizontal="center" vertical="center"/>
    </xf>
    <xf numFmtId="0" fontId="53" fillId="0" borderId="17" xfId="44" applyFont="1" applyBorder="1"/>
    <xf numFmtId="164" fontId="53" fillId="0" borderId="17" xfId="0" applyNumberFormat="1" applyFont="1" applyBorder="1" applyAlignment="1">
      <alignment horizontal="center" vertical="center"/>
    </xf>
    <xf numFmtId="0" fontId="53" fillId="0" borderId="4" xfId="0" applyFont="1" applyBorder="1" applyAlignment="1">
      <alignment horizontal="center"/>
    </xf>
    <xf numFmtId="0" fontId="29" fillId="38" borderId="19" xfId="0" applyFont="1" applyFill="1" applyBorder="1" applyAlignment="1">
      <alignment horizontal="left" vertical="center"/>
    </xf>
    <xf numFmtId="0" fontId="29" fillId="38" borderId="19" xfId="0" applyFont="1" applyFill="1" applyBorder="1" applyAlignment="1">
      <alignment horizontal="left" vertical="center" wrapText="1"/>
    </xf>
    <xf numFmtId="49" fontId="29" fillId="38" borderId="0" xfId="0" applyNumberFormat="1" applyFont="1" applyFill="1" applyAlignment="1">
      <alignment horizontal="left" vertical="center"/>
    </xf>
    <xf numFmtId="0" fontId="29" fillId="38" borderId="17" xfId="0" applyFont="1" applyFill="1" applyBorder="1" applyAlignment="1">
      <alignment horizontal="left" vertical="center" wrapText="1"/>
    </xf>
    <xf numFmtId="49" fontId="29" fillId="38" borderId="17" xfId="0" applyNumberFormat="1" applyFont="1" applyFill="1" applyBorder="1" applyAlignment="1">
      <alignment horizontal="left" vertical="center"/>
    </xf>
    <xf numFmtId="0" fontId="29" fillId="38" borderId="20" xfId="0" applyFont="1" applyFill="1" applyBorder="1" applyAlignment="1">
      <alignment horizontal="left" vertical="center" wrapText="1"/>
    </xf>
    <xf numFmtId="49" fontId="29" fillId="38" borderId="20" xfId="0" applyNumberFormat="1" applyFont="1" applyFill="1" applyBorder="1" applyAlignment="1">
      <alignment horizontal="left" vertical="center"/>
    </xf>
    <xf numFmtId="0" fontId="29" fillId="38" borderId="25" xfId="0" applyFont="1" applyFill="1" applyBorder="1" applyAlignment="1">
      <alignment horizontal="left" vertical="center"/>
    </xf>
    <xf numFmtId="164" fontId="29" fillId="38" borderId="27" xfId="0" applyNumberFormat="1" applyFont="1" applyFill="1" applyBorder="1" applyAlignment="1">
      <alignment horizontal="left" vertical="center"/>
    </xf>
    <xf numFmtId="0" fontId="29" fillId="38" borderId="22" xfId="0" applyFont="1" applyFill="1" applyBorder="1" applyAlignment="1">
      <alignment horizontal="left" vertical="center"/>
    </xf>
    <xf numFmtId="0" fontId="29" fillId="38" borderId="24" xfId="0" applyFont="1" applyFill="1" applyBorder="1" applyAlignment="1">
      <alignment horizontal="left" vertical="center"/>
    </xf>
    <xf numFmtId="49" fontId="29" fillId="38" borderId="18" xfId="0" applyNumberFormat="1" applyFont="1" applyFill="1" applyBorder="1" applyAlignment="1">
      <alignment horizontal="left" vertical="center"/>
    </xf>
    <xf numFmtId="0" fontId="53" fillId="38" borderId="17" xfId="44" applyFont="1" applyFill="1" applyBorder="1"/>
    <xf numFmtId="164" fontId="53" fillId="38" borderId="17" xfId="0" applyNumberFormat="1" applyFont="1" applyFill="1" applyBorder="1" applyAlignment="1">
      <alignment horizontal="center" vertical="center"/>
    </xf>
    <xf numFmtId="0" fontId="53" fillId="38" borderId="0" xfId="0" applyFont="1" applyFill="1"/>
    <xf numFmtId="0" fontId="95" fillId="40" borderId="21" xfId="44" applyFont="1" applyFill="1" applyBorder="1"/>
    <xf numFmtId="0" fontId="87" fillId="40" borderId="22" xfId="44" applyFont="1" applyFill="1" applyBorder="1"/>
    <xf numFmtId="164" fontId="88" fillId="40" borderId="17" xfId="0" applyNumberFormat="1" applyFont="1" applyFill="1" applyBorder="1" applyAlignment="1">
      <alignment horizontal="center" vertical="center"/>
    </xf>
    <xf numFmtId="0" fontId="88" fillId="40" borderId="17" xfId="0" applyFont="1" applyFill="1" applyBorder="1" applyAlignment="1">
      <alignment horizontal="center" vertical="center"/>
    </xf>
    <xf numFmtId="0" fontId="88" fillId="40" borderId="17" xfId="0" applyFont="1" applyFill="1" applyBorder="1" applyAlignment="1">
      <alignment horizontal="center"/>
    </xf>
    <xf numFmtId="164" fontId="0" fillId="0" borderId="0" xfId="0" applyNumberFormat="1" applyAlignment="1">
      <alignment horizontal="center" vertical="center" wrapText="1"/>
    </xf>
    <xf numFmtId="49" fontId="0" fillId="0" borderId="0" xfId="0" applyNumberFormat="1" applyAlignment="1">
      <alignment horizontal="center" vertical="center" wrapText="1"/>
    </xf>
    <xf numFmtId="44" fontId="0" fillId="0" borderId="0" xfId="47" applyFont="1" applyAlignment="1">
      <alignment horizontal="center" vertical="center" wrapText="1"/>
    </xf>
    <xf numFmtId="167" fontId="0" fillId="0" borderId="0" xfId="0" applyNumberFormat="1" applyAlignment="1">
      <alignment horizontal="center" vertical="center" wrapText="1"/>
    </xf>
    <xf numFmtId="164" fontId="72" fillId="41" borderId="19" xfId="0" applyNumberFormat="1" applyFont="1" applyFill="1" applyBorder="1" applyAlignment="1" applyProtection="1">
      <alignment horizontal="center" vertical="center" wrapText="1"/>
      <protection locked="0"/>
    </xf>
    <xf numFmtId="0" fontId="71" fillId="41" borderId="19" xfId="0" applyFont="1" applyFill="1" applyBorder="1" applyAlignment="1" applyProtection="1">
      <alignment horizontal="center" vertical="center" wrapText="1"/>
      <protection locked="0"/>
    </xf>
    <xf numFmtId="164" fontId="17" fillId="0" borderId="0" xfId="0" applyNumberFormat="1" applyFont="1" applyAlignment="1">
      <alignment horizontal="center" vertical="center" wrapText="1"/>
    </xf>
    <xf numFmtId="164" fontId="85" fillId="40" borderId="17" xfId="0" applyNumberFormat="1" applyFont="1" applyFill="1" applyBorder="1" applyAlignment="1">
      <alignment horizontal="center" vertical="center"/>
    </xf>
    <xf numFmtId="168" fontId="53" fillId="40" borderId="17" xfId="0" applyNumberFormat="1" applyFont="1" applyFill="1" applyBorder="1" applyAlignment="1">
      <alignment horizontal="center"/>
    </xf>
    <xf numFmtId="0" fontId="95" fillId="40" borderId="27" xfId="44" applyFont="1" applyFill="1" applyBorder="1"/>
    <xf numFmtId="0" fontId="87" fillId="40" borderId="23" xfId="44" applyFont="1" applyFill="1" applyBorder="1"/>
    <xf numFmtId="0" fontId="70" fillId="40" borderId="17" xfId="44" applyFont="1" applyFill="1" applyBorder="1" applyAlignment="1">
      <alignment horizontal="center" vertical="center"/>
    </xf>
    <xf numFmtId="0" fontId="87" fillId="0" borderId="17" xfId="44" applyFont="1" applyBorder="1"/>
    <xf numFmtId="0" fontId="57" fillId="0" borderId="17" xfId="0" applyFont="1" applyBorder="1" applyAlignment="1">
      <alignment horizontal="left"/>
    </xf>
    <xf numFmtId="164" fontId="57" fillId="0" borderId="17" xfId="0" applyNumberFormat="1" applyFont="1" applyBorder="1" applyAlignment="1">
      <alignment horizontal="center" vertical="center"/>
    </xf>
    <xf numFmtId="0" fontId="57" fillId="0" borderId="17" xfId="0" applyFont="1" applyBorder="1" applyAlignment="1">
      <alignment horizontal="center" vertical="center"/>
    </xf>
    <xf numFmtId="16" fontId="57" fillId="0" borderId="17" xfId="0" applyNumberFormat="1" applyFont="1" applyBorder="1" applyAlignment="1">
      <alignment horizontal="center" vertical="center"/>
    </xf>
    <xf numFmtId="0" fontId="57" fillId="0" borderId="17" xfId="0" quotePrefix="1" applyFont="1" applyBorder="1" applyAlignment="1">
      <alignment horizontal="center" vertical="center"/>
    </xf>
    <xf numFmtId="0" fontId="87" fillId="40" borderId="25" xfId="44" applyFont="1" applyFill="1" applyBorder="1"/>
    <xf numFmtId="0" fontId="85" fillId="40" borderId="26" xfId="0" applyFont="1" applyFill="1" applyBorder="1"/>
    <xf numFmtId="0" fontId="95" fillId="40" borderId="17" xfId="44" applyFont="1" applyFill="1" applyBorder="1"/>
    <xf numFmtId="164" fontId="53" fillId="40" borderId="22" xfId="0" applyNumberFormat="1" applyFont="1" applyFill="1" applyBorder="1" applyAlignment="1">
      <alignment horizontal="center"/>
    </xf>
    <xf numFmtId="0" fontId="95" fillId="40" borderId="30" xfId="44" applyFont="1" applyFill="1" applyBorder="1"/>
    <xf numFmtId="0" fontId="87" fillId="40" borderId="17" xfId="44" applyFont="1" applyFill="1" applyBorder="1"/>
    <xf numFmtId="0" fontId="85" fillId="40" borderId="17" xfId="0" applyFont="1" applyFill="1" applyBorder="1" applyAlignment="1">
      <alignment horizontal="center" vertical="center"/>
    </xf>
    <xf numFmtId="164" fontId="85" fillId="40" borderId="22" xfId="0" applyNumberFormat="1" applyFont="1" applyFill="1" applyBorder="1" applyAlignment="1">
      <alignment horizontal="center" vertical="center"/>
    </xf>
    <xf numFmtId="0" fontId="85" fillId="40" borderId="17" xfId="0" applyFont="1" applyFill="1" applyBorder="1" applyAlignment="1">
      <alignment horizontal="center"/>
    </xf>
    <xf numFmtId="0" fontId="85" fillId="40" borderId="26" xfId="0" applyFont="1" applyFill="1" applyBorder="1" applyAlignment="1">
      <alignment horizontal="center"/>
    </xf>
    <xf numFmtId="0" fontId="85" fillId="40" borderId="26" xfId="44" applyFont="1" applyFill="1" applyBorder="1" applyAlignment="1">
      <alignment horizontal="center" vertical="center"/>
    </xf>
    <xf numFmtId="0" fontId="88" fillId="40" borderId="24" xfId="44" applyFont="1" applyFill="1" applyBorder="1" applyAlignment="1">
      <alignment horizontal="center"/>
    </xf>
    <xf numFmtId="0" fontId="88" fillId="40" borderId="22" xfId="44" applyFont="1" applyFill="1" applyBorder="1" applyAlignment="1">
      <alignment horizontal="center"/>
    </xf>
    <xf numFmtId="0" fontId="95" fillId="40" borderId="31" xfId="44" applyFont="1" applyFill="1" applyBorder="1"/>
    <xf numFmtId="0" fontId="53" fillId="40" borderId="0" xfId="44" applyFont="1" applyFill="1" applyAlignment="1">
      <alignment horizontal="left"/>
    </xf>
    <xf numFmtId="0" fontId="108" fillId="40" borderId="0" xfId="0" applyFont="1" applyFill="1"/>
    <xf numFmtId="0" fontId="104" fillId="40" borderId="17" xfId="44" applyFont="1" applyFill="1" applyBorder="1"/>
    <xf numFmtId="0" fontId="84" fillId="40" borderId="0" xfId="0" applyFont="1" applyFill="1"/>
    <xf numFmtId="0" fontId="85" fillId="40" borderId="17" xfId="0" applyFont="1" applyFill="1" applyBorder="1"/>
    <xf numFmtId="164" fontId="53" fillId="40" borderId="22" xfId="0" applyNumberFormat="1" applyFont="1" applyFill="1" applyBorder="1" applyAlignment="1">
      <alignment horizontal="center" vertical="center"/>
    </xf>
    <xf numFmtId="0" fontId="53" fillId="40" borderId="17" xfId="44" applyFont="1" applyFill="1" applyBorder="1" applyAlignment="1">
      <alignment horizontal="center" vertical="center"/>
    </xf>
    <xf numFmtId="0" fontId="53" fillId="40" borderId="17" xfId="44" applyFont="1" applyFill="1" applyBorder="1"/>
    <xf numFmtId="0" fontId="53" fillId="40" borderId="4" xfId="44" applyFont="1" applyFill="1" applyBorder="1" applyAlignment="1">
      <alignment horizontal="center" vertical="center"/>
    </xf>
    <xf numFmtId="0" fontId="53" fillId="40" borderId="4" xfId="44" applyFont="1" applyFill="1" applyBorder="1"/>
    <xf numFmtId="0" fontId="104" fillId="40" borderId="4" xfId="44" applyFont="1" applyFill="1" applyBorder="1"/>
    <xf numFmtId="0" fontId="108" fillId="0" borderId="0" xfId="0" applyFont="1"/>
    <xf numFmtId="0" fontId="53" fillId="40" borderId="4" xfId="0" applyFont="1" applyFill="1" applyBorder="1"/>
    <xf numFmtId="0" fontId="77" fillId="0" borderId="0" xfId="0" applyFont="1"/>
    <xf numFmtId="0" fontId="77" fillId="40" borderId="0" xfId="0" applyFont="1" applyFill="1"/>
    <xf numFmtId="164" fontId="53" fillId="40" borderId="1" xfId="0" applyNumberFormat="1" applyFont="1" applyFill="1" applyBorder="1" applyAlignment="1">
      <alignment horizontal="center" vertical="center"/>
    </xf>
    <xf numFmtId="0" fontId="53" fillId="40" borderId="20" xfId="0" applyFont="1" applyFill="1" applyBorder="1"/>
    <xf numFmtId="0" fontId="53" fillId="40" borderId="17" xfId="44" applyFont="1" applyFill="1" applyBorder="1" applyAlignment="1">
      <alignment horizontal="left"/>
    </xf>
    <xf numFmtId="0" fontId="53" fillId="40" borderId="2" xfId="44" applyFont="1" applyFill="1" applyBorder="1" applyAlignment="1">
      <alignment horizontal="center" vertical="center"/>
    </xf>
    <xf numFmtId="0" fontId="95" fillId="40" borderId="29" xfId="44" applyFont="1" applyFill="1" applyBorder="1"/>
    <xf numFmtId="0" fontId="88" fillId="40" borderId="20" xfId="44" applyFont="1" applyFill="1" applyBorder="1" applyAlignment="1">
      <alignment horizontal="center"/>
    </xf>
    <xf numFmtId="164" fontId="0" fillId="0" borderId="17" xfId="0" applyNumberFormat="1" applyBorder="1" applyAlignment="1">
      <alignment horizontal="center" vertical="center"/>
    </xf>
    <xf numFmtId="0" fontId="88" fillId="40" borderId="22" xfId="0" applyFont="1" applyFill="1" applyBorder="1" applyAlignment="1">
      <alignment horizontal="center" vertical="center"/>
    </xf>
    <xf numFmtId="0" fontId="88" fillId="40" borderId="22" xfId="0" applyFont="1" applyFill="1" applyBorder="1" applyAlignment="1">
      <alignment horizontal="center"/>
    </xf>
    <xf numFmtId="0" fontId="66" fillId="40" borderId="0" xfId="0" applyFont="1" applyFill="1"/>
    <xf numFmtId="0" fontId="85" fillId="40" borderId="23" xfId="0" applyFont="1" applyFill="1" applyBorder="1" applyAlignment="1">
      <alignment horizontal="center" vertical="center"/>
    </xf>
    <xf numFmtId="0" fontId="85" fillId="40" borderId="22" xfId="0" applyFont="1" applyFill="1" applyBorder="1" applyAlignment="1">
      <alignment horizontal="center" vertical="center"/>
    </xf>
    <xf numFmtId="164" fontId="53" fillId="40" borderId="23" xfId="0" applyNumberFormat="1" applyFont="1" applyFill="1" applyBorder="1" applyAlignment="1">
      <alignment horizontal="center" vertical="center"/>
    </xf>
    <xf numFmtId="0" fontId="53" fillId="40" borderId="26" xfId="0" applyFont="1" applyFill="1" applyBorder="1"/>
    <xf numFmtId="0" fontId="87" fillId="40" borderId="24" xfId="44" applyFont="1" applyFill="1" applyBorder="1" applyAlignment="1">
      <alignment horizontal="center" vertical="center"/>
    </xf>
    <xf numFmtId="0" fontId="87" fillId="40" borderId="29" xfId="44" applyFont="1" applyFill="1" applyBorder="1" applyAlignment="1">
      <alignment horizontal="center" vertical="center"/>
    </xf>
    <xf numFmtId="0" fontId="87" fillId="40" borderId="30" xfId="44" applyFont="1" applyFill="1" applyBorder="1" applyAlignment="1">
      <alignment horizontal="center" vertical="center"/>
    </xf>
    <xf numFmtId="0" fontId="0" fillId="56" borderId="0" xfId="0" applyFill="1" applyAlignment="1">
      <alignment horizontal="left"/>
    </xf>
    <xf numFmtId="0" fontId="0" fillId="56" borderId="17" xfId="0" applyFill="1" applyBorder="1" applyAlignment="1">
      <alignment horizontal="left"/>
    </xf>
    <xf numFmtId="169" fontId="0" fillId="0" borderId="0" xfId="0" applyNumberFormat="1" applyAlignment="1">
      <alignment horizontal="center"/>
    </xf>
    <xf numFmtId="0" fontId="85" fillId="40" borderId="17" xfId="44" applyFont="1" applyFill="1" applyBorder="1" applyAlignment="1">
      <alignment horizontal="center" vertical="center"/>
    </xf>
    <xf numFmtId="0" fontId="85" fillId="40" borderId="22" xfId="44" applyFont="1" applyFill="1" applyBorder="1" applyAlignment="1">
      <alignment horizontal="center" vertical="center"/>
    </xf>
    <xf numFmtId="0" fontId="53" fillId="40" borderId="4" xfId="44" applyFont="1" applyFill="1" applyBorder="1" applyAlignment="1">
      <alignment horizontal="left"/>
    </xf>
    <xf numFmtId="0" fontId="88" fillId="40" borderId="17" xfId="44" applyFont="1" applyFill="1" applyBorder="1"/>
    <xf numFmtId="0" fontId="53" fillId="40" borderId="25" xfId="0" applyFont="1" applyFill="1" applyBorder="1" applyAlignment="1">
      <alignment horizontal="center"/>
    </xf>
    <xf numFmtId="164" fontId="85" fillId="40" borderId="23" xfId="0" applyNumberFormat="1" applyFont="1" applyFill="1" applyBorder="1" applyAlignment="1">
      <alignment horizontal="center" vertical="center"/>
    </xf>
    <xf numFmtId="0" fontId="105" fillId="40" borderId="17" xfId="0" applyFont="1" applyFill="1" applyBorder="1" applyAlignment="1">
      <alignment horizontal="center"/>
    </xf>
    <xf numFmtId="0" fontId="85" fillId="40" borderId="28" xfId="44" applyFont="1" applyFill="1" applyBorder="1" applyAlignment="1">
      <alignment horizontal="center" vertical="center"/>
    </xf>
    <xf numFmtId="0" fontId="85" fillId="40" borderId="30" xfId="0" applyFont="1" applyFill="1" applyBorder="1" applyAlignment="1">
      <alignment horizontal="center"/>
    </xf>
    <xf numFmtId="16" fontId="0" fillId="0" borderId="0" xfId="0" applyNumberFormat="1" applyAlignment="1">
      <alignment horizontal="center" vertical="center"/>
    </xf>
    <xf numFmtId="0" fontId="85" fillId="40" borderId="28" xfId="0" applyFont="1" applyFill="1" applyBorder="1"/>
    <xf numFmtId="0" fontId="88" fillId="40" borderId="17" xfId="44" applyFont="1" applyFill="1" applyBorder="1" applyAlignment="1">
      <alignment horizontal="left"/>
    </xf>
    <xf numFmtId="0" fontId="85" fillId="40" borderId="22" xfId="0" applyFont="1" applyFill="1" applyBorder="1" applyAlignment="1">
      <alignment horizontal="center"/>
    </xf>
    <xf numFmtId="0" fontId="85" fillId="40" borderId="21" xfId="0" applyFont="1" applyFill="1" applyBorder="1" applyAlignment="1">
      <alignment horizontal="center" vertical="center"/>
    </xf>
    <xf numFmtId="0" fontId="85" fillId="40" borderId="17" xfId="44" applyFont="1" applyFill="1" applyBorder="1" applyAlignment="1">
      <alignment horizontal="center"/>
    </xf>
    <xf numFmtId="0" fontId="104" fillId="40" borderId="21" xfId="44" applyFont="1" applyFill="1" applyBorder="1"/>
    <xf numFmtId="0" fontId="55" fillId="57" borderId="0" xfId="44" applyFont="1" applyFill="1" applyAlignment="1">
      <alignment horizontal="left"/>
    </xf>
    <xf numFmtId="0" fontId="85" fillId="40" borderId="17" xfId="44" applyFont="1" applyFill="1" applyBorder="1"/>
    <xf numFmtId="0" fontId="106" fillId="0" borderId="0" xfId="0" applyFont="1" applyAlignment="1">
      <alignment horizontal="center" vertical="center"/>
    </xf>
    <xf numFmtId="16" fontId="106" fillId="0" borderId="0" xfId="0" applyNumberFormat="1" applyFont="1" applyAlignment="1">
      <alignment horizontal="center" vertical="center"/>
    </xf>
    <xf numFmtId="169" fontId="0" fillId="0" borderId="0" xfId="0" applyNumberFormat="1" applyAlignment="1">
      <alignment horizontal="center" vertical="center"/>
    </xf>
    <xf numFmtId="44" fontId="0" fillId="0" borderId="0" xfId="47" applyFont="1" applyAlignment="1">
      <alignment horizontal="center" vertical="center"/>
    </xf>
    <xf numFmtId="167" fontId="0" fillId="0" borderId="0" xfId="0" applyNumberFormat="1" applyAlignment="1">
      <alignment horizontal="center" vertical="center"/>
    </xf>
    <xf numFmtId="44" fontId="0" fillId="3" borderId="0" xfId="47" applyFont="1" applyFill="1" applyAlignment="1">
      <alignment horizontal="center" vertical="center"/>
    </xf>
    <xf numFmtId="164" fontId="0" fillId="3" borderId="0" xfId="0" applyNumberFormat="1" applyFill="1" applyAlignment="1">
      <alignment horizontal="center" vertical="center"/>
    </xf>
    <xf numFmtId="167" fontId="0" fillId="3" borderId="0" xfId="0" applyNumberFormat="1" applyFill="1" applyAlignment="1">
      <alignment horizontal="center" vertical="center"/>
    </xf>
    <xf numFmtId="49" fontId="17" fillId="3" borderId="0" xfId="0" applyNumberFormat="1" applyFont="1" applyFill="1" applyAlignment="1">
      <alignment horizontal="center" vertical="center"/>
    </xf>
    <xf numFmtId="164" fontId="17" fillId="3" borderId="0" xfId="0" applyNumberFormat="1" applyFont="1" applyFill="1" applyAlignment="1">
      <alignment horizontal="center" vertical="center"/>
    </xf>
    <xf numFmtId="0" fontId="107" fillId="0" borderId="0" xfId="0" applyFont="1" applyAlignment="1">
      <alignment horizontal="center" vertical="center"/>
    </xf>
    <xf numFmtId="0" fontId="23" fillId="0" borderId="0" xfId="0" applyFont="1" applyAlignment="1">
      <alignment horizontal="center" vertical="center"/>
    </xf>
    <xf numFmtId="169" fontId="0" fillId="55" borderId="0" xfId="0" applyNumberFormat="1" applyFill="1" applyAlignment="1">
      <alignment horizontal="center" vertical="center"/>
    </xf>
    <xf numFmtId="14" fontId="0" fillId="0" borderId="0" xfId="0" applyNumberFormat="1" applyAlignment="1">
      <alignment horizontal="center" vertical="center"/>
    </xf>
    <xf numFmtId="0" fontId="0" fillId="4" borderId="0" xfId="0" applyFill="1" applyAlignment="1">
      <alignment horizontal="center" vertical="center"/>
    </xf>
    <xf numFmtId="169" fontId="0" fillId="4" borderId="0" xfId="0" applyNumberFormat="1" applyFill="1" applyAlignment="1">
      <alignment horizontal="center" vertical="center"/>
    </xf>
    <xf numFmtId="169" fontId="17" fillId="0" borderId="0" xfId="0" applyNumberFormat="1" applyFont="1" applyAlignment="1">
      <alignment horizontal="center" vertical="center"/>
    </xf>
    <xf numFmtId="0" fontId="0" fillId="54" borderId="0" xfId="0" applyFill="1" applyAlignment="1">
      <alignment horizontal="center" vertical="center"/>
    </xf>
    <xf numFmtId="0" fontId="107" fillId="54" borderId="0" xfId="0" applyFont="1" applyFill="1" applyAlignment="1">
      <alignment horizontal="center" vertical="center"/>
    </xf>
    <xf numFmtId="16" fontId="106" fillId="54" borderId="0" xfId="0" applyNumberFormat="1" applyFont="1" applyFill="1" applyAlignment="1">
      <alignment horizontal="center" vertical="center"/>
    </xf>
    <xf numFmtId="164" fontId="0" fillId="54" borderId="0" xfId="0" applyNumberFormat="1" applyFill="1" applyAlignment="1">
      <alignment horizontal="center" vertical="center"/>
    </xf>
    <xf numFmtId="169" fontId="0" fillId="54" borderId="0" xfId="0" applyNumberFormat="1" applyFill="1" applyAlignment="1">
      <alignment horizontal="center" vertical="center"/>
    </xf>
    <xf numFmtId="0" fontId="0" fillId="54" borderId="0" xfId="0" applyFill="1"/>
    <xf numFmtId="167" fontId="0" fillId="54" borderId="0" xfId="0" applyNumberFormat="1" applyFill="1" applyAlignment="1">
      <alignment horizontal="center" vertical="center"/>
    </xf>
    <xf numFmtId="0" fontId="17" fillId="54" borderId="0" xfId="0" applyFont="1" applyFill="1" applyAlignment="1">
      <alignment horizontal="center" vertical="center"/>
    </xf>
    <xf numFmtId="16" fontId="0" fillId="54" borderId="0" xfId="0" applyNumberFormat="1" applyFill="1" applyAlignment="1">
      <alignment horizontal="center" vertical="center"/>
    </xf>
    <xf numFmtId="16" fontId="0" fillId="3" borderId="0" xfId="0" applyNumberFormat="1" applyFill="1" applyAlignment="1">
      <alignment horizontal="center" vertical="center"/>
    </xf>
    <xf numFmtId="0" fontId="17" fillId="3" borderId="0" xfId="0" applyFont="1" applyFill="1" applyAlignment="1">
      <alignment horizontal="center" vertical="center"/>
    </xf>
    <xf numFmtId="164" fontId="98" fillId="0" borderId="0" xfId="0" applyNumberFormat="1" applyFont="1" applyAlignment="1">
      <alignment horizontal="center" vertical="center"/>
    </xf>
    <xf numFmtId="0" fontId="29" fillId="40" borderId="17" xfId="0" quotePrefix="1" applyFont="1" applyFill="1" applyBorder="1" applyAlignment="1">
      <alignment horizontal="center" vertical="top"/>
    </xf>
    <xf numFmtId="0" fontId="53" fillId="40" borderId="0" xfId="0" applyFont="1" applyFill="1" applyAlignment="1">
      <alignment horizontal="left" vertical="center"/>
    </xf>
    <xf numFmtId="0" fontId="29" fillId="40" borderId="22" xfId="0" applyFont="1" applyFill="1" applyBorder="1" applyAlignment="1">
      <alignment horizontal="center" vertical="top"/>
    </xf>
    <xf numFmtId="0" fontId="88" fillId="40" borderId="17" xfId="44" applyFont="1" applyFill="1" applyBorder="1" applyAlignment="1">
      <alignment horizontal="center" vertical="center"/>
    </xf>
    <xf numFmtId="0" fontId="95" fillId="40" borderId="21" xfId="0" applyFont="1" applyFill="1" applyBorder="1"/>
    <xf numFmtId="164" fontId="88" fillId="40" borderId="17" xfId="0" applyNumberFormat="1" applyFont="1" applyFill="1" applyBorder="1" applyAlignment="1">
      <alignment horizontal="center"/>
    </xf>
    <xf numFmtId="0" fontId="87" fillId="40" borderId="17" xfId="0" applyFont="1" applyFill="1" applyBorder="1" applyAlignment="1">
      <alignment horizontal="center"/>
    </xf>
    <xf numFmtId="168" fontId="87" fillId="40" borderId="17" xfId="0" applyNumberFormat="1" applyFont="1" applyFill="1" applyBorder="1" applyAlignment="1">
      <alignment horizontal="center"/>
    </xf>
    <xf numFmtId="0" fontId="87" fillId="40" borderId="22" xfId="0" applyFont="1" applyFill="1" applyBorder="1" applyAlignment="1">
      <alignment horizontal="center"/>
    </xf>
    <xf numFmtId="0" fontId="105" fillId="40" borderId="17" xfId="0" applyFont="1" applyFill="1" applyBorder="1"/>
    <xf numFmtId="0" fontId="85" fillId="40" borderId="29" xfId="0" applyFont="1" applyFill="1" applyBorder="1" applyAlignment="1">
      <alignment horizontal="center" vertical="center"/>
    </xf>
    <xf numFmtId="164" fontId="23" fillId="0" borderId="17" xfId="0" applyNumberFormat="1" applyFont="1" applyBorder="1" applyAlignment="1">
      <alignment horizontal="center" vertical="center"/>
    </xf>
    <xf numFmtId="0" fontId="75" fillId="0" borderId="0" xfId="0" applyFont="1" applyAlignment="1">
      <alignment horizontal="center"/>
    </xf>
    <xf numFmtId="0" fontId="88" fillId="40" borderId="17" xfId="0" applyFont="1" applyFill="1" applyBorder="1"/>
    <xf numFmtId="0" fontId="45" fillId="4" borderId="17" xfId="0" applyFont="1" applyFill="1" applyBorder="1" applyAlignment="1">
      <alignment horizontal="center" vertical="center"/>
    </xf>
    <xf numFmtId="0" fontId="85" fillId="40" borderId="18" xfId="0" applyFont="1" applyFill="1" applyBorder="1" applyAlignment="1">
      <alignment horizontal="center"/>
    </xf>
    <xf numFmtId="0" fontId="85" fillId="40" borderId="18" xfId="44" applyFont="1" applyFill="1" applyBorder="1" applyAlignment="1">
      <alignment horizontal="center" vertical="center"/>
    </xf>
    <xf numFmtId="0" fontId="85" fillId="40" borderId="23" xfId="0" applyFont="1" applyFill="1" applyBorder="1" applyAlignment="1">
      <alignment horizontal="center"/>
    </xf>
    <xf numFmtId="164" fontId="85" fillId="40" borderId="18" xfId="0" applyNumberFormat="1" applyFont="1" applyFill="1" applyBorder="1" applyAlignment="1">
      <alignment horizontal="center" vertical="center"/>
    </xf>
    <xf numFmtId="0" fontId="85" fillId="40" borderId="27" xfId="0" applyFont="1" applyFill="1" applyBorder="1" applyAlignment="1">
      <alignment horizontal="center" vertical="center"/>
    </xf>
    <xf numFmtId="164" fontId="86" fillId="40" borderId="17" xfId="0" applyNumberFormat="1" applyFont="1" applyFill="1" applyBorder="1" applyAlignment="1">
      <alignment horizontal="center" vertical="center"/>
    </xf>
    <xf numFmtId="164" fontId="87" fillId="40" borderId="17" xfId="0" applyNumberFormat="1" applyFont="1" applyFill="1" applyBorder="1" applyAlignment="1">
      <alignment horizontal="center"/>
    </xf>
    <xf numFmtId="0" fontId="53" fillId="40" borderId="22" xfId="0" applyFont="1" applyFill="1" applyBorder="1"/>
    <xf numFmtId="0" fontId="88" fillId="40" borderId="18" xfId="0" applyFont="1" applyFill="1" applyBorder="1" applyAlignment="1">
      <alignment horizontal="center"/>
    </xf>
    <xf numFmtId="0" fontId="85" fillId="40" borderId="21" xfId="0" applyFont="1" applyFill="1" applyBorder="1"/>
    <xf numFmtId="0" fontId="66" fillId="40" borderId="22" xfId="44" applyFont="1" applyFill="1" applyBorder="1" applyAlignment="1">
      <alignment horizontal="center" vertical="center"/>
    </xf>
    <xf numFmtId="0" fontId="66" fillId="40" borderId="21" xfId="44" applyFont="1" applyFill="1" applyBorder="1"/>
    <xf numFmtId="0" fontId="95" fillId="40" borderId="27" xfId="0" applyFont="1" applyFill="1" applyBorder="1"/>
    <xf numFmtId="0" fontId="85" fillId="40" borderId="18" xfId="0" applyFont="1" applyFill="1" applyBorder="1"/>
    <xf numFmtId="0" fontId="88" fillId="40" borderId="19" xfId="44" applyFont="1" applyFill="1" applyBorder="1" applyAlignment="1">
      <alignment horizontal="center"/>
    </xf>
    <xf numFmtId="0" fontId="85" fillId="40" borderId="28" xfId="0" applyFont="1" applyFill="1" applyBorder="1" applyAlignment="1">
      <alignment horizontal="center"/>
    </xf>
    <xf numFmtId="0" fontId="88" fillId="40" borderId="17" xfId="44" applyFont="1" applyFill="1" applyBorder="1" applyAlignment="1">
      <alignment horizontal="center"/>
    </xf>
    <xf numFmtId="0" fontId="87" fillId="40" borderId="20" xfId="44" applyFont="1" applyFill="1" applyBorder="1"/>
    <xf numFmtId="164" fontId="88" fillId="40" borderId="22" xfId="0" applyNumberFormat="1" applyFont="1" applyFill="1" applyBorder="1" applyAlignment="1">
      <alignment horizontal="center" vertical="center"/>
    </xf>
    <xf numFmtId="164" fontId="53" fillId="40" borderId="0" xfId="0" applyNumberFormat="1" applyFont="1" applyFill="1" applyAlignment="1">
      <alignment horizontal="center"/>
    </xf>
    <xf numFmtId="0" fontId="85" fillId="40" borderId="0" xfId="0" applyFont="1" applyFill="1" applyAlignment="1">
      <alignment horizontal="center" vertical="center"/>
    </xf>
    <xf numFmtId="164" fontId="88" fillId="40" borderId="0" xfId="0" applyNumberFormat="1" applyFont="1" applyFill="1" applyAlignment="1">
      <alignment horizontal="center"/>
    </xf>
    <xf numFmtId="0" fontId="66" fillId="40" borderId="21" xfId="44" applyFont="1" applyFill="1" applyBorder="1" applyAlignment="1">
      <alignment horizontal="center" vertical="center"/>
    </xf>
    <xf numFmtId="0" fontId="66" fillId="40" borderId="20" xfId="44" applyFont="1" applyFill="1" applyBorder="1"/>
    <xf numFmtId="164" fontId="87" fillId="40" borderId="29" xfId="0" applyNumberFormat="1" applyFont="1" applyFill="1" applyBorder="1" applyAlignment="1">
      <alignment horizontal="center"/>
    </xf>
    <xf numFmtId="0" fontId="85" fillId="58" borderId="17" xfId="0" applyFont="1" applyFill="1" applyBorder="1" applyAlignment="1">
      <alignment horizontal="center"/>
    </xf>
    <xf numFmtId="164" fontId="85" fillId="58" borderId="17" xfId="0" applyNumberFormat="1" applyFont="1" applyFill="1" applyBorder="1" applyAlignment="1">
      <alignment horizontal="center" vertical="center"/>
    </xf>
    <xf numFmtId="164" fontId="88" fillId="58" borderId="22" xfId="0" applyNumberFormat="1" applyFont="1" applyFill="1" applyBorder="1" applyAlignment="1">
      <alignment horizontal="center"/>
    </xf>
    <xf numFmtId="0" fontId="85" fillId="58" borderId="0" xfId="0" applyFont="1" applyFill="1" applyAlignment="1">
      <alignment horizontal="center" vertical="center"/>
    </xf>
    <xf numFmtId="0" fontId="95" fillId="58" borderId="21" xfId="0" applyFont="1" applyFill="1" applyBorder="1"/>
    <xf numFmtId="0" fontId="53" fillId="58" borderId="0" xfId="0" applyFont="1" applyFill="1"/>
    <xf numFmtId="0" fontId="53" fillId="58" borderId="17" xfId="0" applyFont="1" applyFill="1" applyBorder="1" applyAlignment="1">
      <alignment horizontal="center" vertical="center"/>
    </xf>
    <xf numFmtId="164" fontId="53" fillId="58" borderId="17" xfId="0" applyNumberFormat="1" applyFont="1" applyFill="1" applyBorder="1" applyAlignment="1">
      <alignment horizontal="center"/>
    </xf>
    <xf numFmtId="0" fontId="88" fillId="58" borderId="17" xfId="0" applyFont="1" applyFill="1" applyBorder="1"/>
    <xf numFmtId="0" fontId="66" fillId="58" borderId="17" xfId="44" applyFont="1" applyFill="1" applyBorder="1" applyAlignment="1">
      <alignment horizontal="center" vertical="center"/>
    </xf>
    <xf numFmtId="0" fontId="66" fillId="58" borderId="17" xfId="44" applyFont="1" applyFill="1" applyBorder="1"/>
    <xf numFmtId="0" fontId="66" fillId="58" borderId="0" xfId="0" applyFont="1" applyFill="1"/>
    <xf numFmtId="0" fontId="0" fillId="58" borderId="0" xfId="0" applyFill="1"/>
    <xf numFmtId="0" fontId="85" fillId="58" borderId="22" xfId="0" applyFont="1" applyFill="1" applyBorder="1" applyAlignment="1">
      <alignment horizontal="center"/>
    </xf>
    <xf numFmtId="164" fontId="88" fillId="58" borderId="17" xfId="0" applyNumberFormat="1" applyFont="1" applyFill="1" applyBorder="1" applyAlignment="1">
      <alignment horizontal="center" vertical="center"/>
    </xf>
    <xf numFmtId="164" fontId="88" fillId="58" borderId="17" xfId="0" applyNumberFormat="1" applyFont="1" applyFill="1" applyBorder="1" applyAlignment="1">
      <alignment horizontal="center"/>
    </xf>
    <xf numFmtId="0" fontId="85" fillId="58" borderId="17" xfId="0" applyFont="1" applyFill="1" applyBorder="1" applyAlignment="1">
      <alignment horizontal="center" vertical="center"/>
    </xf>
    <xf numFmtId="164" fontId="55" fillId="4" borderId="17" xfId="0" applyNumberFormat="1" applyFont="1" applyFill="1" applyBorder="1" applyAlignment="1">
      <alignment horizontal="center" vertical="center"/>
    </xf>
    <xf numFmtId="0" fontId="57" fillId="0" borderId="0" xfId="0" applyFont="1" applyAlignment="1">
      <alignment horizontal="center"/>
    </xf>
    <xf numFmtId="0" fontId="85" fillId="40" borderId="17" xfId="44" applyFont="1" applyFill="1" applyBorder="1" applyAlignment="1">
      <alignment horizontal="left"/>
    </xf>
    <xf numFmtId="164" fontId="85" fillId="40" borderId="25" xfId="0" applyNumberFormat="1" applyFont="1" applyFill="1" applyBorder="1" applyAlignment="1">
      <alignment horizontal="center" vertical="center"/>
    </xf>
    <xf numFmtId="0" fontId="29" fillId="0" borderId="0" xfId="0" applyFont="1" applyAlignment="1">
      <alignment horizontal="center"/>
    </xf>
    <xf numFmtId="0" fontId="0" fillId="3" borderId="0" xfId="0" quotePrefix="1" applyFill="1"/>
    <xf numFmtId="0" fontId="66" fillId="40" borderId="17" xfId="44" applyFont="1" applyFill="1" applyBorder="1" applyAlignment="1">
      <alignment horizontal="center" vertical="center"/>
    </xf>
    <xf numFmtId="0" fontId="66" fillId="40" borderId="27" xfId="44" applyFont="1" applyFill="1" applyBorder="1"/>
    <xf numFmtId="0" fontId="66" fillId="40" borderId="18" xfId="44" applyFont="1" applyFill="1" applyBorder="1"/>
    <xf numFmtId="0" fontId="53" fillId="40" borderId="22" xfId="0" applyFont="1" applyFill="1" applyBorder="1" applyAlignment="1">
      <alignment horizontal="center"/>
    </xf>
    <xf numFmtId="0" fontId="85" fillId="40" borderId="22" xfId="44" applyFont="1" applyFill="1" applyBorder="1" applyAlignment="1">
      <alignment horizontal="center"/>
    </xf>
    <xf numFmtId="0" fontId="88" fillId="40" borderId="26" xfId="0" applyFont="1" applyFill="1" applyBorder="1" applyAlignment="1">
      <alignment horizontal="center" vertical="center"/>
    </xf>
    <xf numFmtId="0" fontId="88" fillId="40" borderId="26" xfId="0" applyFont="1" applyFill="1" applyBorder="1" applyAlignment="1">
      <alignment horizontal="center"/>
    </xf>
    <xf numFmtId="0" fontId="70" fillId="40" borderId="22" xfId="0" applyFont="1" applyFill="1" applyBorder="1" applyAlignment="1">
      <alignment horizontal="center" vertical="center"/>
    </xf>
    <xf numFmtId="0" fontId="88" fillId="40" borderId="21" xfId="0" applyFont="1" applyFill="1" applyBorder="1" applyAlignment="1">
      <alignment horizontal="center" vertical="center"/>
    </xf>
    <xf numFmtId="164" fontId="53" fillId="40" borderId="21" xfId="0" applyNumberFormat="1" applyFont="1" applyFill="1" applyBorder="1" applyAlignment="1">
      <alignment horizontal="center"/>
    </xf>
    <xf numFmtId="164" fontId="53" fillId="40" borderId="27" xfId="0" applyNumberFormat="1" applyFont="1" applyFill="1" applyBorder="1" applyAlignment="1">
      <alignment horizontal="center"/>
    </xf>
    <xf numFmtId="0" fontId="104" fillId="40" borderId="21" xfId="0" applyFont="1" applyFill="1" applyBorder="1"/>
    <xf numFmtId="0" fontId="94" fillId="40" borderId="17" xfId="44" applyFont="1" applyFill="1" applyBorder="1"/>
    <xf numFmtId="0" fontId="95" fillId="40" borderId="17" xfId="0" applyFont="1" applyFill="1" applyBorder="1"/>
    <xf numFmtId="0" fontId="88" fillId="40" borderId="22" xfId="44" applyFont="1" applyFill="1" applyBorder="1"/>
    <xf numFmtId="0" fontId="85" fillId="40" borderId="20" xfId="0" applyFont="1" applyFill="1" applyBorder="1" applyAlignment="1">
      <alignment horizontal="center" vertical="center"/>
    </xf>
    <xf numFmtId="0" fontId="29" fillId="40" borderId="21" xfId="0" quotePrefix="1" applyFont="1" applyFill="1" applyBorder="1" applyAlignment="1">
      <alignment horizontal="center" vertical="top"/>
    </xf>
    <xf numFmtId="164" fontId="85" fillId="40" borderId="20" xfId="0" applyNumberFormat="1" applyFont="1" applyFill="1" applyBorder="1" applyAlignment="1">
      <alignment horizontal="center" vertical="center"/>
    </xf>
    <xf numFmtId="164" fontId="85" fillId="40" borderId="19" xfId="0" applyNumberFormat="1" applyFont="1" applyFill="1" applyBorder="1" applyAlignment="1">
      <alignment horizontal="center" vertical="center"/>
    </xf>
    <xf numFmtId="164" fontId="53" fillId="40" borderId="31" xfId="0" applyNumberFormat="1" applyFont="1" applyFill="1" applyBorder="1" applyAlignment="1">
      <alignment horizontal="center"/>
    </xf>
    <xf numFmtId="164" fontId="53" fillId="40" borderId="29" xfId="0" applyNumberFormat="1" applyFont="1" applyFill="1" applyBorder="1" applyAlignment="1">
      <alignment horizontal="center"/>
    </xf>
    <xf numFmtId="0" fontId="70" fillId="40" borderId="26" xfId="0" applyFont="1" applyFill="1" applyBorder="1"/>
    <xf numFmtId="0" fontId="88" fillId="40" borderId="27" xfId="0" applyFont="1" applyFill="1" applyBorder="1"/>
    <xf numFmtId="0" fontId="53" fillId="40" borderId="32" xfId="44" applyFont="1" applyFill="1" applyBorder="1" applyAlignment="1">
      <alignment horizontal="center" vertical="center"/>
    </xf>
    <xf numFmtId="0" fontId="87" fillId="40" borderId="22" xfId="44" applyFont="1" applyFill="1" applyBorder="1" applyAlignment="1">
      <alignment horizontal="center" vertical="center"/>
    </xf>
    <xf numFmtId="0" fontId="66" fillId="40" borderId="26" xfId="44" applyFont="1" applyFill="1" applyBorder="1" applyAlignment="1">
      <alignment horizontal="center" vertical="center"/>
    </xf>
    <xf numFmtId="0" fontId="53" fillId="40" borderId="30" xfId="44" applyFont="1" applyFill="1" applyBorder="1" applyAlignment="1">
      <alignment horizontal="center" vertical="center"/>
    </xf>
    <xf numFmtId="0" fontId="85" fillId="40" borderId="21" xfId="44" applyFont="1" applyFill="1" applyBorder="1" applyAlignment="1">
      <alignment horizontal="center" vertical="center"/>
    </xf>
    <xf numFmtId="0" fontId="85" fillId="40" borderId="29" xfId="44" applyFont="1" applyFill="1" applyBorder="1" applyAlignment="1">
      <alignment horizontal="center" vertical="center"/>
    </xf>
    <xf numFmtId="0" fontId="87" fillId="40" borderId="17" xfId="44" applyFont="1" applyFill="1" applyBorder="1" applyAlignment="1">
      <alignment horizontal="center" vertical="center"/>
    </xf>
    <xf numFmtId="0" fontId="53" fillId="40" borderId="3" xfId="44" applyFont="1" applyFill="1" applyBorder="1" applyAlignment="1">
      <alignment horizontal="left"/>
    </xf>
    <xf numFmtId="0" fontId="85" fillId="40" borderId="22" xfId="44" applyFont="1" applyFill="1" applyBorder="1" applyAlignment="1">
      <alignment horizontal="left"/>
    </xf>
    <xf numFmtId="0" fontId="88" fillId="40" borderId="27" xfId="44" applyFont="1" applyFill="1" applyBorder="1" applyAlignment="1">
      <alignment horizontal="left"/>
    </xf>
    <xf numFmtId="0" fontId="85" fillId="40" borderId="23" xfId="44" applyFont="1" applyFill="1" applyBorder="1" applyAlignment="1">
      <alignment horizontal="left"/>
    </xf>
    <xf numFmtId="0" fontId="53" fillId="40" borderId="3" xfId="44" applyFont="1" applyFill="1" applyBorder="1"/>
    <xf numFmtId="0" fontId="88" fillId="40" borderId="21" xfId="44" applyFont="1" applyFill="1" applyBorder="1"/>
    <xf numFmtId="0" fontId="88" fillId="40" borderId="18" xfId="44" applyFont="1" applyFill="1" applyBorder="1"/>
    <xf numFmtId="164" fontId="53" fillId="40" borderId="0" xfId="0" applyNumberFormat="1" applyFont="1" applyFill="1" applyAlignment="1">
      <alignment horizontal="center" vertical="center"/>
    </xf>
    <xf numFmtId="0" fontId="53" fillId="40" borderId="0" xfId="44" applyFont="1" applyFill="1"/>
    <xf numFmtId="0" fontId="85" fillId="40" borderId="0" xfId="0" applyFont="1" applyFill="1" applyAlignment="1">
      <alignment horizontal="center"/>
    </xf>
    <xf numFmtId="0" fontId="95" fillId="40" borderId="0" xfId="44" applyFont="1" applyFill="1"/>
    <xf numFmtId="164" fontId="70" fillId="40" borderId="0" xfId="0" applyNumberFormat="1" applyFont="1" applyFill="1" applyAlignment="1">
      <alignment horizontal="center" vertical="center"/>
    </xf>
    <xf numFmtId="0" fontId="53" fillId="40" borderId="0" xfId="44" applyFont="1" applyFill="1" applyAlignment="1">
      <alignment horizontal="center" vertical="center"/>
    </xf>
    <xf numFmtId="0" fontId="66" fillId="40" borderId="0" xfId="44" applyFont="1" applyFill="1"/>
    <xf numFmtId="0" fontId="0" fillId="3" borderId="0" xfId="0" applyFill="1" applyAlignment="1">
      <alignment horizontal="center" vertical="center" wrapText="1"/>
    </xf>
    <xf numFmtId="0" fontId="0" fillId="0" borderId="3" xfId="0" applyBorder="1" applyAlignment="1">
      <alignment horizontal="center" vertical="center"/>
    </xf>
    <xf numFmtId="0" fontId="24" fillId="0" borderId="18" xfId="0" applyFont="1" applyBorder="1" applyAlignment="1">
      <alignment horizontal="center" vertical="center"/>
    </xf>
    <xf numFmtId="0" fontId="24" fillId="0" borderId="3" xfId="0" applyFont="1" applyBorder="1" applyAlignment="1">
      <alignment horizontal="center" vertical="center"/>
    </xf>
    <xf numFmtId="0" fontId="24" fillId="0" borderId="4" xfId="0" applyFont="1" applyBorder="1" applyAlignment="1">
      <alignment horizontal="center" vertical="center"/>
    </xf>
    <xf numFmtId="16" fontId="29" fillId="0" borderId="0" xfId="0" applyNumberFormat="1" applyFont="1" applyAlignment="1">
      <alignment horizontal="center"/>
    </xf>
    <xf numFmtId="164" fontId="45" fillId="0" borderId="17" xfId="0" applyNumberFormat="1" applyFont="1" applyBorder="1" applyAlignment="1">
      <alignment horizontal="center" vertical="center"/>
    </xf>
    <xf numFmtId="0" fontId="24" fillId="0" borderId="0" xfId="0" applyFont="1" applyAlignment="1">
      <alignment horizontal="center" vertical="center"/>
    </xf>
    <xf numFmtId="164" fontId="24" fillId="0" borderId="18" xfId="0" applyNumberFormat="1" applyFont="1" applyBorder="1" applyAlignment="1">
      <alignment horizontal="center" vertical="center"/>
    </xf>
    <xf numFmtId="164" fontId="24" fillId="0" borderId="3" xfId="0" applyNumberFormat="1" applyFont="1" applyBorder="1" applyAlignment="1">
      <alignment horizontal="center" vertical="center"/>
    </xf>
    <xf numFmtId="164" fontId="0" fillId="0" borderId="4" xfId="0" applyNumberFormat="1" applyBorder="1" applyAlignment="1">
      <alignment horizontal="center" vertical="center"/>
    </xf>
    <xf numFmtId="0" fontId="56" fillId="0" borderId="4" xfId="0" applyFont="1" applyBorder="1" applyAlignment="1">
      <alignment horizontal="center" vertical="center"/>
    </xf>
    <xf numFmtId="0" fontId="24" fillId="0" borderId="41" xfId="0" applyFont="1" applyBorder="1" applyAlignment="1">
      <alignment horizontal="center" vertical="center"/>
    </xf>
    <xf numFmtId="0" fontId="0" fillId="0" borderId="38" xfId="0" applyBorder="1" applyAlignment="1">
      <alignment horizontal="center" vertical="center"/>
    </xf>
    <xf numFmtId="0" fontId="56" fillId="0" borderId="34" xfId="0" applyFont="1" applyBorder="1" applyAlignment="1">
      <alignment horizontal="center" vertical="center"/>
    </xf>
    <xf numFmtId="0" fontId="88" fillId="40" borderId="20" xfId="0" applyFont="1" applyFill="1" applyBorder="1" applyAlignment="1">
      <alignment horizontal="center"/>
    </xf>
    <xf numFmtId="0" fontId="0" fillId="0" borderId="36" xfId="0" applyBorder="1" applyAlignment="1">
      <alignment horizontal="center" vertical="center"/>
    </xf>
    <xf numFmtId="0" fontId="0" fillId="0" borderId="20" xfId="0" applyBorder="1" applyAlignment="1">
      <alignment horizontal="center"/>
    </xf>
    <xf numFmtId="164" fontId="0" fillId="0" borderId="20" xfId="0" applyNumberFormat="1" applyBorder="1" applyAlignment="1">
      <alignment horizontal="center" vertical="center"/>
    </xf>
    <xf numFmtId="0" fontId="24" fillId="3" borderId="18" xfId="0" applyFont="1" applyFill="1" applyBorder="1" applyAlignment="1">
      <alignment horizontal="center" vertical="center"/>
    </xf>
    <xf numFmtId="0" fontId="45" fillId="0" borderId="17" xfId="0" applyFont="1" applyBorder="1" applyAlignment="1">
      <alignment horizontal="center" vertical="center"/>
    </xf>
    <xf numFmtId="0" fontId="0" fillId="0" borderId="17" xfId="0" applyBorder="1" applyAlignment="1">
      <alignment horizontal="left" vertical="center" wrapText="1"/>
    </xf>
    <xf numFmtId="164" fontId="45" fillId="4" borderId="17" xfId="0" applyNumberFormat="1" applyFont="1" applyFill="1" applyBorder="1" applyAlignment="1">
      <alignment horizontal="center" vertical="center"/>
    </xf>
    <xf numFmtId="164" fontId="45" fillId="0" borderId="17" xfId="0" applyNumberFormat="1" applyFont="1" applyBorder="1" applyAlignment="1">
      <alignment horizontal="center" vertical="center" wrapText="1"/>
    </xf>
    <xf numFmtId="0" fontId="0" fillId="3" borderId="0" xfId="0" applyFill="1" applyAlignment="1">
      <alignment horizontal="left"/>
    </xf>
    <xf numFmtId="0" fontId="0" fillId="0" borderId="17" xfId="0" applyBorder="1" applyAlignment="1">
      <alignment horizontal="left"/>
    </xf>
    <xf numFmtId="49" fontId="0" fillId="0" borderId="17" xfId="0" applyNumberFormat="1" applyBorder="1" applyAlignment="1">
      <alignment horizontal="center"/>
    </xf>
    <xf numFmtId="49" fontId="56" fillId="0" borderId="17" xfId="0" applyNumberFormat="1" applyFont="1" applyBorder="1" applyAlignment="1">
      <alignment horizontal="center" vertical="center"/>
    </xf>
    <xf numFmtId="164" fontId="0" fillId="0" borderId="17" xfId="0" applyNumberFormat="1" applyBorder="1" applyAlignment="1">
      <alignment horizontal="center"/>
    </xf>
    <xf numFmtId="0" fontId="0" fillId="0" borderId="18" xfId="0" applyBorder="1" applyAlignment="1">
      <alignment horizontal="center"/>
    </xf>
    <xf numFmtId="164" fontId="0" fillId="4" borderId="17" xfId="0" applyNumberFormat="1" applyFill="1" applyBorder="1" applyAlignment="1">
      <alignment horizontal="center" vertical="center"/>
    </xf>
    <xf numFmtId="49" fontId="0" fillId="0" borderId="3" xfId="0" applyNumberFormat="1" applyBorder="1" applyAlignment="1">
      <alignment horizontal="center"/>
    </xf>
    <xf numFmtId="49" fontId="17" fillId="3" borderId="0" xfId="0" quotePrefix="1" applyNumberFormat="1" applyFont="1" applyFill="1" applyAlignment="1">
      <alignment horizontal="center" vertical="center"/>
    </xf>
    <xf numFmtId="0" fontId="17" fillId="54" borderId="0" xfId="0" applyFont="1" applyFill="1"/>
    <xf numFmtId="0" fontId="24" fillId="3" borderId="17" xfId="0" applyFont="1" applyFill="1" applyBorder="1" applyAlignment="1">
      <alignment horizontal="center" vertical="center"/>
    </xf>
    <xf numFmtId="0" fontId="57" fillId="0" borderId="17" xfId="0" applyFont="1" applyBorder="1" applyAlignment="1">
      <alignment horizontal="left" vertical="center"/>
    </xf>
    <xf numFmtId="0" fontId="29" fillId="0" borderId="0" xfId="0" applyFont="1" applyAlignment="1">
      <alignment horizontal="left" vertical="center" wrapText="1"/>
    </xf>
    <xf numFmtId="0" fontId="0" fillId="0" borderId="0" xfId="0" quotePrefix="1"/>
    <xf numFmtId="0" fontId="0" fillId="0" borderId="20" xfId="0" applyBorder="1" applyAlignment="1">
      <alignment horizontal="center" vertical="center" wrapText="1"/>
    </xf>
    <xf numFmtId="164" fontId="45" fillId="4" borderId="17" xfId="0" applyNumberFormat="1" applyFont="1" applyFill="1" applyBorder="1" applyAlignment="1">
      <alignment horizontal="center" vertical="center" wrapText="1"/>
    </xf>
    <xf numFmtId="164" fontId="45" fillId="4" borderId="17" xfId="0" applyNumberFormat="1" applyFont="1" applyFill="1" applyBorder="1" applyAlignment="1">
      <alignment horizontal="center" vertical="top" wrapText="1"/>
    </xf>
    <xf numFmtId="0" fontId="45" fillId="0" borderId="17" xfId="0" applyFont="1" applyBorder="1" applyAlignment="1">
      <alignment horizontal="left" vertical="center" wrapText="1"/>
    </xf>
    <xf numFmtId="0" fontId="23" fillId="4" borderId="17" xfId="0" applyFont="1" applyFill="1" applyBorder="1" applyAlignment="1">
      <alignment horizontal="center" vertical="center"/>
    </xf>
    <xf numFmtId="0" fontId="57" fillId="0" borderId="17" xfId="0" applyFont="1" applyBorder="1" applyAlignment="1">
      <alignment horizontal="left" vertical="center" wrapText="1"/>
    </xf>
    <xf numFmtId="0" fontId="0" fillId="0" borderId="21" xfId="0" applyBorder="1" applyAlignment="1">
      <alignment horizontal="center"/>
    </xf>
    <xf numFmtId="0" fontId="0" fillId="0" borderId="22" xfId="0" applyBorder="1" applyAlignment="1">
      <alignment horizontal="center"/>
    </xf>
    <xf numFmtId="0" fontId="60" fillId="0" borderId="0" xfId="0" applyFont="1"/>
    <xf numFmtId="164" fontId="45" fillId="0" borderId="20" xfId="0" applyNumberFormat="1" applyFont="1" applyBorder="1" applyAlignment="1">
      <alignment horizontal="center" vertical="center"/>
    </xf>
    <xf numFmtId="0" fontId="96" fillId="40" borderId="17" xfId="0" applyFont="1" applyFill="1" applyBorder="1"/>
    <xf numFmtId="0" fontId="96" fillId="40" borderId="18" xfId="0" applyFont="1" applyFill="1" applyBorder="1"/>
    <xf numFmtId="0" fontId="0" fillId="0" borderId="17" xfId="0" applyBorder="1" applyAlignment="1">
      <alignment horizontal="left" vertical="top"/>
    </xf>
    <xf numFmtId="164" fontId="23" fillId="4" borderId="17" xfId="0" applyNumberFormat="1" applyFont="1" applyFill="1" applyBorder="1" applyAlignment="1">
      <alignment horizontal="center" vertical="center"/>
    </xf>
    <xf numFmtId="49" fontId="56" fillId="0" borderId="20" xfId="0" applyNumberFormat="1" applyFont="1" applyBorder="1" applyAlignment="1">
      <alignment horizontal="center" vertical="center"/>
    </xf>
    <xf numFmtId="164" fontId="0" fillId="0" borderId="18" xfId="0" applyNumberFormat="1" applyBorder="1" applyAlignment="1">
      <alignment horizontal="center"/>
    </xf>
    <xf numFmtId="0" fontId="23" fillId="0" borderId="17" xfId="0" applyFont="1" applyBorder="1" applyAlignment="1">
      <alignment horizontal="center" vertical="center"/>
    </xf>
    <xf numFmtId="0" fontId="57" fillId="4" borderId="17" xfId="0" applyFont="1" applyFill="1" applyBorder="1" applyAlignment="1">
      <alignment horizontal="left" vertical="center" wrapText="1"/>
    </xf>
    <xf numFmtId="16" fontId="23" fillId="0" borderId="17" xfId="0" applyNumberFormat="1" applyFont="1" applyBorder="1" applyAlignment="1">
      <alignment horizontal="center"/>
    </xf>
    <xf numFmtId="164" fontId="45" fillId="0" borderId="20" xfId="0" applyNumberFormat="1" applyFont="1" applyBorder="1" applyAlignment="1">
      <alignment horizontal="center" vertical="center" wrapText="1"/>
    </xf>
    <xf numFmtId="16" fontId="23" fillId="0" borderId="17" xfId="0" applyNumberFormat="1" applyFont="1" applyBorder="1" applyAlignment="1">
      <alignment horizontal="center" wrapText="1"/>
    </xf>
    <xf numFmtId="0" fontId="23" fillId="0" borderId="17" xfId="0" applyFont="1" applyBorder="1" applyAlignment="1">
      <alignment horizontal="center"/>
    </xf>
    <xf numFmtId="0" fontId="0" fillId="0" borderId="0" xfId="0" applyAlignment="1">
      <alignment wrapText="1"/>
    </xf>
    <xf numFmtId="0" fontId="23" fillId="0" borderId="20" xfId="0" applyFont="1" applyBorder="1" applyAlignment="1">
      <alignment horizontal="center" vertical="center"/>
    </xf>
    <xf numFmtId="44" fontId="23" fillId="3" borderId="0" xfId="47" applyFont="1" applyFill="1" applyAlignment="1">
      <alignment horizontal="center" vertical="center"/>
    </xf>
    <xf numFmtId="16" fontId="23" fillId="0" borderId="20" xfId="0" applyNumberFormat="1" applyFont="1" applyBorder="1" applyAlignment="1">
      <alignment horizontal="center" vertical="center"/>
    </xf>
    <xf numFmtId="16" fontId="23" fillId="0" borderId="20" xfId="0" applyNumberFormat="1" applyFont="1" applyBorder="1" applyAlignment="1">
      <alignment horizontal="center"/>
    </xf>
    <xf numFmtId="164" fontId="23" fillId="0" borderId="17" xfId="0" applyNumberFormat="1" applyFont="1" applyBorder="1" applyAlignment="1">
      <alignment horizontal="center"/>
    </xf>
    <xf numFmtId="0" fontId="0" fillId="0" borderId="17" xfId="0" applyBorder="1" applyAlignment="1">
      <alignment horizontal="left" wrapText="1"/>
    </xf>
    <xf numFmtId="0" fontId="85" fillId="3" borderId="17" xfId="0" applyFont="1" applyFill="1" applyBorder="1" applyAlignment="1">
      <alignment horizontal="center"/>
    </xf>
    <xf numFmtId="164" fontId="88" fillId="3" borderId="23" xfId="0" applyNumberFormat="1" applyFont="1" applyFill="1" applyBorder="1" applyAlignment="1">
      <alignment horizontal="center" vertical="center"/>
    </xf>
    <xf numFmtId="164" fontId="85" fillId="3" borderId="18" xfId="0" applyNumberFormat="1" applyFont="1" applyFill="1" applyBorder="1" applyAlignment="1">
      <alignment horizontal="center" vertical="center"/>
    </xf>
    <xf numFmtId="164" fontId="86" fillId="3" borderId="17" xfId="0" applyNumberFormat="1" applyFont="1" applyFill="1" applyBorder="1" applyAlignment="1">
      <alignment horizontal="center"/>
    </xf>
    <xf numFmtId="0" fontId="85" fillId="3" borderId="31" xfId="0" applyFont="1" applyFill="1" applyBorder="1" applyAlignment="1">
      <alignment horizontal="center" vertical="center"/>
    </xf>
    <xf numFmtId="164" fontId="53" fillId="3" borderId="18" xfId="0" applyNumberFormat="1" applyFont="1" applyFill="1" applyBorder="1" applyAlignment="1">
      <alignment horizontal="center"/>
    </xf>
    <xf numFmtId="0" fontId="85" fillId="3" borderId="22" xfId="0" applyFont="1" applyFill="1" applyBorder="1" applyAlignment="1">
      <alignment horizontal="center"/>
    </xf>
    <xf numFmtId="164" fontId="88" fillId="3" borderId="17" xfId="0" applyNumberFormat="1" applyFont="1" applyFill="1" applyBorder="1" applyAlignment="1">
      <alignment horizontal="center" vertical="center"/>
    </xf>
    <xf numFmtId="164" fontId="85" fillId="3" borderId="17" xfId="0" applyNumberFormat="1" applyFont="1" applyFill="1" applyBorder="1" applyAlignment="1">
      <alignment horizontal="center" vertical="center"/>
    </xf>
    <xf numFmtId="0" fontId="85" fillId="3" borderId="17" xfId="0" applyFont="1" applyFill="1" applyBorder="1" applyAlignment="1">
      <alignment horizontal="center" vertical="center"/>
    </xf>
    <xf numFmtId="0" fontId="95" fillId="3" borderId="17" xfId="44" applyFont="1" applyFill="1" applyBorder="1"/>
    <xf numFmtId="164" fontId="55" fillId="3" borderId="17" xfId="0" applyNumberFormat="1" applyFont="1" applyFill="1" applyBorder="1" applyAlignment="1">
      <alignment horizontal="center" vertical="center"/>
    </xf>
    <xf numFmtId="164" fontId="53" fillId="3" borderId="22" xfId="0" applyNumberFormat="1" applyFont="1" applyFill="1" applyBorder="1" applyAlignment="1">
      <alignment horizontal="center"/>
    </xf>
    <xf numFmtId="0" fontId="88" fillId="3" borderId="17" xfId="0" applyFont="1" applyFill="1" applyBorder="1"/>
    <xf numFmtId="0" fontId="87" fillId="3" borderId="17" xfId="44" applyFont="1" applyFill="1" applyBorder="1" applyAlignment="1">
      <alignment horizontal="center" vertical="center"/>
    </xf>
    <xf numFmtId="0" fontId="66" fillId="3" borderId="17" xfId="44" applyFont="1" applyFill="1" applyBorder="1"/>
    <xf numFmtId="0" fontId="66" fillId="3" borderId="0" xfId="0" applyFont="1" applyFill="1"/>
    <xf numFmtId="0" fontId="95" fillId="3" borderId="18" xfId="44" applyFont="1" applyFill="1" applyBorder="1"/>
    <xf numFmtId="164" fontId="53" fillId="3" borderId="23" xfId="0" applyNumberFormat="1" applyFont="1" applyFill="1" applyBorder="1" applyAlignment="1">
      <alignment horizontal="center"/>
    </xf>
    <xf numFmtId="0" fontId="88" fillId="3" borderId="18" xfId="0" applyFont="1" applyFill="1" applyBorder="1"/>
    <xf numFmtId="0" fontId="87" fillId="3" borderId="18" xfId="44" applyFont="1" applyFill="1" applyBorder="1" applyAlignment="1">
      <alignment horizontal="center" vertical="center"/>
    </xf>
    <xf numFmtId="0" fontId="85" fillId="3" borderId="18" xfId="0" applyFont="1" applyFill="1" applyBorder="1" applyAlignment="1">
      <alignment horizontal="center"/>
    </xf>
    <xf numFmtId="0" fontId="85" fillId="3" borderId="23" xfId="0" applyFont="1" applyFill="1" applyBorder="1" applyAlignment="1">
      <alignment horizontal="center"/>
    </xf>
    <xf numFmtId="164" fontId="88" fillId="3" borderId="18" xfId="0" applyNumberFormat="1" applyFont="1" applyFill="1" applyBorder="1" applyAlignment="1">
      <alignment horizontal="center" vertical="center"/>
    </xf>
    <xf numFmtId="164" fontId="86" fillId="3" borderId="18" xfId="0" applyNumberFormat="1" applyFont="1" applyFill="1" applyBorder="1" applyAlignment="1">
      <alignment horizontal="center"/>
    </xf>
    <xf numFmtId="0" fontId="85" fillId="3" borderId="18" xfId="0" applyFont="1" applyFill="1" applyBorder="1" applyAlignment="1">
      <alignment horizontal="center" vertical="center"/>
    </xf>
    <xf numFmtId="164" fontId="55" fillId="3" borderId="18" xfId="0" applyNumberFormat="1" applyFont="1" applyFill="1" applyBorder="1" applyAlignment="1">
      <alignment horizontal="center" vertical="center"/>
    </xf>
    <xf numFmtId="0" fontId="66" fillId="3" borderId="18" xfId="44" applyFont="1" applyFill="1" applyBorder="1"/>
    <xf numFmtId="49" fontId="0" fillId="0" borderId="17" xfId="0" applyNumberFormat="1" applyBorder="1" applyAlignment="1">
      <alignment horizontal="left"/>
    </xf>
    <xf numFmtId="0" fontId="56" fillId="3" borderId="17" xfId="0" applyFont="1" applyFill="1" applyBorder="1" applyAlignment="1">
      <alignment horizontal="center" vertical="center"/>
    </xf>
    <xf numFmtId="0" fontId="85" fillId="4" borderId="17" xfId="0" applyFont="1" applyFill="1" applyBorder="1" applyAlignment="1">
      <alignment horizontal="center"/>
    </xf>
    <xf numFmtId="0" fontId="87" fillId="4" borderId="22" xfId="0" applyFont="1" applyFill="1" applyBorder="1" applyAlignment="1">
      <alignment horizontal="center"/>
    </xf>
    <xf numFmtId="0" fontId="88" fillId="4" borderId="17" xfId="0" applyFont="1" applyFill="1" applyBorder="1" applyAlignment="1">
      <alignment horizontal="center"/>
    </xf>
    <xf numFmtId="0" fontId="88" fillId="4" borderId="17" xfId="0" applyFont="1" applyFill="1" applyBorder="1" applyAlignment="1">
      <alignment horizontal="center" vertical="center"/>
    </xf>
    <xf numFmtId="164" fontId="88" fillId="4" borderId="17" xfId="0" applyNumberFormat="1" applyFont="1" applyFill="1" applyBorder="1" applyAlignment="1">
      <alignment horizontal="center" vertical="center"/>
    </xf>
    <xf numFmtId="164" fontId="86" fillId="4" borderId="17" xfId="0" applyNumberFormat="1" applyFont="1" applyFill="1" applyBorder="1" applyAlignment="1">
      <alignment horizontal="center"/>
    </xf>
    <xf numFmtId="0" fontId="85" fillId="4" borderId="17" xfId="0" applyFont="1" applyFill="1" applyBorder="1" applyAlignment="1">
      <alignment horizontal="center" vertical="center"/>
    </xf>
    <xf numFmtId="164" fontId="88" fillId="4" borderId="17" xfId="0" applyNumberFormat="1" applyFont="1" applyFill="1" applyBorder="1" applyAlignment="1">
      <alignment horizontal="center"/>
    </xf>
    <xf numFmtId="0" fontId="94" fillId="4" borderId="21" xfId="44" applyFont="1" applyFill="1" applyBorder="1"/>
    <xf numFmtId="0" fontId="88" fillId="4" borderId="17" xfId="44" applyFont="1" applyFill="1" applyBorder="1"/>
    <xf numFmtId="0" fontId="88" fillId="4" borderId="21" xfId="0" applyFont="1" applyFill="1" applyBorder="1" applyAlignment="1">
      <alignment horizontal="center" vertical="center"/>
    </xf>
    <xf numFmtId="164" fontId="86" fillId="4" borderId="17" xfId="0" applyNumberFormat="1" applyFont="1" applyFill="1" applyBorder="1" applyAlignment="1">
      <alignment horizontal="center" vertical="center"/>
    </xf>
    <xf numFmtId="164" fontId="88" fillId="4" borderId="29" xfId="0" applyNumberFormat="1" applyFont="1" applyFill="1" applyBorder="1" applyAlignment="1">
      <alignment horizontal="center"/>
    </xf>
    <xf numFmtId="0" fontId="110" fillId="4" borderId="17" xfId="0" applyFont="1" applyFill="1" applyBorder="1"/>
    <xf numFmtId="0" fontId="88" fillId="4" borderId="17" xfId="44" applyFont="1" applyFill="1" applyBorder="1" applyAlignment="1">
      <alignment horizontal="center" vertical="center"/>
    </xf>
    <xf numFmtId="0" fontId="66" fillId="4" borderId="17" xfId="44" applyFont="1" applyFill="1" applyBorder="1"/>
    <xf numFmtId="0" fontId="53" fillId="4" borderId="21" xfId="0" applyFont="1" applyFill="1" applyBorder="1"/>
    <xf numFmtId="0" fontId="87" fillId="4" borderId="17" xfId="0" applyFont="1" applyFill="1" applyBorder="1" applyAlignment="1">
      <alignment horizontal="center"/>
    </xf>
    <xf numFmtId="0" fontId="88" fillId="4" borderId="20" xfId="0" applyFont="1" applyFill="1" applyBorder="1" applyAlignment="1">
      <alignment horizontal="center"/>
    </xf>
    <xf numFmtId="0" fontId="88" fillId="4" borderId="20" xfId="0" applyFont="1" applyFill="1" applyBorder="1" applyAlignment="1">
      <alignment horizontal="center" vertical="center"/>
    </xf>
    <xf numFmtId="0" fontId="88" fillId="4" borderId="25" xfId="0" applyFont="1" applyFill="1" applyBorder="1" applyAlignment="1">
      <alignment horizontal="center"/>
    </xf>
    <xf numFmtId="164" fontId="88" fillId="4" borderId="20" xfId="0" applyNumberFormat="1" applyFont="1" applyFill="1" applyBorder="1" applyAlignment="1">
      <alignment horizontal="center" vertical="center"/>
    </xf>
    <xf numFmtId="164" fontId="88" fillId="4" borderId="22" xfId="0" applyNumberFormat="1" applyFont="1" applyFill="1" applyBorder="1" applyAlignment="1">
      <alignment horizontal="center"/>
    </xf>
    <xf numFmtId="0" fontId="94" fillId="4" borderId="17" xfId="44" applyFont="1" applyFill="1" applyBorder="1"/>
    <xf numFmtId="0" fontId="88" fillId="4" borderId="26" xfId="0" applyFont="1" applyFill="1" applyBorder="1" applyAlignment="1">
      <alignment horizontal="center" vertical="center"/>
    </xf>
    <xf numFmtId="164" fontId="86" fillId="4" borderId="20" xfId="0" applyNumberFormat="1" applyFont="1" applyFill="1" applyBorder="1" applyAlignment="1">
      <alignment horizontal="center" vertical="center"/>
    </xf>
    <xf numFmtId="0" fontId="110" fillId="4" borderId="20" xfId="0" applyFont="1" applyFill="1" applyBorder="1"/>
    <xf numFmtId="0" fontId="88" fillId="4" borderId="22" xfId="0" applyFont="1" applyFill="1" applyBorder="1" applyAlignment="1">
      <alignment horizontal="center"/>
    </xf>
    <xf numFmtId="0" fontId="88" fillId="4" borderId="17" xfId="44" applyFont="1" applyFill="1" applyBorder="1" applyAlignment="1">
      <alignment horizontal="center"/>
    </xf>
    <xf numFmtId="0" fontId="110" fillId="4" borderId="19" xfId="0" applyFont="1" applyFill="1" applyBorder="1"/>
    <xf numFmtId="0" fontId="88" fillId="4" borderId="20" xfId="44" applyFont="1" applyFill="1" applyBorder="1" applyAlignment="1">
      <alignment horizontal="center" vertical="center"/>
    </xf>
    <xf numFmtId="0" fontId="53" fillId="4" borderId="17" xfId="0" applyFont="1" applyFill="1" applyBorder="1"/>
    <xf numFmtId="0" fontId="88" fillId="4" borderId="22" xfId="0" applyFont="1" applyFill="1" applyBorder="1" applyAlignment="1">
      <alignment horizontal="center" vertical="center"/>
    </xf>
    <xf numFmtId="0" fontId="88" fillId="4" borderId="21" xfId="0" applyFont="1" applyFill="1" applyBorder="1" applyAlignment="1">
      <alignment horizontal="center"/>
    </xf>
    <xf numFmtId="11" fontId="88" fillId="4" borderId="27" xfId="0" applyNumberFormat="1" applyFont="1" applyFill="1" applyBorder="1" applyAlignment="1">
      <alignment horizontal="center" vertical="center"/>
    </xf>
    <xf numFmtId="164" fontId="86" fillId="4" borderId="18" xfId="0" applyNumberFormat="1" applyFont="1" applyFill="1" applyBorder="1" applyAlignment="1">
      <alignment horizontal="center" vertical="center"/>
    </xf>
    <xf numFmtId="164" fontId="88" fillId="4" borderId="18" xfId="0" applyNumberFormat="1" applyFont="1" applyFill="1" applyBorder="1" applyAlignment="1">
      <alignment horizontal="center"/>
    </xf>
    <xf numFmtId="0" fontId="85" fillId="4" borderId="20" xfId="0" applyFont="1" applyFill="1" applyBorder="1" applyAlignment="1">
      <alignment horizontal="center"/>
    </xf>
    <xf numFmtId="0" fontId="88" fillId="4" borderId="20" xfId="44" applyFont="1" applyFill="1" applyBorder="1" applyAlignment="1">
      <alignment horizontal="center"/>
    </xf>
    <xf numFmtId="0" fontId="88" fillId="4" borderId="25" xfId="0" applyFont="1" applyFill="1" applyBorder="1" applyAlignment="1">
      <alignment horizontal="center" vertical="center"/>
    </xf>
    <xf numFmtId="0" fontId="110" fillId="4" borderId="4" xfId="0" applyFont="1" applyFill="1" applyBorder="1"/>
    <xf numFmtId="0" fontId="85" fillId="4" borderId="18" xfId="0" applyFont="1" applyFill="1" applyBorder="1" applyAlignment="1">
      <alignment horizontal="center"/>
    </xf>
    <xf numFmtId="0" fontId="88" fillId="4" borderId="18" xfId="44" applyFont="1" applyFill="1" applyBorder="1" applyAlignment="1">
      <alignment horizontal="center"/>
    </xf>
    <xf numFmtId="0" fontId="88" fillId="4" borderId="18" xfId="0" applyFont="1" applyFill="1" applyBorder="1" applyAlignment="1">
      <alignment horizontal="center"/>
    </xf>
    <xf numFmtId="0" fontId="88" fillId="4" borderId="18" xfId="0" applyFont="1" applyFill="1" applyBorder="1" applyAlignment="1">
      <alignment horizontal="center" vertical="center"/>
    </xf>
    <xf numFmtId="0" fontId="88" fillId="4" borderId="23" xfId="0" applyFont="1" applyFill="1" applyBorder="1" applyAlignment="1">
      <alignment horizontal="center" vertical="center"/>
    </xf>
    <xf numFmtId="0" fontId="95" fillId="4" borderId="17" xfId="44" applyFont="1" applyFill="1" applyBorder="1"/>
    <xf numFmtId="0" fontId="87" fillId="4" borderId="17" xfId="44" applyFont="1" applyFill="1" applyBorder="1"/>
    <xf numFmtId="0" fontId="87" fillId="4" borderId="17" xfId="44" applyFont="1" applyFill="1" applyBorder="1" applyAlignment="1">
      <alignment horizontal="center" vertical="center"/>
    </xf>
    <xf numFmtId="0" fontId="87" fillId="4" borderId="22" xfId="44" applyFont="1" applyFill="1" applyBorder="1"/>
    <xf numFmtId="0" fontId="87" fillId="4" borderId="21" xfId="44" applyFont="1" applyFill="1" applyBorder="1" applyAlignment="1">
      <alignment horizontal="center" vertical="center"/>
    </xf>
    <xf numFmtId="0" fontId="88" fillId="4" borderId="22" xfId="44" applyFont="1" applyFill="1" applyBorder="1" applyAlignment="1">
      <alignment horizontal="center"/>
    </xf>
    <xf numFmtId="0" fontId="85" fillId="4" borderId="25" xfId="0" applyFont="1" applyFill="1" applyBorder="1" applyAlignment="1">
      <alignment horizontal="center"/>
    </xf>
    <xf numFmtId="164" fontId="85" fillId="4" borderId="17" xfId="0" applyNumberFormat="1" applyFont="1" applyFill="1" applyBorder="1" applyAlignment="1">
      <alignment horizontal="center"/>
    </xf>
    <xf numFmtId="164" fontId="85" fillId="4" borderId="22" xfId="0" applyNumberFormat="1" applyFont="1" applyFill="1" applyBorder="1" applyAlignment="1">
      <alignment horizontal="center"/>
    </xf>
    <xf numFmtId="164" fontId="0" fillId="3" borderId="17" xfId="0" applyNumberFormat="1" applyFill="1" applyBorder="1" applyAlignment="1">
      <alignment horizontal="center" vertical="center" wrapText="1"/>
    </xf>
    <xf numFmtId="0" fontId="70" fillId="0" borderId="17" xfId="0" applyFont="1" applyBorder="1" applyAlignment="1">
      <alignment wrapText="1" readingOrder="1"/>
    </xf>
    <xf numFmtId="16" fontId="0" fillId="40" borderId="17" xfId="0" applyNumberFormat="1" applyFill="1" applyBorder="1" applyAlignment="1">
      <alignment horizontal="center" vertical="center" wrapText="1"/>
    </xf>
    <xf numFmtId="164" fontId="0" fillId="3" borderId="4" xfId="0" applyNumberFormat="1" applyFill="1" applyBorder="1" applyAlignment="1">
      <alignment horizontal="center" vertical="center"/>
    </xf>
    <xf numFmtId="0" fontId="53" fillId="40" borderId="17" xfId="0" applyFont="1" applyFill="1" applyBorder="1" applyAlignment="1">
      <alignment wrapText="1" readingOrder="1"/>
    </xf>
    <xf numFmtId="0" fontId="70" fillId="40" borderId="17" xfId="0" applyFont="1" applyFill="1" applyBorder="1" applyAlignment="1">
      <alignment wrapText="1" readingOrder="1"/>
    </xf>
    <xf numFmtId="0" fontId="0" fillId="0" borderId="18" xfId="0" applyBorder="1" applyAlignment="1">
      <alignment horizontal="left"/>
    </xf>
    <xf numFmtId="164" fontId="0" fillId="0" borderId="18" xfId="0" applyNumberFormat="1" applyBorder="1" applyAlignment="1">
      <alignment horizontal="left"/>
    </xf>
    <xf numFmtId="0" fontId="0" fillId="0" borderId="23" xfId="0" applyBorder="1" applyAlignment="1">
      <alignment horizontal="left"/>
    </xf>
    <xf numFmtId="49" fontId="0" fillId="0" borderId="18" xfId="0" applyNumberFormat="1" applyBorder="1" applyAlignment="1">
      <alignment horizontal="left"/>
    </xf>
    <xf numFmtId="0" fontId="0" fillId="0" borderId="23" xfId="0" applyBorder="1" applyAlignment="1">
      <alignment horizontal="left" vertical="center"/>
    </xf>
    <xf numFmtId="164" fontId="0" fillId="0" borderId="18" xfId="0" applyNumberFormat="1" applyBorder="1" applyAlignment="1">
      <alignment horizontal="left" vertical="center"/>
    </xf>
    <xf numFmtId="0" fontId="0" fillId="0" borderId="17" xfId="0" applyBorder="1" applyAlignment="1">
      <alignment horizontal="center" vertical="center" wrapText="1"/>
    </xf>
    <xf numFmtId="0" fontId="0" fillId="0" borderId="40" xfId="0" applyBorder="1" applyAlignment="1">
      <alignment vertical="center"/>
    </xf>
    <xf numFmtId="0" fontId="0" fillId="0" borderId="40" xfId="0" applyBorder="1" applyAlignment="1">
      <alignment horizontal="left"/>
    </xf>
    <xf numFmtId="0" fontId="0" fillId="2" borderId="0" xfId="0" applyFill="1"/>
    <xf numFmtId="164" fontId="0" fillId="0" borderId="18" xfId="0" applyNumberFormat="1" applyBorder="1" applyAlignment="1">
      <alignment horizontal="center" vertical="center"/>
    </xf>
    <xf numFmtId="49" fontId="0" fillId="0" borderId="18" xfId="0" applyNumberFormat="1" applyBorder="1" applyAlignment="1">
      <alignment horizontal="left" vertical="center"/>
    </xf>
    <xf numFmtId="164" fontId="0" fillId="3" borderId="17" xfId="0" applyNumberFormat="1" applyFill="1" applyBorder="1" applyAlignment="1">
      <alignment horizontal="left" vertical="center"/>
    </xf>
    <xf numFmtId="164" fontId="23" fillId="3" borderId="17" xfId="0" applyNumberFormat="1" applyFont="1" applyFill="1" applyBorder="1" applyAlignment="1">
      <alignment horizontal="left" vertical="center"/>
    </xf>
    <xf numFmtId="0" fontId="56" fillId="0" borderId="17" xfId="0" applyFont="1" applyBorder="1" applyAlignment="1">
      <alignment horizontal="left"/>
    </xf>
    <xf numFmtId="0" fontId="0" fillId="2" borderId="17" xfId="0" applyFill="1" applyBorder="1" applyAlignment="1">
      <alignment horizontal="left"/>
    </xf>
    <xf numFmtId="0" fontId="0" fillId="0" borderId="23" xfId="0" applyBorder="1" applyAlignment="1">
      <alignment horizontal="center"/>
    </xf>
    <xf numFmtId="164" fontId="45" fillId="0" borderId="18" xfId="0" applyNumberFormat="1" applyFont="1" applyBorder="1" applyAlignment="1">
      <alignment horizontal="left"/>
    </xf>
    <xf numFmtId="0" fontId="56" fillId="0" borderId="0" xfId="0" applyFont="1" applyAlignment="1">
      <alignment horizontal="left" vertical="center"/>
    </xf>
    <xf numFmtId="0" fontId="0" fillId="3" borderId="18" xfId="0" applyFill="1" applyBorder="1" applyAlignment="1">
      <alignment horizontal="left" vertical="center"/>
    </xf>
    <xf numFmtId="164" fontId="0" fillId="2" borderId="17" xfId="0" applyNumberFormat="1" applyFill="1" applyBorder="1" applyAlignment="1">
      <alignment horizontal="center" vertical="center"/>
    </xf>
    <xf numFmtId="164" fontId="23" fillId="3" borderId="17" xfId="0" applyNumberFormat="1" applyFont="1" applyFill="1" applyBorder="1" applyAlignment="1">
      <alignment horizontal="center" vertical="center" wrapText="1"/>
    </xf>
    <xf numFmtId="0" fontId="0" fillId="3" borderId="4" xfId="0" applyFill="1" applyBorder="1" applyAlignment="1">
      <alignment horizontal="left" vertical="center"/>
    </xf>
    <xf numFmtId="0" fontId="77" fillId="0" borderId="17" xfId="0" applyFont="1" applyBorder="1" applyAlignment="1">
      <alignment horizontal="left"/>
    </xf>
    <xf numFmtId="0" fontId="85" fillId="38" borderId="17" xfId="0" applyFont="1" applyFill="1" applyBorder="1" applyAlignment="1">
      <alignment horizontal="left" vertical="center"/>
    </xf>
    <xf numFmtId="0" fontId="53" fillId="38" borderId="17" xfId="0" applyFont="1" applyFill="1" applyBorder="1" applyAlignment="1">
      <alignment horizontal="left"/>
    </xf>
    <xf numFmtId="0" fontId="53" fillId="38" borderId="17" xfId="0" applyFont="1" applyFill="1" applyBorder="1" applyAlignment="1">
      <alignment horizontal="left" vertical="center"/>
    </xf>
    <xf numFmtId="0" fontId="53" fillId="0" borderId="4" xfId="0" applyFont="1" applyBorder="1" applyAlignment="1">
      <alignment horizontal="left"/>
    </xf>
    <xf numFmtId="0" fontId="76" fillId="0" borderId="17" xfId="0" applyFont="1" applyBorder="1" applyAlignment="1">
      <alignment horizontal="left" vertical="center"/>
    </xf>
    <xf numFmtId="0" fontId="73" fillId="0" borderId="17" xfId="0" applyFont="1" applyBorder="1" applyAlignment="1">
      <alignment horizontal="left" vertical="center"/>
    </xf>
    <xf numFmtId="0" fontId="85" fillId="58" borderId="17" xfId="0" applyFont="1" applyFill="1" applyBorder="1" applyAlignment="1">
      <alignment horizontal="left"/>
    </xf>
    <xf numFmtId="0" fontId="24" fillId="0" borderId="18" xfId="0" applyFont="1" applyBorder="1" applyAlignment="1">
      <alignment horizontal="left" vertical="center"/>
    </xf>
    <xf numFmtId="0" fontId="74" fillId="0" borderId="20" xfId="0" applyFont="1" applyBorder="1" applyAlignment="1">
      <alignment horizontal="left" vertical="center"/>
    </xf>
    <xf numFmtId="0" fontId="74" fillId="0" borderId="17" xfId="0" applyFont="1" applyBorder="1" applyAlignment="1">
      <alignment horizontal="left"/>
    </xf>
    <xf numFmtId="0" fontId="73" fillId="0" borderId="20" xfId="0" applyFont="1" applyBorder="1" applyAlignment="1">
      <alignment horizontal="left" vertical="center" wrapText="1"/>
    </xf>
    <xf numFmtId="0" fontId="73" fillId="0" borderId="17" xfId="0" applyFont="1" applyBorder="1" applyAlignment="1">
      <alignment horizontal="left" vertical="center" wrapText="1"/>
    </xf>
    <xf numFmtId="0" fontId="0" fillId="43" borderId="17" xfId="0" applyFill="1" applyBorder="1" applyAlignment="1">
      <alignment horizontal="left" vertical="center"/>
    </xf>
    <xf numFmtId="0" fontId="0" fillId="0" borderId="27" xfId="0" applyBorder="1" applyAlignment="1">
      <alignment horizontal="center"/>
    </xf>
    <xf numFmtId="164" fontId="0" fillId="3" borderId="17" xfId="0" applyNumberFormat="1" applyFill="1" applyBorder="1" applyAlignment="1">
      <alignment horizontal="left" vertical="center" wrapText="1"/>
    </xf>
    <xf numFmtId="164" fontId="0" fillId="4" borderId="18" xfId="0" applyNumberFormat="1" applyFill="1" applyBorder="1" applyAlignment="1">
      <alignment horizontal="left"/>
    </xf>
    <xf numFmtId="0" fontId="0" fillId="0" borderId="17" xfId="0" applyBorder="1" applyAlignment="1">
      <alignment vertical="center"/>
    </xf>
    <xf numFmtId="0" fontId="0" fillId="3" borderId="17" xfId="0" applyFill="1" applyBorder="1" applyAlignment="1">
      <alignment horizontal="center" vertical="center" wrapText="1"/>
    </xf>
    <xf numFmtId="0" fontId="56" fillId="3" borderId="17" xfId="0" applyFont="1" applyFill="1" applyBorder="1" applyAlignment="1">
      <alignment horizontal="left" vertical="center"/>
    </xf>
    <xf numFmtId="0" fontId="45" fillId="3" borderId="17" xfId="0" applyFont="1" applyFill="1" applyBorder="1" applyAlignment="1">
      <alignment horizontal="center" vertical="center"/>
    </xf>
    <xf numFmtId="164" fontId="45" fillId="0" borderId="18" xfId="0" applyNumberFormat="1" applyFont="1" applyBorder="1" applyAlignment="1">
      <alignment horizontal="left" vertical="center"/>
    </xf>
    <xf numFmtId="0" fontId="73" fillId="43" borderId="18" xfId="0" applyFont="1" applyFill="1" applyBorder="1" applyAlignment="1">
      <alignment horizontal="left" vertical="center"/>
    </xf>
    <xf numFmtId="164" fontId="0" fillId="3" borderId="18" xfId="0" applyNumberFormat="1" applyFill="1" applyBorder="1" applyAlignment="1">
      <alignment horizontal="left"/>
    </xf>
    <xf numFmtId="49" fontId="0" fillId="3" borderId="18" xfId="0" applyNumberFormat="1" applyFill="1" applyBorder="1" applyAlignment="1">
      <alignment horizontal="left"/>
    </xf>
    <xf numFmtId="0" fontId="45" fillId="0" borderId="42" xfId="0" applyFont="1" applyBorder="1" applyAlignment="1">
      <alignment horizontal="left" vertical="center"/>
    </xf>
    <xf numFmtId="0" fontId="0" fillId="0" borderId="42" xfId="0" applyBorder="1" applyAlignment="1">
      <alignment horizontal="left" vertical="center"/>
    </xf>
    <xf numFmtId="164" fontId="45" fillId="0" borderId="18" xfId="0" applyNumberFormat="1" applyFont="1" applyBorder="1" applyAlignment="1">
      <alignment horizontal="left" vertical="center" wrapText="1"/>
    </xf>
    <xf numFmtId="0" fontId="0" fillId="0" borderId="39" xfId="0" applyBorder="1" applyAlignment="1">
      <alignment horizontal="left" vertical="center" wrapText="1"/>
    </xf>
    <xf numFmtId="0" fontId="0" fillId="3" borderId="18" xfId="0" applyFill="1" applyBorder="1" applyAlignment="1">
      <alignment horizontal="left"/>
    </xf>
    <xf numFmtId="0" fontId="0" fillId="3" borderId="17" xfId="0" applyFill="1" applyBorder="1" applyAlignment="1">
      <alignment horizontal="left" vertical="center" wrapText="1"/>
    </xf>
    <xf numFmtId="0" fontId="0" fillId="40" borderId="18" xfId="0" applyFill="1" applyBorder="1" applyAlignment="1">
      <alignment horizontal="left" vertical="center" wrapText="1"/>
    </xf>
    <xf numFmtId="164" fontId="23" fillId="3" borderId="17" xfId="0" applyNumberFormat="1" applyFont="1" applyFill="1" applyBorder="1" applyAlignment="1">
      <alignment horizontal="left" vertical="center" wrapText="1"/>
    </xf>
    <xf numFmtId="164" fontId="0" fillId="3" borderId="19" xfId="0" applyNumberFormat="1" applyFill="1" applyBorder="1" applyAlignment="1">
      <alignment horizontal="left" vertical="center"/>
    </xf>
    <xf numFmtId="0" fontId="17" fillId="3" borderId="17" xfId="0" applyFont="1" applyFill="1" applyBorder="1" applyAlignment="1">
      <alignment horizontal="left" vertical="center" wrapText="1"/>
    </xf>
    <xf numFmtId="164" fontId="45" fillId="3" borderId="17" xfId="0" applyNumberFormat="1" applyFont="1" applyFill="1" applyBorder="1" applyAlignment="1">
      <alignment horizontal="center"/>
    </xf>
    <xf numFmtId="0" fontId="0" fillId="3" borderId="39" xfId="0" applyFill="1" applyBorder="1"/>
    <xf numFmtId="0" fontId="0" fillId="3" borderId="45" xfId="0" applyFill="1" applyBorder="1" applyAlignment="1">
      <alignment horizontal="left" vertical="center"/>
    </xf>
    <xf numFmtId="0" fontId="0" fillId="0" borderId="44" xfId="0" applyBorder="1" applyAlignment="1">
      <alignment horizontal="left"/>
    </xf>
    <xf numFmtId="49" fontId="0" fillId="3" borderId="39" xfId="0" applyNumberFormat="1" applyFill="1" applyBorder="1" applyAlignment="1">
      <alignment horizontal="left"/>
    </xf>
    <xf numFmtId="0" fontId="0" fillId="0" borderId="23" xfId="0" applyBorder="1" applyAlignment="1">
      <alignment vertical="center"/>
    </xf>
    <xf numFmtId="0" fontId="0" fillId="0" borderId="18" xfId="0" applyBorder="1" applyAlignment="1">
      <alignment vertical="center"/>
    </xf>
    <xf numFmtId="0" fontId="17" fillId="3" borderId="18" xfId="0" applyFont="1" applyFill="1" applyBorder="1" applyAlignment="1">
      <alignment horizontal="left" vertical="center" wrapText="1"/>
    </xf>
    <xf numFmtId="0" fontId="0" fillId="2" borderId="0" xfId="0" applyFill="1" applyAlignment="1">
      <alignment horizontal="left"/>
    </xf>
    <xf numFmtId="164" fontId="23" fillId="2" borderId="17" xfId="0" applyNumberFormat="1" applyFont="1" applyFill="1" applyBorder="1" applyAlignment="1">
      <alignment horizontal="center" vertical="center"/>
    </xf>
    <xf numFmtId="0" fontId="0" fillId="2" borderId="0" xfId="0" applyFill="1" applyAlignment="1">
      <alignment horizontal="left" vertical="center"/>
    </xf>
    <xf numFmtId="0" fontId="0" fillId="2" borderId="18" xfId="0" applyFill="1" applyBorder="1" applyAlignment="1">
      <alignment horizontal="center" vertical="center"/>
    </xf>
    <xf numFmtId="0" fontId="0" fillId="2" borderId="23" xfId="0" applyFill="1" applyBorder="1" applyAlignment="1">
      <alignment horizontal="left" vertical="center"/>
    </xf>
    <xf numFmtId="0" fontId="0" fillId="3" borderId="18" xfId="0" applyFill="1" applyBorder="1" applyAlignment="1">
      <alignment vertical="center"/>
    </xf>
    <xf numFmtId="0" fontId="0" fillId="2" borderId="18" xfId="0" applyFill="1" applyBorder="1" applyAlignment="1">
      <alignment horizontal="left"/>
    </xf>
    <xf numFmtId="0" fontId="0" fillId="3" borderId="4" xfId="0" applyFill="1" applyBorder="1"/>
    <xf numFmtId="0" fontId="0" fillId="3" borderId="18" xfId="0" applyFill="1" applyBorder="1" applyAlignment="1">
      <alignment horizontal="left" vertical="center" wrapText="1"/>
    </xf>
    <xf numFmtId="0" fontId="17" fillId="3" borderId="0" xfId="0" applyFont="1" applyFill="1" applyAlignment="1">
      <alignment horizontal="left" vertical="center" wrapText="1"/>
    </xf>
    <xf numFmtId="0" fontId="23" fillId="3" borderId="17" xfId="0" applyFont="1" applyFill="1" applyBorder="1" applyAlignment="1">
      <alignment horizontal="left" vertical="center"/>
    </xf>
    <xf numFmtId="0" fontId="0" fillId="2" borderId="17" xfId="0" applyFill="1" applyBorder="1" applyAlignment="1">
      <alignment horizontal="left" vertical="center"/>
    </xf>
    <xf numFmtId="0" fontId="17" fillId="3" borderId="17" xfId="0" applyFont="1" applyFill="1" applyBorder="1" applyAlignment="1">
      <alignment horizontal="left" vertical="center"/>
    </xf>
    <xf numFmtId="49" fontId="0" fillId="4" borderId="17" xfId="0" applyNumberFormat="1" applyFill="1" applyBorder="1" applyAlignment="1">
      <alignment horizontal="center" vertical="center"/>
    </xf>
    <xf numFmtId="164" fontId="45" fillId="3" borderId="18" xfId="0" applyNumberFormat="1" applyFont="1" applyFill="1" applyBorder="1" applyAlignment="1">
      <alignment horizontal="center"/>
    </xf>
    <xf numFmtId="0" fontId="29" fillId="0" borderId="17" xfId="0" applyFont="1" applyBorder="1" applyAlignment="1">
      <alignment horizontal="left"/>
    </xf>
    <xf numFmtId="0" fontId="0" fillId="2" borderId="0" xfId="0" applyFill="1" applyAlignment="1">
      <alignment horizontal="left" vertical="center" wrapText="1"/>
    </xf>
    <xf numFmtId="0" fontId="0" fillId="2" borderId="17" xfId="0" applyFill="1" applyBorder="1" applyAlignment="1">
      <alignment horizontal="left" vertical="center" wrapText="1"/>
    </xf>
    <xf numFmtId="164" fontId="45" fillId="3" borderId="17" xfId="0" applyNumberFormat="1" applyFont="1" applyFill="1" applyBorder="1" applyAlignment="1">
      <alignment horizontal="center" vertical="center" wrapText="1"/>
    </xf>
    <xf numFmtId="0" fontId="0" fillId="2" borderId="19" xfId="0" applyFill="1" applyBorder="1" applyAlignment="1">
      <alignment horizontal="left" vertical="center"/>
    </xf>
    <xf numFmtId="0" fontId="0" fillId="2" borderId="18" xfId="0" applyFill="1" applyBorder="1" applyAlignment="1">
      <alignment horizontal="left" vertical="center"/>
    </xf>
    <xf numFmtId="164" fontId="0" fillId="3" borderId="18" xfId="0" applyNumberFormat="1" applyFill="1" applyBorder="1" applyAlignment="1">
      <alignment horizontal="left" vertical="center"/>
    </xf>
    <xf numFmtId="164" fontId="23" fillId="3" borderId="18" xfId="0" applyNumberFormat="1" applyFont="1" applyFill="1" applyBorder="1" applyAlignment="1">
      <alignment horizontal="left" vertical="center"/>
    </xf>
    <xf numFmtId="0" fontId="23" fillId="3" borderId="4" xfId="0" applyFont="1" applyFill="1" applyBorder="1" applyAlignment="1">
      <alignment horizontal="left" vertical="center" wrapText="1"/>
    </xf>
    <xf numFmtId="0" fontId="0" fillId="40" borderId="0" xfId="0" applyFill="1" applyAlignment="1">
      <alignment horizontal="left" vertical="center" wrapText="1"/>
    </xf>
    <xf numFmtId="164" fontId="0" fillId="0" borderId="17" xfId="0" applyNumberFormat="1" applyBorder="1" applyAlignment="1">
      <alignment vertical="center"/>
    </xf>
    <xf numFmtId="0" fontId="56" fillId="0" borderId="17" xfId="0" applyFont="1" applyBorder="1" applyAlignment="1">
      <alignment vertical="center"/>
    </xf>
    <xf numFmtId="0" fontId="53" fillId="4" borderId="17" xfId="0" applyFont="1" applyFill="1" applyBorder="1" applyAlignment="1">
      <alignment wrapText="1"/>
    </xf>
    <xf numFmtId="0" fontId="0" fillId="4" borderId="17" xfId="0" applyFill="1" applyBorder="1" applyAlignment="1">
      <alignment vertical="center"/>
    </xf>
    <xf numFmtId="0" fontId="0" fillId="39" borderId="0" xfId="0" applyFill="1" applyAlignment="1">
      <alignment horizontal="left" vertical="center"/>
    </xf>
    <xf numFmtId="0" fontId="0" fillId="39" borderId="0" xfId="0" applyFill="1"/>
    <xf numFmtId="0" fontId="53" fillId="3" borderId="17" xfId="0" applyFont="1" applyFill="1" applyBorder="1" applyAlignment="1">
      <alignment horizontal="center" vertical="center"/>
    </xf>
    <xf numFmtId="0" fontId="0" fillId="2" borderId="3" xfId="0" applyFill="1" applyBorder="1" applyAlignment="1">
      <alignment horizontal="center" vertical="center"/>
    </xf>
    <xf numFmtId="0" fontId="24" fillId="42" borderId="4" xfId="0" applyFont="1" applyFill="1" applyBorder="1" applyAlignment="1">
      <alignment horizontal="center" vertical="center"/>
    </xf>
    <xf numFmtId="16" fontId="45" fillId="0" borderId="4" xfId="0" applyNumberFormat="1" applyFont="1" applyBorder="1" applyAlignment="1">
      <alignment horizontal="left"/>
    </xf>
    <xf numFmtId="0" fontId="0" fillId="4" borderId="0" xfId="0" applyFill="1" applyAlignment="1">
      <alignment horizontal="center"/>
    </xf>
    <xf numFmtId="0" fontId="23" fillId="0" borderId="0" xfId="0" applyFont="1"/>
    <xf numFmtId="16" fontId="23" fillId="0" borderId="3" xfId="0" applyNumberFormat="1" applyFont="1" applyBorder="1" applyAlignment="1">
      <alignment horizontal="left"/>
    </xf>
    <xf numFmtId="0" fontId="0" fillId="3" borderId="0" xfId="0" applyFill="1" applyAlignment="1">
      <alignment vertical="center" wrapText="1"/>
    </xf>
    <xf numFmtId="164" fontId="0" fillId="0" borderId="0" xfId="0" applyNumberFormat="1" applyAlignment="1">
      <alignment horizontal="left"/>
    </xf>
    <xf numFmtId="0" fontId="23" fillId="0" borderId="0" xfId="0" applyFont="1" applyAlignment="1">
      <alignment horizontal="left"/>
    </xf>
    <xf numFmtId="164" fontId="45" fillId="0" borderId="0" xfId="0" applyNumberFormat="1" applyFont="1" applyAlignment="1">
      <alignment horizontal="center" vertical="center"/>
    </xf>
    <xf numFmtId="164" fontId="57" fillId="0" borderId="0" xfId="0" applyNumberFormat="1" applyFont="1" applyAlignment="1">
      <alignment horizontal="center" vertical="center"/>
    </xf>
    <xf numFmtId="0" fontId="73" fillId="0" borderId="4" xfId="0" applyFont="1" applyBorder="1" applyAlignment="1">
      <alignment horizontal="left" vertical="center"/>
    </xf>
    <xf numFmtId="0" fontId="57" fillId="0" borderId="0" xfId="0" applyFont="1" applyAlignment="1">
      <alignment horizontal="center" vertical="center"/>
    </xf>
    <xf numFmtId="164" fontId="45" fillId="0" borderId="0" xfId="0" applyNumberFormat="1" applyFont="1" applyAlignment="1">
      <alignment horizontal="left"/>
    </xf>
    <xf numFmtId="0" fontId="118" fillId="0" borderId="0" xfId="0" applyFont="1" applyAlignment="1">
      <alignment horizontal="left" vertical="center"/>
    </xf>
    <xf numFmtId="0" fontId="118" fillId="0" borderId="0" xfId="0" applyFont="1" applyAlignment="1">
      <alignment horizontal="center" vertical="center"/>
    </xf>
    <xf numFmtId="164" fontId="118" fillId="0" borderId="0" xfId="0" applyNumberFormat="1" applyFont="1" applyAlignment="1">
      <alignment horizontal="left" vertical="center"/>
    </xf>
    <xf numFmtId="164" fontId="0" fillId="4" borderId="0" xfId="0" applyNumberFormat="1" applyFill="1" applyAlignment="1">
      <alignment horizontal="center" vertical="center"/>
    </xf>
    <xf numFmtId="0" fontId="24" fillId="3" borderId="0" xfId="0" applyFont="1" applyFill="1" applyAlignment="1">
      <alignment vertical="center"/>
    </xf>
    <xf numFmtId="164" fontId="0" fillId="3" borderId="0" xfId="0" applyNumberFormat="1" applyFill="1" applyAlignment="1">
      <alignment vertical="center"/>
    </xf>
    <xf numFmtId="0" fontId="0" fillId="0" borderId="23" xfId="0" applyBorder="1"/>
    <xf numFmtId="0" fontId="0" fillId="3" borderId="0" xfId="0" applyFill="1" applyAlignment="1">
      <alignment wrapText="1"/>
    </xf>
    <xf numFmtId="164" fontId="0" fillId="0" borderId="0" xfId="0" applyNumberFormat="1" applyAlignment="1">
      <alignment horizontal="left" vertical="center" wrapText="1"/>
    </xf>
    <xf numFmtId="0" fontId="0" fillId="0" borderId="0" xfId="0" applyAlignment="1">
      <alignment horizontal="left" wrapText="1"/>
    </xf>
    <xf numFmtId="0" fontId="56" fillId="0" borderId="0" xfId="0" applyFont="1" applyAlignment="1">
      <alignment horizontal="center" vertical="center" wrapText="1"/>
    </xf>
    <xf numFmtId="0" fontId="56" fillId="0" borderId="0" xfId="0" applyFont="1" applyAlignment="1">
      <alignment horizontal="center" vertical="center"/>
    </xf>
    <xf numFmtId="0" fontId="24" fillId="3" borderId="0" xfId="0" applyFont="1" applyFill="1" applyAlignment="1">
      <alignment horizontal="center" vertical="center"/>
    </xf>
    <xf numFmtId="0" fontId="24" fillId="3" borderId="0" xfId="0" applyFont="1" applyFill="1" applyAlignment="1">
      <alignment horizontal="left" vertical="center"/>
    </xf>
    <xf numFmtId="0" fontId="0" fillId="65" borderId="48" xfId="0" applyFill="1" applyBorder="1" applyAlignment="1">
      <alignment horizontal="center" vertical="center"/>
    </xf>
    <xf numFmtId="164" fontId="90" fillId="66" borderId="49" xfId="0" applyNumberFormat="1" applyFont="1" applyFill="1" applyBorder="1" applyAlignment="1">
      <alignment horizontal="center" vertical="center" wrapText="1"/>
    </xf>
    <xf numFmtId="164" fontId="92" fillId="66" borderId="49" xfId="0" applyNumberFormat="1" applyFont="1" applyFill="1" applyBorder="1" applyAlignment="1">
      <alignment horizontal="left" vertical="center" wrapText="1"/>
    </xf>
    <xf numFmtId="164" fontId="93" fillId="66" borderId="49" xfId="0" applyNumberFormat="1" applyFont="1" applyFill="1" applyBorder="1" applyAlignment="1">
      <alignment horizontal="center" vertical="center" wrapText="1"/>
    </xf>
    <xf numFmtId="164" fontId="93" fillId="66" borderId="49" xfId="0" applyNumberFormat="1" applyFont="1" applyFill="1" applyBorder="1" applyAlignment="1">
      <alignment horizontal="center" vertical="center"/>
    </xf>
    <xf numFmtId="0" fontId="93" fillId="66" borderId="49" xfId="0" applyFont="1" applyFill="1" applyBorder="1" applyAlignment="1">
      <alignment horizontal="left" vertical="center"/>
    </xf>
    <xf numFmtId="0" fontId="90" fillId="66" borderId="49" xfId="0" applyFont="1" applyFill="1" applyBorder="1" applyAlignment="1">
      <alignment horizontal="center" vertical="center"/>
    </xf>
    <xf numFmtId="0" fontId="90" fillId="66" borderId="50" xfId="0" applyFont="1" applyFill="1" applyBorder="1" applyAlignment="1">
      <alignment horizontal="center" vertical="center"/>
    </xf>
    <xf numFmtId="0" fontId="56" fillId="0" borderId="22" xfId="0" applyFont="1" applyBorder="1" applyAlignment="1">
      <alignment horizontal="center" vertical="center"/>
    </xf>
    <xf numFmtId="0" fontId="57" fillId="0" borderId="22" xfId="0" applyFont="1" applyBorder="1" applyAlignment="1">
      <alignment horizontal="left" vertical="center"/>
    </xf>
    <xf numFmtId="0" fontId="57" fillId="0" borderId="22" xfId="0" applyFont="1" applyBorder="1" applyAlignment="1">
      <alignment horizontal="center" vertical="center"/>
    </xf>
    <xf numFmtId="164" fontId="57" fillId="0" borderId="22" xfId="0" applyNumberFormat="1" applyFont="1" applyBorder="1" applyAlignment="1">
      <alignment horizontal="center" vertical="center"/>
    </xf>
    <xf numFmtId="0" fontId="53" fillId="0" borderId="22" xfId="0" applyFont="1" applyBorder="1" applyAlignment="1">
      <alignment horizontal="left"/>
    </xf>
    <xf numFmtId="0" fontId="53" fillId="46" borderId="35" xfId="0" applyFont="1" applyFill="1" applyBorder="1" applyAlignment="1">
      <alignment horizontal="center" vertical="center"/>
    </xf>
    <xf numFmtId="0" fontId="53" fillId="46" borderId="0" xfId="0" applyFont="1" applyFill="1" applyAlignment="1">
      <alignment horizontal="center" vertical="center"/>
    </xf>
    <xf numFmtId="16" fontId="53" fillId="46" borderId="35" xfId="0" applyNumberFormat="1" applyFont="1" applyFill="1" applyBorder="1" applyAlignment="1">
      <alignment horizontal="center" vertical="center"/>
    </xf>
    <xf numFmtId="16" fontId="55" fillId="46" borderId="35" xfId="0" applyNumberFormat="1" applyFont="1" applyFill="1" applyBorder="1" applyAlignment="1">
      <alignment horizontal="center" vertical="center"/>
    </xf>
    <xf numFmtId="0" fontId="119" fillId="46" borderId="35" xfId="0" applyFont="1" applyFill="1" applyBorder="1" applyAlignment="1">
      <alignment horizontal="center" vertical="center"/>
    </xf>
    <xf numFmtId="0" fontId="70" fillId="46" borderId="35" xfId="0" applyFont="1" applyFill="1" applyBorder="1" applyAlignment="1">
      <alignment horizontal="center" vertical="center"/>
    </xf>
    <xf numFmtId="0" fontId="55" fillId="46" borderId="35" xfId="0" applyFont="1" applyFill="1" applyBorder="1" applyAlignment="1">
      <alignment horizontal="center" vertical="center"/>
    </xf>
    <xf numFmtId="0" fontId="119" fillId="46" borderId="0" xfId="0" applyFont="1" applyFill="1" applyAlignment="1">
      <alignment horizontal="center" vertical="center"/>
    </xf>
    <xf numFmtId="0" fontId="70" fillId="46" borderId="0" xfId="0" applyFont="1" applyFill="1" applyAlignment="1">
      <alignment horizontal="center" vertical="center"/>
    </xf>
    <xf numFmtId="16" fontId="53" fillId="46" borderId="0" xfId="0" applyNumberFormat="1" applyFont="1" applyFill="1" applyAlignment="1">
      <alignment horizontal="center" vertical="center"/>
    </xf>
    <xf numFmtId="16" fontId="55" fillId="46" borderId="0" xfId="0" applyNumberFormat="1" applyFont="1" applyFill="1" applyAlignment="1">
      <alignment horizontal="center" vertical="center"/>
    </xf>
    <xf numFmtId="0" fontId="55" fillId="46" borderId="0" xfId="0" applyFont="1" applyFill="1" applyAlignment="1">
      <alignment horizontal="center" vertical="center"/>
    </xf>
    <xf numFmtId="0" fontId="0" fillId="0" borderId="36" xfId="0" applyBorder="1" applyAlignment="1">
      <alignment horizontal="left" vertical="center"/>
    </xf>
    <xf numFmtId="164" fontId="0" fillId="0" borderId="36" xfId="0" applyNumberFormat="1" applyBorder="1" applyAlignment="1">
      <alignment horizontal="left" vertical="center"/>
    </xf>
    <xf numFmtId="0" fontId="24" fillId="3" borderId="0" xfId="0" applyFont="1" applyFill="1" applyAlignment="1">
      <alignment horizontal="left" vertical="center" wrapText="1"/>
    </xf>
    <xf numFmtId="0" fontId="0" fillId="67" borderId="0" xfId="0" applyFill="1" applyAlignment="1">
      <alignment horizontal="left" vertical="center"/>
    </xf>
    <xf numFmtId="0" fontId="0" fillId="67" borderId="0" xfId="0" applyFill="1" applyAlignment="1">
      <alignment horizontal="left"/>
    </xf>
    <xf numFmtId="0" fontId="0" fillId="0" borderId="36" xfId="0" applyBorder="1" applyAlignment="1">
      <alignment horizontal="center" vertical="center" wrapText="1"/>
    </xf>
    <xf numFmtId="0" fontId="24" fillId="0" borderId="0" xfId="0" applyFont="1" applyAlignment="1">
      <alignment horizontal="left" vertical="center" wrapText="1"/>
    </xf>
    <xf numFmtId="0" fontId="24" fillId="3" borderId="0" xfId="0" applyFont="1" applyFill="1" applyAlignment="1">
      <alignment horizontal="left" wrapText="1"/>
    </xf>
    <xf numFmtId="0" fontId="0" fillId="2" borderId="0" xfId="0" applyFill="1" applyAlignment="1">
      <alignment horizontal="center" vertical="center" wrapText="1"/>
    </xf>
    <xf numFmtId="164" fontId="118" fillId="0" borderId="17" xfId="0" applyNumberFormat="1" applyFont="1" applyBorder="1" applyAlignment="1">
      <alignment horizontal="center" vertical="center"/>
    </xf>
    <xf numFmtId="0" fontId="118" fillId="0" borderId="17" xfId="0" applyFont="1" applyBorder="1" applyAlignment="1">
      <alignment horizontal="center" vertical="center"/>
    </xf>
    <xf numFmtId="0" fontId="23" fillId="3" borderId="0" xfId="0" applyFont="1" applyFill="1" applyAlignment="1">
      <alignment horizontal="center" vertical="center"/>
    </xf>
    <xf numFmtId="0" fontId="118" fillId="0" borderId="18" xfId="0" applyFont="1" applyBorder="1" applyAlignment="1">
      <alignment horizontal="center" vertical="center"/>
    </xf>
    <xf numFmtId="0" fontId="118" fillId="0" borderId="32" xfId="0" applyFont="1" applyBorder="1" applyAlignment="1">
      <alignment horizontal="center" vertical="center"/>
    </xf>
    <xf numFmtId="0" fontId="0" fillId="3" borderId="0" xfId="0" applyFill="1" applyAlignment="1">
      <alignment horizontal="left" vertical="center" wrapText="1"/>
    </xf>
    <xf numFmtId="164" fontId="0" fillId="3" borderId="0" xfId="0" applyNumberFormat="1" applyFill="1" applyAlignment="1">
      <alignment horizontal="left" vertical="center" wrapText="1"/>
    </xf>
    <xf numFmtId="0" fontId="24" fillId="3" borderId="17" xfId="0" applyFont="1" applyFill="1" applyBorder="1" applyAlignment="1">
      <alignment horizontal="left" vertical="center"/>
    </xf>
    <xf numFmtId="0" fontId="0" fillId="68" borderId="17" xfId="0" applyFill="1" applyBorder="1" applyAlignment="1">
      <alignment horizontal="center" vertical="center"/>
    </xf>
    <xf numFmtId="164" fontId="0" fillId="68" borderId="17" xfId="0" applyNumberFormat="1" applyFill="1" applyBorder="1" applyAlignment="1">
      <alignment horizontal="center" vertical="center"/>
    </xf>
    <xf numFmtId="0" fontId="0" fillId="68" borderId="17" xfId="0" applyFill="1" applyBorder="1" applyAlignment="1">
      <alignment horizontal="center" vertical="center" wrapText="1"/>
    </xf>
    <xf numFmtId="165" fontId="0" fillId="68" borderId="17" xfId="0" applyNumberFormat="1" applyFill="1" applyBorder="1" applyAlignment="1">
      <alignment horizontal="center" vertical="center"/>
    </xf>
    <xf numFmtId="0" fontId="53" fillId="68" borderId="17" xfId="0" applyFont="1" applyFill="1" applyBorder="1" applyAlignment="1">
      <alignment horizontal="center" vertical="center" wrapText="1"/>
    </xf>
    <xf numFmtId="164" fontId="0" fillId="68" borderId="17" xfId="0" applyNumberFormat="1" applyFill="1" applyBorder="1" applyAlignment="1">
      <alignment horizontal="left" vertical="center"/>
    </xf>
    <xf numFmtId="164" fontId="45" fillId="0" borderId="17" xfId="0" applyNumberFormat="1" applyFont="1" applyBorder="1" applyAlignment="1">
      <alignment horizontal="left" vertical="center"/>
    </xf>
    <xf numFmtId="164" fontId="45" fillId="4" borderId="17" xfId="0" applyNumberFormat="1" applyFont="1" applyFill="1" applyBorder="1" applyAlignment="1">
      <alignment horizontal="left" vertical="center"/>
    </xf>
    <xf numFmtId="0" fontId="53" fillId="0" borderId="17" xfId="0" applyFont="1" applyBorder="1" applyAlignment="1">
      <alignment horizontal="left" vertical="center" wrapText="1"/>
    </xf>
    <xf numFmtId="164" fontId="0" fillId="0" borderId="17" xfId="0" applyNumberFormat="1" applyBorder="1" applyAlignment="1">
      <alignment horizontal="left" vertical="center"/>
    </xf>
    <xf numFmtId="0" fontId="53" fillId="0" borderId="17" xfId="0" applyFont="1" applyBorder="1" applyAlignment="1">
      <alignment horizontal="center" vertical="center" wrapText="1"/>
    </xf>
    <xf numFmtId="0" fontId="0" fillId="64" borderId="17" xfId="0" applyFill="1" applyBorder="1" applyAlignment="1">
      <alignment horizontal="center" vertical="center"/>
    </xf>
    <xf numFmtId="0" fontId="57" fillId="0" borderId="17" xfId="0" applyFont="1" applyBorder="1" applyAlignment="1">
      <alignment horizontal="center"/>
    </xf>
    <xf numFmtId="164" fontId="0" fillId="3" borderId="0" xfId="0" applyNumberFormat="1" applyFill="1" applyAlignment="1">
      <alignment horizontal="left" vertical="center"/>
    </xf>
    <xf numFmtId="0" fontId="24" fillId="3" borderId="18" xfId="0" applyFont="1" applyFill="1" applyBorder="1" applyAlignment="1">
      <alignment horizontal="left" vertical="center"/>
    </xf>
    <xf numFmtId="0" fontId="24" fillId="3" borderId="17" xfId="0" applyFont="1" applyFill="1" applyBorder="1" applyAlignment="1">
      <alignment horizontal="center" vertical="center" wrapText="1"/>
    </xf>
    <xf numFmtId="164" fontId="24" fillId="3" borderId="0" xfId="0" applyNumberFormat="1" applyFont="1" applyFill="1" applyAlignment="1">
      <alignment horizontal="left" vertical="center" wrapText="1"/>
    </xf>
    <xf numFmtId="0" fontId="0" fillId="0" borderId="0" xfId="0" applyAlignment="1">
      <alignment vertical="center" wrapText="1"/>
    </xf>
    <xf numFmtId="0" fontId="45" fillId="3" borderId="0" xfId="0" applyFont="1" applyFill="1" applyAlignment="1">
      <alignment horizontal="center" vertical="center" wrapText="1"/>
    </xf>
    <xf numFmtId="164" fontId="56" fillId="3" borderId="0" xfId="0" applyNumberFormat="1" applyFont="1" applyFill="1" applyAlignment="1">
      <alignment horizontal="left" vertical="center"/>
    </xf>
    <xf numFmtId="0" fontId="23" fillId="3" borderId="0" xfId="0" applyFont="1" applyFill="1" applyAlignment="1">
      <alignment horizontal="center" vertical="center" wrapText="1"/>
    </xf>
    <xf numFmtId="164" fontId="45" fillId="3" borderId="17" xfId="0" applyNumberFormat="1" applyFont="1" applyFill="1" applyBorder="1" applyAlignment="1">
      <alignment horizontal="left" vertical="center"/>
    </xf>
    <xf numFmtId="0" fontId="24" fillId="3" borderId="4" xfId="0" applyFont="1" applyFill="1" applyBorder="1" applyAlignment="1">
      <alignment horizontal="center" vertical="center"/>
    </xf>
    <xf numFmtId="164" fontId="56" fillId="3" borderId="0" xfId="0" applyNumberFormat="1" applyFont="1" applyFill="1" applyAlignment="1">
      <alignment horizontal="center" vertical="center"/>
    </xf>
    <xf numFmtId="164" fontId="24" fillId="3" borderId="4" xfId="0" applyNumberFormat="1" applyFont="1" applyFill="1" applyBorder="1" applyAlignment="1">
      <alignment horizontal="center" vertical="center"/>
    </xf>
    <xf numFmtId="164" fontId="45" fillId="2" borderId="17" xfId="0" applyNumberFormat="1" applyFont="1" applyFill="1" applyBorder="1" applyAlignment="1">
      <alignment horizontal="center" vertical="center"/>
    </xf>
    <xf numFmtId="164" fontId="45" fillId="3" borderId="18" xfId="0" applyNumberFormat="1" applyFont="1" applyFill="1" applyBorder="1" applyAlignment="1">
      <alignment horizontal="left" vertical="center"/>
    </xf>
    <xf numFmtId="164" fontId="0" fillId="40" borderId="0" xfId="0" applyNumberFormat="1" applyFill="1" applyAlignment="1">
      <alignment horizontal="center" vertical="center" wrapText="1"/>
    </xf>
    <xf numFmtId="0" fontId="24" fillId="3" borderId="0" xfId="0" applyFont="1" applyFill="1" applyAlignment="1">
      <alignment horizontal="center" vertical="center" wrapText="1"/>
    </xf>
    <xf numFmtId="164" fontId="24" fillId="3" borderId="17" xfId="0" applyNumberFormat="1" applyFont="1" applyFill="1" applyBorder="1" applyAlignment="1">
      <alignment horizontal="left" vertical="center"/>
    </xf>
    <xf numFmtId="164" fontId="24" fillId="3" borderId="0" xfId="0" applyNumberFormat="1" applyFont="1" applyFill="1" applyAlignment="1">
      <alignment horizontal="left" vertical="center"/>
    </xf>
    <xf numFmtId="164" fontId="24" fillId="3" borderId="18" xfId="0" applyNumberFormat="1" applyFont="1" applyFill="1" applyBorder="1" applyAlignment="1">
      <alignment horizontal="left" vertical="center"/>
    </xf>
    <xf numFmtId="164" fontId="24" fillId="3" borderId="0" xfId="0" applyNumberFormat="1" applyFont="1" applyFill="1" applyAlignment="1">
      <alignment horizontal="center" vertical="center" wrapText="1"/>
    </xf>
    <xf numFmtId="164" fontId="24" fillId="3" borderId="17" xfId="0" applyNumberFormat="1" applyFont="1" applyFill="1" applyBorder="1" applyAlignment="1">
      <alignment horizontal="left" vertical="center" wrapText="1"/>
    </xf>
    <xf numFmtId="164" fontId="0" fillId="3" borderId="3" xfId="0" applyNumberFormat="1" applyFill="1" applyBorder="1" applyAlignment="1">
      <alignment horizontal="left" vertical="center" wrapText="1"/>
    </xf>
    <xf numFmtId="164" fontId="0" fillId="2" borderId="0" xfId="0" applyNumberFormat="1" applyFill="1" applyAlignment="1">
      <alignment horizontal="center" vertical="center"/>
    </xf>
    <xf numFmtId="0" fontId="0" fillId="3" borderId="0" xfId="0" applyFill="1" applyAlignment="1">
      <alignment horizontal="left" wrapText="1"/>
    </xf>
    <xf numFmtId="16" fontId="0" fillId="3" borderId="17" xfId="0" applyNumberFormat="1" applyFill="1" applyBorder="1" applyAlignment="1">
      <alignment horizontal="left" vertical="center"/>
    </xf>
    <xf numFmtId="0" fontId="0" fillId="67" borderId="0" xfId="0" applyFill="1" applyAlignment="1">
      <alignment horizontal="left" vertical="center" wrapText="1"/>
    </xf>
    <xf numFmtId="164" fontId="0" fillId="2" borderId="0" xfId="0" applyNumberFormat="1" applyFill="1" applyAlignment="1">
      <alignment horizontal="left" vertical="center" wrapText="1"/>
    </xf>
    <xf numFmtId="44" fontId="0" fillId="3" borderId="0" xfId="47" applyFont="1" applyFill="1" applyBorder="1" applyAlignment="1">
      <alignment horizontal="left" vertical="center"/>
    </xf>
    <xf numFmtId="0" fontId="0" fillId="0" borderId="18" xfId="0" applyBorder="1" applyAlignment="1">
      <alignment horizontal="center" vertical="center" wrapText="1"/>
    </xf>
    <xf numFmtId="0" fontId="53" fillId="0" borderId="18" xfId="0" applyFont="1" applyBorder="1" applyAlignment="1">
      <alignment horizontal="center" vertical="center" wrapText="1"/>
    </xf>
    <xf numFmtId="164" fontId="0" fillId="0" borderId="18" xfId="0" applyNumberFormat="1" applyBorder="1" applyAlignment="1">
      <alignment horizontal="left" vertical="center" wrapText="1"/>
    </xf>
    <xf numFmtId="0" fontId="53" fillId="2" borderId="0" xfId="0" applyFont="1" applyFill="1" applyAlignment="1">
      <alignment horizontal="center" vertical="center" wrapText="1"/>
    </xf>
    <xf numFmtId="0" fontId="0" fillId="40" borderId="0" xfId="0" applyFill="1" applyAlignment="1">
      <alignment wrapText="1"/>
    </xf>
    <xf numFmtId="0" fontId="56" fillId="3" borderId="0" xfId="0" applyFont="1" applyFill="1" applyAlignment="1">
      <alignment horizontal="left" vertical="center" wrapText="1"/>
    </xf>
    <xf numFmtId="164" fontId="45" fillId="3" borderId="0" xfId="0" applyNumberFormat="1" applyFont="1" applyFill="1" applyAlignment="1">
      <alignment horizontal="left" vertical="center"/>
    </xf>
    <xf numFmtId="0" fontId="0" fillId="3" borderId="3" xfId="0" applyFill="1" applyBorder="1" applyAlignment="1">
      <alignment horizontal="left" vertical="center"/>
    </xf>
    <xf numFmtId="0" fontId="24" fillId="3" borderId="3" xfId="0" applyFont="1" applyFill="1" applyBorder="1" applyAlignment="1">
      <alignment horizontal="left" vertical="center"/>
    </xf>
    <xf numFmtId="0" fontId="0" fillId="3" borderId="3" xfId="0" applyFill="1" applyBorder="1" applyAlignment="1">
      <alignment horizontal="left" vertical="center" wrapText="1"/>
    </xf>
    <xf numFmtId="0" fontId="23" fillId="3" borderId="0" xfId="0" applyFont="1" applyFill="1" applyAlignment="1">
      <alignment horizontal="left" vertical="center"/>
    </xf>
    <xf numFmtId="164" fontId="0" fillId="0" borderId="23" xfId="0" applyNumberFormat="1" applyBorder="1" applyAlignment="1">
      <alignment horizontal="left" vertical="center"/>
    </xf>
    <xf numFmtId="164" fontId="0" fillId="0" borderId="23" xfId="0" applyNumberFormat="1" applyBorder="1" applyAlignment="1">
      <alignment horizontal="center" vertical="center"/>
    </xf>
    <xf numFmtId="0" fontId="53" fillId="0" borderId="23" xfId="0" applyFont="1" applyBorder="1" applyAlignment="1">
      <alignment horizontal="center" vertical="center"/>
    </xf>
    <xf numFmtId="0" fontId="57" fillId="0" borderId="23" xfId="0" applyFont="1" applyBorder="1" applyAlignment="1">
      <alignment horizontal="center" vertical="center"/>
    </xf>
    <xf numFmtId="0" fontId="0" fillId="0" borderId="23" xfId="0" applyBorder="1" applyAlignment="1">
      <alignment horizontal="left" vertical="center" wrapText="1"/>
    </xf>
    <xf numFmtId="164" fontId="0" fillId="0" borderId="23" xfId="0" applyNumberFormat="1" applyBorder="1" applyAlignment="1">
      <alignment vertical="center"/>
    </xf>
    <xf numFmtId="0" fontId="118" fillId="60" borderId="23" xfId="0" applyFont="1" applyFill="1" applyBorder="1" applyAlignment="1">
      <alignment vertical="center"/>
    </xf>
    <xf numFmtId="0" fontId="53" fillId="0" borderId="23" xfId="0" applyFont="1" applyBorder="1" applyAlignment="1">
      <alignment vertical="center" wrapText="1"/>
    </xf>
    <xf numFmtId="164" fontId="0" fillId="0" borderId="31" xfId="0" applyNumberFormat="1" applyBorder="1" applyAlignment="1">
      <alignment horizontal="center" vertical="center"/>
    </xf>
    <xf numFmtId="164" fontId="0" fillId="0" borderId="31" xfId="0" applyNumberFormat="1" applyBorder="1" applyAlignment="1">
      <alignment horizontal="left" vertical="center"/>
    </xf>
    <xf numFmtId="0" fontId="0" fillId="4" borderId="23" xfId="0" applyFill="1" applyBorder="1" applyAlignment="1">
      <alignment vertical="center"/>
    </xf>
    <xf numFmtId="164" fontId="45" fillId="3" borderId="0" xfId="0" applyNumberFormat="1" applyFont="1" applyFill="1" applyAlignment="1">
      <alignment horizontal="center" vertical="center"/>
    </xf>
    <xf numFmtId="164" fontId="45" fillId="0" borderId="31" xfId="0" applyNumberFormat="1" applyFont="1" applyBorder="1" applyAlignment="1">
      <alignment horizontal="center" vertical="center"/>
    </xf>
    <xf numFmtId="49" fontId="0" fillId="0" borderId="31" xfId="0" applyNumberFormat="1" applyBorder="1" applyAlignment="1">
      <alignment horizontal="center" vertical="center"/>
    </xf>
    <xf numFmtId="10" fontId="0" fillId="0" borderId="18" xfId="77" applyNumberFormat="1" applyFont="1" applyBorder="1" applyAlignment="1">
      <alignment horizontal="left" vertical="center"/>
    </xf>
    <xf numFmtId="10" fontId="0" fillId="0" borderId="0" xfId="77" applyNumberFormat="1" applyFont="1" applyAlignment="1">
      <alignment horizontal="left" vertical="center"/>
    </xf>
    <xf numFmtId="164" fontId="23" fillId="2" borderId="0" xfId="0" applyNumberFormat="1" applyFont="1" applyFill="1" applyAlignment="1">
      <alignment horizontal="left" vertical="center"/>
    </xf>
    <xf numFmtId="0" fontId="118" fillId="43" borderId="23" xfId="0" applyFont="1" applyFill="1" applyBorder="1" applyAlignment="1">
      <alignment horizontal="center" vertical="center"/>
    </xf>
    <xf numFmtId="164" fontId="23" fillId="3" borderId="0" xfId="0" applyNumberFormat="1" applyFont="1" applyFill="1" applyAlignment="1">
      <alignment horizontal="left" vertical="center"/>
    </xf>
    <xf numFmtId="10" fontId="0" fillId="0" borderId="18" xfId="77" applyNumberFormat="1" applyFont="1" applyBorder="1" applyAlignment="1">
      <alignment horizontal="left" vertical="center" wrapText="1"/>
    </xf>
    <xf numFmtId="0" fontId="24" fillId="3" borderId="23" xfId="0" applyFont="1" applyFill="1" applyBorder="1" applyAlignment="1">
      <alignment horizontal="left" vertical="center"/>
    </xf>
    <xf numFmtId="0" fontId="56" fillId="3" borderId="0" xfId="0" applyFont="1" applyFill="1" applyAlignment="1">
      <alignment horizontal="left" vertical="center"/>
    </xf>
    <xf numFmtId="0" fontId="0" fillId="3" borderId="23" xfId="0" applyFill="1" applyBorder="1" applyAlignment="1">
      <alignment horizontal="left" vertical="center" wrapText="1"/>
    </xf>
    <xf numFmtId="49" fontId="0" fillId="3" borderId="0" xfId="0" applyNumberFormat="1" applyFill="1" applyAlignment="1">
      <alignment horizontal="left" vertical="center"/>
    </xf>
    <xf numFmtId="10" fontId="0" fillId="3" borderId="18" xfId="77" applyNumberFormat="1" applyFont="1" applyFill="1" applyBorder="1" applyAlignment="1">
      <alignment horizontal="left" vertical="center"/>
    </xf>
    <xf numFmtId="10" fontId="0" fillId="0" borderId="0" xfId="77" applyNumberFormat="1" applyFont="1" applyBorder="1" applyAlignment="1">
      <alignment horizontal="left" vertical="center"/>
    </xf>
    <xf numFmtId="10" fontId="0" fillId="0" borderId="0" xfId="0" applyNumberFormat="1" applyAlignment="1">
      <alignment horizontal="left" vertical="center"/>
    </xf>
    <xf numFmtId="10" fontId="0" fillId="0" borderId="18" xfId="0" applyNumberFormat="1" applyBorder="1" applyAlignment="1">
      <alignment horizontal="left" vertical="center"/>
    </xf>
    <xf numFmtId="164" fontId="23" fillId="3" borderId="0" xfId="0" applyNumberFormat="1" applyFont="1" applyFill="1" applyAlignment="1">
      <alignment horizontal="center" vertical="center"/>
    </xf>
    <xf numFmtId="49" fontId="24" fillId="3" borderId="0" xfId="0" applyNumberFormat="1" applyFont="1" applyFill="1" applyAlignment="1">
      <alignment horizontal="left" vertical="center"/>
    </xf>
    <xf numFmtId="164" fontId="0" fillId="3" borderId="23" xfId="0" applyNumberFormat="1" applyFill="1" applyBorder="1" applyAlignment="1">
      <alignment horizontal="left" vertical="center"/>
    </xf>
    <xf numFmtId="10" fontId="0" fillId="3" borderId="19" xfId="77" applyNumberFormat="1" applyFont="1" applyFill="1" applyBorder="1" applyAlignment="1">
      <alignment horizontal="left" vertical="center"/>
    </xf>
    <xf numFmtId="164" fontId="56" fillId="3" borderId="17" xfId="0" applyNumberFormat="1" applyFont="1" applyFill="1" applyBorder="1" applyAlignment="1">
      <alignment horizontal="left" vertical="center"/>
    </xf>
    <xf numFmtId="0" fontId="17" fillId="0" borderId="0" xfId="0" applyFont="1" applyAlignment="1">
      <alignment horizontal="center"/>
    </xf>
    <xf numFmtId="0" fontId="125" fillId="0" borderId="0" xfId="0" applyFont="1" applyAlignment="1">
      <alignment horizontal="center"/>
    </xf>
    <xf numFmtId="0" fontId="125" fillId="0" borderId="0" xfId="0" applyFont="1" applyAlignment="1">
      <alignment horizontal="center" vertical="center"/>
    </xf>
    <xf numFmtId="0" fontId="56" fillId="3" borderId="17" xfId="0" applyFont="1" applyFill="1" applyBorder="1" applyAlignment="1">
      <alignment horizontal="left" vertical="center" wrapText="1"/>
    </xf>
    <xf numFmtId="164" fontId="23" fillId="0" borderId="0" xfId="0" applyNumberFormat="1" applyFont="1" applyAlignment="1">
      <alignment horizontal="left" vertical="center"/>
    </xf>
    <xf numFmtId="0" fontId="0" fillId="3" borderId="23" xfId="0" applyFill="1" applyBorder="1" applyAlignment="1">
      <alignment horizontal="left"/>
    </xf>
    <xf numFmtId="0" fontId="24" fillId="3" borderId="17" xfId="0" applyFont="1" applyFill="1" applyBorder="1" applyAlignment="1">
      <alignment horizontal="left" vertical="center" wrapText="1"/>
    </xf>
    <xf numFmtId="0" fontId="0" fillId="3" borderId="33" xfId="0" applyFill="1" applyBorder="1" applyAlignment="1">
      <alignment horizontal="left" vertical="center"/>
    </xf>
    <xf numFmtId="0" fontId="126" fillId="4" borderId="0" xfId="0" applyFont="1" applyFill="1" applyAlignment="1">
      <alignment horizontal="center"/>
    </xf>
    <xf numFmtId="0" fontId="0" fillId="0" borderId="52" xfId="0" applyBorder="1" applyAlignment="1">
      <alignment horizontal="left"/>
    </xf>
    <xf numFmtId="10" fontId="0" fillId="0" borderId="19" xfId="0" applyNumberFormat="1" applyBorder="1" applyAlignment="1">
      <alignment horizontal="left" vertical="center"/>
    </xf>
    <xf numFmtId="10" fontId="0" fillId="3" borderId="0" xfId="77" applyNumberFormat="1" applyFont="1" applyFill="1" applyBorder="1" applyAlignment="1">
      <alignment horizontal="left" vertical="center"/>
    </xf>
    <xf numFmtId="0" fontId="53" fillId="3" borderId="17" xfId="0" applyFont="1" applyFill="1" applyBorder="1" applyAlignment="1">
      <alignment horizontal="left" vertical="center"/>
    </xf>
    <xf numFmtId="0" fontId="29" fillId="3" borderId="23" xfId="0" applyFont="1" applyFill="1" applyBorder="1" applyAlignment="1">
      <alignment horizontal="left" vertical="center"/>
    </xf>
    <xf numFmtId="0" fontId="53" fillId="3" borderId="0" xfId="0" applyFont="1" applyFill="1" applyAlignment="1">
      <alignment horizontal="left" vertical="center"/>
    </xf>
    <xf numFmtId="0" fontId="0" fillId="56" borderId="0" xfId="0" applyFill="1" applyAlignment="1">
      <alignment horizontal="center" vertical="center"/>
    </xf>
    <xf numFmtId="0" fontId="0" fillId="56" borderId="0" xfId="0" applyFill="1"/>
    <xf numFmtId="0" fontId="0" fillId="2" borderId="0" xfId="0" applyFill="1" applyAlignment="1">
      <alignment horizontal="left" vertical="top" wrapText="1"/>
    </xf>
    <xf numFmtId="164" fontId="0" fillId="2" borderId="0" xfId="0" applyNumberFormat="1" applyFill="1" applyAlignment="1">
      <alignment horizontal="left" vertical="center"/>
    </xf>
    <xf numFmtId="0" fontId="57" fillId="2" borderId="0" xfId="0" applyFont="1" applyFill="1" applyAlignment="1">
      <alignment horizontal="center" vertical="center"/>
    </xf>
    <xf numFmtId="0" fontId="29" fillId="2" borderId="23" xfId="0" applyFont="1" applyFill="1" applyBorder="1" applyAlignment="1">
      <alignment horizontal="left" vertical="center"/>
    </xf>
    <xf numFmtId="0" fontId="29" fillId="2" borderId="0" xfId="0" applyFont="1" applyFill="1"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center"/>
    </xf>
    <xf numFmtId="164" fontId="23" fillId="0" borderId="0" xfId="0" applyNumberFormat="1" applyFont="1" applyAlignment="1">
      <alignment horizontal="center"/>
    </xf>
    <xf numFmtId="10" fontId="0" fillId="3" borderId="18" xfId="0" applyNumberFormat="1" applyFill="1" applyBorder="1" applyAlignment="1">
      <alignment horizontal="left" vertical="center"/>
    </xf>
    <xf numFmtId="0" fontId="53" fillId="0" borderId="0" xfId="0" applyFont="1" applyAlignment="1">
      <alignment horizontal="center" vertical="center" wrapText="1"/>
    </xf>
    <xf numFmtId="164" fontId="17" fillId="0" borderId="0" xfId="0" applyNumberFormat="1" applyFont="1" applyAlignment="1">
      <alignment horizontal="center"/>
    </xf>
    <xf numFmtId="0" fontId="53" fillId="3" borderId="0" xfId="0" applyFont="1" applyFill="1" applyAlignment="1">
      <alignment horizontal="left" vertical="center" wrapText="1"/>
    </xf>
    <xf numFmtId="10" fontId="0" fillId="3" borderId="0" xfId="0" applyNumberFormat="1" applyFill="1" applyAlignment="1">
      <alignment horizontal="left" vertical="center"/>
    </xf>
    <xf numFmtId="0" fontId="70" fillId="3" borderId="0" xfId="0" applyFont="1" applyFill="1" applyAlignment="1">
      <alignment horizontal="left" vertical="center" wrapText="1"/>
    </xf>
    <xf numFmtId="164" fontId="23" fillId="3" borderId="0" xfId="0" applyNumberFormat="1" applyFont="1" applyFill="1" applyAlignment="1">
      <alignment horizontal="left" vertical="center" wrapText="1"/>
    </xf>
    <xf numFmtId="10" fontId="0" fillId="0" borderId="18" xfId="77" applyNumberFormat="1" applyFont="1" applyBorder="1" applyAlignment="1">
      <alignment horizontal="center" vertical="center"/>
    </xf>
    <xf numFmtId="10" fontId="0" fillId="0" borderId="18" xfId="0" applyNumberFormat="1" applyBorder="1" applyAlignment="1">
      <alignment horizontal="center" vertical="center"/>
    </xf>
    <xf numFmtId="10" fontId="0" fillId="0" borderId="0" xfId="0" applyNumberFormat="1" applyAlignment="1">
      <alignment horizontal="center" vertical="center"/>
    </xf>
    <xf numFmtId="164" fontId="0" fillId="3" borderId="0" xfId="0" applyNumberFormat="1" applyFill="1" applyAlignment="1">
      <alignment horizontal="center" vertical="center" wrapText="1"/>
    </xf>
    <xf numFmtId="164" fontId="45" fillId="3" borderId="0" xfId="0" applyNumberFormat="1" applyFont="1" applyFill="1" applyAlignment="1">
      <alignment horizontal="center" vertical="center" wrapText="1"/>
    </xf>
    <xf numFmtId="0" fontId="132" fillId="4" borderId="53" xfId="0" applyFont="1" applyFill="1" applyBorder="1" applyAlignment="1">
      <alignment horizontal="center" vertical="center"/>
    </xf>
    <xf numFmtId="0" fontId="132" fillId="4" borderId="54" xfId="0" applyFont="1" applyFill="1" applyBorder="1" applyAlignment="1">
      <alignment horizontal="center" vertical="center"/>
    </xf>
    <xf numFmtId="16" fontId="132" fillId="0" borderId="55" xfId="0" applyNumberFormat="1" applyFont="1" applyBorder="1" applyAlignment="1">
      <alignment horizontal="center" vertical="center"/>
    </xf>
    <xf numFmtId="0" fontId="132" fillId="0" borderId="43" xfId="0" applyFont="1" applyBorder="1" applyAlignment="1">
      <alignment horizontal="center" vertical="center"/>
    </xf>
    <xf numFmtId="164" fontId="0" fillId="4" borderId="0" xfId="0" applyNumberFormat="1" applyFill="1" applyAlignment="1">
      <alignment horizontal="center"/>
    </xf>
    <xf numFmtId="2" fontId="0" fillId="4" borderId="0" xfId="0" applyNumberFormat="1" applyFill="1" applyAlignment="1">
      <alignment horizontal="center" vertical="center"/>
    </xf>
    <xf numFmtId="0" fontId="29" fillId="0" borderId="0" xfId="0" applyFont="1"/>
    <xf numFmtId="166" fontId="0" fillId="0" borderId="0" xfId="0" applyNumberFormat="1"/>
    <xf numFmtId="0" fontId="70" fillId="3" borderId="17" xfId="0" applyFont="1" applyFill="1" applyBorder="1" applyAlignment="1">
      <alignment horizontal="left" vertical="center" wrapText="1"/>
    </xf>
    <xf numFmtId="10" fontId="0" fillId="3" borderId="18" xfId="77" applyNumberFormat="1" applyFont="1" applyFill="1" applyBorder="1" applyAlignment="1">
      <alignment horizontal="left"/>
    </xf>
    <xf numFmtId="0" fontId="22" fillId="0" borderId="0" xfId="1" applyAlignment="1">
      <alignment horizontal="center"/>
    </xf>
    <xf numFmtId="0" fontId="131" fillId="0" borderId="0" xfId="0" applyFont="1" applyAlignment="1">
      <alignment horizontal="center" vertical="center"/>
    </xf>
    <xf numFmtId="0" fontId="0" fillId="3" borderId="38" xfId="0" applyFill="1" applyBorder="1" applyAlignment="1">
      <alignment horizontal="left" vertical="center"/>
    </xf>
    <xf numFmtId="164" fontId="23" fillId="3" borderId="0" xfId="0" applyNumberFormat="1" applyFont="1" applyFill="1" applyAlignment="1">
      <alignment horizontal="center" vertical="center" wrapText="1"/>
    </xf>
    <xf numFmtId="164" fontId="57" fillId="40" borderId="0" xfId="0" applyNumberFormat="1" applyFont="1" applyFill="1" applyAlignment="1">
      <alignment horizontal="center" vertical="center" wrapText="1"/>
    </xf>
    <xf numFmtId="164" fontId="0" fillId="2" borderId="0" xfId="0" applyNumberFormat="1" applyFill="1" applyAlignment="1">
      <alignment horizontal="center" vertical="center" wrapText="1"/>
    </xf>
    <xf numFmtId="164" fontId="23" fillId="2" borderId="0" xfId="0" applyNumberFormat="1" applyFont="1" applyFill="1" applyAlignment="1">
      <alignment horizontal="left" vertical="center" wrapText="1"/>
    </xf>
    <xf numFmtId="164" fontId="29" fillId="40" borderId="0" xfId="0" applyNumberFormat="1" applyFont="1" applyFill="1" applyAlignment="1">
      <alignment horizontal="center" vertical="center" wrapText="1"/>
    </xf>
    <xf numFmtId="0" fontId="0" fillId="2" borderId="0" xfId="0" applyFill="1" applyAlignment="1">
      <alignment wrapText="1"/>
    </xf>
    <xf numFmtId="0" fontId="0" fillId="40" borderId="0" xfId="0" applyFill="1" applyAlignment="1">
      <alignment horizontal="center" wrapText="1"/>
    </xf>
    <xf numFmtId="164" fontId="0" fillId="0" borderId="17" xfId="0" applyNumberFormat="1" applyBorder="1" applyAlignment="1">
      <alignment horizontal="center" vertical="center" wrapText="1"/>
    </xf>
    <xf numFmtId="165" fontId="0" fillId="0" borderId="0" xfId="0" applyNumberFormat="1" applyAlignment="1">
      <alignment horizontal="left" vertical="center" wrapText="1"/>
    </xf>
    <xf numFmtId="164" fontId="23" fillId="2" borderId="0" xfId="0" applyNumberFormat="1" applyFont="1" applyFill="1" applyAlignment="1">
      <alignment horizontal="center" vertical="center" wrapText="1"/>
    </xf>
    <xf numFmtId="165" fontId="0" fillId="0" borderId="17" xfId="0" applyNumberFormat="1" applyBorder="1" applyAlignment="1">
      <alignment horizontal="center" vertical="center" wrapText="1"/>
    </xf>
    <xf numFmtId="10" fontId="0" fillId="0" borderId="17" xfId="0" applyNumberFormat="1" applyBorder="1" applyAlignment="1">
      <alignment horizontal="left" vertical="center" wrapText="1"/>
    </xf>
    <xf numFmtId="0" fontId="0" fillId="0" borderId="17" xfId="0" applyBorder="1" applyAlignment="1">
      <alignment horizontal="center" wrapText="1"/>
    </xf>
    <xf numFmtId="0" fontId="0" fillId="0" borderId="17" xfId="0" applyBorder="1" applyAlignment="1">
      <alignment wrapText="1"/>
    </xf>
    <xf numFmtId="0" fontId="0" fillId="2" borderId="24" xfId="0" applyFill="1" applyBorder="1" applyAlignment="1">
      <alignment horizontal="center" vertical="center" wrapText="1"/>
    </xf>
    <xf numFmtId="0" fontId="56" fillId="0" borderId="17" xfId="0" applyFont="1" applyBorder="1" applyAlignment="1">
      <alignment horizontal="center" vertical="center" wrapText="1"/>
    </xf>
    <xf numFmtId="0" fontId="0" fillId="2" borderId="23" xfId="0" applyFill="1" applyBorder="1" applyAlignment="1">
      <alignment horizontal="center" vertical="center" wrapText="1"/>
    </xf>
    <xf numFmtId="16" fontId="0" fillId="2" borderId="0" xfId="0" applyNumberFormat="1" applyFill="1" applyAlignment="1">
      <alignment horizontal="center" vertical="center" wrapText="1"/>
    </xf>
    <xf numFmtId="0" fontId="0" fillId="2" borderId="17" xfId="0" applyFill="1" applyBorder="1" applyAlignment="1">
      <alignment horizontal="center" vertical="center" wrapText="1"/>
    </xf>
    <xf numFmtId="49" fontId="0" fillId="2" borderId="0" xfId="0" applyNumberFormat="1" applyFill="1" applyAlignment="1">
      <alignment horizontal="center" vertical="center" wrapText="1"/>
    </xf>
    <xf numFmtId="0" fontId="56" fillId="0" borderId="38" xfId="0" applyFont="1" applyBorder="1" applyAlignment="1">
      <alignment horizontal="center" vertical="center" wrapText="1"/>
    </xf>
    <xf numFmtId="0" fontId="53" fillId="3" borderId="0" xfId="0" applyFont="1" applyFill="1" applyAlignment="1">
      <alignment horizontal="center" vertical="center"/>
    </xf>
    <xf numFmtId="164" fontId="23" fillId="0" borderId="17" xfId="0" applyNumberFormat="1" applyFont="1" applyBorder="1" applyAlignment="1">
      <alignment horizontal="center" vertical="center" wrapText="1"/>
    </xf>
    <xf numFmtId="0" fontId="0" fillId="2" borderId="18" xfId="0" applyFill="1" applyBorder="1" applyAlignment="1">
      <alignment horizontal="center" vertical="center" wrapText="1"/>
    </xf>
    <xf numFmtId="10" fontId="0" fillId="0" borderId="0" xfId="0" applyNumberFormat="1" applyAlignment="1">
      <alignment horizontal="center" vertical="center" wrapText="1"/>
    </xf>
    <xf numFmtId="0" fontId="56" fillId="0" borderId="17" xfId="0" applyFont="1" applyBorder="1" applyAlignment="1">
      <alignment horizontal="left" vertical="center" wrapText="1"/>
    </xf>
    <xf numFmtId="10" fontId="0" fillId="0" borderId="17" xfId="0" applyNumberFormat="1" applyBorder="1" applyAlignment="1">
      <alignment horizontal="left" vertical="center"/>
    </xf>
    <xf numFmtId="0" fontId="56" fillId="0" borderId="51" xfId="0" applyFont="1" applyBorder="1" applyAlignment="1">
      <alignment horizontal="center" vertical="center" wrapText="1"/>
    </xf>
    <xf numFmtId="0" fontId="53" fillId="61" borderId="17" xfId="0" applyFont="1" applyFill="1" applyBorder="1" applyAlignment="1">
      <alignment horizontal="left" vertical="center" wrapText="1"/>
    </xf>
    <xf numFmtId="164" fontId="56" fillId="0" borderId="17" xfId="0" applyNumberFormat="1" applyFont="1" applyBorder="1" applyAlignment="1">
      <alignment horizontal="center" vertical="center" wrapText="1"/>
    </xf>
    <xf numFmtId="164" fontId="56" fillId="3" borderId="0" xfId="0" applyNumberFormat="1" applyFont="1" applyFill="1" applyAlignment="1">
      <alignment horizontal="center" vertical="center" wrapText="1"/>
    </xf>
    <xf numFmtId="164" fontId="24" fillId="3" borderId="17" xfId="0" applyNumberFormat="1" applyFont="1" applyFill="1" applyBorder="1" applyAlignment="1">
      <alignment horizontal="center" vertical="center" wrapText="1"/>
    </xf>
    <xf numFmtId="0" fontId="24" fillId="3" borderId="0" xfId="0" quotePrefix="1" applyFont="1" applyFill="1" applyAlignment="1">
      <alignment horizontal="center" vertical="center"/>
    </xf>
    <xf numFmtId="0" fontId="0" fillId="2" borderId="23" xfId="0" applyFill="1" applyBorder="1" applyAlignment="1">
      <alignment horizontal="center" vertical="center"/>
    </xf>
    <xf numFmtId="0" fontId="53" fillId="3" borderId="0" xfId="0" applyFont="1" applyFill="1" applyAlignment="1">
      <alignment horizontal="center" vertical="center" wrapText="1"/>
    </xf>
    <xf numFmtId="0" fontId="57" fillId="3" borderId="0" xfId="0" applyFont="1" applyFill="1" applyAlignment="1">
      <alignment horizontal="center" vertical="center"/>
    </xf>
    <xf numFmtId="16" fontId="0" fillId="3" borderId="0" xfId="0" applyNumberFormat="1" applyFill="1" applyAlignment="1">
      <alignment horizontal="center" vertical="center" wrapText="1"/>
    </xf>
    <xf numFmtId="0" fontId="70" fillId="3" borderId="0" xfId="0" applyFont="1" applyFill="1" applyAlignment="1">
      <alignment horizontal="center" vertical="center" wrapText="1"/>
    </xf>
    <xf numFmtId="16" fontId="0" fillId="2" borderId="17" xfId="0" applyNumberFormat="1" applyFill="1" applyBorder="1" applyAlignment="1">
      <alignment horizontal="center" vertical="center"/>
    </xf>
    <xf numFmtId="164" fontId="56" fillId="3" borderId="18" xfId="0" applyNumberFormat="1" applyFont="1" applyFill="1" applyBorder="1" applyAlignment="1">
      <alignment horizontal="center" vertical="center" wrapText="1"/>
    </xf>
    <xf numFmtId="0" fontId="0" fillId="4" borderId="0" xfId="0" applyFill="1"/>
    <xf numFmtId="0" fontId="0" fillId="4" borderId="17" xfId="0" applyFill="1" applyBorder="1" applyAlignment="1">
      <alignment horizontal="left" vertical="center"/>
    </xf>
    <xf numFmtId="0" fontId="0" fillId="4" borderId="17" xfId="0" applyFill="1" applyBorder="1" applyAlignment="1">
      <alignment horizontal="center" vertical="center"/>
    </xf>
    <xf numFmtId="0" fontId="0" fillId="0" borderId="34" xfId="0" applyBorder="1" applyAlignment="1">
      <alignment horizontal="center" vertical="center"/>
    </xf>
    <xf numFmtId="0" fontId="0" fillId="4" borderId="34" xfId="0" applyFill="1" applyBorder="1" applyAlignment="1">
      <alignment horizontal="center"/>
    </xf>
    <xf numFmtId="164" fontId="56" fillId="0" borderId="34" xfId="0" applyNumberFormat="1" applyFont="1" applyBorder="1" applyAlignment="1">
      <alignment horizontal="center" vertical="center" wrapText="1"/>
    </xf>
    <xf numFmtId="0" fontId="0" fillId="0" borderId="34" xfId="0" applyBorder="1" applyAlignment="1">
      <alignment horizontal="center"/>
    </xf>
    <xf numFmtId="0" fontId="0" fillId="0" borderId="34" xfId="0" applyBorder="1" applyAlignment="1">
      <alignment horizontal="left" vertical="center"/>
    </xf>
    <xf numFmtId="0" fontId="0" fillId="0" borderId="34" xfId="0" applyBorder="1" applyAlignment="1">
      <alignment horizontal="left"/>
    </xf>
    <xf numFmtId="0" fontId="56" fillId="3" borderId="17" xfId="0" applyFont="1" applyFill="1" applyBorder="1" applyAlignment="1">
      <alignment horizontal="center"/>
    </xf>
    <xf numFmtId="0" fontId="0" fillId="0" borderId="18" xfId="0" applyBorder="1" applyAlignment="1">
      <alignment horizontal="left" vertical="center" wrapText="1"/>
    </xf>
    <xf numFmtId="164" fontId="57" fillId="0" borderId="34" xfId="0" applyNumberFormat="1" applyFont="1" applyBorder="1" applyAlignment="1">
      <alignment horizontal="center"/>
    </xf>
    <xf numFmtId="164" fontId="57" fillId="0" borderId="34" xfId="0" applyNumberFormat="1" applyFont="1" applyBorder="1" applyAlignment="1">
      <alignment horizontal="center" vertical="center"/>
    </xf>
    <xf numFmtId="0" fontId="53" fillId="0" borderId="34" xfId="0" applyFont="1" applyBorder="1" applyAlignment="1">
      <alignment horizontal="center" vertical="center"/>
    </xf>
    <xf numFmtId="164" fontId="45" fillId="0" borderId="34" xfId="0" applyNumberFormat="1" applyFont="1" applyBorder="1" applyAlignment="1">
      <alignment horizontal="center" vertical="center"/>
    </xf>
    <xf numFmtId="0" fontId="57" fillId="0" borderId="34" xfId="0" applyFont="1" applyBorder="1" applyAlignment="1">
      <alignment horizontal="center" vertical="center"/>
    </xf>
    <xf numFmtId="164" fontId="0" fillId="0" borderId="34" xfId="0" applyNumberFormat="1" applyBorder="1" applyAlignment="1">
      <alignment horizontal="center" vertical="center"/>
    </xf>
    <xf numFmtId="0" fontId="0" fillId="0" borderId="34" xfId="0" applyBorder="1" applyAlignment="1">
      <alignment horizontal="left" vertical="top"/>
    </xf>
    <xf numFmtId="0" fontId="24" fillId="3" borderId="18" xfId="0" applyFont="1" applyFill="1" applyBorder="1" applyAlignment="1">
      <alignment horizontal="left" vertical="center" wrapText="1"/>
    </xf>
    <xf numFmtId="3" fontId="0" fillId="3" borderId="18" xfId="0" applyNumberFormat="1" applyFill="1" applyBorder="1" applyAlignment="1">
      <alignment horizontal="left" vertical="center"/>
    </xf>
    <xf numFmtId="164" fontId="56" fillId="3" borderId="18" xfId="0" applyNumberFormat="1" applyFont="1" applyFill="1" applyBorder="1" applyAlignment="1">
      <alignment horizontal="left" vertical="center"/>
    </xf>
    <xf numFmtId="10" fontId="0" fillId="0" borderId="17" xfId="77" applyNumberFormat="1" applyFont="1" applyBorder="1" applyAlignment="1">
      <alignment horizontal="left" vertical="center"/>
    </xf>
    <xf numFmtId="164" fontId="127" fillId="3" borderId="17" xfId="0" applyNumberFormat="1" applyFont="1" applyFill="1" applyBorder="1" applyAlignment="1">
      <alignment horizontal="center"/>
    </xf>
    <xf numFmtId="164" fontId="0" fillId="3" borderId="18" xfId="0" applyNumberFormat="1" applyFill="1" applyBorder="1" applyAlignment="1">
      <alignment horizontal="left" vertical="center" wrapText="1"/>
    </xf>
    <xf numFmtId="0" fontId="44" fillId="63" borderId="20" xfId="0" applyFont="1" applyFill="1" applyBorder="1" applyAlignment="1">
      <alignment horizontal="left" vertical="center"/>
    </xf>
    <xf numFmtId="10" fontId="44" fillId="63" borderId="20" xfId="77" applyNumberFormat="1" applyFont="1" applyFill="1" applyBorder="1" applyAlignment="1">
      <alignment horizontal="left" vertical="center"/>
    </xf>
    <xf numFmtId="0" fontId="0" fillId="3" borderId="19" xfId="0" applyFill="1" applyBorder="1" applyAlignment="1">
      <alignment horizontal="left" vertical="center"/>
    </xf>
    <xf numFmtId="0" fontId="29" fillId="3" borderId="19" xfId="0" applyFont="1" applyFill="1" applyBorder="1" applyAlignment="1">
      <alignment horizontal="left" vertical="center"/>
    </xf>
    <xf numFmtId="0" fontId="29" fillId="3" borderId="18" xfId="0" applyFont="1" applyFill="1" applyBorder="1" applyAlignment="1">
      <alignment horizontal="left" vertical="center"/>
    </xf>
    <xf numFmtId="0" fontId="0" fillId="4" borderId="0" xfId="0" applyFill="1" applyAlignment="1">
      <alignment horizontal="left" vertical="center" wrapText="1"/>
    </xf>
    <xf numFmtId="164" fontId="23" fillId="2" borderId="17" xfId="0" applyNumberFormat="1" applyFont="1" applyFill="1" applyBorder="1" applyAlignment="1">
      <alignment horizontal="left" vertical="center"/>
    </xf>
    <xf numFmtId="16" fontId="0" fillId="2" borderId="17" xfId="0" applyNumberFormat="1" applyFill="1" applyBorder="1" applyAlignment="1">
      <alignment horizontal="left" vertical="center"/>
    </xf>
    <xf numFmtId="164" fontId="0" fillId="2" borderId="17" xfId="0" applyNumberFormat="1" applyFill="1" applyBorder="1" applyAlignment="1">
      <alignment horizontal="left" vertical="center"/>
    </xf>
    <xf numFmtId="16" fontId="0" fillId="2" borderId="18" xfId="0" applyNumberFormat="1" applyFill="1" applyBorder="1" applyAlignment="1">
      <alignment horizontal="left" vertical="center"/>
    </xf>
    <xf numFmtId="164" fontId="0" fillId="2" borderId="18" xfId="0" applyNumberFormat="1" applyFill="1" applyBorder="1" applyAlignment="1">
      <alignment horizontal="left" vertical="center"/>
    </xf>
    <xf numFmtId="0" fontId="0" fillId="2" borderId="0" xfId="0" applyFill="1" applyAlignment="1">
      <alignment horizontal="left" wrapText="1"/>
    </xf>
    <xf numFmtId="164" fontId="45" fillId="2" borderId="19" xfId="0" applyNumberFormat="1" applyFont="1" applyFill="1" applyBorder="1" applyAlignment="1">
      <alignment horizontal="left" vertical="center" wrapText="1"/>
    </xf>
    <xf numFmtId="164" fontId="29" fillId="2" borderId="17" xfId="0" applyNumberFormat="1" applyFont="1" applyFill="1" applyBorder="1" applyAlignment="1">
      <alignment horizontal="left"/>
    </xf>
    <xf numFmtId="0" fontId="111" fillId="40" borderId="18" xfId="0" applyFont="1" applyFill="1" applyBorder="1" applyAlignment="1">
      <alignment horizontal="center"/>
    </xf>
    <xf numFmtId="0" fontId="0" fillId="40" borderId="18" xfId="0" applyFill="1" applyBorder="1" applyAlignment="1">
      <alignment horizontal="center" wrapText="1"/>
    </xf>
    <xf numFmtId="10" fontId="0" fillId="0" borderId="17" xfId="0" applyNumberFormat="1" applyBorder="1" applyAlignment="1">
      <alignment horizontal="center" vertical="center"/>
    </xf>
    <xf numFmtId="164" fontId="0" fillId="3" borderId="20" xfId="0" applyNumberFormat="1" applyFill="1" applyBorder="1" applyAlignment="1">
      <alignment horizontal="left" vertical="center"/>
    </xf>
    <xf numFmtId="16" fontId="0" fillId="3" borderId="18" xfId="0" applyNumberFormat="1" applyFill="1" applyBorder="1" applyAlignment="1">
      <alignment horizontal="left" vertical="center"/>
    </xf>
    <xf numFmtId="0" fontId="57" fillId="0" borderId="18" xfId="0" applyFont="1" applyBorder="1" applyAlignment="1">
      <alignment horizontal="left" vertical="center"/>
    </xf>
    <xf numFmtId="0" fontId="53" fillId="3" borderId="18" xfId="0" applyFont="1" applyFill="1" applyBorder="1" applyAlignment="1">
      <alignment horizontal="left" vertical="center"/>
    </xf>
    <xf numFmtId="0" fontId="57" fillId="0" borderId="18" xfId="0" applyFont="1" applyBorder="1" applyAlignment="1">
      <alignment horizontal="center" vertical="center"/>
    </xf>
    <xf numFmtId="0" fontId="57" fillId="2" borderId="17" xfId="0" applyFont="1" applyFill="1" applyBorder="1" applyAlignment="1">
      <alignment horizontal="center" vertical="center"/>
    </xf>
    <xf numFmtId="0" fontId="57" fillId="2" borderId="18" xfId="0" applyFont="1" applyFill="1" applyBorder="1" applyAlignment="1">
      <alignment horizontal="center" vertical="center"/>
    </xf>
    <xf numFmtId="0" fontId="44" fillId="63" borderId="20" xfId="0" applyFont="1" applyFill="1" applyBorder="1" applyAlignment="1">
      <alignment horizontal="center" vertical="center"/>
    </xf>
    <xf numFmtId="1" fontId="44" fillId="63" borderId="20" xfId="0" applyNumberFormat="1" applyFont="1" applyFill="1" applyBorder="1" applyAlignment="1">
      <alignment horizontal="center" vertical="center"/>
    </xf>
    <xf numFmtId="0" fontId="29" fillId="44" borderId="18" xfId="0" applyFont="1" applyFill="1" applyBorder="1" applyAlignment="1">
      <alignment horizontal="center" vertical="center"/>
    </xf>
    <xf numFmtId="164" fontId="29" fillId="44" borderId="18" xfId="0" applyNumberFormat="1" applyFont="1" applyFill="1" applyBorder="1" applyAlignment="1">
      <alignment horizontal="center" vertical="center"/>
    </xf>
    <xf numFmtId="0" fontId="29" fillId="44" borderId="18" xfId="0" applyFont="1" applyFill="1" applyBorder="1" applyAlignment="1">
      <alignment horizontal="left" vertical="center" wrapText="1"/>
    </xf>
    <xf numFmtId="0" fontId="29" fillId="44" borderId="18" xfId="44" applyFont="1" applyFill="1" applyBorder="1" applyAlignment="1">
      <alignment horizontal="left" vertical="center"/>
    </xf>
    <xf numFmtId="0" fontId="29" fillId="44" borderId="18" xfId="0" applyFont="1" applyFill="1" applyBorder="1" applyAlignment="1">
      <alignment horizontal="left" vertical="center"/>
    </xf>
    <xf numFmtId="10" fontId="29" fillId="44" borderId="18" xfId="0" applyNumberFormat="1" applyFont="1" applyFill="1" applyBorder="1" applyAlignment="1">
      <alignment horizontal="left" vertical="center"/>
    </xf>
    <xf numFmtId="0" fontId="116" fillId="0" borderId="17" xfId="0" applyFont="1" applyBorder="1" applyAlignment="1">
      <alignment horizontal="left" vertical="center"/>
    </xf>
    <xf numFmtId="10" fontId="0" fillId="3" borderId="17" xfId="77" applyNumberFormat="1" applyFont="1" applyFill="1" applyBorder="1" applyAlignment="1">
      <alignment horizontal="left" vertical="center"/>
    </xf>
    <xf numFmtId="20" fontId="0" fillId="0" borderId="17" xfId="0" applyNumberFormat="1" applyBorder="1" applyAlignment="1">
      <alignment horizontal="left" vertical="center"/>
    </xf>
    <xf numFmtId="0" fontId="0" fillId="40" borderId="20" xfId="0" applyFill="1" applyBorder="1" applyAlignment="1">
      <alignment horizontal="left" vertical="center" wrapText="1"/>
    </xf>
    <xf numFmtId="164" fontId="0" fillId="0" borderId="34" xfId="0" applyNumberFormat="1" applyBorder="1" applyAlignment="1">
      <alignment horizontal="left" vertical="center"/>
    </xf>
    <xf numFmtId="164" fontId="45" fillId="0" borderId="34" xfId="0" applyNumberFormat="1" applyFont="1" applyBorder="1" applyAlignment="1">
      <alignment horizontal="left" vertical="center"/>
    </xf>
    <xf numFmtId="0" fontId="0" fillId="4" borderId="34" xfId="0" applyFill="1" applyBorder="1" applyAlignment="1">
      <alignment horizontal="left" vertical="center"/>
    </xf>
    <xf numFmtId="0" fontId="0" fillId="0" borderId="34" xfId="0" applyBorder="1" applyAlignment="1">
      <alignment horizontal="left" vertical="center" wrapText="1"/>
    </xf>
    <xf numFmtId="10" fontId="0" fillId="0" borderId="34" xfId="0" applyNumberFormat="1" applyBorder="1" applyAlignment="1">
      <alignment horizontal="left" vertical="center"/>
    </xf>
    <xf numFmtId="164" fontId="0" fillId="4" borderId="17" xfId="0" applyNumberFormat="1" applyFill="1" applyBorder="1" applyAlignment="1">
      <alignment horizontal="left" vertical="center"/>
    </xf>
    <xf numFmtId="10" fontId="0" fillId="0" borderId="18" xfId="0" applyNumberFormat="1" applyBorder="1" applyAlignment="1">
      <alignment horizontal="center" vertical="center" wrapText="1"/>
    </xf>
    <xf numFmtId="164" fontId="0" fillId="4" borderId="34" xfId="0" applyNumberFormat="1" applyFill="1" applyBorder="1" applyAlignment="1">
      <alignment horizontal="left" vertical="center"/>
    </xf>
    <xf numFmtId="20" fontId="0" fillId="0" borderId="34" xfId="0" applyNumberFormat="1" applyBorder="1" applyAlignment="1">
      <alignment horizontal="left" vertical="center"/>
    </xf>
    <xf numFmtId="10" fontId="0" fillId="0" borderId="34" xfId="77" applyNumberFormat="1" applyFont="1" applyBorder="1" applyAlignment="1">
      <alignment horizontal="left" vertical="center"/>
    </xf>
    <xf numFmtId="0" fontId="0" fillId="3" borderId="20" xfId="0" applyFill="1" applyBorder="1" applyAlignment="1">
      <alignment horizontal="left" vertical="center" wrapText="1"/>
    </xf>
    <xf numFmtId="164" fontId="56" fillId="3" borderId="4" xfId="0" applyNumberFormat="1" applyFont="1" applyFill="1" applyBorder="1" applyAlignment="1">
      <alignment horizontal="left" vertical="center"/>
    </xf>
    <xf numFmtId="164" fontId="23" fillId="3" borderId="18" xfId="0" applyNumberFormat="1" applyFont="1" applyFill="1" applyBorder="1" applyAlignment="1">
      <alignment horizontal="left" vertical="center" wrapText="1"/>
    </xf>
    <xf numFmtId="0" fontId="24" fillId="3" borderId="18" xfId="0" applyFont="1" applyFill="1" applyBorder="1" applyAlignment="1">
      <alignment vertical="center"/>
    </xf>
    <xf numFmtId="10" fontId="0" fillId="40" borderId="18" xfId="0" applyNumberFormat="1" applyFill="1" applyBorder="1" applyAlignment="1">
      <alignment horizontal="center" vertical="center"/>
    </xf>
    <xf numFmtId="0" fontId="0" fillId="40" borderId="18" xfId="0" applyFill="1" applyBorder="1"/>
    <xf numFmtId="164" fontId="45" fillId="3" borderId="4" xfId="0" applyNumberFormat="1" applyFont="1" applyFill="1" applyBorder="1" applyAlignment="1">
      <alignment horizontal="left" vertical="center"/>
    </xf>
    <xf numFmtId="0" fontId="29" fillId="3" borderId="0" xfId="0" applyFont="1" applyFill="1" applyAlignment="1">
      <alignment horizontal="left" vertical="center"/>
    </xf>
    <xf numFmtId="0" fontId="0" fillId="2" borderId="17" xfId="0" applyFill="1" applyBorder="1" applyAlignment="1">
      <alignment horizontal="center"/>
    </xf>
    <xf numFmtId="0" fontId="17" fillId="3" borderId="18" xfId="0" applyFont="1" applyFill="1" applyBorder="1" applyAlignment="1">
      <alignment horizontal="left" vertical="center"/>
    </xf>
    <xf numFmtId="0" fontId="0" fillId="3" borderId="18" xfId="0" applyFill="1" applyBorder="1" applyAlignment="1">
      <alignment vertical="center" wrapText="1"/>
    </xf>
    <xf numFmtId="16" fontId="0" fillId="3" borderId="18" xfId="0" applyNumberFormat="1" applyFill="1" applyBorder="1" applyAlignment="1">
      <alignment horizontal="left" vertical="center" wrapText="1"/>
    </xf>
    <xf numFmtId="164" fontId="23" fillId="2" borderId="18" xfId="0" applyNumberFormat="1" applyFont="1" applyFill="1" applyBorder="1" applyAlignment="1">
      <alignment horizontal="center" vertical="center"/>
    </xf>
    <xf numFmtId="10" fontId="0" fillId="3" borderId="17" xfId="0" applyNumberFormat="1" applyFill="1" applyBorder="1" applyAlignment="1">
      <alignment horizontal="left" vertical="center"/>
    </xf>
    <xf numFmtId="0" fontId="0" fillId="0" borderId="22" xfId="0" applyBorder="1" applyAlignment="1">
      <alignment horizontal="left" vertical="center"/>
    </xf>
    <xf numFmtId="0" fontId="44" fillId="63" borderId="57" xfId="0" applyFont="1" applyFill="1" applyBorder="1" applyAlignment="1">
      <alignment horizontal="left" vertical="center"/>
    </xf>
    <xf numFmtId="1" fontId="44" fillId="63" borderId="57" xfId="0" applyNumberFormat="1" applyFont="1" applyFill="1" applyBorder="1" applyAlignment="1">
      <alignment horizontal="left" vertical="center"/>
    </xf>
    <xf numFmtId="10" fontId="44" fillId="63" borderId="57" xfId="77" applyNumberFormat="1" applyFont="1" applyFill="1" applyBorder="1" applyAlignment="1">
      <alignment horizontal="left" vertical="center"/>
    </xf>
    <xf numFmtId="10" fontId="44" fillId="63" borderId="59" xfId="77" applyNumberFormat="1" applyFont="1" applyFill="1" applyBorder="1" applyAlignment="1">
      <alignment horizontal="left" vertical="center"/>
    </xf>
    <xf numFmtId="0" fontId="0" fillId="3" borderId="18" xfId="0" applyFill="1" applyBorder="1" applyAlignment="1">
      <alignment wrapText="1"/>
    </xf>
    <xf numFmtId="164" fontId="0" fillId="3" borderId="4" xfId="0" applyNumberFormat="1" applyFill="1" applyBorder="1" applyAlignment="1">
      <alignment horizontal="left" vertical="center"/>
    </xf>
    <xf numFmtId="0" fontId="57" fillId="40" borderId="20" xfId="0" applyFont="1" applyFill="1" applyBorder="1" applyAlignment="1">
      <alignment horizontal="center" vertical="center"/>
    </xf>
    <xf numFmtId="0" fontId="0" fillId="3" borderId="18" xfId="0" applyFill="1" applyBorder="1" applyAlignment="1">
      <alignment horizontal="center" vertical="center" wrapText="1"/>
    </xf>
    <xf numFmtId="164" fontId="0" fillId="0" borderId="18" xfId="0" applyNumberFormat="1" applyBorder="1" applyAlignment="1">
      <alignment horizontal="center" vertical="center" wrapText="1"/>
    </xf>
    <xf numFmtId="164" fontId="0" fillId="3" borderId="18" xfId="0" applyNumberFormat="1" applyFill="1" applyBorder="1" applyAlignment="1">
      <alignment horizontal="center" vertical="center" wrapText="1"/>
    </xf>
    <xf numFmtId="0" fontId="53" fillId="40" borderId="18" xfId="0" applyFont="1" applyFill="1" applyBorder="1" applyAlignment="1">
      <alignment horizontal="center" wrapText="1"/>
    </xf>
    <xf numFmtId="0" fontId="29" fillId="40" borderId="18" xfId="0" applyFont="1" applyFill="1" applyBorder="1" applyAlignment="1">
      <alignment horizontal="center" vertical="center" wrapText="1"/>
    </xf>
    <xf numFmtId="10" fontId="0" fillId="40" borderId="18" xfId="0" applyNumberFormat="1" applyFill="1" applyBorder="1" applyAlignment="1">
      <alignment horizontal="center" vertical="center" wrapText="1"/>
    </xf>
    <xf numFmtId="164" fontId="23" fillId="0" borderId="18" xfId="0" applyNumberFormat="1" applyFont="1" applyBorder="1" applyAlignment="1">
      <alignment horizontal="center" vertical="center" wrapText="1"/>
    </xf>
    <xf numFmtId="16" fontId="0" fillId="0" borderId="0" xfId="0" applyNumberFormat="1" applyAlignment="1">
      <alignment horizontal="center" vertical="center" wrapText="1"/>
    </xf>
    <xf numFmtId="10" fontId="0" fillId="0" borderId="17" xfId="0" applyNumberFormat="1" applyBorder="1" applyAlignment="1">
      <alignment horizontal="center" vertical="center" wrapText="1"/>
    </xf>
    <xf numFmtId="164" fontId="29" fillId="40" borderId="18" xfId="0" applyNumberFormat="1" applyFont="1" applyFill="1" applyBorder="1" applyAlignment="1">
      <alignment horizontal="center" vertical="center" wrapText="1"/>
    </xf>
    <xf numFmtId="0" fontId="0" fillId="44" borderId="0" xfId="0" applyFill="1" applyAlignment="1">
      <alignment horizontal="left" vertical="center" wrapText="1"/>
    </xf>
    <xf numFmtId="0" fontId="0" fillId="40" borderId="18" xfId="0" applyFill="1" applyBorder="1" applyAlignment="1">
      <alignment wrapText="1"/>
    </xf>
    <xf numFmtId="164" fontId="53" fillId="40" borderId="18" xfId="0" applyNumberFormat="1" applyFont="1" applyFill="1" applyBorder="1" applyAlignment="1">
      <alignment horizontal="center" vertical="center" wrapText="1" indent="1"/>
    </xf>
    <xf numFmtId="0" fontId="0" fillId="40" borderId="20" xfId="0" applyFill="1" applyBorder="1" applyAlignment="1">
      <alignment horizontal="center" vertical="center" wrapText="1"/>
    </xf>
    <xf numFmtId="164" fontId="29" fillId="40" borderId="17" xfId="0" applyNumberFormat="1" applyFont="1" applyFill="1" applyBorder="1" applyAlignment="1">
      <alignment horizontal="center" vertical="center" wrapText="1"/>
    </xf>
    <xf numFmtId="0" fontId="29" fillId="40" borderId="17" xfId="0" applyFont="1" applyFill="1" applyBorder="1" applyAlignment="1">
      <alignment horizontal="center" vertical="center" wrapText="1"/>
    </xf>
    <xf numFmtId="0" fontId="60" fillId="0" borderId="18" xfId="0" applyFont="1" applyBorder="1" applyAlignment="1">
      <alignment wrapText="1"/>
    </xf>
    <xf numFmtId="10" fontId="0" fillId="3" borderId="18" xfId="0" applyNumberFormat="1" applyFill="1" applyBorder="1" applyAlignment="1">
      <alignment horizontal="center" vertical="center" wrapText="1"/>
    </xf>
    <xf numFmtId="0" fontId="111" fillId="3" borderId="18" xfId="0" applyFont="1" applyFill="1" applyBorder="1" applyAlignment="1">
      <alignment horizontal="center" vertical="center" wrapText="1"/>
    </xf>
    <xf numFmtId="0" fontId="0" fillId="44" borderId="18" xfId="0" applyFill="1" applyBorder="1" applyAlignment="1">
      <alignment horizontal="center" vertical="center" wrapText="1"/>
    </xf>
    <xf numFmtId="164" fontId="0" fillId="44" borderId="18" xfId="0" applyNumberFormat="1" applyFill="1" applyBorder="1" applyAlignment="1">
      <alignment horizontal="center" vertical="center" wrapText="1"/>
    </xf>
    <xf numFmtId="0" fontId="0" fillId="44" borderId="0" xfId="0" applyFill="1" applyAlignment="1">
      <alignment horizontal="center" vertical="center" wrapText="1"/>
    </xf>
    <xf numFmtId="0" fontId="53" fillId="69" borderId="18" xfId="0" applyFont="1" applyFill="1" applyBorder="1" applyAlignment="1">
      <alignment horizontal="center" wrapText="1"/>
    </xf>
    <xf numFmtId="0" fontId="116" fillId="3" borderId="18" xfId="0" applyFont="1" applyFill="1" applyBorder="1" applyAlignment="1">
      <alignment horizontal="center" wrapText="1"/>
    </xf>
    <xf numFmtId="164" fontId="0" fillId="2" borderId="18" xfId="0" applyNumberFormat="1" applyFill="1" applyBorder="1" applyAlignment="1">
      <alignment horizontal="center" vertical="center" wrapText="1"/>
    </xf>
    <xf numFmtId="164" fontId="23" fillId="2" borderId="18" xfId="0" applyNumberFormat="1" applyFont="1" applyFill="1" applyBorder="1" applyAlignment="1">
      <alignment horizontal="center" vertical="center" wrapText="1"/>
    </xf>
    <xf numFmtId="0" fontId="0" fillId="2" borderId="18" xfId="0" applyFill="1" applyBorder="1" applyAlignment="1">
      <alignment horizontal="left" vertical="center" wrapText="1"/>
    </xf>
    <xf numFmtId="0" fontId="23" fillId="0" borderId="18" xfId="0" applyFont="1" applyBorder="1" applyAlignment="1">
      <alignment horizontal="center" vertical="center" wrapText="1"/>
    </xf>
    <xf numFmtId="0" fontId="0" fillId="2" borderId="18" xfId="0" applyFill="1" applyBorder="1" applyAlignment="1">
      <alignment horizontal="center" wrapText="1"/>
    </xf>
    <xf numFmtId="0" fontId="0" fillId="44" borderId="18" xfId="0" applyFill="1" applyBorder="1" applyAlignment="1">
      <alignment horizontal="left" vertical="center" wrapText="1"/>
    </xf>
    <xf numFmtId="10" fontId="0" fillId="44" borderId="18" xfId="0" applyNumberFormat="1" applyFill="1" applyBorder="1" applyAlignment="1">
      <alignment horizontal="center" vertical="center" wrapText="1"/>
    </xf>
    <xf numFmtId="20" fontId="0" fillId="3" borderId="17" xfId="0" applyNumberFormat="1" applyFill="1" applyBorder="1" applyAlignment="1">
      <alignment horizontal="center" vertical="center" wrapText="1"/>
    </xf>
    <xf numFmtId="10" fontId="0" fillId="3" borderId="17" xfId="0" applyNumberFormat="1" applyFill="1" applyBorder="1" applyAlignment="1">
      <alignment horizontal="center" vertical="center" wrapText="1"/>
    </xf>
    <xf numFmtId="0" fontId="136" fillId="0" borderId="18" xfId="0" applyFont="1" applyBorder="1" applyAlignment="1">
      <alignment horizontal="center" wrapText="1"/>
    </xf>
    <xf numFmtId="164" fontId="0" fillId="2" borderId="18" xfId="0" applyNumberFormat="1" applyFill="1" applyBorder="1" applyAlignment="1">
      <alignment horizontal="center" vertical="center"/>
    </xf>
    <xf numFmtId="0" fontId="66" fillId="2" borderId="0" xfId="0" applyFont="1" applyFill="1" applyAlignment="1">
      <alignment horizontal="center" vertical="center"/>
    </xf>
    <xf numFmtId="164" fontId="23" fillId="2" borderId="0" xfId="0" applyNumberFormat="1" applyFont="1" applyFill="1" applyAlignment="1">
      <alignment horizontal="center" vertical="center"/>
    </xf>
    <xf numFmtId="0" fontId="23" fillId="2" borderId="0" xfId="0" applyFont="1" applyFill="1" applyAlignment="1">
      <alignment horizontal="center" vertical="center"/>
    </xf>
    <xf numFmtId="0" fontId="53" fillId="2" borderId="0" xfId="0" applyFont="1" applyFill="1" applyAlignment="1">
      <alignment horizontal="center" vertical="center"/>
    </xf>
    <xf numFmtId="164" fontId="29" fillId="2" borderId="0" xfId="0" applyNumberFormat="1" applyFont="1" applyFill="1" applyAlignment="1">
      <alignment horizontal="center" vertical="center"/>
    </xf>
    <xf numFmtId="0" fontId="29" fillId="2" borderId="17" xfId="0" applyFont="1" applyFill="1" applyBorder="1" applyAlignment="1">
      <alignment horizontal="center" vertical="center"/>
    </xf>
    <xf numFmtId="0" fontId="29" fillId="2" borderId="18" xfId="0" applyFont="1" applyFill="1" applyBorder="1" applyAlignment="1">
      <alignment horizontal="center" vertical="center"/>
    </xf>
    <xf numFmtId="164" fontId="29" fillId="2" borderId="18" xfId="0" applyNumberFormat="1" applyFont="1" applyFill="1" applyBorder="1" applyAlignment="1">
      <alignment horizontal="center" vertical="center"/>
    </xf>
    <xf numFmtId="164" fontId="57" fillId="2" borderId="0" xfId="0" applyNumberFormat="1" applyFont="1" applyFill="1" applyAlignment="1">
      <alignment horizontal="center" vertical="center"/>
    </xf>
    <xf numFmtId="0" fontId="0" fillId="0" borderId="34" xfId="0" applyBorder="1" applyAlignment="1">
      <alignment horizontal="center" vertical="center" wrapText="1"/>
    </xf>
    <xf numFmtId="164" fontId="0" fillId="0" borderId="34" xfId="0" applyNumberFormat="1" applyBorder="1" applyAlignment="1">
      <alignment horizontal="center" vertical="center" wrapText="1"/>
    </xf>
    <xf numFmtId="164" fontId="45" fillId="0" borderId="34" xfId="0" applyNumberFormat="1" applyFont="1" applyBorder="1" applyAlignment="1">
      <alignment horizontal="center" vertical="center" wrapText="1"/>
    </xf>
    <xf numFmtId="0" fontId="60" fillId="0" borderId="34" xfId="0" applyFont="1" applyBorder="1" applyAlignment="1">
      <alignment horizontal="center" vertical="center" wrapText="1"/>
    </xf>
    <xf numFmtId="0" fontId="53" fillId="2" borderId="18" xfId="0" applyFont="1" applyFill="1" applyBorder="1" applyAlignment="1">
      <alignment horizontal="center" vertical="center" wrapText="1"/>
    </xf>
    <xf numFmtId="0" fontId="53" fillId="2" borderId="18" xfId="0" applyFont="1" applyFill="1" applyBorder="1" applyAlignment="1">
      <alignment horizontal="center" vertical="center"/>
    </xf>
    <xf numFmtId="0" fontId="53" fillId="2" borderId="18" xfId="0" applyFont="1" applyFill="1" applyBorder="1" applyAlignment="1">
      <alignment horizontal="center" wrapText="1"/>
    </xf>
    <xf numFmtId="16" fontId="0" fillId="2" borderId="18" xfId="0" applyNumberFormat="1" applyFill="1" applyBorder="1" applyAlignment="1">
      <alignment horizontal="center" vertical="center" wrapText="1"/>
    </xf>
    <xf numFmtId="164" fontId="0" fillId="2" borderId="17" xfId="0" applyNumberFormat="1" applyFill="1" applyBorder="1" applyAlignment="1">
      <alignment horizontal="center" vertical="center" wrapText="1"/>
    </xf>
    <xf numFmtId="0" fontId="53" fillId="2" borderId="17" xfId="0" applyFont="1" applyFill="1" applyBorder="1" applyAlignment="1">
      <alignment horizontal="center" vertical="center" wrapText="1"/>
    </xf>
    <xf numFmtId="164" fontId="29" fillId="2" borderId="17" xfId="0" applyNumberFormat="1" applyFont="1" applyFill="1" applyBorder="1" applyAlignment="1">
      <alignment horizontal="center" vertical="center"/>
    </xf>
    <xf numFmtId="0" fontId="0" fillId="40" borderId="20" xfId="0" applyFill="1" applyBorder="1" applyAlignment="1">
      <alignment horizontal="center" wrapText="1"/>
    </xf>
    <xf numFmtId="0" fontId="0" fillId="2" borderId="0" xfId="0" applyFill="1" applyAlignment="1">
      <alignment horizontal="center" wrapText="1"/>
    </xf>
    <xf numFmtId="164" fontId="0" fillId="40" borderId="20" xfId="0" applyNumberFormat="1" applyFill="1" applyBorder="1" applyAlignment="1">
      <alignment horizontal="center" vertical="center" wrapText="1"/>
    </xf>
    <xf numFmtId="0" fontId="70" fillId="40" borderId="18" xfId="0" applyFont="1" applyFill="1" applyBorder="1" applyAlignment="1">
      <alignment horizontal="center" wrapText="1"/>
    </xf>
    <xf numFmtId="0" fontId="70" fillId="40" borderId="0" xfId="0" applyFont="1" applyFill="1" applyAlignment="1">
      <alignment horizontal="center" wrapText="1"/>
    </xf>
    <xf numFmtId="0" fontId="0" fillId="3" borderId="17" xfId="0" applyFill="1" applyBorder="1" applyAlignment="1">
      <alignment horizontal="center" wrapText="1"/>
    </xf>
    <xf numFmtId="0" fontId="70" fillId="40" borderId="0" xfId="0" applyFont="1" applyFill="1" applyAlignment="1">
      <alignment wrapText="1"/>
    </xf>
    <xf numFmtId="0" fontId="0" fillId="3" borderId="17" xfId="0" applyFill="1" applyBorder="1" applyAlignment="1">
      <alignment vertical="center"/>
    </xf>
    <xf numFmtId="16" fontId="0" fillId="2" borderId="0" xfId="0" applyNumberFormat="1" applyFill="1" applyAlignment="1">
      <alignment horizontal="center" vertical="center"/>
    </xf>
    <xf numFmtId="0" fontId="53" fillId="2" borderId="18" xfId="0" applyFont="1" applyFill="1" applyBorder="1" applyAlignment="1">
      <alignment horizontal="center"/>
    </xf>
    <xf numFmtId="164" fontId="57" fillId="2" borderId="18" xfId="0" applyNumberFormat="1" applyFont="1" applyFill="1" applyBorder="1" applyAlignment="1">
      <alignment horizontal="center" vertical="center"/>
    </xf>
    <xf numFmtId="0" fontId="111" fillId="3" borderId="0" xfId="0" applyFont="1" applyFill="1" applyAlignment="1">
      <alignment horizontal="center" vertical="center"/>
    </xf>
    <xf numFmtId="0" fontId="123" fillId="2" borderId="0" xfId="0" applyFont="1" applyFill="1" applyAlignment="1">
      <alignment horizontal="center" wrapText="1"/>
    </xf>
    <xf numFmtId="0" fontId="45" fillId="2" borderId="0" xfId="0" applyFont="1" applyFill="1" applyAlignment="1">
      <alignment horizontal="center" vertical="center"/>
    </xf>
    <xf numFmtId="0" fontId="0" fillId="2" borderId="4" xfId="0" applyFill="1" applyBorder="1" applyAlignment="1">
      <alignment horizontal="center" vertical="center"/>
    </xf>
    <xf numFmtId="0" fontId="111" fillId="2" borderId="0" xfId="0" applyFont="1" applyFill="1" applyAlignment="1">
      <alignment horizontal="center" vertical="center"/>
    </xf>
    <xf numFmtId="0" fontId="0" fillId="2" borderId="32" xfId="0" applyFill="1" applyBorder="1" applyAlignment="1">
      <alignment horizontal="center" vertical="center"/>
    </xf>
    <xf numFmtId="0" fontId="0" fillId="2" borderId="20" xfId="0" applyFill="1" applyBorder="1" applyAlignment="1">
      <alignment horizontal="center" vertical="center" wrapText="1"/>
    </xf>
    <xf numFmtId="164" fontId="23" fillId="2" borderId="17" xfId="0" applyNumberFormat="1" applyFont="1" applyFill="1" applyBorder="1" applyAlignment="1">
      <alignment horizontal="center" vertical="center" wrapText="1"/>
    </xf>
    <xf numFmtId="10" fontId="0" fillId="2" borderId="18" xfId="0" applyNumberFormat="1" applyFill="1" applyBorder="1" applyAlignment="1">
      <alignment horizontal="center" vertical="center" wrapText="1"/>
    </xf>
    <xf numFmtId="0" fontId="0" fillId="2" borderId="17" xfId="0" applyFill="1" applyBorder="1" applyAlignment="1">
      <alignment horizontal="left" wrapText="1"/>
    </xf>
    <xf numFmtId="10" fontId="0" fillId="2" borderId="17" xfId="0" applyNumberFormat="1" applyFill="1" applyBorder="1" applyAlignment="1">
      <alignment horizontal="center" vertical="center" wrapText="1"/>
    </xf>
    <xf numFmtId="164" fontId="0" fillId="2" borderId="4" xfId="0" applyNumberFormat="1" applyFill="1" applyBorder="1" applyAlignment="1">
      <alignment horizontal="center" vertical="center"/>
    </xf>
    <xf numFmtId="0" fontId="0" fillId="2" borderId="2" xfId="0" applyFill="1" applyBorder="1" applyAlignment="1">
      <alignment horizontal="center" vertical="center"/>
    </xf>
    <xf numFmtId="0" fontId="60" fillId="2" borderId="17" xfId="0" applyFont="1" applyFill="1" applyBorder="1" applyAlignment="1">
      <alignment horizontal="center"/>
    </xf>
    <xf numFmtId="0" fontId="0" fillId="2" borderId="4" xfId="0" applyFill="1" applyBorder="1" applyAlignment="1">
      <alignment horizontal="center" vertical="center" wrapText="1"/>
    </xf>
    <xf numFmtId="0" fontId="129" fillId="2" borderId="18" xfId="0" applyFont="1" applyFill="1" applyBorder="1" applyAlignment="1">
      <alignment wrapText="1"/>
    </xf>
    <xf numFmtId="0" fontId="116" fillId="40" borderId="18" xfId="0" applyFont="1" applyFill="1" applyBorder="1" applyAlignment="1">
      <alignment horizontal="center"/>
    </xf>
    <xf numFmtId="0" fontId="53" fillId="2" borderId="0" xfId="0" applyFont="1" applyFill="1" applyAlignment="1">
      <alignment horizontal="center" wrapText="1"/>
    </xf>
    <xf numFmtId="0" fontId="140" fillId="2" borderId="18" xfId="0" applyFont="1" applyFill="1" applyBorder="1" applyAlignment="1">
      <alignment horizontal="center" wrapText="1"/>
    </xf>
    <xf numFmtId="0" fontId="0" fillId="2" borderId="17" xfId="0" applyFill="1" applyBorder="1"/>
    <xf numFmtId="0" fontId="0" fillId="2" borderId="17" xfId="0" applyFill="1" applyBorder="1" applyAlignment="1">
      <alignment horizontal="center" wrapText="1"/>
    </xf>
    <xf numFmtId="16" fontId="0" fillId="2" borderId="17" xfId="0" applyNumberFormat="1" applyFill="1" applyBorder="1" applyAlignment="1">
      <alignment horizontal="center" vertical="center" wrapText="1"/>
    </xf>
    <xf numFmtId="0" fontId="23" fillId="2" borderId="18" xfId="0" applyFont="1" applyFill="1" applyBorder="1" applyAlignment="1">
      <alignment horizontal="center" vertical="center"/>
    </xf>
    <xf numFmtId="0" fontId="0" fillId="70" borderId="0" xfId="0" applyFill="1" applyAlignment="1">
      <alignment horizontal="center" vertical="center" wrapText="1"/>
    </xf>
    <xf numFmtId="0" fontId="53" fillId="2" borderId="0" xfId="0" applyFont="1" applyFill="1" applyAlignment="1">
      <alignment horizontal="center"/>
    </xf>
    <xf numFmtId="164" fontId="0" fillId="2" borderId="18" xfId="0" applyNumberFormat="1" applyFill="1" applyBorder="1" applyAlignment="1">
      <alignment horizontal="center" wrapText="1"/>
    </xf>
    <xf numFmtId="0" fontId="0" fillId="2" borderId="18" xfId="0" applyFill="1" applyBorder="1"/>
    <xf numFmtId="164" fontId="53" fillId="2" borderId="18" xfId="0" applyNumberFormat="1" applyFont="1" applyFill="1" applyBorder="1" applyAlignment="1">
      <alignment horizontal="center" vertical="center" wrapText="1"/>
    </xf>
    <xf numFmtId="0" fontId="53" fillId="2" borderId="0" xfId="0" applyFont="1" applyFill="1" applyAlignment="1">
      <alignment wrapText="1"/>
    </xf>
    <xf numFmtId="0" fontId="53" fillId="2" borderId="18" xfId="0" applyFont="1" applyFill="1" applyBorder="1"/>
    <xf numFmtId="16" fontId="53" fillId="2" borderId="18" xfId="0" applyNumberFormat="1" applyFont="1" applyFill="1" applyBorder="1"/>
    <xf numFmtId="0" fontId="53" fillId="2" borderId="18" xfId="0" applyFont="1" applyFill="1" applyBorder="1" applyAlignment="1">
      <alignment wrapText="1"/>
    </xf>
    <xf numFmtId="164" fontId="57" fillId="2" borderId="18" xfId="0" applyNumberFormat="1" applyFont="1" applyFill="1" applyBorder="1" applyAlignment="1">
      <alignment horizontal="center" vertical="center" wrapText="1"/>
    </xf>
    <xf numFmtId="0" fontId="53" fillId="2" borderId="0" xfId="0" applyFont="1" applyFill="1" applyAlignment="1">
      <alignment horizontal="left" vertical="center"/>
    </xf>
    <xf numFmtId="0" fontId="57" fillId="2" borderId="18" xfId="0" applyFont="1" applyFill="1" applyBorder="1" applyAlignment="1">
      <alignment horizontal="center" vertical="top"/>
    </xf>
    <xf numFmtId="20" fontId="0" fillId="3" borderId="0" xfId="0" applyNumberFormat="1" applyFill="1" applyAlignment="1">
      <alignment horizontal="left" vertical="center"/>
    </xf>
    <xf numFmtId="164" fontId="142" fillId="2" borderId="0" xfId="0" applyNumberFormat="1" applyFont="1" applyFill="1" applyAlignment="1">
      <alignment horizontal="center" vertical="center"/>
    </xf>
    <xf numFmtId="10" fontId="0" fillId="2" borderId="18" xfId="0" applyNumberFormat="1" applyFill="1" applyBorder="1" applyAlignment="1">
      <alignment horizontal="left" vertical="center"/>
    </xf>
    <xf numFmtId="0" fontId="70" fillId="3" borderId="17" xfId="0" applyFont="1" applyFill="1" applyBorder="1" applyAlignment="1">
      <alignment horizontal="left" vertical="center"/>
    </xf>
    <xf numFmtId="0" fontId="29" fillId="2" borderId="18" xfId="0" applyFont="1" applyFill="1" applyBorder="1" applyAlignment="1">
      <alignment horizontal="center" vertical="top"/>
    </xf>
    <xf numFmtId="0" fontId="66" fillId="3" borderId="0" xfId="0" applyFont="1" applyFill="1" applyAlignment="1">
      <alignment horizontal="left" vertical="center"/>
    </xf>
    <xf numFmtId="10" fontId="0" fillId="40" borderId="17" xfId="0" applyNumberFormat="1" applyFill="1" applyBorder="1" applyAlignment="1">
      <alignment horizontal="center" vertical="center" wrapText="1"/>
    </xf>
    <xf numFmtId="164" fontId="57" fillId="2" borderId="17" xfId="0" applyNumberFormat="1" applyFont="1" applyFill="1" applyBorder="1" applyAlignment="1">
      <alignment horizontal="center" vertical="center"/>
    </xf>
    <xf numFmtId="0" fontId="23" fillId="2" borderId="0" xfId="0" applyFont="1" applyFill="1" applyAlignment="1">
      <alignment horizontal="left" vertical="center"/>
    </xf>
    <xf numFmtId="164" fontId="23" fillId="4" borderId="0" xfId="0" applyNumberFormat="1" applyFont="1" applyFill="1" applyAlignment="1">
      <alignment horizontal="left" vertical="center"/>
    </xf>
    <xf numFmtId="164" fontId="57" fillId="2" borderId="0" xfId="0" applyNumberFormat="1" applyFont="1" applyFill="1" applyAlignment="1">
      <alignment horizontal="left" vertical="center"/>
    </xf>
    <xf numFmtId="0" fontId="29" fillId="2" borderId="0" xfId="0" applyFont="1" applyFill="1" applyAlignment="1">
      <alignment horizontal="left" vertical="center"/>
    </xf>
    <xf numFmtId="16" fontId="0" fillId="3" borderId="0" xfId="0" applyNumberFormat="1" applyFill="1" applyAlignment="1">
      <alignment horizontal="left" vertical="center"/>
    </xf>
    <xf numFmtId="164" fontId="29" fillId="2" borderId="0" xfId="0" applyNumberFormat="1" applyFont="1" applyFill="1" applyAlignment="1">
      <alignment horizontal="left" vertical="center"/>
    </xf>
    <xf numFmtId="16" fontId="53" fillId="2" borderId="18" xfId="0" applyNumberFormat="1" applyFont="1" applyFill="1" applyBorder="1" applyAlignment="1">
      <alignment horizontal="center" wrapText="1"/>
    </xf>
    <xf numFmtId="164" fontId="56" fillId="2" borderId="0" xfId="0" applyNumberFormat="1" applyFont="1" applyFill="1" applyAlignment="1">
      <alignment horizontal="center" vertical="center"/>
    </xf>
    <xf numFmtId="0" fontId="141" fillId="2" borderId="0" xfId="0" applyFont="1" applyFill="1" applyAlignment="1">
      <alignment horizontal="left" vertical="center"/>
    </xf>
    <xf numFmtId="16" fontId="0" fillId="2" borderId="0" xfId="0" applyNumberFormat="1" applyFill="1" applyAlignment="1">
      <alignment horizontal="left" vertical="center"/>
    </xf>
    <xf numFmtId="0" fontId="29" fillId="2" borderId="0" xfId="0" applyFont="1" applyFill="1" applyAlignment="1">
      <alignment horizontal="center" vertical="center" wrapText="1"/>
    </xf>
    <xf numFmtId="164" fontId="29" fillId="2" borderId="18" xfId="0" applyNumberFormat="1" applyFont="1" applyFill="1" applyBorder="1" applyAlignment="1">
      <alignment horizontal="center" vertical="center" wrapText="1"/>
    </xf>
    <xf numFmtId="0" fontId="29" fillId="2" borderId="18" xfId="0" applyFont="1" applyFill="1" applyBorder="1" applyAlignment="1">
      <alignment horizontal="center" vertical="center" wrapText="1"/>
    </xf>
    <xf numFmtId="10" fontId="0" fillId="0" borderId="0" xfId="0" applyNumberFormat="1" applyAlignment="1">
      <alignment vertical="center"/>
    </xf>
    <xf numFmtId="0" fontId="29" fillId="2" borderId="18" xfId="0" applyFont="1" applyFill="1" applyBorder="1" applyAlignment="1">
      <alignment horizontal="center" wrapText="1"/>
    </xf>
    <xf numFmtId="10" fontId="29" fillId="2" borderId="18" xfId="0" applyNumberFormat="1" applyFont="1" applyFill="1" applyBorder="1" applyAlignment="1">
      <alignment horizontal="center" vertical="center" wrapText="1"/>
    </xf>
    <xf numFmtId="0" fontId="0" fillId="55" borderId="18" xfId="0" applyFill="1" applyBorder="1" applyAlignment="1">
      <alignment horizontal="center" vertical="center" wrapText="1"/>
    </xf>
    <xf numFmtId="0" fontId="109" fillId="2" borderId="18" xfId="0" applyFont="1" applyFill="1" applyBorder="1" applyAlignment="1">
      <alignment wrapText="1"/>
    </xf>
    <xf numFmtId="0" fontId="70" fillId="2" borderId="0" xfId="0" applyFont="1" applyFill="1" applyAlignment="1">
      <alignment horizontal="center" wrapText="1"/>
    </xf>
    <xf numFmtId="16" fontId="53" fillId="2" borderId="0" xfId="0" applyNumberFormat="1" applyFont="1" applyFill="1" applyAlignment="1">
      <alignment horizontal="center" wrapText="1"/>
    </xf>
    <xf numFmtId="0" fontId="53" fillId="2" borderId="18" xfId="0" applyFont="1" applyFill="1" applyBorder="1" applyAlignment="1">
      <alignment horizontal="left" vertical="center" wrapText="1"/>
    </xf>
    <xf numFmtId="0" fontId="0" fillId="0" borderId="17" xfId="0" applyBorder="1" applyAlignment="1">
      <alignment vertical="center" wrapText="1"/>
    </xf>
    <xf numFmtId="164" fontId="0" fillId="0" borderId="0" xfId="0" applyNumberFormat="1" applyAlignment="1">
      <alignment vertical="center"/>
    </xf>
    <xf numFmtId="164" fontId="0" fillId="0" borderId="18" xfId="0" applyNumberFormat="1" applyBorder="1" applyAlignment="1">
      <alignment vertical="center"/>
    </xf>
    <xf numFmtId="0" fontId="0" fillId="3" borderId="22" xfId="0" applyFill="1" applyBorder="1" applyAlignment="1">
      <alignment horizontal="left" vertical="center"/>
    </xf>
    <xf numFmtId="164" fontId="53" fillId="2" borderId="18" xfId="0" applyNumberFormat="1" applyFont="1" applyFill="1" applyBorder="1" applyAlignment="1">
      <alignment horizontal="center" wrapText="1"/>
    </xf>
    <xf numFmtId="0" fontId="0" fillId="71" borderId="0" xfId="0" applyFill="1" applyAlignment="1">
      <alignment horizontal="center" vertical="center"/>
    </xf>
    <xf numFmtId="164" fontId="44" fillId="63" borderId="19" xfId="0" applyNumberFormat="1" applyFont="1" applyFill="1" applyBorder="1" applyAlignment="1">
      <alignment vertical="center"/>
    </xf>
    <xf numFmtId="164" fontId="50" fillId="63" borderId="19" xfId="0" applyNumberFormat="1" applyFont="1" applyFill="1" applyBorder="1" applyAlignment="1">
      <alignment vertical="center"/>
    </xf>
    <xf numFmtId="49" fontId="69" fillId="63" borderId="19" xfId="0" applyNumberFormat="1" applyFont="1" applyFill="1" applyBorder="1" applyAlignment="1">
      <alignment vertical="center"/>
    </xf>
    <xf numFmtId="0" fontId="54" fillId="63" borderId="19" xfId="0" applyFont="1" applyFill="1" applyBorder="1" applyAlignment="1">
      <alignment vertical="center"/>
    </xf>
    <xf numFmtId="0" fontId="44" fillId="63" borderId="19" xfId="0" applyFont="1" applyFill="1" applyBorder="1" applyAlignment="1">
      <alignment vertical="center"/>
    </xf>
    <xf numFmtId="1" fontId="44" fillId="63" borderId="19" xfId="0" applyNumberFormat="1" applyFont="1" applyFill="1" applyBorder="1" applyAlignment="1">
      <alignment vertical="center"/>
    </xf>
    <xf numFmtId="10" fontId="44" fillId="63" borderId="19" xfId="77" applyNumberFormat="1" applyFont="1" applyFill="1" applyBorder="1" applyAlignment="1">
      <alignment vertical="center"/>
    </xf>
    <xf numFmtId="0" fontId="0" fillId="3" borderId="17" xfId="0" applyFill="1" applyBorder="1" applyAlignment="1">
      <alignment vertical="center" wrapText="1"/>
    </xf>
    <xf numFmtId="164" fontId="0" fillId="3" borderId="17" xfId="0" applyNumberFormat="1" applyFill="1" applyBorder="1" applyAlignment="1">
      <alignment vertical="center"/>
    </xf>
    <xf numFmtId="164" fontId="23" fillId="3" borderId="17" xfId="0" applyNumberFormat="1" applyFont="1" applyFill="1" applyBorder="1" applyAlignment="1">
      <alignment vertical="center"/>
    </xf>
    <xf numFmtId="0" fontId="24" fillId="3" borderId="17" xfId="0" applyFont="1" applyFill="1" applyBorder="1" applyAlignment="1">
      <alignment vertical="center" wrapText="1"/>
    </xf>
    <xf numFmtId="10" fontId="0" fillId="3" borderId="17" xfId="0" applyNumberFormat="1" applyFill="1" applyBorder="1" applyAlignment="1">
      <alignment vertical="center"/>
    </xf>
    <xf numFmtId="164" fontId="0" fillId="3" borderId="18" xfId="0" applyNumberFormat="1" applyFill="1" applyBorder="1" applyAlignment="1">
      <alignment vertical="center"/>
    </xf>
    <xf numFmtId="164" fontId="45" fillId="3" borderId="18" xfId="0" applyNumberFormat="1" applyFont="1" applyFill="1" applyBorder="1" applyAlignment="1">
      <alignment vertical="center"/>
    </xf>
    <xf numFmtId="0" fontId="24" fillId="3" borderId="0" xfId="0" applyFont="1" applyFill="1" applyAlignment="1">
      <alignment vertical="center" wrapText="1"/>
    </xf>
    <xf numFmtId="164" fontId="24" fillId="3" borderId="18" xfId="0" applyNumberFormat="1" applyFont="1" applyFill="1" applyBorder="1" applyAlignment="1">
      <alignment vertical="center" wrapText="1"/>
    </xf>
    <xf numFmtId="164" fontId="24" fillId="3" borderId="0" xfId="0" applyNumberFormat="1" applyFont="1" applyFill="1" applyAlignment="1">
      <alignment vertical="center" wrapText="1"/>
    </xf>
    <xf numFmtId="164" fontId="24" fillId="3" borderId="18" xfId="0" applyNumberFormat="1" applyFont="1" applyFill="1" applyBorder="1" applyAlignment="1">
      <alignment vertical="center"/>
    </xf>
    <xf numFmtId="10" fontId="0" fillId="3" borderId="18" xfId="0" applyNumberFormat="1" applyFill="1" applyBorder="1" applyAlignment="1">
      <alignment vertical="center"/>
    </xf>
    <xf numFmtId="0" fontId="0" fillId="40" borderId="18" xfId="0" applyFill="1" applyBorder="1" applyAlignment="1">
      <alignment vertical="center"/>
    </xf>
    <xf numFmtId="164" fontId="0" fillId="40" borderId="18" xfId="0" applyNumberFormat="1" applyFill="1" applyBorder="1" applyAlignment="1">
      <alignment vertical="center"/>
    </xf>
    <xf numFmtId="164" fontId="23" fillId="40" borderId="18" xfId="0" applyNumberFormat="1" applyFont="1" applyFill="1" applyBorder="1" applyAlignment="1">
      <alignment vertical="center"/>
    </xf>
    <xf numFmtId="164" fontId="29" fillId="0" borderId="18" xfId="0" applyNumberFormat="1" applyFont="1" applyBorder="1" applyAlignment="1">
      <alignment vertical="center"/>
    </xf>
    <xf numFmtId="10" fontId="0" fillId="0" borderId="18" xfId="0" applyNumberFormat="1" applyBorder="1" applyAlignment="1">
      <alignment vertical="center"/>
    </xf>
    <xf numFmtId="164" fontId="23" fillId="3" borderId="18" xfId="0" applyNumberFormat="1" applyFont="1" applyFill="1" applyBorder="1" applyAlignment="1">
      <alignment vertical="center"/>
    </xf>
    <xf numFmtId="20" fontId="24" fillId="3" borderId="18" xfId="0" applyNumberFormat="1" applyFont="1" applyFill="1" applyBorder="1" applyAlignment="1">
      <alignment vertical="center"/>
    </xf>
    <xf numFmtId="164" fontId="0" fillId="3" borderId="18" xfId="0" applyNumberFormat="1" applyFill="1" applyBorder="1" applyAlignment="1">
      <alignment vertical="center" wrapText="1"/>
    </xf>
    <xf numFmtId="164" fontId="23" fillId="3" borderId="18" xfId="0" applyNumberFormat="1" applyFont="1" applyFill="1" applyBorder="1" applyAlignment="1">
      <alignment vertical="center" wrapText="1"/>
    </xf>
    <xf numFmtId="0" fontId="24" fillId="3" borderId="18" xfId="0" applyFont="1" applyFill="1" applyBorder="1" applyAlignment="1">
      <alignment vertical="center" wrapText="1"/>
    </xf>
    <xf numFmtId="164" fontId="0" fillId="3" borderId="0" xfId="0" applyNumberFormat="1" applyFill="1" applyAlignment="1">
      <alignment vertical="center" wrapText="1"/>
    </xf>
    <xf numFmtId="10" fontId="0" fillId="3" borderId="18" xfId="0" applyNumberFormat="1" applyFill="1" applyBorder="1" applyAlignment="1">
      <alignment vertical="center" wrapText="1"/>
    </xf>
    <xf numFmtId="0" fontId="24" fillId="3" borderId="18" xfId="0" applyFont="1" applyFill="1" applyBorder="1" applyAlignment="1">
      <alignment wrapText="1"/>
    </xf>
    <xf numFmtId="16" fontId="0" fillId="3" borderId="0" xfId="0" applyNumberFormat="1" applyFill="1" applyAlignment="1">
      <alignment vertical="center" wrapText="1"/>
    </xf>
    <xf numFmtId="0" fontId="23" fillId="3" borderId="0" xfId="0" applyFont="1" applyFill="1" applyAlignment="1">
      <alignment vertical="center" wrapText="1"/>
    </xf>
    <xf numFmtId="0" fontId="0" fillId="0" borderId="18" xfId="0" applyBorder="1" applyAlignment="1">
      <alignment vertical="center" wrapText="1"/>
    </xf>
    <xf numFmtId="10" fontId="0" fillId="0" borderId="18" xfId="0" applyNumberFormat="1" applyBorder="1" applyAlignment="1">
      <alignment vertical="center" wrapText="1"/>
    </xf>
    <xf numFmtId="0" fontId="56" fillId="3" borderId="0" xfId="0" applyFont="1" applyFill="1" applyAlignment="1">
      <alignment vertical="center" wrapText="1"/>
    </xf>
    <xf numFmtId="20" fontId="24" fillId="3" borderId="18" xfId="0" applyNumberFormat="1" applyFont="1" applyFill="1" applyBorder="1" applyAlignment="1">
      <alignment vertical="center" wrapText="1"/>
    </xf>
    <xf numFmtId="164" fontId="0" fillId="3" borderId="17" xfId="0" applyNumberFormat="1" applyFill="1" applyBorder="1" applyAlignment="1">
      <alignment vertical="center" wrapText="1"/>
    </xf>
    <xf numFmtId="164" fontId="23" fillId="3" borderId="17" xfId="0" applyNumberFormat="1" applyFont="1" applyFill="1" applyBorder="1" applyAlignment="1">
      <alignment vertical="center" wrapText="1"/>
    </xf>
    <xf numFmtId="10" fontId="0" fillId="3" borderId="17" xfId="0" applyNumberFormat="1" applyFill="1" applyBorder="1" applyAlignment="1">
      <alignment vertical="center" wrapText="1"/>
    </xf>
    <xf numFmtId="0" fontId="56" fillId="3" borderId="17" xfId="0" applyFont="1" applyFill="1" applyBorder="1" applyAlignment="1">
      <alignment vertical="center" wrapText="1"/>
    </xf>
    <xf numFmtId="0" fontId="0" fillId="3" borderId="4" xfId="0" applyFill="1" applyBorder="1" applyAlignment="1">
      <alignment vertical="center" wrapText="1"/>
    </xf>
    <xf numFmtId="20" fontId="0" fillId="3" borderId="18" xfId="0" applyNumberFormat="1" applyFill="1" applyBorder="1" applyAlignment="1">
      <alignment vertical="center" wrapText="1"/>
    </xf>
    <xf numFmtId="164" fontId="29" fillId="3" borderId="0" xfId="0" applyNumberFormat="1" applyFont="1" applyFill="1" applyAlignment="1">
      <alignment vertical="center"/>
    </xf>
    <xf numFmtId="0" fontId="29" fillId="3" borderId="18" xfId="0" applyFont="1" applyFill="1" applyBorder="1" applyAlignment="1">
      <alignment vertical="center"/>
    </xf>
    <xf numFmtId="164" fontId="29" fillId="3" borderId="18" xfId="0" applyNumberFormat="1" applyFont="1" applyFill="1" applyBorder="1" applyAlignment="1">
      <alignment vertical="center"/>
    </xf>
    <xf numFmtId="0" fontId="133" fillId="3" borderId="18" xfId="0" applyFont="1" applyFill="1" applyBorder="1" applyAlignment="1">
      <alignment vertical="center"/>
    </xf>
    <xf numFmtId="164" fontId="23" fillId="0" borderId="18" xfId="0" applyNumberFormat="1" applyFont="1" applyBorder="1" applyAlignment="1">
      <alignment vertical="center" wrapText="1"/>
    </xf>
    <xf numFmtId="0" fontId="23" fillId="3" borderId="18" xfId="0" applyFont="1" applyFill="1" applyBorder="1" applyAlignment="1">
      <alignment vertical="center" wrapText="1"/>
    </xf>
    <xf numFmtId="164" fontId="56" fillId="3" borderId="0" xfId="0" applyNumberFormat="1" applyFont="1" applyFill="1" applyAlignment="1">
      <alignment vertical="center" wrapText="1"/>
    </xf>
    <xf numFmtId="20" fontId="56" fillId="3" borderId="18" xfId="0" applyNumberFormat="1" applyFont="1" applyFill="1" applyBorder="1" applyAlignment="1">
      <alignment vertical="center" wrapText="1"/>
    </xf>
    <xf numFmtId="164" fontId="24" fillId="3" borderId="17" xfId="0" applyNumberFormat="1" applyFont="1" applyFill="1" applyBorder="1" applyAlignment="1">
      <alignment vertical="center" wrapText="1"/>
    </xf>
    <xf numFmtId="164" fontId="45" fillId="3" borderId="18" xfId="0" applyNumberFormat="1" applyFont="1" applyFill="1" applyBorder="1" applyAlignment="1">
      <alignment vertical="center" wrapText="1"/>
    </xf>
    <xf numFmtId="0" fontId="70" fillId="3" borderId="18" xfId="0" applyFont="1" applyFill="1" applyBorder="1" applyAlignment="1">
      <alignment vertical="center"/>
    </xf>
    <xf numFmtId="0" fontId="70" fillId="3" borderId="18" xfId="0" applyFont="1" applyFill="1" applyBorder="1" applyAlignment="1">
      <alignment vertical="center" wrapText="1"/>
    </xf>
    <xf numFmtId="164" fontId="0" fillId="0" borderId="18" xfId="0" applyNumberFormat="1" applyBorder="1" applyAlignment="1">
      <alignment vertical="center" wrapText="1"/>
    </xf>
    <xf numFmtId="0" fontId="12" fillId="0" borderId="0" xfId="0" applyFont="1" applyAlignment="1">
      <alignment vertical="center"/>
    </xf>
    <xf numFmtId="164" fontId="56" fillId="2" borderId="0" xfId="0" applyNumberFormat="1" applyFont="1" applyFill="1" applyAlignment="1">
      <alignment horizontal="left" vertical="center"/>
    </xf>
    <xf numFmtId="0" fontId="0" fillId="3" borderId="20" xfId="0" applyFill="1" applyBorder="1" applyAlignment="1">
      <alignment vertical="center" wrapText="1"/>
    </xf>
    <xf numFmtId="0" fontId="53" fillId="2" borderId="20" xfId="0" applyFont="1" applyFill="1" applyBorder="1" applyAlignment="1">
      <alignment horizontal="center" vertical="center" wrapText="1"/>
    </xf>
    <xf numFmtId="0" fontId="67" fillId="2" borderId="18" xfId="0" applyFont="1" applyFill="1" applyBorder="1" applyAlignment="1">
      <alignment horizontal="center" wrapText="1"/>
    </xf>
    <xf numFmtId="0" fontId="111" fillId="40" borderId="18" xfId="0" applyFont="1" applyFill="1" applyBorder="1" applyAlignment="1">
      <alignment horizontal="center" vertical="center" wrapText="1"/>
    </xf>
    <xf numFmtId="0" fontId="111" fillId="3" borderId="17" xfId="0" applyFont="1" applyFill="1" applyBorder="1" applyAlignment="1">
      <alignment horizontal="center" vertical="center" wrapText="1"/>
    </xf>
    <xf numFmtId="0" fontId="60" fillId="0" borderId="18" xfId="0" applyFont="1" applyBorder="1" applyAlignment="1">
      <alignment vertical="center" wrapText="1"/>
    </xf>
    <xf numFmtId="0" fontId="111" fillId="3" borderId="0" xfId="0" applyFont="1" applyFill="1" applyAlignment="1">
      <alignment horizontal="center" vertical="center" wrapText="1"/>
    </xf>
    <xf numFmtId="0" fontId="137" fillId="2" borderId="17" xfId="0" applyFont="1" applyFill="1" applyBorder="1" applyAlignment="1">
      <alignment horizontal="center" vertical="center"/>
    </xf>
    <xf numFmtId="164" fontId="0" fillId="3" borderId="20" xfId="0" applyNumberFormat="1" applyFill="1" applyBorder="1" applyAlignment="1">
      <alignment vertical="center"/>
    </xf>
    <xf numFmtId="164" fontId="53" fillId="40" borderId="18" xfId="0" applyNumberFormat="1" applyFont="1" applyFill="1" applyBorder="1" applyAlignment="1">
      <alignment horizontal="center" vertical="center" wrapText="1"/>
    </xf>
    <xf numFmtId="164" fontId="29" fillId="2" borderId="17" xfId="0" applyNumberFormat="1" applyFont="1" applyFill="1" applyBorder="1" applyAlignment="1">
      <alignment horizontal="center" vertical="center" wrapText="1"/>
    </xf>
    <xf numFmtId="0" fontId="0" fillId="3" borderId="2" xfId="0" applyFill="1" applyBorder="1" applyAlignment="1">
      <alignment horizontal="center" vertical="center" wrapText="1"/>
    </xf>
    <xf numFmtId="0" fontId="24" fillId="3" borderId="20" xfId="0" applyFont="1" applyFill="1" applyBorder="1" applyAlignment="1">
      <alignment vertical="center" wrapText="1"/>
    </xf>
    <xf numFmtId="0" fontId="53" fillId="2" borderId="20" xfId="0" applyFont="1" applyFill="1" applyBorder="1" applyAlignment="1">
      <alignment horizontal="center" wrapText="1"/>
    </xf>
    <xf numFmtId="0" fontId="56" fillId="3" borderId="18" xfId="0" applyFont="1" applyFill="1" applyBorder="1" applyAlignment="1">
      <alignment vertical="center" wrapText="1"/>
    </xf>
    <xf numFmtId="0" fontId="0" fillId="3" borderId="32" xfId="0" applyFill="1" applyBorder="1" applyAlignment="1">
      <alignment horizontal="center" vertical="center" wrapText="1"/>
    </xf>
    <xf numFmtId="16" fontId="0" fillId="3" borderId="18" xfId="0" applyNumberFormat="1" applyFill="1" applyBorder="1" applyAlignment="1">
      <alignment horizontal="center" vertical="center" wrapText="1"/>
    </xf>
    <xf numFmtId="164" fontId="23" fillId="3" borderId="0" xfId="0" applyNumberFormat="1" applyFont="1" applyFill="1" applyAlignment="1">
      <alignment vertical="center" wrapText="1"/>
    </xf>
    <xf numFmtId="0" fontId="29" fillId="40" borderId="20" xfId="0" applyFont="1" applyFill="1" applyBorder="1" applyAlignment="1">
      <alignment horizontal="center" vertical="center"/>
    </xf>
    <xf numFmtId="20" fontId="29" fillId="2" borderId="18" xfId="0" applyNumberFormat="1" applyFont="1" applyFill="1" applyBorder="1" applyAlignment="1">
      <alignment horizontal="center" vertical="center"/>
    </xf>
    <xf numFmtId="20" fontId="0" fillId="3" borderId="17" xfId="0" applyNumberFormat="1" applyFill="1" applyBorder="1" applyAlignment="1">
      <alignment vertical="center" wrapText="1"/>
    </xf>
    <xf numFmtId="0" fontId="24" fillId="3" borderId="18" xfId="0" applyFont="1" applyFill="1" applyBorder="1"/>
    <xf numFmtId="0" fontId="55" fillId="3" borderId="17" xfId="0" applyFont="1" applyFill="1" applyBorder="1" applyAlignment="1">
      <alignment vertical="center"/>
    </xf>
    <xf numFmtId="0" fontId="0" fillId="3" borderId="19" xfId="0" applyFill="1" applyBorder="1" applyAlignment="1">
      <alignment horizontal="center" vertical="center" wrapText="1"/>
    </xf>
    <xf numFmtId="0" fontId="24" fillId="3" borderId="17" xfId="0" applyFont="1" applyFill="1" applyBorder="1" applyAlignment="1">
      <alignment vertical="center"/>
    </xf>
    <xf numFmtId="0" fontId="0" fillId="38" borderId="0" xfId="0" applyFill="1" applyAlignment="1">
      <alignment horizontal="center" wrapText="1"/>
    </xf>
    <xf numFmtId="0" fontId="0" fillId="3" borderId="20" xfId="0" applyFill="1" applyBorder="1" applyAlignment="1">
      <alignment vertical="center"/>
    </xf>
    <xf numFmtId="0" fontId="29" fillId="2" borderId="17" xfId="0" applyFont="1" applyFill="1" applyBorder="1" applyAlignment="1">
      <alignment horizontal="center" vertical="center" wrapText="1"/>
    </xf>
    <xf numFmtId="0" fontId="60" fillId="2" borderId="18" xfId="0" applyFont="1" applyFill="1" applyBorder="1" applyAlignment="1">
      <alignment horizontal="center" vertical="center" wrapText="1"/>
    </xf>
    <xf numFmtId="0" fontId="53" fillId="3" borderId="18" xfId="0" applyFont="1" applyFill="1" applyBorder="1" applyAlignment="1">
      <alignment vertical="center"/>
    </xf>
    <xf numFmtId="0" fontId="53" fillId="3" borderId="18" xfId="0" applyFont="1" applyFill="1" applyBorder="1" applyAlignment="1">
      <alignment vertical="center" wrapText="1"/>
    </xf>
    <xf numFmtId="0" fontId="53" fillId="40" borderId="20" xfId="0" applyFont="1" applyFill="1" applyBorder="1" applyAlignment="1">
      <alignment horizontal="center" vertical="center"/>
    </xf>
    <xf numFmtId="164" fontId="53" fillId="40" borderId="0" xfId="0" applyNumberFormat="1" applyFont="1" applyFill="1" applyAlignment="1">
      <alignment horizontal="center" vertical="center" wrapText="1" indent="1"/>
    </xf>
    <xf numFmtId="16" fontId="70" fillId="40" borderId="18" xfId="0" applyNumberFormat="1" applyFont="1" applyFill="1" applyBorder="1" applyAlignment="1">
      <alignment wrapText="1"/>
    </xf>
    <xf numFmtId="164" fontId="57" fillId="40" borderId="17" xfId="0" applyNumberFormat="1" applyFont="1" applyFill="1" applyBorder="1" applyAlignment="1">
      <alignment horizontal="center" vertical="center" wrapText="1"/>
    </xf>
    <xf numFmtId="16" fontId="29" fillId="2" borderId="17" xfId="0" applyNumberFormat="1" applyFont="1" applyFill="1" applyBorder="1" applyAlignment="1">
      <alignment horizontal="center" vertical="center" wrapText="1"/>
    </xf>
    <xf numFmtId="164" fontId="57" fillId="3" borderId="0" xfId="0" applyNumberFormat="1" applyFont="1" applyFill="1" applyAlignment="1">
      <alignment vertical="center" wrapText="1"/>
    </xf>
    <xf numFmtId="164" fontId="57" fillId="2" borderId="0" xfId="0" applyNumberFormat="1" applyFont="1" applyFill="1" applyAlignment="1">
      <alignment horizontal="center" vertical="center" wrapText="1"/>
    </xf>
    <xf numFmtId="0" fontId="53" fillId="40" borderId="18" xfId="0" applyFont="1" applyFill="1" applyBorder="1" applyAlignment="1">
      <alignment wrapText="1"/>
    </xf>
    <xf numFmtId="0" fontId="29" fillId="2" borderId="18" xfId="0" applyFont="1" applyFill="1" applyBorder="1" applyAlignment="1">
      <alignment horizontal="left" vertical="center" wrapText="1"/>
    </xf>
    <xf numFmtId="0" fontId="52" fillId="40" borderId="18" xfId="0" applyFont="1" applyFill="1" applyBorder="1"/>
    <xf numFmtId="0" fontId="66" fillId="2" borderId="18" xfId="0" applyFont="1" applyFill="1" applyBorder="1" applyAlignment="1">
      <alignment horizontal="left" vertical="center"/>
    </xf>
    <xf numFmtId="10" fontId="0" fillId="0" borderId="20" xfId="0" applyNumberFormat="1" applyBorder="1" applyAlignment="1">
      <alignment horizontal="center" vertical="center"/>
    </xf>
    <xf numFmtId="0" fontId="67" fillId="2" borderId="0" xfId="0" applyFont="1" applyFill="1" applyAlignment="1">
      <alignment horizontal="center" wrapText="1"/>
    </xf>
    <xf numFmtId="0" fontId="111" fillId="40" borderId="18" xfId="0" applyFont="1" applyFill="1" applyBorder="1" applyAlignment="1">
      <alignment horizontal="center" wrapText="1"/>
    </xf>
    <xf numFmtId="164" fontId="29" fillId="2" borderId="0" xfId="0" applyNumberFormat="1" applyFont="1" applyFill="1" applyAlignment="1">
      <alignment horizontal="center" vertical="center" wrapText="1"/>
    </xf>
    <xf numFmtId="164" fontId="45" fillId="3" borderId="0" xfId="0" applyNumberFormat="1" applyFont="1" applyFill="1" applyAlignment="1">
      <alignment vertical="center" wrapText="1"/>
    </xf>
    <xf numFmtId="0" fontId="70" fillId="40" borderId="18" xfId="0" applyFont="1" applyFill="1" applyBorder="1" applyAlignment="1">
      <alignment horizontal="center" vertical="center" wrapText="1"/>
    </xf>
    <xf numFmtId="0" fontId="56" fillId="3" borderId="4" xfId="0" applyFont="1" applyFill="1" applyBorder="1" applyAlignment="1">
      <alignment vertical="center" wrapText="1"/>
    </xf>
    <xf numFmtId="20" fontId="0" fillId="3" borderId="17" xfId="0" applyNumberFormat="1" applyFill="1" applyBorder="1" applyAlignment="1">
      <alignment horizontal="center" vertical="center"/>
    </xf>
    <xf numFmtId="20" fontId="0" fillId="3" borderId="0" xfId="0" applyNumberFormat="1" applyFill="1" applyAlignment="1">
      <alignment horizontal="center" vertical="center" wrapText="1"/>
    </xf>
    <xf numFmtId="20" fontId="23" fillId="3" borderId="18" xfId="0" applyNumberFormat="1" applyFont="1" applyFill="1" applyBorder="1" applyAlignment="1">
      <alignment vertical="center" wrapText="1"/>
    </xf>
    <xf numFmtId="20" fontId="0" fillId="2" borderId="0" xfId="0" applyNumberFormat="1" applyFill="1" applyAlignment="1">
      <alignment horizontal="center" vertical="center" wrapText="1"/>
    </xf>
    <xf numFmtId="20" fontId="0" fillId="3" borderId="19" xfId="0" applyNumberFormat="1" applyFill="1" applyBorder="1" applyAlignment="1">
      <alignment horizontal="center" vertical="center" wrapText="1"/>
    </xf>
    <xf numFmtId="0" fontId="0" fillId="2" borderId="20" xfId="0" applyFill="1" applyBorder="1" applyAlignment="1">
      <alignment horizontal="center" vertical="center"/>
    </xf>
    <xf numFmtId="11" fontId="29" fillId="40" borderId="17" xfId="0" applyNumberFormat="1" applyFont="1" applyFill="1" applyBorder="1" applyAlignment="1">
      <alignment horizontal="center" vertical="center"/>
    </xf>
    <xf numFmtId="164" fontId="53" fillId="2" borderId="0" xfId="0" applyNumberFormat="1" applyFont="1" applyFill="1" applyAlignment="1">
      <alignment horizontal="center" vertical="center" wrapText="1"/>
    </xf>
    <xf numFmtId="0" fontId="53" fillId="2" borderId="0" xfId="0" applyFont="1" applyFill="1" applyAlignment="1">
      <alignment horizontal="left" vertical="center" wrapText="1"/>
    </xf>
    <xf numFmtId="0" fontId="66" fillId="3" borderId="18" xfId="0" applyFont="1" applyFill="1" applyBorder="1" applyAlignment="1">
      <alignment wrapText="1"/>
    </xf>
    <xf numFmtId="0" fontId="134" fillId="0" borderId="0" xfId="0" applyFont="1" applyAlignment="1">
      <alignment wrapText="1"/>
    </xf>
    <xf numFmtId="10" fontId="0" fillId="3" borderId="17" xfId="0" applyNumberFormat="1" applyFill="1" applyBorder="1" applyAlignment="1">
      <alignment horizontal="center" vertical="center"/>
    </xf>
    <xf numFmtId="16" fontId="53" fillId="2" borderId="18" xfId="0" applyNumberFormat="1" applyFont="1" applyFill="1" applyBorder="1" applyAlignment="1">
      <alignment wrapText="1"/>
    </xf>
    <xf numFmtId="164" fontId="29" fillId="3" borderId="0" xfId="0" applyNumberFormat="1" applyFont="1" applyFill="1" applyAlignment="1">
      <alignment horizontal="left" vertical="center"/>
    </xf>
    <xf numFmtId="164" fontId="53" fillId="2" borderId="0" xfId="0" applyNumberFormat="1" applyFont="1" applyFill="1" applyAlignment="1">
      <alignment horizontal="center"/>
    </xf>
    <xf numFmtId="0" fontId="60" fillId="2" borderId="0" xfId="0" applyFont="1" applyFill="1" applyAlignment="1">
      <alignment horizontal="center" vertical="center" wrapText="1"/>
    </xf>
    <xf numFmtId="49" fontId="48" fillId="63" borderId="19" xfId="0" applyNumberFormat="1" applyFont="1" applyFill="1" applyBorder="1" applyAlignment="1">
      <alignment horizontal="center" vertical="center"/>
    </xf>
    <xf numFmtId="16" fontId="0" fillId="0" borderId="0" xfId="0" applyNumberFormat="1" applyAlignment="1">
      <alignment vertical="center" wrapText="1"/>
    </xf>
    <xf numFmtId="20" fontId="0" fillId="3" borderId="0" xfId="0" applyNumberFormat="1" applyFill="1" applyAlignment="1">
      <alignment horizontal="center" vertical="center"/>
    </xf>
    <xf numFmtId="164" fontId="45" fillId="4" borderId="0" xfId="0" applyNumberFormat="1" applyFont="1" applyFill="1" applyAlignment="1">
      <alignment horizontal="left" vertical="center"/>
    </xf>
    <xf numFmtId="0" fontId="53" fillId="2" borderId="0" xfId="0" applyFont="1" applyFill="1"/>
    <xf numFmtId="164" fontId="45" fillId="2" borderId="0" xfId="0" applyNumberFormat="1" applyFont="1" applyFill="1" applyAlignment="1">
      <alignment horizontal="left" vertical="center"/>
    </xf>
    <xf numFmtId="0" fontId="53" fillId="3" borderId="18" xfId="0" applyFont="1" applyFill="1" applyBorder="1"/>
    <xf numFmtId="0" fontId="68" fillId="2" borderId="0" xfId="0" applyFont="1" applyFill="1" applyAlignment="1">
      <alignment horizontal="left" vertical="center"/>
    </xf>
    <xf numFmtId="0" fontId="52" fillId="2" borderId="0" xfId="0" applyFont="1" applyFill="1" applyAlignment="1">
      <alignment horizontal="center" vertical="center"/>
    </xf>
    <xf numFmtId="0" fontId="133" fillId="2" borderId="0" xfId="0" applyFont="1" applyFill="1" applyAlignment="1">
      <alignment horizontal="center" vertical="center"/>
    </xf>
    <xf numFmtId="0" fontId="60" fillId="2" borderId="0" xfId="0" applyFont="1" applyFill="1" applyAlignment="1">
      <alignment horizontal="center"/>
    </xf>
    <xf numFmtId="0" fontId="24" fillId="3" borderId="0" xfId="0" quotePrefix="1" applyFont="1" applyFill="1" applyAlignment="1">
      <alignment horizontal="left" vertical="center"/>
    </xf>
    <xf numFmtId="10" fontId="0" fillId="2" borderId="17" xfId="0" applyNumberFormat="1" applyFill="1" applyBorder="1" applyAlignment="1">
      <alignment horizontal="left" vertical="center"/>
    </xf>
    <xf numFmtId="0" fontId="0" fillId="2" borderId="22" xfId="0" applyFill="1" applyBorder="1" applyAlignment="1">
      <alignment horizontal="left" vertical="center"/>
    </xf>
    <xf numFmtId="0" fontId="0" fillId="2" borderId="0" xfId="0" applyFill="1" applyAlignment="1">
      <alignment vertical="center"/>
    </xf>
    <xf numFmtId="20" fontId="23" fillId="3" borderId="0" xfId="0" applyNumberFormat="1" applyFont="1" applyFill="1" applyAlignment="1">
      <alignment horizontal="left" vertical="center"/>
    </xf>
    <xf numFmtId="0" fontId="0" fillId="71" borderId="0" xfId="0" applyFill="1" applyAlignment="1">
      <alignment horizontal="left" vertical="center"/>
    </xf>
    <xf numFmtId="164" fontId="0" fillId="71" borderId="0" xfId="0" applyNumberFormat="1" applyFill="1" applyAlignment="1">
      <alignment horizontal="center" vertical="center"/>
    </xf>
    <xf numFmtId="164" fontId="23" fillId="71" borderId="0" xfId="0" applyNumberFormat="1" applyFont="1" applyFill="1" applyAlignment="1">
      <alignment horizontal="center" vertical="center"/>
    </xf>
    <xf numFmtId="0" fontId="0" fillId="71" borderId="18" xfId="0" applyFill="1" applyBorder="1" applyAlignment="1">
      <alignment horizontal="left" vertical="center"/>
    </xf>
    <xf numFmtId="10" fontId="0" fillId="71" borderId="18" xfId="0" applyNumberFormat="1" applyFill="1" applyBorder="1" applyAlignment="1">
      <alignment horizontal="left" vertical="center"/>
    </xf>
    <xf numFmtId="0" fontId="0" fillId="71" borderId="23" xfId="0" applyFill="1" applyBorder="1" applyAlignment="1">
      <alignment horizontal="left" vertical="center"/>
    </xf>
    <xf numFmtId="0" fontId="0" fillId="4" borderId="0" xfId="0" applyFill="1" applyAlignment="1">
      <alignment horizontal="left"/>
    </xf>
    <xf numFmtId="0" fontId="52" fillId="3" borderId="0" xfId="0" applyFont="1" applyFill="1" applyAlignment="1">
      <alignment horizontal="left"/>
    </xf>
    <xf numFmtId="16" fontId="0" fillId="3" borderId="0" xfId="0" applyNumberFormat="1" applyFill="1" applyAlignment="1">
      <alignment horizontal="left"/>
    </xf>
    <xf numFmtId="0" fontId="133" fillId="3" borderId="0" xfId="0" applyFont="1" applyFill="1" applyAlignment="1">
      <alignment horizontal="left" vertical="center"/>
    </xf>
    <xf numFmtId="11" fontId="0" fillId="2" borderId="0" xfId="0" applyNumberFormat="1" applyFill="1" applyAlignment="1">
      <alignment horizontal="center" vertical="center"/>
    </xf>
    <xf numFmtId="0" fontId="53" fillId="2" borderId="17" xfId="0" applyFont="1" applyFill="1" applyBorder="1" applyAlignment="1">
      <alignment horizontal="center" wrapText="1"/>
    </xf>
    <xf numFmtId="0" fontId="23" fillId="2" borderId="18" xfId="0" applyFont="1" applyFill="1" applyBorder="1" applyAlignment="1">
      <alignment horizontal="center" vertical="center" wrapText="1"/>
    </xf>
    <xf numFmtId="0" fontId="0" fillId="2" borderId="0" xfId="0" applyFill="1" applyAlignment="1">
      <alignment vertical="center" wrapText="1"/>
    </xf>
    <xf numFmtId="0" fontId="53" fillId="3" borderId="0" xfId="0" applyFont="1" applyFill="1" applyAlignment="1">
      <alignment horizontal="left"/>
    </xf>
    <xf numFmtId="0" fontId="23" fillId="3" borderId="0" xfId="0" applyFont="1" applyFill="1" applyAlignment="1">
      <alignment horizontal="left"/>
    </xf>
    <xf numFmtId="164" fontId="52" fillId="3" borderId="0" xfId="0" applyNumberFormat="1" applyFont="1" applyFill="1"/>
    <xf numFmtId="0" fontId="52" fillId="3" borderId="0" xfId="0" applyFont="1" applyFill="1"/>
    <xf numFmtId="0" fontId="66" fillId="3" borderId="18" xfId="0" applyFont="1" applyFill="1" applyBorder="1" applyAlignment="1">
      <alignment vertical="center"/>
    </xf>
    <xf numFmtId="0" fontId="0" fillId="2" borderId="18" xfId="0" applyFill="1" applyBorder="1" applyAlignment="1">
      <alignment vertical="center" wrapText="1"/>
    </xf>
    <xf numFmtId="0" fontId="0" fillId="2" borderId="18" xfId="0" applyFill="1" applyBorder="1" applyAlignment="1">
      <alignment vertical="center"/>
    </xf>
    <xf numFmtId="164" fontId="53" fillId="2" borderId="0" xfId="0" applyNumberFormat="1" applyFont="1" applyFill="1" applyAlignment="1">
      <alignment horizontal="center" vertical="center"/>
    </xf>
    <xf numFmtId="164" fontId="55" fillId="2" borderId="0" xfId="0" applyNumberFormat="1" applyFont="1" applyFill="1" applyAlignment="1">
      <alignment horizontal="center" vertical="center"/>
    </xf>
    <xf numFmtId="0" fontId="111" fillId="0" borderId="0" xfId="0" applyFont="1" applyAlignment="1">
      <alignment horizontal="center" vertical="center" wrapText="1"/>
    </xf>
    <xf numFmtId="0" fontId="0" fillId="2" borderId="18" xfId="0" applyFill="1" applyBorder="1" applyAlignment="1">
      <alignment horizontal="center"/>
    </xf>
    <xf numFmtId="0" fontId="0" fillId="3" borderId="32" xfId="0" applyFill="1" applyBorder="1" applyAlignment="1">
      <alignment horizontal="center" vertical="center"/>
    </xf>
    <xf numFmtId="164" fontId="0" fillId="3" borderId="32" xfId="0" applyNumberFormat="1" applyFill="1" applyBorder="1" applyAlignment="1">
      <alignment horizontal="center" vertical="center"/>
    </xf>
    <xf numFmtId="164" fontId="0" fillId="2" borderId="2" xfId="0" applyNumberFormat="1" applyFill="1" applyBorder="1" applyAlignment="1">
      <alignment horizontal="center" vertical="center"/>
    </xf>
    <xf numFmtId="164" fontId="0" fillId="2" borderId="0" xfId="0" applyNumberFormat="1" applyFill="1" applyAlignment="1">
      <alignment horizontal="center"/>
    </xf>
    <xf numFmtId="0" fontId="53" fillId="0" borderId="18" xfId="0" applyFont="1" applyBorder="1"/>
    <xf numFmtId="0" fontId="25" fillId="3" borderId="0" xfId="0" applyFont="1" applyFill="1" applyAlignment="1">
      <alignment horizontal="left" vertical="center"/>
    </xf>
    <xf numFmtId="0" fontId="0" fillId="2" borderId="0" xfId="0" applyFill="1" applyAlignment="1">
      <alignment horizontal="center" vertical="top"/>
    </xf>
    <xf numFmtId="10" fontId="0" fillId="2" borderId="0" xfId="0" applyNumberFormat="1" applyFill="1" applyAlignment="1">
      <alignment horizontal="left" vertical="center"/>
    </xf>
    <xf numFmtId="0" fontId="140" fillId="3" borderId="0" xfId="0" applyFont="1" applyFill="1" applyAlignment="1">
      <alignment horizontal="left" vertical="center"/>
    </xf>
    <xf numFmtId="0" fontId="66" fillId="2" borderId="0" xfId="0" applyFont="1" applyFill="1" applyAlignment="1">
      <alignment horizontal="left" vertical="center"/>
    </xf>
    <xf numFmtId="164" fontId="23" fillId="3" borderId="0" xfId="0" applyNumberFormat="1" applyFont="1" applyFill="1" applyAlignment="1">
      <alignment vertical="center"/>
    </xf>
    <xf numFmtId="164" fontId="53" fillId="3" borderId="0" xfId="0" applyNumberFormat="1" applyFont="1" applyFill="1" applyAlignment="1">
      <alignment horizontal="left" vertical="center"/>
    </xf>
    <xf numFmtId="0" fontId="70" fillId="49" borderId="0" xfId="0" applyFont="1" applyFill="1" applyAlignment="1">
      <alignment horizontal="left" vertical="center"/>
    </xf>
    <xf numFmtId="0" fontId="68" fillId="2" borderId="0" xfId="0" applyFont="1" applyFill="1" applyAlignment="1">
      <alignment horizontal="center" vertical="center" wrapText="1"/>
    </xf>
    <xf numFmtId="164" fontId="53" fillId="2" borderId="0" xfId="0" applyNumberFormat="1" applyFont="1" applyFill="1"/>
    <xf numFmtId="0" fontId="0" fillId="44" borderId="4" xfId="0" applyFill="1" applyBorder="1" applyAlignment="1">
      <alignment horizontal="center" vertical="center" wrapText="1"/>
    </xf>
    <xf numFmtId="0" fontId="0" fillId="0" borderId="4" xfId="0" applyBorder="1" applyAlignment="1">
      <alignment vertical="center" wrapText="1"/>
    </xf>
    <xf numFmtId="164" fontId="0" fillId="2" borderId="4" xfId="0" applyNumberFormat="1" applyFill="1" applyBorder="1" applyAlignment="1">
      <alignment horizontal="center" vertical="center" wrapText="1"/>
    </xf>
    <xf numFmtId="0" fontId="0" fillId="44" borderId="2" xfId="0" applyFill="1" applyBorder="1" applyAlignment="1">
      <alignment horizontal="center" vertical="center" wrapText="1"/>
    </xf>
    <xf numFmtId="0" fontId="23" fillId="4" borderId="2" xfId="0" applyFont="1" applyFill="1" applyBorder="1" applyAlignment="1">
      <alignment vertical="center" wrapText="1"/>
    </xf>
    <xf numFmtId="0" fontId="0" fillId="3" borderId="32" xfId="0" applyFill="1" applyBorder="1" applyAlignment="1">
      <alignment vertical="center" wrapText="1"/>
    </xf>
    <xf numFmtId="0" fontId="60" fillId="0" borderId="0" xfId="0" applyFont="1" applyAlignment="1">
      <alignment horizontal="center" vertical="center" wrapText="1"/>
    </xf>
    <xf numFmtId="0" fontId="53" fillId="2" borderId="17" xfId="0" applyFont="1" applyFill="1" applyBorder="1"/>
    <xf numFmtId="0" fontId="147" fillId="2" borderId="2" xfId="0" applyFont="1" applyFill="1" applyBorder="1" applyAlignment="1">
      <alignment horizontal="center" vertical="center" wrapText="1"/>
    </xf>
    <xf numFmtId="164" fontId="0" fillId="44" borderId="0" xfId="0" applyNumberFormat="1" applyFill="1" applyAlignment="1">
      <alignment horizontal="center" vertical="center" wrapText="1"/>
    </xf>
    <xf numFmtId="0" fontId="147" fillId="2" borderId="18" xfId="0" applyFont="1" applyFill="1" applyBorder="1" applyAlignment="1">
      <alignment horizontal="center" vertical="center" wrapText="1"/>
    </xf>
    <xf numFmtId="164" fontId="0" fillId="0" borderId="0" xfId="0" applyNumberFormat="1" applyAlignment="1">
      <alignment vertical="center" wrapText="1"/>
    </xf>
    <xf numFmtId="0" fontId="147" fillId="2" borderId="17" xfId="0" applyFont="1" applyFill="1" applyBorder="1" applyAlignment="1">
      <alignment horizontal="center" vertical="center" wrapText="1"/>
    </xf>
    <xf numFmtId="0" fontId="0" fillId="2" borderId="38" xfId="0" applyFill="1" applyBorder="1" applyAlignment="1">
      <alignment horizontal="center" vertical="center" wrapText="1"/>
    </xf>
    <xf numFmtId="0" fontId="0" fillId="2" borderId="2" xfId="0" applyFill="1" applyBorder="1" applyAlignment="1">
      <alignment horizontal="center" vertical="center" wrapText="1"/>
    </xf>
    <xf numFmtId="0" fontId="60" fillId="2" borderId="18" xfId="0" applyFont="1" applyFill="1" applyBorder="1" applyAlignment="1">
      <alignment wrapText="1"/>
    </xf>
    <xf numFmtId="0" fontId="53" fillId="67" borderId="0" xfId="0" applyFont="1" applyFill="1" applyAlignment="1">
      <alignment horizontal="left" vertical="center"/>
    </xf>
    <xf numFmtId="0" fontId="23" fillId="2" borderId="17" xfId="0" applyFont="1" applyFill="1" applyBorder="1" applyAlignment="1">
      <alignment horizontal="center" vertical="center" wrapText="1"/>
    </xf>
    <xf numFmtId="0" fontId="0" fillId="71" borderId="0" xfId="0" applyFill="1" applyAlignment="1">
      <alignment horizontal="center"/>
    </xf>
    <xf numFmtId="0" fontId="0" fillId="71" borderId="0" xfId="0" applyFill="1" applyAlignment="1">
      <alignment horizontal="center" vertical="top"/>
    </xf>
    <xf numFmtId="164" fontId="23" fillId="71" borderId="0" xfId="0" applyNumberFormat="1" applyFont="1" applyFill="1" applyAlignment="1">
      <alignment horizontal="center"/>
    </xf>
    <xf numFmtId="0" fontId="60" fillId="71" borderId="0" xfId="0" applyFont="1" applyFill="1" applyAlignment="1">
      <alignment horizontal="center"/>
    </xf>
    <xf numFmtId="16" fontId="29" fillId="2" borderId="0" xfId="0" applyNumberFormat="1" applyFont="1" applyFill="1" applyAlignment="1">
      <alignment horizontal="center" vertical="center"/>
    </xf>
    <xf numFmtId="0" fontId="0" fillId="0" borderId="19" xfId="0" applyBorder="1" applyAlignment="1">
      <alignment horizontal="left" vertical="center"/>
    </xf>
    <xf numFmtId="164" fontId="0" fillId="2" borderId="0" xfId="0" applyNumberFormat="1" applyFill="1" applyAlignment="1">
      <alignment vertical="center"/>
    </xf>
    <xf numFmtId="164" fontId="23" fillId="2" borderId="0" xfId="0" applyNumberFormat="1" applyFont="1" applyFill="1" applyAlignment="1">
      <alignment vertical="center"/>
    </xf>
    <xf numFmtId="164" fontId="53" fillId="3" borderId="0" xfId="0" applyNumberFormat="1" applyFont="1" applyFill="1" applyAlignment="1">
      <alignment vertical="center"/>
    </xf>
    <xf numFmtId="0" fontId="53" fillId="2" borderId="0" xfId="0" applyFont="1" applyFill="1" applyAlignment="1">
      <alignment horizontal="left"/>
    </xf>
    <xf numFmtId="0" fontId="0" fillId="3" borderId="34" xfId="0" applyFill="1" applyBorder="1" applyAlignment="1">
      <alignment horizontal="left" vertical="center"/>
    </xf>
    <xf numFmtId="11" fontId="0" fillId="2" borderId="0" xfId="0" applyNumberFormat="1" applyFill="1" applyAlignment="1">
      <alignment horizontal="left" vertical="center"/>
    </xf>
    <xf numFmtId="0" fontId="60" fillId="2" borderId="0" xfId="0" applyFont="1" applyFill="1" applyAlignment="1">
      <alignment horizontal="left" vertical="center"/>
    </xf>
    <xf numFmtId="20" fontId="29" fillId="2" borderId="0" xfId="0" applyNumberFormat="1" applyFont="1" applyFill="1" applyAlignment="1">
      <alignment horizontal="center" vertical="center"/>
    </xf>
    <xf numFmtId="164" fontId="60" fillId="2" borderId="0" xfId="0" applyNumberFormat="1" applyFont="1" applyFill="1" applyAlignment="1">
      <alignment horizontal="center" vertical="center"/>
    </xf>
    <xf numFmtId="0" fontId="0" fillId="3" borderId="0" xfId="0" quotePrefix="1" applyFill="1" applyAlignment="1">
      <alignment horizontal="center" vertical="center"/>
    </xf>
    <xf numFmtId="20" fontId="0" fillId="2" borderId="0" xfId="0" applyNumberFormat="1" applyFill="1" applyAlignment="1">
      <alignment horizontal="left" vertical="center"/>
    </xf>
    <xf numFmtId="164" fontId="53" fillId="2" borderId="0" xfId="0" applyNumberFormat="1" applyFont="1" applyFill="1" applyAlignment="1">
      <alignment horizontal="left"/>
    </xf>
    <xf numFmtId="164" fontId="53" fillId="2" borderId="0" xfId="0" applyNumberFormat="1" applyFont="1" applyFill="1" applyAlignment="1">
      <alignment horizontal="left" vertical="center"/>
    </xf>
    <xf numFmtId="164" fontId="55" fillId="2" borderId="0" xfId="0" applyNumberFormat="1" applyFont="1" applyFill="1" applyAlignment="1">
      <alignment horizontal="left" vertical="center"/>
    </xf>
    <xf numFmtId="0" fontId="0" fillId="2" borderId="19" xfId="0" applyFill="1" applyBorder="1" applyAlignment="1">
      <alignment horizontal="center" vertical="center"/>
    </xf>
    <xf numFmtId="164" fontId="23" fillId="2" borderId="19" xfId="0" applyNumberFormat="1" applyFont="1" applyFill="1" applyBorder="1" applyAlignment="1">
      <alignment horizontal="center" vertical="center"/>
    </xf>
    <xf numFmtId="0" fontId="0" fillId="2" borderId="21" xfId="0" applyFill="1" applyBorder="1" applyAlignment="1">
      <alignment horizontal="center" vertical="center"/>
    </xf>
    <xf numFmtId="0" fontId="0" fillId="3" borderId="2" xfId="0" applyFill="1" applyBorder="1" applyAlignment="1">
      <alignment horizontal="center" vertical="center"/>
    </xf>
    <xf numFmtId="0" fontId="25" fillId="2" borderId="0" xfId="0" applyFont="1" applyFill="1" applyAlignment="1">
      <alignment horizontal="center" vertical="center"/>
    </xf>
    <xf numFmtId="0" fontId="70" fillId="2" borderId="0" xfId="0" applyFont="1" applyFill="1" applyAlignment="1">
      <alignment horizontal="left" vertical="center"/>
    </xf>
    <xf numFmtId="0" fontId="131" fillId="2" borderId="0" xfId="0" applyFont="1" applyFill="1" applyAlignment="1">
      <alignment horizontal="center"/>
    </xf>
    <xf numFmtId="4" fontId="0" fillId="3" borderId="0" xfId="0" applyNumberFormat="1" applyFill="1" applyAlignment="1">
      <alignment horizontal="left" vertical="center"/>
    </xf>
    <xf numFmtId="8" fontId="0" fillId="3" borderId="0" xfId="0" applyNumberFormat="1" applyFill="1" applyAlignment="1">
      <alignment horizontal="left" vertical="center"/>
    </xf>
    <xf numFmtId="0" fontId="70" fillId="2" borderId="0" xfId="0" applyFont="1" applyFill="1" applyAlignment="1">
      <alignment horizontal="center"/>
    </xf>
    <xf numFmtId="20" fontId="0" fillId="2" borderId="0" xfId="0" applyNumberFormat="1" applyFill="1" applyAlignment="1">
      <alignment horizontal="center" vertical="center"/>
    </xf>
    <xf numFmtId="0" fontId="116" fillId="2" borderId="0" xfId="0" applyFont="1" applyFill="1" applyAlignment="1">
      <alignment horizontal="center" vertical="center"/>
    </xf>
    <xf numFmtId="0" fontId="0" fillId="74" borderId="0" xfId="0" applyFill="1" applyAlignment="1">
      <alignment horizontal="left" vertical="center"/>
    </xf>
    <xf numFmtId="0" fontId="0" fillId="3" borderId="3" xfId="0" applyFill="1" applyBorder="1" applyAlignment="1">
      <alignment horizontal="center" vertical="center"/>
    </xf>
    <xf numFmtId="0" fontId="111" fillId="3" borderId="0" xfId="0" applyFont="1" applyFill="1" applyAlignment="1">
      <alignment horizontal="left" vertical="center"/>
    </xf>
    <xf numFmtId="0" fontId="0" fillId="3" borderId="32" xfId="0" applyFill="1" applyBorder="1" applyAlignment="1">
      <alignment horizontal="center"/>
    </xf>
    <xf numFmtId="164" fontId="0" fillId="3" borderId="0" xfId="0" applyNumberFormat="1" applyFill="1" applyAlignment="1">
      <alignment horizontal="left"/>
    </xf>
    <xf numFmtId="8" fontId="0" fillId="3" borderId="18" xfId="0" applyNumberFormat="1" applyFill="1" applyBorder="1" applyAlignment="1">
      <alignment horizontal="left" vertical="center"/>
    </xf>
    <xf numFmtId="10" fontId="0" fillId="3" borderId="34" xfId="0" applyNumberFormat="1" applyFill="1" applyBorder="1" applyAlignment="1">
      <alignment horizontal="left" vertical="center"/>
    </xf>
    <xf numFmtId="0" fontId="0" fillId="3" borderId="56" xfId="0" applyFill="1" applyBorder="1" applyAlignment="1">
      <alignment horizontal="left" vertical="center"/>
    </xf>
    <xf numFmtId="0" fontId="0" fillId="2" borderId="34" xfId="0" applyFill="1" applyBorder="1" applyAlignment="1">
      <alignment horizontal="center" vertical="center"/>
    </xf>
    <xf numFmtId="164" fontId="45" fillId="2" borderId="0" xfId="0" applyNumberFormat="1" applyFont="1" applyFill="1" applyAlignment="1">
      <alignment horizontal="center" vertical="center"/>
    </xf>
    <xf numFmtId="164" fontId="70" fillId="3" borderId="0" xfId="82" applyNumberFormat="1" applyFont="1" applyFill="1" applyAlignment="1">
      <alignment horizontal="center" vertical="center" wrapText="1"/>
    </xf>
    <xf numFmtId="164" fontId="53" fillId="3" borderId="0" xfId="0" applyNumberFormat="1" applyFont="1" applyFill="1" applyAlignment="1">
      <alignment horizontal="center" vertical="center"/>
    </xf>
    <xf numFmtId="0" fontId="0" fillId="2" borderId="0" xfId="0" quotePrefix="1" applyFill="1" applyAlignment="1">
      <alignment horizontal="center" vertical="center"/>
    </xf>
    <xf numFmtId="0" fontId="116" fillId="3" borderId="0" xfId="0" applyFont="1" applyFill="1" applyAlignment="1">
      <alignment horizontal="center" vertical="center"/>
    </xf>
    <xf numFmtId="0" fontId="0" fillId="74" borderId="0" xfId="0" applyFill="1" applyAlignment="1">
      <alignment horizontal="center" vertical="center"/>
    </xf>
    <xf numFmtId="10" fontId="0" fillId="74" borderId="0" xfId="0" applyNumberFormat="1" applyFill="1" applyAlignment="1">
      <alignment horizontal="left" vertical="center"/>
    </xf>
    <xf numFmtId="164" fontId="23" fillId="74" borderId="0" xfId="0" applyNumberFormat="1" applyFont="1" applyFill="1" applyAlignment="1">
      <alignment horizontal="center" vertical="center"/>
    </xf>
    <xf numFmtId="164" fontId="0" fillId="74" borderId="0" xfId="0" applyNumberFormat="1" applyFill="1" applyAlignment="1">
      <alignment horizontal="center" vertical="center"/>
    </xf>
    <xf numFmtId="164" fontId="0" fillId="74" borderId="18" xfId="0" applyNumberFormat="1" applyFill="1" applyBorder="1" applyAlignment="1">
      <alignment horizontal="center" vertical="center"/>
    </xf>
    <xf numFmtId="164" fontId="23" fillId="74" borderId="18" xfId="0" applyNumberFormat="1" applyFont="1" applyFill="1" applyBorder="1" applyAlignment="1">
      <alignment horizontal="center" vertical="center"/>
    </xf>
    <xf numFmtId="0" fontId="0" fillId="74" borderId="18" xfId="0" applyFill="1" applyBorder="1" applyAlignment="1">
      <alignment horizontal="center" vertical="center"/>
    </xf>
    <xf numFmtId="0" fontId="23" fillId="74" borderId="18" xfId="0" applyFont="1" applyFill="1" applyBorder="1" applyAlignment="1">
      <alignment horizontal="center" vertical="center"/>
    </xf>
    <xf numFmtId="16" fontId="0" fillId="74" borderId="18" xfId="0" applyNumberFormat="1" applyFill="1" applyBorder="1" applyAlignment="1">
      <alignment horizontal="center" vertical="center"/>
    </xf>
    <xf numFmtId="10" fontId="0" fillId="74" borderId="18" xfId="0" applyNumberFormat="1" applyFill="1" applyBorder="1" applyAlignment="1">
      <alignment horizontal="center" vertical="center"/>
    </xf>
    <xf numFmtId="18" fontId="0" fillId="2" borderId="0" xfId="0" applyNumberFormat="1" applyFill="1" applyAlignment="1">
      <alignment horizontal="center" vertical="center"/>
    </xf>
    <xf numFmtId="164" fontId="52" fillId="2" borderId="0" xfId="0" applyNumberFormat="1" applyFont="1" applyFill="1" applyAlignment="1">
      <alignment horizontal="center" vertical="center"/>
    </xf>
    <xf numFmtId="164" fontId="55" fillId="3" borderId="0" xfId="0" applyNumberFormat="1" applyFont="1" applyFill="1" applyAlignment="1">
      <alignment horizontal="center" vertical="center"/>
    </xf>
    <xf numFmtId="0" fontId="23" fillId="3" borderId="17" xfId="0" applyFont="1" applyFill="1" applyBorder="1" applyAlignment="1">
      <alignment horizontal="center" vertical="center"/>
    </xf>
    <xf numFmtId="0" fontId="0" fillId="3" borderId="34" xfId="0" applyFill="1" applyBorder="1" applyAlignment="1">
      <alignment horizontal="center" vertical="center"/>
    </xf>
    <xf numFmtId="16" fontId="0" fillId="4" borderId="0" xfId="0" applyNumberFormat="1" applyFill="1" applyAlignment="1">
      <alignment horizontal="center" vertical="center" wrapText="1"/>
    </xf>
    <xf numFmtId="0" fontId="53" fillId="3" borderId="34" xfId="0" applyFont="1" applyFill="1" applyBorder="1" applyAlignment="1">
      <alignment horizontal="center" vertical="center"/>
    </xf>
    <xf numFmtId="164" fontId="70" fillId="3" borderId="0" xfId="0" applyNumberFormat="1" applyFont="1" applyFill="1" applyAlignment="1">
      <alignment horizontal="center" vertical="center"/>
    </xf>
    <xf numFmtId="16" fontId="0" fillId="74" borderId="0" xfId="0" applyNumberFormat="1" applyFill="1" applyAlignment="1">
      <alignment horizontal="center" vertical="center"/>
    </xf>
    <xf numFmtId="0" fontId="0" fillId="74" borderId="0" xfId="0" applyFill="1" applyAlignment="1">
      <alignment horizontal="center" vertical="center" wrapText="1"/>
    </xf>
    <xf numFmtId="0" fontId="146" fillId="3" borderId="0" xfId="0" applyFont="1" applyFill="1" applyAlignment="1">
      <alignment horizontal="center" vertical="center"/>
    </xf>
    <xf numFmtId="0" fontId="144" fillId="2" borderId="0" xfId="0" applyFont="1" applyFill="1" applyAlignment="1">
      <alignment horizontal="left" vertical="center"/>
    </xf>
    <xf numFmtId="0" fontId="70" fillId="2" borderId="0" xfId="0" applyFont="1" applyFill="1" applyAlignment="1">
      <alignment horizontal="center" vertical="center"/>
    </xf>
    <xf numFmtId="0" fontId="131" fillId="2" borderId="0" xfId="0" applyFont="1" applyFill="1" applyAlignment="1">
      <alignment horizontal="center" vertical="center"/>
    </xf>
    <xf numFmtId="0" fontId="113" fillId="2" borderId="0" xfId="0" applyFont="1" applyFill="1" applyAlignment="1">
      <alignment horizontal="center" vertical="center"/>
    </xf>
    <xf numFmtId="0" fontId="60" fillId="2" borderId="0" xfId="0" applyFont="1" applyFill="1" applyAlignment="1">
      <alignment horizontal="center" vertical="center"/>
    </xf>
    <xf numFmtId="0" fontId="23" fillId="0" borderId="0" xfId="0" applyFont="1" applyAlignment="1">
      <alignment horizontal="center" vertical="center" wrapText="1"/>
    </xf>
    <xf numFmtId="0" fontId="57" fillId="0" borderId="0" xfId="0" applyFont="1" applyAlignment="1">
      <alignment horizontal="left"/>
    </xf>
    <xf numFmtId="16" fontId="23" fillId="3" borderId="0" xfId="0" applyNumberFormat="1" applyFont="1" applyFill="1" applyAlignment="1">
      <alignment horizontal="center" vertical="center"/>
    </xf>
    <xf numFmtId="0" fontId="109" fillId="3" borderId="0" xfId="0" applyFont="1" applyFill="1" applyAlignment="1">
      <alignment horizontal="left" vertical="center"/>
    </xf>
    <xf numFmtId="0" fontId="140" fillId="3" borderId="0" xfId="0" applyFont="1" applyFill="1" applyAlignment="1">
      <alignment horizontal="center" vertical="center"/>
    </xf>
    <xf numFmtId="164" fontId="151" fillId="3" borderId="0" xfId="0" applyNumberFormat="1" applyFont="1" applyFill="1" applyAlignment="1">
      <alignment horizontal="center" vertical="center" wrapText="1"/>
    </xf>
    <xf numFmtId="0" fontId="152" fillId="3" borderId="0" xfId="0" applyFont="1" applyFill="1" applyAlignment="1">
      <alignment horizontal="center" vertical="center"/>
    </xf>
    <xf numFmtId="0" fontId="111" fillId="2" borderId="3" xfId="0" applyFont="1" applyFill="1" applyBorder="1" applyAlignment="1">
      <alignment horizontal="center" vertical="center"/>
    </xf>
    <xf numFmtId="0" fontId="111" fillId="2" borderId="2" xfId="0" applyFont="1" applyFill="1" applyBorder="1" applyAlignment="1">
      <alignment horizontal="center" vertical="center"/>
    </xf>
    <xf numFmtId="164" fontId="23" fillId="2" borderId="4" xfId="0" applyNumberFormat="1" applyFont="1" applyFill="1" applyBorder="1" applyAlignment="1">
      <alignment horizontal="center" vertical="center"/>
    </xf>
    <xf numFmtId="164" fontId="0" fillId="2" borderId="2" xfId="0" applyNumberFormat="1" applyFill="1" applyBorder="1" applyAlignment="1">
      <alignment vertical="center"/>
    </xf>
    <xf numFmtId="164" fontId="53" fillId="2" borderId="18" xfId="0" applyNumberFormat="1" applyFont="1" applyFill="1" applyBorder="1" applyAlignment="1">
      <alignment horizontal="left"/>
    </xf>
    <xf numFmtId="164" fontId="24" fillId="3" borderId="4" xfId="0" applyNumberFormat="1" applyFont="1" applyFill="1" applyBorder="1" applyAlignment="1">
      <alignment horizontal="left" vertical="center"/>
    </xf>
    <xf numFmtId="0" fontId="0" fillId="2" borderId="4" xfId="0" applyFill="1" applyBorder="1" applyAlignment="1">
      <alignment horizontal="left" vertical="center"/>
    </xf>
    <xf numFmtId="0" fontId="0" fillId="71" borderId="18" xfId="0" applyFill="1" applyBorder="1" applyAlignment="1">
      <alignment horizontal="center" vertical="center"/>
    </xf>
    <xf numFmtId="16" fontId="23" fillId="2" borderId="18" xfId="0" applyNumberFormat="1" applyFont="1" applyFill="1" applyBorder="1" applyAlignment="1">
      <alignment horizontal="center" vertical="center"/>
    </xf>
    <xf numFmtId="164" fontId="53" fillId="2" borderId="18" xfId="0" applyNumberFormat="1" applyFont="1" applyFill="1" applyBorder="1" applyAlignment="1">
      <alignment horizontal="center"/>
    </xf>
    <xf numFmtId="0" fontId="53" fillId="0" borderId="17" xfId="0" applyFont="1" applyBorder="1"/>
    <xf numFmtId="0" fontId="111" fillId="2" borderId="17" xfId="0" applyFont="1" applyFill="1" applyBorder="1" applyAlignment="1">
      <alignment horizontal="center" vertical="center"/>
    </xf>
    <xf numFmtId="0" fontId="25" fillId="4" borderId="0" xfId="0" applyFont="1" applyFill="1" applyAlignment="1">
      <alignment horizontal="center" vertical="center"/>
    </xf>
    <xf numFmtId="0" fontId="146" fillId="3" borderId="17" xfId="0" applyFont="1" applyFill="1" applyBorder="1" applyAlignment="1">
      <alignment horizontal="center" vertical="center"/>
    </xf>
    <xf numFmtId="164" fontId="0" fillId="3" borderId="2" xfId="0" applyNumberFormat="1" applyFill="1" applyBorder="1" applyAlignment="1">
      <alignment horizontal="center" vertical="center"/>
    </xf>
    <xf numFmtId="164" fontId="53" fillId="3" borderId="17" xfId="0" applyNumberFormat="1" applyFont="1" applyFill="1" applyBorder="1" applyAlignment="1">
      <alignment horizontal="center" vertical="center"/>
    </xf>
    <xf numFmtId="164" fontId="23" fillId="3" borderId="2" xfId="0" applyNumberFormat="1" applyFont="1" applyFill="1" applyBorder="1" applyAlignment="1">
      <alignment horizontal="center" vertical="center"/>
    </xf>
    <xf numFmtId="164" fontId="150" fillId="3" borderId="0" xfId="0" applyNumberFormat="1" applyFont="1" applyFill="1" applyAlignment="1">
      <alignment horizontal="center" vertical="center" wrapText="1"/>
    </xf>
    <xf numFmtId="0" fontId="55" fillId="3" borderId="0" xfId="0" applyFont="1" applyFill="1" applyAlignment="1">
      <alignment horizontal="center" vertical="center" wrapText="1"/>
    </xf>
    <xf numFmtId="0" fontId="45" fillId="3" borderId="17" xfId="0" applyFont="1" applyFill="1" applyBorder="1" applyAlignment="1">
      <alignment horizontal="center" vertical="center" wrapText="1"/>
    </xf>
    <xf numFmtId="0" fontId="149" fillId="74" borderId="0" xfId="0" applyFont="1" applyFill="1" applyAlignment="1">
      <alignment horizontal="center" vertical="center"/>
    </xf>
    <xf numFmtId="164" fontId="29" fillId="2" borderId="19" xfId="0" applyNumberFormat="1" applyFont="1" applyFill="1" applyBorder="1" applyAlignment="1">
      <alignment horizontal="center" vertical="center"/>
    </xf>
    <xf numFmtId="164" fontId="24" fillId="3" borderId="35" xfId="0" applyNumberFormat="1" applyFont="1" applyFill="1" applyBorder="1" applyAlignment="1">
      <alignment horizontal="center" vertical="center"/>
    </xf>
    <xf numFmtId="0" fontId="25" fillId="67" borderId="0" xfId="0" applyFont="1" applyFill="1" applyAlignment="1">
      <alignment horizontal="center" vertical="center" wrapText="1"/>
    </xf>
    <xf numFmtId="0" fontId="122" fillId="67" borderId="0" xfId="0" applyFont="1" applyFill="1" applyAlignment="1">
      <alignment horizontal="left" vertical="center"/>
    </xf>
    <xf numFmtId="0" fontId="111" fillId="2" borderId="18" xfId="0" applyFont="1" applyFill="1" applyBorder="1" applyAlignment="1">
      <alignment horizontal="center" vertical="center"/>
    </xf>
    <xf numFmtId="0" fontId="53" fillId="3" borderId="18" xfId="0" applyFont="1" applyFill="1" applyBorder="1" applyAlignment="1">
      <alignment horizontal="center" vertical="center"/>
    </xf>
    <xf numFmtId="0" fontId="25" fillId="3" borderId="18" xfId="0" applyFont="1" applyFill="1" applyBorder="1" applyAlignment="1">
      <alignment horizontal="center" vertical="center"/>
    </xf>
    <xf numFmtId="0" fontId="152" fillId="3" borderId="17" xfId="0" applyFont="1" applyFill="1" applyBorder="1" applyAlignment="1">
      <alignment horizontal="center" vertical="center"/>
    </xf>
    <xf numFmtId="0" fontId="24" fillId="3" borderId="2" xfId="0" applyFont="1" applyFill="1" applyBorder="1" applyAlignment="1">
      <alignment horizontal="center" vertical="center"/>
    </xf>
    <xf numFmtId="164" fontId="53" fillId="3" borderId="18" xfId="0" applyNumberFormat="1" applyFont="1" applyFill="1" applyBorder="1" applyAlignment="1">
      <alignment horizontal="center" vertical="center"/>
    </xf>
    <xf numFmtId="164" fontId="24" fillId="3" borderId="2" xfId="0" applyNumberFormat="1" applyFont="1" applyFill="1" applyBorder="1" applyAlignment="1">
      <alignment horizontal="center" vertical="center"/>
    </xf>
    <xf numFmtId="164" fontId="23" fillId="2" borderId="2" xfId="0" applyNumberFormat="1" applyFont="1" applyFill="1" applyBorder="1" applyAlignment="1">
      <alignment horizontal="center" vertical="center"/>
    </xf>
    <xf numFmtId="0" fontId="45" fillId="3" borderId="18" xfId="0" applyFont="1" applyFill="1" applyBorder="1" applyAlignment="1">
      <alignment horizontal="center" vertical="center"/>
    </xf>
    <xf numFmtId="164" fontId="29" fillId="2" borderId="2" xfId="0" applyNumberFormat="1" applyFont="1" applyFill="1" applyBorder="1" applyAlignment="1">
      <alignment horizontal="center" vertical="center"/>
    </xf>
    <xf numFmtId="0" fontId="29" fillId="2" borderId="43" xfId="0" applyFont="1" applyFill="1" applyBorder="1" applyAlignment="1">
      <alignment horizontal="center" vertical="center"/>
    </xf>
    <xf numFmtId="20" fontId="0" fillId="2" borderId="17" xfId="0" applyNumberFormat="1" applyFill="1" applyBorder="1" applyAlignment="1">
      <alignment horizontal="center" vertical="center"/>
    </xf>
    <xf numFmtId="0" fontId="23" fillId="3" borderId="18" xfId="0" applyFont="1" applyFill="1" applyBorder="1" applyAlignment="1">
      <alignment horizontal="center" vertical="center" wrapText="1"/>
    </xf>
    <xf numFmtId="0" fontId="29" fillId="2" borderId="19" xfId="0" applyFont="1" applyFill="1" applyBorder="1" applyAlignment="1">
      <alignment horizontal="center" vertical="center"/>
    </xf>
    <xf numFmtId="0" fontId="29" fillId="2" borderId="2" xfId="0" applyFont="1" applyFill="1" applyBorder="1" applyAlignment="1">
      <alignment horizontal="center" vertical="center"/>
    </xf>
    <xf numFmtId="0" fontId="57" fillId="2" borderId="2" xfId="0" applyFont="1" applyFill="1" applyBorder="1" applyAlignment="1">
      <alignment horizontal="center" vertical="center"/>
    </xf>
    <xf numFmtId="0" fontId="45" fillId="3" borderId="2" xfId="0" applyFont="1" applyFill="1" applyBorder="1" applyAlignment="1">
      <alignment horizontal="center" vertical="center" wrapText="1"/>
    </xf>
    <xf numFmtId="0" fontId="24" fillId="3" borderId="2" xfId="0" applyFont="1" applyFill="1" applyBorder="1" applyAlignment="1">
      <alignment horizontal="center" vertical="center" wrapText="1"/>
    </xf>
    <xf numFmtId="0" fontId="0" fillId="74" borderId="0" xfId="0" quotePrefix="1" applyFill="1" applyAlignment="1">
      <alignment horizontal="center" vertical="center"/>
    </xf>
    <xf numFmtId="164" fontId="70" fillId="3" borderId="17" xfId="0" applyNumberFormat="1" applyFont="1" applyFill="1" applyBorder="1" applyAlignment="1">
      <alignment horizontal="center" vertical="center"/>
    </xf>
    <xf numFmtId="164" fontId="57" fillId="2" borderId="19" xfId="0" applyNumberFormat="1" applyFont="1" applyFill="1" applyBorder="1" applyAlignment="1">
      <alignment horizontal="center" vertical="center"/>
    </xf>
    <xf numFmtId="164" fontId="60" fillId="2" borderId="17" xfId="0" applyNumberFormat="1" applyFont="1" applyFill="1" applyBorder="1" applyAlignment="1">
      <alignment horizontal="center" vertical="center"/>
    </xf>
    <xf numFmtId="0" fontId="0" fillId="74" borderId="0" xfId="0" applyFill="1" applyAlignment="1">
      <alignment horizontal="left" vertical="center" wrapText="1"/>
    </xf>
    <xf numFmtId="16" fontId="60" fillId="2" borderId="0" xfId="0" applyNumberFormat="1" applyFont="1" applyFill="1" applyAlignment="1">
      <alignment horizontal="center" vertical="center"/>
    </xf>
    <xf numFmtId="0" fontId="51" fillId="0" borderId="0" xfId="1" applyFont="1"/>
    <xf numFmtId="0" fontId="0" fillId="56" borderId="0" xfId="0" applyFill="1" applyAlignment="1">
      <alignment horizontal="left" vertical="center"/>
    </xf>
    <xf numFmtId="164" fontId="44" fillId="63" borderId="4" xfId="0" applyNumberFormat="1" applyFont="1" applyFill="1" applyBorder="1" applyAlignment="1">
      <alignment horizontal="center" vertical="center" wrapText="1"/>
    </xf>
    <xf numFmtId="164" fontId="50" fillId="63" borderId="4" xfId="0" applyNumberFormat="1" applyFont="1" applyFill="1" applyBorder="1" applyAlignment="1">
      <alignment horizontal="center" vertical="center" wrapText="1"/>
    </xf>
    <xf numFmtId="49" fontId="69" fillId="63" borderId="4" xfId="0" applyNumberFormat="1" applyFont="1" applyFill="1" applyBorder="1" applyAlignment="1">
      <alignment horizontal="center" vertical="center" wrapText="1"/>
    </xf>
    <xf numFmtId="49" fontId="48" fillId="63" borderId="4" xfId="0" applyNumberFormat="1" applyFont="1" applyFill="1" applyBorder="1" applyAlignment="1">
      <alignment horizontal="center" vertical="center" wrapText="1"/>
    </xf>
    <xf numFmtId="0" fontId="44" fillId="63" borderId="4" xfId="0" applyFont="1" applyFill="1" applyBorder="1" applyAlignment="1">
      <alignment horizontal="center" vertical="center"/>
    </xf>
    <xf numFmtId="1" fontId="44" fillId="63" borderId="4" xfId="0" applyNumberFormat="1" applyFont="1" applyFill="1" applyBorder="1" applyAlignment="1">
      <alignment horizontal="center" vertical="center"/>
    </xf>
    <xf numFmtId="10" fontId="44" fillId="63" borderId="4" xfId="77" applyNumberFormat="1" applyFont="1" applyFill="1" applyBorder="1" applyAlignment="1">
      <alignment horizontal="center" vertical="center"/>
    </xf>
    <xf numFmtId="164" fontId="0" fillId="4" borderId="0" xfId="0" applyNumberFormat="1" applyFill="1" applyAlignment="1">
      <alignment horizontal="left" vertical="center"/>
    </xf>
    <xf numFmtId="164" fontId="44" fillId="3" borderId="58" xfId="0" applyNumberFormat="1" applyFont="1" applyFill="1" applyBorder="1" applyAlignment="1">
      <alignment horizontal="center" vertical="center"/>
    </xf>
    <xf numFmtId="164" fontId="44" fillId="3" borderId="57" xfId="0" applyNumberFormat="1" applyFont="1" applyFill="1" applyBorder="1" applyAlignment="1">
      <alignment horizontal="center" vertical="center"/>
    </xf>
    <xf numFmtId="164" fontId="50" fillId="3" borderId="57" xfId="0" applyNumberFormat="1" applyFont="1" applyFill="1" applyBorder="1" applyAlignment="1">
      <alignment horizontal="center" vertical="center"/>
    </xf>
    <xf numFmtId="164" fontId="44" fillId="3" borderId="57" xfId="0" applyNumberFormat="1" applyFont="1" applyFill="1" applyBorder="1" applyAlignment="1">
      <alignment horizontal="center" vertical="center" wrapText="1"/>
    </xf>
    <xf numFmtId="49" fontId="69" fillId="3" borderId="57" xfId="0" applyNumberFormat="1" applyFont="1" applyFill="1" applyBorder="1" applyAlignment="1">
      <alignment horizontal="center" vertical="center"/>
    </xf>
    <xf numFmtId="49" fontId="48" fillId="3" borderId="57" xfId="0" applyNumberFormat="1" applyFont="1" applyFill="1" applyBorder="1" applyAlignment="1">
      <alignment horizontal="center" vertical="center"/>
    </xf>
    <xf numFmtId="0" fontId="44" fillId="3" borderId="57" xfId="0" applyFont="1" applyFill="1" applyBorder="1" applyAlignment="1">
      <alignment horizontal="left" vertical="center" wrapText="1"/>
    </xf>
    <xf numFmtId="0" fontId="44" fillId="3" borderId="57" xfId="0" applyFont="1" applyFill="1" applyBorder="1" applyAlignment="1">
      <alignment horizontal="center" vertical="center"/>
    </xf>
    <xf numFmtId="1" fontId="44" fillId="3" borderId="57" xfId="0" applyNumberFormat="1" applyFont="1" applyFill="1" applyBorder="1" applyAlignment="1">
      <alignment horizontal="left" vertical="center"/>
    </xf>
    <xf numFmtId="0" fontId="44" fillId="3" borderId="57" xfId="0" applyFont="1" applyFill="1" applyBorder="1" applyAlignment="1">
      <alignment horizontal="left" vertical="center"/>
    </xf>
    <xf numFmtId="10" fontId="44" fillId="3" borderId="57" xfId="77" applyNumberFormat="1" applyFont="1" applyFill="1" applyBorder="1" applyAlignment="1">
      <alignment horizontal="left" vertical="center"/>
    </xf>
    <xf numFmtId="10" fontId="44" fillId="3" borderId="59" xfId="77" applyNumberFormat="1" applyFont="1" applyFill="1" applyBorder="1" applyAlignment="1">
      <alignment horizontal="left" vertical="center"/>
    </xf>
    <xf numFmtId="164" fontId="44" fillId="63" borderId="58" xfId="0" applyNumberFormat="1" applyFont="1" applyFill="1" applyBorder="1" applyAlignment="1">
      <alignment horizontal="left" vertical="center"/>
    </xf>
    <xf numFmtId="164" fontId="44" fillId="63" borderId="57" xfId="0" applyNumberFormat="1" applyFont="1" applyFill="1" applyBorder="1" applyAlignment="1">
      <alignment horizontal="left" vertical="center"/>
    </xf>
    <xf numFmtId="164" fontId="50" fillId="63" borderId="57" xfId="0" applyNumberFormat="1" applyFont="1" applyFill="1" applyBorder="1" applyAlignment="1">
      <alignment horizontal="left" vertical="center"/>
    </xf>
    <xf numFmtId="49" fontId="48" fillId="63" borderId="57" xfId="0" applyNumberFormat="1" applyFont="1" applyFill="1" applyBorder="1" applyAlignment="1">
      <alignment horizontal="left" vertical="center"/>
    </xf>
    <xf numFmtId="0" fontId="140" fillId="2" borderId="0" xfId="0" applyFont="1" applyFill="1" applyAlignment="1">
      <alignment horizontal="left"/>
    </xf>
    <xf numFmtId="0" fontId="24" fillId="3" borderId="0" xfId="0" applyFont="1" applyFill="1" applyAlignment="1">
      <alignment horizontal="left"/>
    </xf>
    <xf numFmtId="0" fontId="0" fillId="3" borderId="0" xfId="0" quotePrefix="1" applyFill="1" applyAlignment="1">
      <alignment horizontal="left" vertical="center"/>
    </xf>
    <xf numFmtId="0" fontId="44" fillId="63" borderId="4" xfId="0" applyFont="1" applyFill="1" applyBorder="1" applyAlignment="1">
      <alignment horizontal="left" vertical="center"/>
    </xf>
    <xf numFmtId="0" fontId="0" fillId="73" borderId="0" xfId="0" applyFill="1" applyAlignment="1">
      <alignment horizontal="left"/>
    </xf>
    <xf numFmtId="0" fontId="0" fillId="74" borderId="0" xfId="0" applyFill="1" applyAlignment="1">
      <alignment horizontal="left"/>
    </xf>
    <xf numFmtId="164" fontId="23" fillId="4" borderId="0" xfId="0" applyNumberFormat="1" applyFont="1" applyFill="1" applyAlignment="1">
      <alignment horizontal="left" vertical="center" wrapText="1"/>
    </xf>
    <xf numFmtId="49" fontId="69" fillId="63" borderId="57" xfId="0" applyNumberFormat="1" applyFont="1" applyFill="1" applyBorder="1" applyAlignment="1">
      <alignment horizontal="left" vertical="center"/>
    </xf>
    <xf numFmtId="0" fontId="60" fillId="2" borderId="0" xfId="0" applyFont="1" applyFill="1"/>
    <xf numFmtId="0" fontId="143" fillId="2" borderId="0" xfId="0" applyFont="1" applyFill="1"/>
    <xf numFmtId="0" fontId="145" fillId="2" borderId="0" xfId="0" applyFont="1" applyFill="1"/>
    <xf numFmtId="0" fontId="61" fillId="2" borderId="0" xfId="0" applyFont="1" applyFill="1"/>
    <xf numFmtId="0" fontId="0" fillId="71" borderId="0" xfId="0" applyFill="1"/>
    <xf numFmtId="0" fontId="45" fillId="3" borderId="0" xfId="0" applyFont="1" applyFill="1" applyAlignment="1">
      <alignment horizontal="left" vertical="center"/>
    </xf>
    <xf numFmtId="0" fontId="148" fillId="2" borderId="0" xfId="0" applyFont="1" applyFill="1"/>
    <xf numFmtId="0" fontId="131" fillId="2" borderId="0" xfId="0" applyFont="1" applyFill="1"/>
    <xf numFmtId="0" fontId="0" fillId="0" borderId="0" xfId="77" applyNumberFormat="1" applyFont="1" applyBorder="1" applyAlignment="1">
      <alignment horizontal="left" vertical="center"/>
    </xf>
    <xf numFmtId="164" fontId="0" fillId="2" borderId="18" xfId="0" applyNumberFormat="1" applyFill="1" applyBorder="1" applyAlignment="1">
      <alignment horizontal="left"/>
    </xf>
    <xf numFmtId="164" fontId="57" fillId="2" borderId="18" xfId="0" applyNumberFormat="1" applyFont="1" applyFill="1" applyBorder="1" applyAlignment="1">
      <alignment horizontal="left" vertical="center"/>
    </xf>
    <xf numFmtId="164" fontId="23" fillId="2" borderId="18" xfId="0" applyNumberFormat="1" applyFont="1" applyFill="1" applyBorder="1" applyAlignment="1">
      <alignment horizontal="left"/>
    </xf>
    <xf numFmtId="0" fontId="57" fillId="2" borderId="18" xfId="0" applyFont="1" applyFill="1" applyBorder="1" applyAlignment="1">
      <alignment horizontal="left"/>
    </xf>
    <xf numFmtId="16" fontId="0" fillId="2" borderId="18" xfId="0" applyNumberFormat="1" applyFill="1" applyBorder="1" applyAlignment="1">
      <alignment horizontal="left"/>
    </xf>
    <xf numFmtId="0" fontId="139" fillId="2" borderId="18" xfId="0" applyFont="1" applyFill="1" applyBorder="1" applyAlignment="1">
      <alignment horizontal="left" vertical="center"/>
    </xf>
    <xf numFmtId="164" fontId="29" fillId="2" borderId="18" xfId="0" applyNumberFormat="1" applyFont="1" applyFill="1" applyBorder="1" applyAlignment="1">
      <alignment horizontal="left" vertical="center"/>
    </xf>
    <xf numFmtId="164" fontId="29" fillId="2" borderId="0" xfId="0" applyNumberFormat="1" applyFont="1" applyFill="1" applyAlignment="1">
      <alignment horizontal="center"/>
    </xf>
    <xf numFmtId="0" fontId="29" fillId="2" borderId="0" xfId="0" applyFont="1" applyFill="1" applyAlignment="1">
      <alignment horizontal="center"/>
    </xf>
    <xf numFmtId="0" fontId="29" fillId="0" borderId="0" xfId="0" applyFont="1" applyAlignment="1">
      <alignment horizontal="center" vertical="center"/>
    </xf>
    <xf numFmtId="164" fontId="29" fillId="0" borderId="0" xfId="0" applyNumberFormat="1" applyFont="1" applyAlignment="1">
      <alignment horizontal="center"/>
    </xf>
    <xf numFmtId="0" fontId="0" fillId="73" borderId="0" xfId="0" applyFill="1" applyAlignment="1">
      <alignment horizontal="left" vertical="center"/>
    </xf>
    <xf numFmtId="0" fontId="0" fillId="74" borderId="17" xfId="0" applyFill="1" applyBorder="1" applyAlignment="1">
      <alignment horizontal="center"/>
    </xf>
    <xf numFmtId="0" fontId="0" fillId="74" borderId="0" xfId="0" applyFill="1"/>
    <xf numFmtId="0" fontId="0" fillId="74" borderId="17" xfId="0" applyFill="1" applyBorder="1" applyAlignment="1">
      <alignment horizontal="left"/>
    </xf>
    <xf numFmtId="0" fontId="0" fillId="74" borderId="0" xfId="0" quotePrefix="1" applyFill="1" applyAlignment="1">
      <alignment horizontal="center"/>
    </xf>
    <xf numFmtId="164" fontId="0" fillId="74" borderId="0" xfId="0" applyNumberFormat="1" applyFill="1" applyAlignment="1">
      <alignment horizontal="center"/>
    </xf>
    <xf numFmtId="16" fontId="0" fillId="74" borderId="0" xfId="0" applyNumberFormat="1" applyFill="1"/>
    <xf numFmtId="0" fontId="0" fillId="74" borderId="0" xfId="0" applyFill="1" applyAlignment="1">
      <alignment wrapText="1"/>
    </xf>
    <xf numFmtId="16" fontId="23" fillId="74" borderId="0" xfId="0" applyNumberFormat="1" applyFont="1" applyFill="1" applyAlignment="1">
      <alignment horizontal="center" vertical="center" wrapText="1"/>
    </xf>
    <xf numFmtId="164" fontId="24" fillId="74" borderId="0" xfId="0" applyNumberFormat="1" applyFont="1" applyFill="1" applyAlignment="1">
      <alignment horizontal="center" vertical="center"/>
    </xf>
    <xf numFmtId="164" fontId="56" fillId="74" borderId="0" xfId="0" applyNumberFormat="1" applyFont="1" applyFill="1" applyAlignment="1">
      <alignment horizontal="center" vertical="center"/>
    </xf>
    <xf numFmtId="16" fontId="29" fillId="2" borderId="0" xfId="0" applyNumberFormat="1" applyFont="1" applyFill="1" applyAlignment="1">
      <alignment horizontal="center"/>
    </xf>
    <xf numFmtId="164" fontId="55" fillId="3" borderId="0" xfId="0" applyNumberFormat="1" applyFont="1" applyFill="1" applyAlignment="1">
      <alignment horizontal="left" vertical="center"/>
    </xf>
    <xf numFmtId="0" fontId="52" fillId="2" borderId="0" xfId="0" applyFont="1" applyFill="1" applyAlignment="1">
      <alignment horizontal="center"/>
    </xf>
    <xf numFmtId="164" fontId="57" fillId="2" borderId="0" xfId="0" applyNumberFormat="1" applyFont="1" applyFill="1" applyAlignment="1">
      <alignment horizontal="center"/>
    </xf>
    <xf numFmtId="16" fontId="0" fillId="2" borderId="0" xfId="0" applyNumberFormat="1" applyFill="1" applyAlignment="1">
      <alignment horizontal="center"/>
    </xf>
    <xf numFmtId="164" fontId="23" fillId="2" borderId="0" xfId="0" applyNumberFormat="1" applyFont="1" applyFill="1" applyAlignment="1">
      <alignment horizontal="center"/>
    </xf>
    <xf numFmtId="0" fontId="23" fillId="4" borderId="0" xfId="0" applyFont="1" applyFill="1" applyAlignment="1">
      <alignment horizontal="left" vertical="center"/>
    </xf>
    <xf numFmtId="0" fontId="0" fillId="0" borderId="0" xfId="77" applyNumberFormat="1" applyFont="1" applyFill="1" applyBorder="1" applyAlignment="1">
      <alignment horizontal="left" vertical="center"/>
    </xf>
    <xf numFmtId="164" fontId="24" fillId="3" borderId="0" xfId="0" applyNumberFormat="1" applyFont="1" applyFill="1" applyAlignment="1">
      <alignment horizontal="left"/>
    </xf>
    <xf numFmtId="16" fontId="0" fillId="2" borderId="0" xfId="0" applyNumberFormat="1" applyFill="1" applyAlignment="1">
      <alignment horizontal="left"/>
    </xf>
    <xf numFmtId="0" fontId="53" fillId="3" borderId="0" xfId="0" applyFont="1" applyFill="1"/>
    <xf numFmtId="16" fontId="23" fillId="2" borderId="0" xfId="0" applyNumberFormat="1" applyFont="1" applyFill="1" applyAlignment="1">
      <alignment horizontal="left"/>
    </xf>
    <xf numFmtId="0" fontId="29" fillId="73" borderId="0" xfId="0" applyFont="1" applyFill="1" applyAlignment="1">
      <alignment horizontal="left" vertical="center"/>
    </xf>
    <xf numFmtId="0" fontId="66" fillId="2" borderId="0" xfId="0" applyFont="1" applyFill="1" applyAlignment="1">
      <alignment vertical="center"/>
    </xf>
    <xf numFmtId="0" fontId="17" fillId="3" borderId="0" xfId="0" applyFont="1" applyFill="1" applyAlignment="1">
      <alignment horizontal="left" vertical="center"/>
    </xf>
    <xf numFmtId="164" fontId="44" fillId="63" borderId="19" xfId="0" applyNumberFormat="1" applyFont="1" applyFill="1" applyBorder="1" applyAlignment="1">
      <alignment horizontal="left" vertical="center" wrapText="1"/>
    </xf>
    <xf numFmtId="164" fontId="50" fillId="63" borderId="19" xfId="0" applyNumberFormat="1" applyFont="1" applyFill="1" applyBorder="1" applyAlignment="1">
      <alignment horizontal="left" vertical="center" wrapText="1"/>
    </xf>
    <xf numFmtId="49" fontId="69" fillId="63" borderId="19" xfId="0" applyNumberFormat="1" applyFont="1" applyFill="1" applyBorder="1" applyAlignment="1">
      <alignment horizontal="left" vertical="center" wrapText="1"/>
    </xf>
    <xf numFmtId="49" fontId="48" fillId="63" borderId="19" xfId="0" applyNumberFormat="1" applyFont="1" applyFill="1" applyBorder="1" applyAlignment="1">
      <alignment horizontal="left" vertical="center" wrapText="1"/>
    </xf>
    <xf numFmtId="0" fontId="44" fillId="63" borderId="19" xfId="0" applyFont="1" applyFill="1" applyBorder="1" applyAlignment="1">
      <alignment horizontal="left" vertical="center" wrapText="1"/>
    </xf>
    <xf numFmtId="0" fontId="44" fillId="63" borderId="19" xfId="0" applyFont="1" applyFill="1" applyBorder="1" applyAlignment="1">
      <alignment horizontal="left" vertical="center"/>
    </xf>
    <xf numFmtId="10" fontId="44" fillId="63" borderId="19" xfId="77" applyNumberFormat="1" applyFont="1" applyFill="1" applyBorder="1" applyAlignment="1">
      <alignment horizontal="left" vertical="center"/>
    </xf>
    <xf numFmtId="16" fontId="0" fillId="0" borderId="0" xfId="0" applyNumberFormat="1" applyAlignment="1">
      <alignment horizontal="left" vertical="center" wrapText="1"/>
    </xf>
    <xf numFmtId="0" fontId="23" fillId="4" borderId="0" xfId="0" applyFont="1" applyFill="1" applyAlignment="1">
      <alignment horizontal="left" vertical="center" wrapText="1"/>
    </xf>
    <xf numFmtId="10" fontId="0" fillId="3" borderId="3" xfId="0" applyNumberFormat="1" applyFill="1" applyBorder="1" applyAlignment="1">
      <alignment horizontal="left" vertical="center"/>
    </xf>
    <xf numFmtId="0" fontId="70" fillId="3" borderId="0" xfId="0" applyFont="1" applyFill="1" applyAlignment="1">
      <alignment horizontal="left" vertical="center"/>
    </xf>
    <xf numFmtId="16" fontId="45" fillId="2" borderId="0" xfId="0" applyNumberFormat="1" applyFont="1" applyFill="1" applyAlignment="1">
      <alignment horizontal="center" vertical="center"/>
    </xf>
    <xf numFmtId="164" fontId="45" fillId="2" borderId="0" xfId="0" applyNumberFormat="1" applyFont="1" applyFill="1" applyAlignment="1">
      <alignment horizontal="center"/>
    </xf>
    <xf numFmtId="16" fontId="23" fillId="2" borderId="0" xfId="0" applyNumberFormat="1" applyFont="1" applyFill="1" applyAlignment="1">
      <alignment horizontal="center" vertical="center"/>
    </xf>
    <xf numFmtId="0" fontId="45" fillId="2" borderId="0" xfId="0" applyFont="1" applyFill="1" applyAlignment="1">
      <alignment horizontal="left" vertical="center" wrapText="1"/>
    </xf>
    <xf numFmtId="0" fontId="45" fillId="2" borderId="0" xfId="0" applyFont="1" applyFill="1" applyAlignment="1">
      <alignment horizontal="left"/>
    </xf>
    <xf numFmtId="164" fontId="0" fillId="74" borderId="0" xfId="0" applyNumberFormat="1" applyFill="1" applyAlignment="1">
      <alignment horizontal="left"/>
    </xf>
    <xf numFmtId="164" fontId="0" fillId="2" borderId="0" xfId="0" applyNumberFormat="1" applyFill="1" applyAlignment="1">
      <alignment horizontal="left"/>
    </xf>
    <xf numFmtId="16" fontId="0" fillId="74" borderId="0" xfId="0" applyNumberFormat="1" applyFill="1" applyAlignment="1">
      <alignment horizontal="left"/>
    </xf>
    <xf numFmtId="16" fontId="23" fillId="74" borderId="0" xfId="0" applyNumberFormat="1" applyFont="1" applyFill="1" applyAlignment="1">
      <alignment horizontal="left"/>
    </xf>
    <xf numFmtId="164" fontId="0" fillId="2" borderId="17" xfId="0" applyNumberFormat="1" applyFill="1" applyBorder="1" applyAlignment="1">
      <alignment horizontal="center"/>
    </xf>
    <xf numFmtId="0" fontId="29" fillId="0" borderId="17" xfId="0" applyFont="1" applyBorder="1" applyAlignment="1">
      <alignment horizontal="center" vertical="center"/>
    </xf>
    <xf numFmtId="16" fontId="57" fillId="2" borderId="0" xfId="0" applyNumberFormat="1" applyFont="1" applyFill="1" applyAlignment="1">
      <alignment horizontal="center" vertical="center"/>
    </xf>
    <xf numFmtId="0" fontId="61" fillId="2" borderId="0" xfId="0" applyFont="1" applyFill="1" applyAlignment="1">
      <alignment horizontal="center" vertical="center"/>
    </xf>
    <xf numFmtId="164" fontId="24" fillId="2" borderId="0" xfId="0" applyNumberFormat="1" applyFont="1" applyFill="1" applyAlignment="1">
      <alignment horizontal="left" vertical="center"/>
    </xf>
    <xf numFmtId="0" fontId="0" fillId="2" borderId="17" xfId="0" applyFill="1" applyBorder="1" applyAlignment="1">
      <alignment horizontal="left" vertical="top" wrapText="1"/>
    </xf>
    <xf numFmtId="0" fontId="0" fillId="2" borderId="27" xfId="0" applyFill="1" applyBorder="1" applyAlignment="1">
      <alignment horizontal="left"/>
    </xf>
    <xf numFmtId="10" fontId="0" fillId="2" borderId="0" xfId="77" applyNumberFormat="1" applyFont="1" applyFill="1" applyBorder="1" applyAlignment="1">
      <alignment horizontal="left" vertical="center"/>
    </xf>
    <xf numFmtId="0" fontId="45" fillId="3" borderId="0" xfId="0" applyFont="1" applyFill="1" applyAlignment="1">
      <alignment horizontal="left" vertical="center" wrapText="1"/>
    </xf>
    <xf numFmtId="0" fontId="23" fillId="3" borderId="0" xfId="0" applyFont="1" applyFill="1" applyAlignment="1">
      <alignment horizontal="left" vertical="center" wrapText="1"/>
    </xf>
    <xf numFmtId="0" fontId="24" fillId="2" borderId="0" xfId="0" applyFont="1" applyFill="1" applyAlignment="1">
      <alignment horizontal="left" vertical="center"/>
    </xf>
    <xf numFmtId="16" fontId="23" fillId="3" borderId="0" xfId="0" applyNumberFormat="1" applyFont="1" applyFill="1" applyAlignment="1">
      <alignment horizontal="left" vertical="center" wrapText="1"/>
    </xf>
    <xf numFmtId="0" fontId="0" fillId="2" borderId="0" xfId="0" applyFill="1" applyAlignment="1">
      <alignment horizontal="left" vertical="top"/>
    </xf>
    <xf numFmtId="0" fontId="57" fillId="2" borderId="0" xfId="0" applyFont="1" applyFill="1" applyAlignment="1">
      <alignment horizontal="left"/>
    </xf>
    <xf numFmtId="0" fontId="24" fillId="3" borderId="0" xfId="0" quotePrefix="1" applyFont="1" applyFill="1" applyAlignment="1">
      <alignment horizontal="left"/>
    </xf>
    <xf numFmtId="164" fontId="24" fillId="3" borderId="0" xfId="0" applyNumberFormat="1" applyFont="1" applyFill="1" applyAlignment="1">
      <alignment horizontal="left" wrapText="1"/>
    </xf>
    <xf numFmtId="20" fontId="0" fillId="2" borderId="0" xfId="0" applyNumberFormat="1" applyFill="1" applyAlignment="1">
      <alignment horizontal="left"/>
    </xf>
    <xf numFmtId="9" fontId="0" fillId="2" borderId="0" xfId="0" applyNumberFormat="1" applyFill="1" applyAlignment="1">
      <alignment horizontal="left" vertical="center"/>
    </xf>
    <xf numFmtId="164" fontId="0" fillId="74" borderId="0" xfId="0" applyNumberFormat="1" applyFill="1" applyAlignment="1">
      <alignment horizontal="left" vertical="center"/>
    </xf>
    <xf numFmtId="164" fontId="23" fillId="74" borderId="0" xfId="0" applyNumberFormat="1" applyFont="1" applyFill="1" applyAlignment="1">
      <alignment horizontal="left" vertical="center"/>
    </xf>
    <xf numFmtId="10" fontId="44" fillId="63" borderId="19" xfId="77" applyNumberFormat="1" applyFont="1" applyFill="1" applyBorder="1" applyAlignment="1">
      <alignment horizontal="left" vertical="center" wrapText="1"/>
    </xf>
    <xf numFmtId="10" fontId="0" fillId="0" borderId="0" xfId="77" applyNumberFormat="1" applyFont="1" applyAlignment="1">
      <alignment horizontal="left" vertical="center" wrapText="1"/>
    </xf>
    <xf numFmtId="171" fontId="0" fillId="3" borderId="0" xfId="77" applyNumberFormat="1" applyFont="1" applyFill="1" applyAlignment="1">
      <alignment horizontal="left" vertical="center" wrapText="1"/>
    </xf>
    <xf numFmtId="10" fontId="0" fillId="3" borderId="0" xfId="77" applyNumberFormat="1" applyFont="1" applyFill="1" applyAlignment="1">
      <alignment horizontal="left" vertical="center"/>
    </xf>
    <xf numFmtId="0" fontId="0" fillId="2" borderId="19" xfId="0" applyFill="1" applyBorder="1" applyAlignment="1">
      <alignment horizontal="left"/>
    </xf>
    <xf numFmtId="0" fontId="25" fillId="3" borderId="17" xfId="0" applyFont="1" applyFill="1" applyBorder="1" applyAlignment="1">
      <alignment horizontal="left" vertical="center"/>
    </xf>
    <xf numFmtId="0" fontId="0" fillId="74" borderId="18" xfId="0" applyFill="1" applyBorder="1" applyAlignment="1">
      <alignment horizontal="left"/>
    </xf>
    <xf numFmtId="164" fontId="0" fillId="2" borderId="17" xfId="0" applyNumberFormat="1" applyFill="1" applyBorder="1" applyAlignment="1">
      <alignment horizontal="left"/>
    </xf>
    <xf numFmtId="164" fontId="0" fillId="2" borderId="19" xfId="0" applyNumberFormat="1" applyFill="1" applyBorder="1" applyAlignment="1">
      <alignment horizontal="left"/>
    </xf>
    <xf numFmtId="164" fontId="45" fillId="2" borderId="17" xfId="0" applyNumberFormat="1" applyFont="1" applyFill="1" applyBorder="1" applyAlignment="1">
      <alignment horizontal="left" vertical="center"/>
    </xf>
    <xf numFmtId="16" fontId="23" fillId="2" borderId="0" xfId="0" applyNumberFormat="1" applyFont="1" applyFill="1" applyAlignment="1">
      <alignment horizontal="center"/>
    </xf>
    <xf numFmtId="164" fontId="23" fillId="2" borderId="17" xfId="0" applyNumberFormat="1" applyFont="1" applyFill="1" applyBorder="1" applyAlignment="1">
      <alignment horizontal="left"/>
    </xf>
    <xf numFmtId="164" fontId="23" fillId="2" borderId="19" xfId="0" applyNumberFormat="1" applyFont="1" applyFill="1" applyBorder="1" applyAlignment="1">
      <alignment horizontal="left"/>
    </xf>
    <xf numFmtId="164" fontId="23" fillId="3" borderId="18" xfId="0" applyNumberFormat="1" applyFont="1" applyFill="1" applyBorder="1" applyAlignment="1">
      <alignment horizontal="left"/>
    </xf>
    <xf numFmtId="164" fontId="24" fillId="2" borderId="0" xfId="0" applyNumberFormat="1" applyFont="1" applyFill="1" applyAlignment="1">
      <alignment horizontal="left" vertical="center" wrapText="1"/>
    </xf>
    <xf numFmtId="16" fontId="0" fillId="2" borderId="19" xfId="0" applyNumberFormat="1" applyFill="1" applyBorder="1" applyAlignment="1">
      <alignment horizontal="left"/>
    </xf>
    <xf numFmtId="0" fontId="29" fillId="2" borderId="17" xfId="0" applyFont="1" applyFill="1" applyBorder="1" applyAlignment="1">
      <alignment horizontal="left"/>
    </xf>
    <xf numFmtId="0" fontId="23" fillId="2" borderId="0" xfId="0" applyFont="1" applyFill="1" applyAlignment="1">
      <alignment horizontal="center"/>
    </xf>
    <xf numFmtId="0" fontId="154" fillId="3" borderId="0" xfId="78" applyFont="1" applyFill="1" applyAlignment="1">
      <alignment horizontal="left" vertical="center"/>
    </xf>
    <xf numFmtId="0" fontId="52" fillId="2" borderId="17" xfId="0" applyFont="1" applyFill="1" applyBorder="1" applyAlignment="1">
      <alignment horizontal="left" vertical="center"/>
    </xf>
    <xf numFmtId="49" fontId="57" fillId="2" borderId="0" xfId="0" applyNumberFormat="1" applyFont="1" applyFill="1" applyAlignment="1">
      <alignment horizontal="center" vertical="center"/>
    </xf>
    <xf numFmtId="0" fontId="29" fillId="2" borderId="19" xfId="0" applyFont="1" applyFill="1" applyBorder="1" applyAlignment="1">
      <alignment horizontal="left"/>
    </xf>
    <xf numFmtId="164" fontId="24" fillId="2" borderId="17" xfId="0" applyNumberFormat="1" applyFont="1" applyFill="1" applyBorder="1" applyAlignment="1">
      <alignment horizontal="left" vertical="center"/>
    </xf>
    <xf numFmtId="164" fontId="57" fillId="2" borderId="19" xfId="0" applyNumberFormat="1" applyFont="1" applyFill="1" applyBorder="1" applyAlignment="1">
      <alignment horizontal="left"/>
    </xf>
    <xf numFmtId="164" fontId="57" fillId="2" borderId="19" xfId="0" applyNumberFormat="1" applyFont="1" applyFill="1" applyBorder="1" applyAlignment="1">
      <alignment horizontal="left" vertical="center"/>
    </xf>
    <xf numFmtId="0" fontId="0" fillId="2" borderId="18" xfId="0" applyFill="1" applyBorder="1" applyAlignment="1">
      <alignment horizontal="left" vertical="top" wrapText="1"/>
    </xf>
    <xf numFmtId="0" fontId="0" fillId="2" borderId="19" xfId="0" applyFill="1" applyBorder="1" applyAlignment="1">
      <alignment horizontal="left" wrapText="1"/>
    </xf>
    <xf numFmtId="0" fontId="0" fillId="0" borderId="19" xfId="0" applyBorder="1" applyAlignment="1">
      <alignment horizontal="left"/>
    </xf>
    <xf numFmtId="0" fontId="0" fillId="3" borderId="0" xfId="77" applyNumberFormat="1" applyFont="1" applyFill="1" applyBorder="1" applyAlignment="1">
      <alignment horizontal="left" vertical="center"/>
    </xf>
    <xf numFmtId="10" fontId="0" fillId="2" borderId="17" xfId="77" applyNumberFormat="1" applyFont="1" applyFill="1" applyBorder="1" applyAlignment="1">
      <alignment horizontal="left" vertical="center"/>
    </xf>
    <xf numFmtId="0" fontId="111" fillId="2" borderId="0" xfId="0" applyFont="1" applyFill="1" applyAlignment="1">
      <alignment horizontal="center"/>
    </xf>
    <xf numFmtId="0" fontId="0" fillId="0" borderId="19" xfId="0" applyBorder="1" applyAlignment="1">
      <alignment horizontal="center" vertical="center"/>
    </xf>
    <xf numFmtId="0" fontId="0" fillId="0" borderId="33" xfId="0" applyBorder="1" applyAlignment="1">
      <alignment horizontal="center" vertical="center"/>
    </xf>
    <xf numFmtId="0" fontId="0" fillId="0" borderId="3" xfId="0" applyBorder="1" applyAlignment="1">
      <alignment horizontal="left" vertical="center" wrapText="1"/>
    </xf>
    <xf numFmtId="0" fontId="52" fillId="2" borderId="17" xfId="0" applyFont="1" applyFill="1" applyBorder="1" applyAlignment="1">
      <alignment horizontal="center" vertical="center"/>
    </xf>
    <xf numFmtId="0" fontId="0" fillId="0" borderId="3" xfId="0" applyBorder="1" applyAlignment="1">
      <alignment horizontal="center" vertical="center" wrapText="1"/>
    </xf>
    <xf numFmtId="0" fontId="0" fillId="0" borderId="33" xfId="0" applyBorder="1" applyAlignment="1">
      <alignment horizontal="center" vertical="center" wrapText="1"/>
    </xf>
    <xf numFmtId="0" fontId="0" fillId="4" borderId="0" xfId="0" applyFill="1" applyAlignment="1">
      <alignment wrapText="1"/>
    </xf>
    <xf numFmtId="0" fontId="0" fillId="2" borderId="33" xfId="0" applyFill="1" applyBorder="1" applyAlignment="1">
      <alignment horizontal="center" vertical="center"/>
    </xf>
    <xf numFmtId="0" fontId="0" fillId="2" borderId="33" xfId="0" applyFill="1" applyBorder="1" applyAlignment="1">
      <alignment horizontal="center"/>
    </xf>
    <xf numFmtId="0" fontId="0" fillId="2" borderId="33" xfId="0" applyFill="1" applyBorder="1" applyAlignment="1">
      <alignment horizontal="left" vertical="center"/>
    </xf>
    <xf numFmtId="0" fontId="53" fillId="2" borderId="17" xfId="0" applyFont="1" applyFill="1" applyBorder="1" applyAlignment="1">
      <alignment horizontal="center"/>
    </xf>
    <xf numFmtId="0" fontId="0" fillId="2" borderId="33" xfId="0" applyFill="1" applyBorder="1" applyAlignment="1">
      <alignment horizontal="center" vertical="center" wrapText="1"/>
    </xf>
    <xf numFmtId="164" fontId="45" fillId="2" borderId="18" xfId="0" applyNumberFormat="1" applyFont="1" applyFill="1" applyBorder="1" applyAlignment="1">
      <alignment horizontal="left" vertical="center"/>
    </xf>
    <xf numFmtId="164" fontId="23" fillId="2" borderId="17" xfId="0" applyNumberFormat="1" applyFont="1" applyFill="1" applyBorder="1" applyAlignment="1">
      <alignment horizontal="center"/>
    </xf>
    <xf numFmtId="164" fontId="45" fillId="0" borderId="0" xfId="0" applyNumberFormat="1" applyFont="1" applyAlignment="1">
      <alignment horizontal="left" vertical="center"/>
    </xf>
    <xf numFmtId="16" fontId="23" fillId="2" borderId="17" xfId="0" applyNumberFormat="1" applyFont="1" applyFill="1" applyBorder="1" applyAlignment="1">
      <alignment horizontal="center"/>
    </xf>
    <xf numFmtId="16" fontId="45" fillId="2" borderId="17" xfId="0" applyNumberFormat="1" applyFont="1" applyFill="1" applyBorder="1" applyAlignment="1">
      <alignment horizontal="center"/>
    </xf>
    <xf numFmtId="0" fontId="0" fillId="2" borderId="22" xfId="0" applyFill="1" applyBorder="1" applyAlignment="1">
      <alignment horizontal="center"/>
    </xf>
    <xf numFmtId="164" fontId="45" fillId="2" borderId="17" xfId="0" applyNumberFormat="1" applyFont="1" applyFill="1" applyBorder="1" applyAlignment="1">
      <alignment horizontal="center"/>
    </xf>
    <xf numFmtId="0" fontId="70" fillId="3" borderId="0" xfId="0" applyFont="1" applyFill="1" applyAlignment="1">
      <alignment vertical="center"/>
    </xf>
    <xf numFmtId="0" fontId="23" fillId="2" borderId="0" xfId="0" applyFont="1" applyFill="1" applyAlignment="1">
      <alignment horizontal="center" wrapText="1"/>
    </xf>
    <xf numFmtId="0" fontId="0" fillId="2" borderId="21" xfId="0" applyFill="1" applyBorder="1" applyAlignment="1">
      <alignment horizontal="left"/>
    </xf>
    <xf numFmtId="0" fontId="61" fillId="2" borderId="17" xfId="0" applyFont="1" applyFill="1" applyBorder="1" applyAlignment="1">
      <alignment horizontal="center" vertical="center"/>
    </xf>
    <xf numFmtId="0" fontId="52" fillId="2" borderId="18" xfId="0" applyFont="1" applyFill="1" applyBorder="1" applyAlignment="1">
      <alignment horizontal="center"/>
    </xf>
    <xf numFmtId="0" fontId="131" fillId="2" borderId="0" xfId="0" applyFont="1" applyFill="1" applyAlignment="1">
      <alignment horizontal="left"/>
    </xf>
    <xf numFmtId="0" fontId="57" fillId="2" borderId="0" xfId="0" applyFont="1" applyFill="1" applyAlignment="1">
      <alignment horizontal="center"/>
    </xf>
    <xf numFmtId="0" fontId="134" fillId="2" borderId="0" xfId="0" applyFont="1" applyFill="1"/>
    <xf numFmtId="164" fontId="24" fillId="3" borderId="0" xfId="0" quotePrefix="1" applyNumberFormat="1" applyFont="1" applyFill="1" applyAlignment="1">
      <alignment horizontal="left" vertical="center"/>
    </xf>
    <xf numFmtId="164" fontId="29" fillId="0" borderId="17" xfId="0" applyNumberFormat="1" applyFont="1" applyBorder="1" applyAlignment="1">
      <alignment horizontal="center"/>
    </xf>
    <xf numFmtId="0" fontId="155" fillId="74" borderId="0" xfId="0" applyFont="1" applyFill="1" applyAlignment="1">
      <alignment horizontal="left"/>
    </xf>
    <xf numFmtId="0" fontId="52" fillId="2" borderId="0" xfId="0" applyFont="1" applyFill="1"/>
    <xf numFmtId="0" fontId="0" fillId="2" borderId="43" xfId="0" applyFill="1" applyBorder="1" applyAlignment="1">
      <alignment horizontal="left"/>
    </xf>
    <xf numFmtId="0" fontId="0" fillId="74" borderId="0" xfId="0" applyFill="1" applyAlignment="1">
      <alignment horizontal="left" wrapText="1"/>
    </xf>
    <xf numFmtId="0" fontId="0" fillId="2" borderId="27" xfId="0" applyFill="1" applyBorder="1" applyAlignment="1">
      <alignment horizontal="center"/>
    </xf>
    <xf numFmtId="0" fontId="0" fillId="3" borderId="27" xfId="0" applyFill="1" applyBorder="1" applyAlignment="1">
      <alignment horizontal="left" vertical="center"/>
    </xf>
    <xf numFmtId="0" fontId="0" fillId="74" borderId="18" xfId="0" applyFill="1" applyBorder="1" applyAlignment="1">
      <alignment horizontal="left" vertical="center"/>
    </xf>
    <xf numFmtId="0" fontId="0" fillId="0" borderId="18" xfId="0" applyBorder="1" applyAlignment="1">
      <alignment horizontal="left" wrapText="1"/>
    </xf>
    <xf numFmtId="0" fontId="29" fillId="2" borderId="17" xfId="0" applyFont="1" applyFill="1" applyBorder="1" applyAlignment="1">
      <alignment horizontal="center"/>
    </xf>
    <xf numFmtId="0" fontId="111" fillId="2" borderId="0" xfId="0" applyFont="1" applyFill="1" applyAlignment="1">
      <alignment horizontal="left"/>
    </xf>
    <xf numFmtId="0" fontId="0" fillId="2" borderId="0" xfId="77" applyNumberFormat="1" applyFont="1" applyFill="1" applyBorder="1" applyAlignment="1">
      <alignment horizontal="left" vertical="center"/>
    </xf>
    <xf numFmtId="0" fontId="60" fillId="2" borderId="0" xfId="0" applyFont="1" applyFill="1" applyAlignment="1">
      <alignment horizontal="left"/>
    </xf>
    <xf numFmtId="0" fontId="0" fillId="0" borderId="27" xfId="0" applyBorder="1" applyAlignment="1">
      <alignment horizontal="center" vertical="center"/>
    </xf>
    <xf numFmtId="164" fontId="29" fillId="2" borderId="17" xfId="0" applyNumberFormat="1" applyFont="1" applyFill="1" applyBorder="1" applyAlignment="1">
      <alignment horizontal="center"/>
    </xf>
    <xf numFmtId="0" fontId="77" fillId="3" borderId="0" xfId="0" applyFont="1" applyFill="1" applyAlignment="1">
      <alignment horizontal="left" vertical="center" wrapText="1"/>
    </xf>
    <xf numFmtId="0" fontId="0" fillId="0" borderId="3" xfId="77" applyNumberFormat="1" applyFont="1" applyBorder="1" applyAlignment="1">
      <alignment horizontal="left" vertical="center" wrapText="1"/>
    </xf>
    <xf numFmtId="164" fontId="0" fillId="2" borderId="36" xfId="0" applyNumberFormat="1" applyFill="1" applyBorder="1" applyAlignment="1">
      <alignment horizontal="center" vertical="center" wrapText="1"/>
    </xf>
    <xf numFmtId="16" fontId="0" fillId="2" borderId="36" xfId="0" applyNumberFormat="1" applyFill="1" applyBorder="1" applyAlignment="1">
      <alignment horizontal="center" vertical="center"/>
    </xf>
    <xf numFmtId="16" fontId="0" fillId="2" borderId="21" xfId="0" applyNumberFormat="1" applyFill="1" applyBorder="1" applyAlignment="1">
      <alignment horizontal="center" vertical="center"/>
    </xf>
    <xf numFmtId="164" fontId="0" fillId="0" borderId="32" xfId="0" applyNumberFormat="1" applyBorder="1" applyAlignment="1">
      <alignment horizontal="left" vertical="center" wrapText="1"/>
    </xf>
    <xf numFmtId="16" fontId="53" fillId="2" borderId="17" xfId="0" applyNumberFormat="1" applyFont="1" applyFill="1" applyBorder="1" applyAlignment="1">
      <alignment horizontal="center" vertical="center"/>
    </xf>
    <xf numFmtId="8" fontId="0" fillId="0" borderId="0" xfId="0" applyNumberFormat="1" applyAlignment="1">
      <alignment horizontal="left" vertical="center"/>
    </xf>
    <xf numFmtId="0" fontId="66" fillId="2" borderId="0" xfId="0" applyFont="1" applyFill="1" applyAlignment="1">
      <alignment horizontal="center"/>
    </xf>
    <xf numFmtId="164" fontId="0" fillId="0" borderId="3" xfId="0" applyNumberFormat="1" applyBorder="1" applyAlignment="1">
      <alignment horizontal="left" vertical="center" wrapText="1"/>
    </xf>
    <xf numFmtId="0" fontId="0" fillId="43" borderId="3" xfId="0" applyFill="1" applyBorder="1" applyAlignment="1">
      <alignment horizontal="left" vertical="center" wrapText="1"/>
    </xf>
    <xf numFmtId="0" fontId="0" fillId="2" borderId="20" xfId="0" applyFill="1" applyBorder="1" applyAlignment="1">
      <alignment horizontal="center"/>
    </xf>
    <xf numFmtId="164" fontId="0" fillId="3" borderId="36" xfId="0" applyNumberFormat="1" applyFill="1" applyBorder="1" applyAlignment="1">
      <alignment vertical="center" wrapText="1"/>
    </xf>
    <xf numFmtId="0" fontId="0" fillId="3" borderId="33" xfId="0" applyFill="1" applyBorder="1" applyAlignment="1">
      <alignment horizontal="left" vertical="center" wrapText="1"/>
    </xf>
    <xf numFmtId="164" fontId="0" fillId="3" borderId="36" xfId="0" applyNumberFormat="1" applyFill="1" applyBorder="1" applyAlignment="1">
      <alignment horizontal="left" vertical="center" wrapText="1"/>
    </xf>
    <xf numFmtId="0" fontId="57" fillId="2" borderId="17" xfId="0" applyFont="1" applyFill="1" applyBorder="1" applyAlignment="1">
      <alignment horizontal="center"/>
    </xf>
    <xf numFmtId="0" fontId="0" fillId="2" borderId="20" xfId="0" applyFill="1" applyBorder="1" applyAlignment="1">
      <alignment horizontal="left" vertical="center"/>
    </xf>
    <xf numFmtId="0" fontId="0" fillId="0" borderId="19" xfId="0" applyBorder="1" applyAlignment="1">
      <alignment horizontal="center" vertical="center" wrapText="1"/>
    </xf>
    <xf numFmtId="0" fontId="53" fillId="2" borderId="4" xfId="0" applyFont="1" applyFill="1" applyBorder="1" applyAlignment="1">
      <alignment horizontal="center" vertical="center"/>
    </xf>
    <xf numFmtId="164" fontId="0" fillId="2" borderId="17" xfId="0" applyNumberFormat="1" applyFill="1" applyBorder="1" applyAlignment="1">
      <alignment horizontal="center" wrapText="1"/>
    </xf>
    <xf numFmtId="0" fontId="0" fillId="0" borderId="21" xfId="0" applyBorder="1" applyAlignment="1">
      <alignment horizontal="center" vertical="center"/>
    </xf>
    <xf numFmtId="43" fontId="44" fillId="63" borderId="19" xfId="79" applyFont="1" applyFill="1" applyBorder="1" applyAlignment="1">
      <alignment horizontal="left" vertical="center"/>
    </xf>
    <xf numFmtId="43" fontId="0" fillId="0" borderId="0" xfId="79" applyFont="1" applyAlignment="1">
      <alignment horizontal="left" vertical="center"/>
    </xf>
    <xf numFmtId="43" fontId="0" fillId="0" borderId="0" xfId="79" applyFont="1" applyAlignment="1">
      <alignment horizontal="left" vertical="center" wrapText="1"/>
    </xf>
    <xf numFmtId="43" fontId="0" fillId="3" borderId="0" xfId="79" applyFont="1" applyFill="1" applyAlignment="1">
      <alignment horizontal="left" vertical="center"/>
    </xf>
    <xf numFmtId="0" fontId="0" fillId="2" borderId="3" xfId="0" applyFill="1" applyBorder="1" applyAlignment="1">
      <alignment horizontal="center"/>
    </xf>
    <xf numFmtId="164" fontId="0" fillId="2" borderId="21" xfId="0" applyNumberFormat="1" applyFill="1" applyBorder="1" applyAlignment="1">
      <alignment horizontal="center" vertical="center" wrapText="1"/>
    </xf>
    <xf numFmtId="0" fontId="57" fillId="74" borderId="0" xfId="0" applyFont="1" applyFill="1" applyAlignment="1">
      <alignment horizontal="left"/>
    </xf>
    <xf numFmtId="0" fontId="60" fillId="74" borderId="0" xfId="0" applyFont="1" applyFill="1"/>
    <xf numFmtId="16" fontId="0" fillId="74" borderId="0" xfId="0" applyNumberFormat="1" applyFill="1" applyAlignment="1">
      <alignment horizontal="left" vertical="center"/>
    </xf>
    <xf numFmtId="16" fontId="45" fillId="74" borderId="0" xfId="0" applyNumberFormat="1" applyFont="1" applyFill="1" applyAlignment="1">
      <alignment horizontal="left" vertical="center"/>
    </xf>
    <xf numFmtId="0" fontId="0" fillId="74" borderId="0" xfId="77" applyNumberFormat="1" applyFont="1" applyFill="1" applyBorder="1" applyAlignment="1">
      <alignment horizontal="left" vertical="center"/>
    </xf>
    <xf numFmtId="0" fontId="0" fillId="74" borderId="17" xfId="0" applyFill="1" applyBorder="1" applyAlignment="1">
      <alignment horizontal="left" vertical="center" wrapText="1"/>
    </xf>
    <xf numFmtId="0" fontId="0" fillId="74" borderId="17" xfId="0" applyFill="1" applyBorder="1" applyAlignment="1">
      <alignment horizontal="center" vertical="center" wrapText="1"/>
    </xf>
    <xf numFmtId="0" fontId="0" fillId="74" borderId="0" xfId="0" applyFill="1" applyAlignment="1">
      <alignment vertical="center" wrapText="1"/>
    </xf>
    <xf numFmtId="0" fontId="29" fillId="0" borderId="0" xfId="0" applyFont="1" applyAlignment="1">
      <alignment vertical="center" wrapText="1"/>
    </xf>
    <xf numFmtId="0" fontId="0" fillId="2" borderId="33" xfId="0" applyFill="1" applyBorder="1" applyAlignment="1">
      <alignment horizontal="left" vertical="center" wrapText="1"/>
    </xf>
    <xf numFmtId="0" fontId="0" fillId="2" borderId="3" xfId="0" applyFill="1" applyBorder="1" applyAlignment="1">
      <alignment horizontal="center" vertical="center" wrapText="1"/>
    </xf>
    <xf numFmtId="16" fontId="57" fillId="2" borderId="17" xfId="0" applyNumberFormat="1" applyFont="1" applyFill="1" applyBorder="1" applyAlignment="1">
      <alignment horizontal="center" vertical="center"/>
    </xf>
    <xf numFmtId="16" fontId="29" fillId="2" borderId="17" xfId="0" applyNumberFormat="1" applyFont="1" applyFill="1" applyBorder="1" applyAlignment="1">
      <alignment horizontal="center" vertical="center"/>
    </xf>
    <xf numFmtId="0" fontId="57" fillId="2" borderId="4" xfId="0" applyFont="1" applyFill="1" applyBorder="1" applyAlignment="1">
      <alignment horizontal="center" vertical="center"/>
    </xf>
    <xf numFmtId="0" fontId="0" fillId="0" borderId="17" xfId="77" applyNumberFormat="1" applyFont="1" applyBorder="1" applyAlignment="1">
      <alignment horizontal="center" vertical="center" wrapText="1"/>
    </xf>
    <xf numFmtId="16" fontId="0" fillId="2" borderId="36" xfId="0" applyNumberFormat="1" applyFill="1" applyBorder="1" applyAlignment="1">
      <alignment horizontal="center" vertical="center" wrapText="1"/>
    </xf>
    <xf numFmtId="0" fontId="0" fillId="2" borderId="19" xfId="0" applyFill="1" applyBorder="1" applyAlignment="1">
      <alignment horizontal="center"/>
    </xf>
    <xf numFmtId="170" fontId="0" fillId="0" borderId="0" xfId="0" applyNumberFormat="1" applyAlignment="1">
      <alignment horizontal="left" vertical="center" wrapText="1"/>
    </xf>
    <xf numFmtId="1" fontId="44" fillId="63" borderId="20" xfId="0" applyNumberFormat="1" applyFont="1" applyFill="1" applyBorder="1" applyAlignment="1">
      <alignment horizontal="left" vertical="center"/>
    </xf>
    <xf numFmtId="10" fontId="44" fillId="63" borderId="25" xfId="77" applyNumberFormat="1" applyFont="1" applyFill="1" applyBorder="1" applyAlignment="1">
      <alignment horizontal="left" vertical="center"/>
    </xf>
    <xf numFmtId="164" fontId="0" fillId="3" borderId="20" xfId="0" applyNumberFormat="1" applyFill="1" applyBorder="1" applyAlignment="1">
      <alignment horizontal="center" vertical="center" wrapText="1"/>
    </xf>
    <xf numFmtId="0" fontId="45" fillId="2" borderId="17" xfId="0" applyFont="1" applyFill="1" applyBorder="1" applyAlignment="1">
      <alignment horizontal="center" vertical="center"/>
    </xf>
    <xf numFmtId="0" fontId="52" fillId="2" borderId="4" xfId="0" applyFont="1" applyFill="1" applyBorder="1" applyAlignment="1">
      <alignment horizontal="center" vertical="center"/>
    </xf>
    <xf numFmtId="0" fontId="0" fillId="3" borderId="4" xfId="0" applyFill="1" applyBorder="1" applyAlignment="1">
      <alignment horizontal="left" vertical="center" wrapText="1"/>
    </xf>
    <xf numFmtId="16" fontId="29" fillId="2" borderId="17" xfId="0" applyNumberFormat="1" applyFont="1" applyFill="1" applyBorder="1" applyAlignment="1">
      <alignment horizontal="center"/>
    </xf>
    <xf numFmtId="0" fontId="0" fillId="3" borderId="20" xfId="0" applyFill="1" applyBorder="1" applyAlignment="1">
      <alignment horizontal="center" vertical="center" wrapText="1"/>
    </xf>
    <xf numFmtId="164" fontId="0" fillId="2" borderId="3" xfId="0" applyNumberFormat="1" applyFill="1" applyBorder="1" applyAlignment="1">
      <alignment horizontal="center" vertical="center"/>
    </xf>
    <xf numFmtId="16" fontId="0" fillId="3" borderId="17" xfId="0" applyNumberFormat="1" applyFill="1" applyBorder="1" applyAlignment="1">
      <alignment horizontal="center"/>
    </xf>
    <xf numFmtId="164" fontId="0" fillId="3" borderId="4" xfId="0" applyNumberFormat="1" applyFill="1" applyBorder="1" applyAlignment="1">
      <alignment horizontal="center" vertical="center" wrapText="1"/>
    </xf>
    <xf numFmtId="164" fontId="0" fillId="3" borderId="3" xfId="0" applyNumberFormat="1" applyFill="1" applyBorder="1" applyAlignment="1">
      <alignment horizontal="center" vertical="center" wrapText="1"/>
    </xf>
    <xf numFmtId="164" fontId="0" fillId="2" borderId="20" xfId="0" applyNumberFormat="1" applyFill="1" applyBorder="1" applyAlignment="1">
      <alignment horizontal="center" vertical="center" wrapText="1"/>
    </xf>
    <xf numFmtId="164" fontId="45" fillId="3" borderId="4" xfId="0" applyNumberFormat="1" applyFont="1" applyFill="1" applyBorder="1" applyAlignment="1">
      <alignment horizontal="center" vertical="center" wrapText="1"/>
    </xf>
    <xf numFmtId="164" fontId="23" fillId="3" borderId="3" xfId="0" applyNumberFormat="1" applyFont="1" applyFill="1" applyBorder="1" applyAlignment="1">
      <alignment horizontal="center" vertical="center" wrapText="1"/>
    </xf>
    <xf numFmtId="164" fontId="23" fillId="3" borderId="4" xfId="0" applyNumberFormat="1" applyFont="1" applyFill="1" applyBorder="1" applyAlignment="1">
      <alignment horizontal="center" vertical="center" wrapText="1"/>
    </xf>
    <xf numFmtId="16" fontId="0" fillId="3" borderId="17" xfId="0" applyNumberFormat="1" applyFill="1" applyBorder="1" applyAlignment="1">
      <alignment horizontal="left"/>
    </xf>
    <xf numFmtId="16" fontId="57" fillId="2" borderId="3" xfId="0" applyNumberFormat="1" applyFont="1" applyFill="1" applyBorder="1" applyAlignment="1">
      <alignment horizontal="center" vertical="center"/>
    </xf>
    <xf numFmtId="164" fontId="0" fillId="3" borderId="4" xfId="0" applyNumberFormat="1" applyFill="1" applyBorder="1" applyAlignment="1">
      <alignment horizontal="left" vertical="center" wrapText="1"/>
    </xf>
    <xf numFmtId="0" fontId="57" fillId="2" borderId="3" xfId="0" applyFont="1" applyFill="1" applyBorder="1" applyAlignment="1">
      <alignment horizontal="center" vertical="center"/>
    </xf>
    <xf numFmtId="20" fontId="0" fillId="3" borderId="17" xfId="0" applyNumberFormat="1" applyFill="1" applyBorder="1" applyAlignment="1">
      <alignment horizontal="left" vertical="center" wrapText="1"/>
    </xf>
    <xf numFmtId="0" fontId="0" fillId="2" borderId="20" xfId="0" applyFill="1" applyBorder="1" applyAlignment="1">
      <alignment horizontal="left" vertical="center" wrapText="1"/>
    </xf>
    <xf numFmtId="0" fontId="57" fillId="2" borderId="3" xfId="0" applyFont="1" applyFill="1" applyBorder="1" applyAlignment="1">
      <alignment horizontal="center"/>
    </xf>
    <xf numFmtId="0" fontId="24" fillId="3" borderId="4" xfId="0" applyFont="1" applyFill="1" applyBorder="1" applyAlignment="1">
      <alignment horizontal="left" vertical="center" wrapText="1"/>
    </xf>
    <xf numFmtId="0" fontId="24" fillId="3" borderId="3" xfId="0" applyFont="1" applyFill="1" applyBorder="1" applyAlignment="1">
      <alignment horizontal="left" vertical="center" wrapText="1"/>
    </xf>
    <xf numFmtId="0" fontId="52" fillId="2" borderId="3" xfId="0" applyFont="1" applyFill="1" applyBorder="1" applyAlignment="1">
      <alignment horizontal="center" vertical="center"/>
    </xf>
    <xf numFmtId="0" fontId="56" fillId="3" borderId="17" xfId="0" applyFont="1" applyFill="1" applyBorder="1" applyAlignment="1">
      <alignment wrapText="1"/>
    </xf>
    <xf numFmtId="0" fontId="0" fillId="3" borderId="17" xfId="0" quotePrefix="1" applyFill="1" applyBorder="1" applyAlignment="1">
      <alignment vertical="center"/>
    </xf>
    <xf numFmtId="164" fontId="56" fillId="3" borderId="17" xfId="0" applyNumberFormat="1" applyFont="1" applyFill="1" applyBorder="1" applyAlignment="1">
      <alignment vertical="center" wrapText="1"/>
    </xf>
    <xf numFmtId="0" fontId="0" fillId="2" borderId="36" xfId="0" applyFill="1" applyBorder="1" applyAlignment="1">
      <alignment horizontal="center" vertical="center" wrapText="1"/>
    </xf>
    <xf numFmtId="164" fontId="0" fillId="2" borderId="21" xfId="0" applyNumberFormat="1" applyFill="1" applyBorder="1" applyAlignment="1">
      <alignment horizontal="center" vertical="center"/>
    </xf>
    <xf numFmtId="16" fontId="57" fillId="2" borderId="36" xfId="0" applyNumberFormat="1" applyFont="1" applyFill="1" applyBorder="1" applyAlignment="1">
      <alignment horizontal="center" vertical="center"/>
    </xf>
    <xf numFmtId="0" fontId="0" fillId="74" borderId="18" xfId="0" applyFill="1" applyBorder="1" applyAlignment="1">
      <alignment horizontal="center" vertical="center" wrapText="1"/>
    </xf>
    <xf numFmtId="0" fontId="0" fillId="3" borderId="17" xfId="77" applyNumberFormat="1" applyFont="1" applyFill="1" applyBorder="1" applyAlignment="1">
      <alignment horizontal="left" vertical="center" wrapText="1"/>
    </xf>
    <xf numFmtId="10" fontId="0" fillId="3" borderId="17" xfId="77" applyNumberFormat="1" applyFont="1" applyFill="1" applyBorder="1" applyAlignment="1">
      <alignment horizontal="left" vertical="center" wrapText="1"/>
    </xf>
    <xf numFmtId="16" fontId="0" fillId="0" borderId="17" xfId="0" applyNumberFormat="1" applyBorder="1" applyAlignment="1">
      <alignment horizontal="center" vertical="center"/>
    </xf>
    <xf numFmtId="10" fontId="0" fillId="0" borderId="17" xfId="77" applyNumberFormat="1" applyFont="1" applyBorder="1" applyAlignment="1">
      <alignment horizontal="center" vertical="center"/>
    </xf>
    <xf numFmtId="10" fontId="0" fillId="3" borderId="18" xfId="77" applyNumberFormat="1" applyFont="1" applyFill="1" applyBorder="1" applyAlignment="1">
      <alignment vertical="center" wrapText="1"/>
    </xf>
    <xf numFmtId="164" fontId="24" fillId="3" borderId="3" xfId="0" applyNumberFormat="1" applyFont="1" applyFill="1" applyBorder="1" applyAlignment="1">
      <alignment horizontal="left" vertical="center" wrapText="1"/>
    </xf>
    <xf numFmtId="16" fontId="57" fillId="2" borderId="4" xfId="0" applyNumberFormat="1" applyFont="1" applyFill="1" applyBorder="1" applyAlignment="1">
      <alignment horizontal="center" vertical="center"/>
    </xf>
    <xf numFmtId="16" fontId="0" fillId="2" borderId="4" xfId="0" applyNumberFormat="1" applyFill="1" applyBorder="1" applyAlignment="1">
      <alignment horizontal="center" vertical="center"/>
    </xf>
    <xf numFmtId="164" fontId="45" fillId="3" borderId="20" xfId="0" applyNumberFormat="1" applyFont="1" applyFill="1" applyBorder="1" applyAlignment="1">
      <alignment horizontal="center" vertical="center" wrapText="1"/>
    </xf>
    <xf numFmtId="164" fontId="0" fillId="3" borderId="20" xfId="0" applyNumberFormat="1" applyFill="1" applyBorder="1" applyAlignment="1">
      <alignment vertical="center" wrapText="1"/>
    </xf>
    <xf numFmtId="0" fontId="29" fillId="2" borderId="4" xfId="0" applyFont="1" applyFill="1" applyBorder="1" applyAlignment="1">
      <alignment horizontal="center" vertical="center"/>
    </xf>
    <xf numFmtId="16" fontId="29" fillId="2" borderId="4" xfId="0" applyNumberFormat="1" applyFont="1" applyFill="1" applyBorder="1" applyAlignment="1">
      <alignment horizontal="center" vertical="center"/>
    </xf>
    <xf numFmtId="16" fontId="23" fillId="2" borderId="17" xfId="0" applyNumberFormat="1" applyFont="1" applyFill="1" applyBorder="1" applyAlignment="1">
      <alignment horizontal="center" vertical="center"/>
    </xf>
    <xf numFmtId="16" fontId="0" fillId="2" borderId="17" xfId="0" applyNumberFormat="1" applyFill="1" applyBorder="1" applyAlignment="1">
      <alignment horizontal="center"/>
    </xf>
    <xf numFmtId="16" fontId="29" fillId="0" borderId="17" xfId="0" applyNumberFormat="1" applyFont="1" applyBorder="1" applyAlignment="1">
      <alignment horizontal="center" vertical="center"/>
    </xf>
    <xf numFmtId="164" fontId="23" fillId="3" borderId="4" xfId="0" applyNumberFormat="1" applyFont="1" applyFill="1" applyBorder="1" applyAlignment="1">
      <alignment horizontal="left" vertical="center"/>
    </xf>
    <xf numFmtId="16" fontId="23" fillId="2" borderId="4" xfId="0" applyNumberFormat="1" applyFont="1" applyFill="1" applyBorder="1" applyAlignment="1">
      <alignment horizontal="center" vertical="center"/>
    </xf>
    <xf numFmtId="0" fontId="0" fillId="74" borderId="4" xfId="0" applyFill="1" applyBorder="1" applyAlignment="1">
      <alignment horizontal="left" vertical="center" wrapText="1"/>
    </xf>
    <xf numFmtId="0" fontId="0" fillId="74" borderId="19" xfId="0" applyFill="1" applyBorder="1" applyAlignment="1">
      <alignment horizontal="center" vertical="center" wrapText="1"/>
    </xf>
    <xf numFmtId="0" fontId="0" fillId="3" borderId="3" xfId="0" applyFill="1" applyBorder="1" applyAlignment="1">
      <alignment vertical="center" wrapText="1"/>
    </xf>
    <xf numFmtId="164" fontId="0" fillId="74" borderId="4" xfId="0" applyNumberFormat="1" applyFill="1" applyBorder="1" applyAlignment="1">
      <alignment horizontal="center" vertical="center" wrapText="1"/>
    </xf>
    <xf numFmtId="164" fontId="0" fillId="74" borderId="19" xfId="0" applyNumberFormat="1" applyFill="1" applyBorder="1" applyAlignment="1">
      <alignment horizontal="center" vertical="center" wrapText="1"/>
    </xf>
    <xf numFmtId="164" fontId="0" fillId="2" borderId="19" xfId="0" applyNumberFormat="1" applyFill="1" applyBorder="1" applyAlignment="1">
      <alignment horizontal="center" vertical="center"/>
    </xf>
    <xf numFmtId="164" fontId="23" fillId="74" borderId="4" xfId="0" applyNumberFormat="1" applyFont="1" applyFill="1" applyBorder="1" applyAlignment="1">
      <alignment horizontal="center" vertical="center" wrapText="1"/>
    </xf>
    <xf numFmtId="164" fontId="45" fillId="74" borderId="19" xfId="0" applyNumberFormat="1" applyFont="1" applyFill="1" applyBorder="1" applyAlignment="1">
      <alignment horizontal="center" vertical="center" wrapText="1"/>
    </xf>
    <xf numFmtId="164" fontId="23" fillId="2" borderId="20" xfId="0" applyNumberFormat="1" applyFont="1" applyFill="1" applyBorder="1" applyAlignment="1">
      <alignment horizontal="center" vertical="center" wrapText="1"/>
    </xf>
    <xf numFmtId="164" fontId="45" fillId="3" borderId="3" xfId="0" applyNumberFormat="1" applyFont="1" applyFill="1" applyBorder="1" applyAlignment="1">
      <alignment horizontal="center" vertical="center" wrapText="1"/>
    </xf>
    <xf numFmtId="164" fontId="23" fillId="2" borderId="4" xfId="0" applyNumberFormat="1" applyFont="1" applyFill="1" applyBorder="1" applyAlignment="1">
      <alignment horizontal="center" vertical="center" wrapText="1"/>
    </xf>
    <xf numFmtId="0" fontId="0" fillId="74" borderId="4" xfId="0" applyFill="1" applyBorder="1" applyAlignment="1">
      <alignment horizontal="center" vertical="center" wrapText="1"/>
    </xf>
    <xf numFmtId="0" fontId="0" fillId="3" borderId="3" xfId="0" applyFill="1" applyBorder="1" applyAlignment="1">
      <alignment horizontal="center" vertical="center" wrapText="1"/>
    </xf>
    <xf numFmtId="164" fontId="0" fillId="2" borderId="3" xfId="0" applyNumberFormat="1" applyFill="1" applyBorder="1" applyAlignment="1">
      <alignment horizontal="center" vertical="center" wrapText="1"/>
    </xf>
    <xf numFmtId="164" fontId="24" fillId="3" borderId="4" xfId="0" applyNumberFormat="1" applyFont="1" applyFill="1" applyBorder="1" applyAlignment="1">
      <alignment horizontal="left" vertical="center" wrapText="1"/>
    </xf>
    <xf numFmtId="164" fontId="24" fillId="3" borderId="4" xfId="0" applyNumberFormat="1" applyFont="1" applyFill="1" applyBorder="1" applyAlignment="1">
      <alignment vertical="center" wrapText="1"/>
    </xf>
    <xf numFmtId="164" fontId="0" fillId="3" borderId="20" xfId="0" applyNumberFormat="1" applyFill="1" applyBorder="1" applyAlignment="1">
      <alignment horizontal="left" vertical="center" wrapText="1"/>
    </xf>
    <xf numFmtId="0" fontId="24" fillId="3" borderId="4" xfId="0" applyFont="1" applyFill="1" applyBorder="1" applyAlignment="1">
      <alignment vertical="center" wrapText="1"/>
    </xf>
    <xf numFmtId="20" fontId="0" fillId="3" borderId="3" xfId="0" applyNumberFormat="1" applyFill="1" applyBorder="1" applyAlignment="1">
      <alignment horizontal="left" vertical="center" wrapText="1"/>
    </xf>
    <xf numFmtId="0" fontId="0" fillId="0" borderId="3" xfId="0" applyBorder="1" applyAlignment="1">
      <alignment horizontal="left" vertical="center"/>
    </xf>
    <xf numFmtId="0" fontId="56" fillId="3" borderId="17" xfId="0" quotePrefix="1" applyFont="1" applyFill="1" applyBorder="1" applyAlignment="1">
      <alignment vertical="center" wrapText="1"/>
    </xf>
    <xf numFmtId="0" fontId="0" fillId="3" borderId="4" xfId="0" applyFill="1" applyBorder="1" applyAlignment="1">
      <alignment vertical="center"/>
    </xf>
    <xf numFmtId="16" fontId="45" fillId="2" borderId="17" xfId="0" applyNumberFormat="1" applyFont="1" applyFill="1" applyBorder="1" applyAlignment="1">
      <alignment horizontal="center" vertical="center"/>
    </xf>
    <xf numFmtId="164" fontId="56" fillId="3" borderId="4" xfId="0" applyNumberFormat="1" applyFont="1" applyFill="1" applyBorder="1" applyAlignment="1">
      <alignment horizontal="center" vertical="center" wrapText="1"/>
    </xf>
    <xf numFmtId="164" fontId="0" fillId="3" borderId="3" xfId="0" applyNumberFormat="1" applyFill="1" applyBorder="1" applyAlignment="1">
      <alignment vertical="center" wrapText="1"/>
    </xf>
    <xf numFmtId="16" fontId="0" fillId="2" borderId="21" xfId="0" applyNumberFormat="1" applyFill="1" applyBorder="1" applyAlignment="1">
      <alignment horizontal="center" vertical="center" wrapText="1"/>
    </xf>
    <xf numFmtId="16" fontId="57" fillId="2" borderId="21" xfId="0" applyNumberFormat="1" applyFont="1" applyFill="1" applyBorder="1" applyAlignment="1">
      <alignment horizontal="center" vertical="center"/>
    </xf>
    <xf numFmtId="16" fontId="29" fillId="2" borderId="26" xfId="0" applyNumberFormat="1" applyFont="1" applyFill="1" applyBorder="1" applyAlignment="1">
      <alignment horizontal="center" vertical="center"/>
    </xf>
    <xf numFmtId="164" fontId="0" fillId="2" borderId="26" xfId="0" applyNumberFormat="1" applyFill="1" applyBorder="1" applyAlignment="1">
      <alignment horizontal="center" vertical="center" wrapText="1"/>
    </xf>
    <xf numFmtId="16" fontId="0" fillId="2" borderId="2" xfId="0" applyNumberFormat="1" applyFill="1" applyBorder="1" applyAlignment="1">
      <alignment horizontal="center" vertical="center"/>
    </xf>
    <xf numFmtId="164" fontId="0" fillId="3" borderId="32" xfId="0" applyNumberFormat="1" applyFill="1" applyBorder="1" applyAlignment="1">
      <alignment vertical="center" wrapText="1"/>
    </xf>
    <xf numFmtId="0" fontId="66" fillId="2" borderId="17" xfId="0" applyFont="1" applyFill="1" applyBorder="1" applyAlignment="1">
      <alignment horizontal="left" vertical="center"/>
    </xf>
    <xf numFmtId="0" fontId="53" fillId="2" borderId="17" xfId="0" applyFont="1" applyFill="1" applyBorder="1" applyAlignment="1">
      <alignment wrapText="1"/>
    </xf>
    <xf numFmtId="0" fontId="0" fillId="74" borderId="19" xfId="0" applyFill="1" applyBorder="1" applyAlignment="1">
      <alignment horizontal="left" vertical="center" wrapText="1"/>
    </xf>
    <xf numFmtId="0" fontId="0" fillId="2" borderId="36" xfId="0" applyFill="1" applyBorder="1" applyAlignment="1">
      <alignment horizontal="left" vertical="center"/>
    </xf>
    <xf numFmtId="0" fontId="0" fillId="3" borderId="33" xfId="0" applyFill="1" applyBorder="1" applyAlignment="1">
      <alignment vertical="center" wrapText="1"/>
    </xf>
    <xf numFmtId="10" fontId="0" fillId="3" borderId="33" xfId="77" applyNumberFormat="1" applyFont="1" applyFill="1" applyBorder="1" applyAlignment="1">
      <alignment vertical="center" wrapText="1"/>
    </xf>
    <xf numFmtId="10" fontId="0" fillId="3" borderId="17" xfId="77" applyNumberFormat="1" applyFont="1" applyFill="1" applyBorder="1" applyAlignment="1">
      <alignment vertical="center" wrapText="1"/>
    </xf>
    <xf numFmtId="170" fontId="0" fillId="2" borderId="17" xfId="0" applyNumberFormat="1" applyFill="1" applyBorder="1" applyAlignment="1">
      <alignment horizontal="center" vertical="center"/>
    </xf>
    <xf numFmtId="16" fontId="29" fillId="2" borderId="3" xfId="0" applyNumberFormat="1" applyFont="1" applyFill="1" applyBorder="1" applyAlignment="1">
      <alignment horizontal="center" vertical="center"/>
    </xf>
    <xf numFmtId="16" fontId="29" fillId="2" borderId="19" xfId="0" applyNumberFormat="1" applyFont="1" applyFill="1" applyBorder="1" applyAlignment="1">
      <alignment horizontal="center" vertical="center"/>
    </xf>
    <xf numFmtId="16" fontId="57" fillId="2" borderId="19" xfId="0" applyNumberFormat="1" applyFont="1" applyFill="1" applyBorder="1" applyAlignment="1">
      <alignment horizontal="center" vertical="center"/>
    </xf>
    <xf numFmtId="16" fontId="0" fillId="2" borderId="19" xfId="0" applyNumberFormat="1" applyFill="1" applyBorder="1" applyAlignment="1">
      <alignment horizontal="center" vertical="center"/>
    </xf>
    <xf numFmtId="164" fontId="45" fillId="2" borderId="4" xfId="0" applyNumberFormat="1" applyFont="1" applyFill="1" applyBorder="1" applyAlignment="1">
      <alignment horizontal="center" vertical="center"/>
    </xf>
    <xf numFmtId="0" fontId="0" fillId="2" borderId="17" xfId="0" applyFill="1" applyBorder="1" applyAlignment="1">
      <alignment vertical="top" wrapText="1"/>
    </xf>
    <xf numFmtId="0" fontId="0" fillId="2" borderId="4" xfId="0" applyFill="1" applyBorder="1" applyAlignment="1">
      <alignment vertical="top" wrapText="1"/>
    </xf>
    <xf numFmtId="0" fontId="163" fillId="0" borderId="18" xfId="0" applyFont="1" applyBorder="1" applyAlignment="1">
      <alignment horizontal="center" vertical="center"/>
    </xf>
    <xf numFmtId="0" fontId="24" fillId="3" borderId="4" xfId="0" applyFont="1" applyFill="1" applyBorder="1" applyAlignment="1">
      <alignment horizontal="left" vertical="center"/>
    </xf>
    <xf numFmtId="0" fontId="0" fillId="4" borderId="3" xfId="0" applyFill="1" applyBorder="1" applyAlignment="1">
      <alignment horizontal="center" vertical="center"/>
    </xf>
    <xf numFmtId="0" fontId="0" fillId="4" borderId="20" xfId="0" applyFill="1" applyBorder="1" applyAlignment="1">
      <alignment horizontal="center" vertical="center"/>
    </xf>
    <xf numFmtId="0" fontId="0" fillId="74" borderId="3" xfId="0" applyFill="1" applyBorder="1" applyAlignment="1">
      <alignment horizontal="center" vertical="center" wrapText="1"/>
    </xf>
    <xf numFmtId="0" fontId="0" fillId="0" borderId="19" xfId="0" applyBorder="1" applyAlignment="1">
      <alignment horizontal="left" vertical="center" wrapText="1"/>
    </xf>
    <xf numFmtId="0" fontId="0" fillId="74" borderId="3" xfId="0" applyFill="1" applyBorder="1" applyAlignment="1">
      <alignment horizontal="left" vertical="center" wrapText="1"/>
    </xf>
    <xf numFmtId="0" fontId="0" fillId="4" borderId="18" xfId="0" applyFill="1" applyBorder="1" applyAlignment="1">
      <alignment horizontal="center" vertical="center"/>
    </xf>
    <xf numFmtId="0" fontId="52" fillId="2" borderId="4" xfId="0" applyFont="1" applyFill="1" applyBorder="1" applyAlignment="1">
      <alignment horizontal="center"/>
    </xf>
    <xf numFmtId="0" fontId="0" fillId="0" borderId="3" xfId="0" applyBorder="1" applyAlignment="1">
      <alignment horizontal="center"/>
    </xf>
    <xf numFmtId="0" fontId="0" fillId="74" borderId="20" xfId="0" applyFill="1" applyBorder="1" applyAlignment="1">
      <alignment horizontal="left" vertical="center" wrapText="1"/>
    </xf>
    <xf numFmtId="0" fontId="0" fillId="74" borderId="4" xfId="0" applyFill="1" applyBorder="1" applyAlignment="1">
      <alignment horizontal="left" wrapText="1"/>
    </xf>
    <xf numFmtId="164" fontId="0" fillId="74" borderId="3" xfId="0" applyNumberFormat="1" applyFill="1" applyBorder="1" applyAlignment="1">
      <alignment horizontal="center" vertical="center" wrapText="1"/>
    </xf>
    <xf numFmtId="164" fontId="0" fillId="74" borderId="17" xfId="0" applyNumberFormat="1" applyFill="1" applyBorder="1" applyAlignment="1">
      <alignment horizontal="center" vertical="center" wrapText="1"/>
    </xf>
    <xf numFmtId="164" fontId="0" fillId="0" borderId="19" xfId="0" applyNumberFormat="1" applyBorder="1" applyAlignment="1">
      <alignment horizontal="center" vertical="center" wrapText="1"/>
    </xf>
    <xf numFmtId="164" fontId="0" fillId="0" borderId="3" xfId="0" applyNumberFormat="1" applyBorder="1" applyAlignment="1">
      <alignment horizontal="center" vertical="center"/>
    </xf>
    <xf numFmtId="164" fontId="0" fillId="74" borderId="20" xfId="0" applyNumberFormat="1" applyFill="1" applyBorder="1" applyAlignment="1">
      <alignment horizontal="center" vertical="center" wrapText="1"/>
    </xf>
    <xf numFmtId="16" fontId="0" fillId="0" borderId="19" xfId="0" applyNumberFormat="1" applyBorder="1" applyAlignment="1">
      <alignment horizontal="center" vertical="center" wrapText="1"/>
    </xf>
    <xf numFmtId="164" fontId="45" fillId="74" borderId="3" xfId="0" applyNumberFormat="1" applyFont="1" applyFill="1" applyBorder="1" applyAlignment="1">
      <alignment horizontal="center" vertical="center" wrapText="1"/>
    </xf>
    <xf numFmtId="164" fontId="23" fillId="74" borderId="17" xfId="0" applyNumberFormat="1" applyFont="1" applyFill="1" applyBorder="1" applyAlignment="1">
      <alignment horizontal="center" vertical="center" wrapText="1"/>
    </xf>
    <xf numFmtId="164" fontId="23" fillId="2" borderId="3" xfId="0" applyNumberFormat="1" applyFont="1" applyFill="1" applyBorder="1" applyAlignment="1">
      <alignment horizontal="center" vertical="center" wrapText="1"/>
    </xf>
    <xf numFmtId="164" fontId="45" fillId="74" borderId="17" xfId="0" applyNumberFormat="1" applyFont="1" applyFill="1" applyBorder="1" applyAlignment="1">
      <alignment horizontal="center" vertical="center" wrapText="1"/>
    </xf>
    <xf numFmtId="164" fontId="23" fillId="0" borderId="19" xfId="0" applyNumberFormat="1" applyFont="1" applyBorder="1" applyAlignment="1">
      <alignment horizontal="center" vertical="center" wrapText="1"/>
    </xf>
    <xf numFmtId="164" fontId="23" fillId="74" borderId="3" xfId="0" applyNumberFormat="1" applyFont="1" applyFill="1" applyBorder="1" applyAlignment="1">
      <alignment horizontal="center" vertical="center" wrapText="1"/>
    </xf>
    <xf numFmtId="164" fontId="23" fillId="74" borderId="20" xfId="0" applyNumberFormat="1" applyFont="1" applyFill="1" applyBorder="1" applyAlignment="1">
      <alignment horizontal="center" vertical="center" wrapText="1"/>
    </xf>
    <xf numFmtId="0" fontId="53" fillId="2" borderId="4" xfId="0" applyFont="1" applyFill="1" applyBorder="1" applyAlignment="1">
      <alignment horizontal="center"/>
    </xf>
    <xf numFmtId="0" fontId="0" fillId="3" borderId="4" xfId="0" applyFill="1" applyBorder="1" applyAlignment="1">
      <alignment horizontal="center" vertical="center" wrapText="1"/>
    </xf>
    <xf numFmtId="0" fontId="56" fillId="3" borderId="4" xfId="0" applyFont="1" applyFill="1" applyBorder="1" applyAlignment="1">
      <alignment horizontal="center" vertical="center" wrapText="1"/>
    </xf>
    <xf numFmtId="0" fontId="0" fillId="3" borderId="4" xfId="0" applyFill="1" applyBorder="1" applyAlignment="1">
      <alignment horizontal="center"/>
    </xf>
    <xf numFmtId="0" fontId="0" fillId="74" borderId="20" xfId="0" applyFill="1" applyBorder="1" applyAlignment="1">
      <alignment horizontal="center" vertical="center" wrapText="1"/>
    </xf>
    <xf numFmtId="164" fontId="0" fillId="2" borderId="20" xfId="0" applyNumberFormat="1" applyFill="1" applyBorder="1" applyAlignment="1">
      <alignment vertical="center" wrapText="1"/>
    </xf>
    <xf numFmtId="164" fontId="56" fillId="3" borderId="4" xfId="0" applyNumberFormat="1" applyFont="1" applyFill="1" applyBorder="1" applyAlignment="1">
      <alignment vertical="center" wrapText="1"/>
    </xf>
    <xf numFmtId="164" fontId="23" fillId="3" borderId="4" xfId="0" applyNumberFormat="1" applyFont="1" applyFill="1" applyBorder="1" applyAlignment="1">
      <alignment horizontal="left" vertical="center" wrapText="1"/>
    </xf>
    <xf numFmtId="0" fontId="163" fillId="0" borderId="3" xfId="0" applyFont="1" applyBorder="1" applyAlignment="1">
      <alignment horizontal="center" vertical="center"/>
    </xf>
    <xf numFmtId="0" fontId="163" fillId="0" borderId="20" xfId="0" applyFont="1" applyBorder="1" applyAlignment="1">
      <alignment horizontal="center" vertical="center"/>
    </xf>
    <xf numFmtId="0" fontId="0" fillId="2" borderId="20" xfId="0" applyFill="1" applyBorder="1" applyAlignment="1">
      <alignment vertical="center" wrapText="1"/>
    </xf>
    <xf numFmtId="20" fontId="0" fillId="3" borderId="20" xfId="0" applyNumberFormat="1" applyFill="1" applyBorder="1" applyAlignment="1">
      <alignment horizontal="left" vertical="center" wrapText="1"/>
    </xf>
    <xf numFmtId="0" fontId="57" fillId="2" borderId="4" xfId="0" applyFont="1" applyFill="1" applyBorder="1" applyAlignment="1">
      <alignment horizontal="center"/>
    </xf>
    <xf numFmtId="0" fontId="0" fillId="74" borderId="17" xfId="0" applyFill="1" applyBorder="1" applyAlignment="1">
      <alignment horizontal="left" vertical="center"/>
    </xf>
    <xf numFmtId="0" fontId="0" fillId="74" borderId="17" xfId="0" applyFill="1" applyBorder="1" applyAlignment="1">
      <alignment horizontal="left" wrapText="1"/>
    </xf>
    <xf numFmtId="0" fontId="0" fillId="3" borderId="4" xfId="0" applyFill="1" applyBorder="1" applyAlignment="1">
      <alignment horizontal="left"/>
    </xf>
    <xf numFmtId="0" fontId="0" fillId="74" borderId="19" xfId="0" applyFill="1" applyBorder="1" applyAlignment="1">
      <alignment horizontal="left" wrapText="1"/>
    </xf>
    <xf numFmtId="0" fontId="0" fillId="74" borderId="20" xfId="0" applyFill="1" applyBorder="1" applyAlignment="1">
      <alignment horizontal="left" vertical="center"/>
    </xf>
    <xf numFmtId="0" fontId="53" fillId="2" borderId="19" xfId="0" applyFont="1" applyFill="1" applyBorder="1" applyAlignment="1">
      <alignment horizontal="center" vertical="center"/>
    </xf>
    <xf numFmtId="0" fontId="0" fillId="0" borderId="19" xfId="0" applyBorder="1" applyAlignment="1">
      <alignment horizontal="left" wrapText="1"/>
    </xf>
    <xf numFmtId="0" fontId="57" fillId="0" borderId="3" xfId="0" applyFont="1" applyBorder="1" applyAlignment="1">
      <alignment horizontal="center" vertical="center"/>
    </xf>
    <xf numFmtId="0" fontId="0" fillId="74" borderId="19" xfId="0" applyFill="1" applyBorder="1" applyAlignment="1">
      <alignment horizontal="center" wrapText="1"/>
    </xf>
    <xf numFmtId="0" fontId="166" fillId="3" borderId="17" xfId="46" applyFont="1" applyFill="1" applyBorder="1" applyAlignment="1">
      <alignment horizontal="left" vertical="center" wrapText="1"/>
    </xf>
    <xf numFmtId="0" fontId="0" fillId="74" borderId="3" xfId="0" applyFill="1" applyBorder="1" applyAlignment="1">
      <alignment horizontal="left" wrapText="1"/>
    </xf>
    <xf numFmtId="0" fontId="0" fillId="74" borderId="20" xfId="0" applyFill="1" applyBorder="1" applyAlignment="1">
      <alignment horizontal="left" wrapText="1"/>
    </xf>
    <xf numFmtId="0" fontId="57" fillId="0" borderId="20" xfId="0" applyFont="1" applyBorder="1" applyAlignment="1">
      <alignment horizontal="center" vertical="center"/>
    </xf>
    <xf numFmtId="0" fontId="53" fillId="2" borderId="19" xfId="0" applyFont="1" applyFill="1" applyBorder="1" applyAlignment="1">
      <alignment horizontal="center"/>
    </xf>
    <xf numFmtId="11" fontId="29" fillId="2" borderId="19" xfId="0" applyNumberFormat="1" applyFont="1" applyFill="1" applyBorder="1" applyAlignment="1">
      <alignment horizontal="center" vertical="center"/>
    </xf>
    <xf numFmtId="0" fontId="24" fillId="3" borderId="3" xfId="0" applyFont="1" applyFill="1" applyBorder="1" applyAlignment="1">
      <alignment vertical="center" wrapText="1"/>
    </xf>
    <xf numFmtId="0" fontId="45" fillId="2" borderId="3" xfId="0" applyFont="1" applyFill="1" applyBorder="1" applyAlignment="1">
      <alignment horizontal="center" vertical="center"/>
    </xf>
    <xf numFmtId="0" fontId="57" fillId="74" borderId="17" xfId="0" applyFont="1" applyFill="1" applyBorder="1" applyAlignment="1">
      <alignment horizontal="center" vertical="center"/>
    </xf>
    <xf numFmtId="0" fontId="56" fillId="3" borderId="0" xfId="0" quotePrefix="1" applyFont="1" applyFill="1" applyAlignment="1">
      <alignment vertical="center" wrapText="1"/>
    </xf>
    <xf numFmtId="0" fontId="55" fillId="3" borderId="4" xfId="0" applyFont="1" applyFill="1" applyBorder="1" applyAlignment="1">
      <alignment vertical="center"/>
    </xf>
    <xf numFmtId="0" fontId="52" fillId="0" borderId="19" xfId="0" applyFont="1" applyBorder="1"/>
    <xf numFmtId="0" fontId="56" fillId="3" borderId="20" xfId="0" quotePrefix="1" applyFont="1" applyFill="1" applyBorder="1" applyAlignment="1">
      <alignment vertical="center" wrapText="1"/>
    </xf>
    <xf numFmtId="16" fontId="0" fillId="74" borderId="17" xfId="0" applyNumberFormat="1" applyFill="1" applyBorder="1" applyAlignment="1">
      <alignment horizontal="left" vertical="center" wrapText="1"/>
    </xf>
    <xf numFmtId="164" fontId="29" fillId="74" borderId="17" xfId="0" applyNumberFormat="1" applyFont="1" applyFill="1" applyBorder="1" applyAlignment="1">
      <alignment vertical="center" wrapText="1"/>
    </xf>
    <xf numFmtId="164" fontId="0" fillId="3" borderId="4" xfId="0" applyNumberFormat="1" applyFill="1" applyBorder="1" applyAlignment="1">
      <alignment vertical="center" wrapText="1"/>
    </xf>
    <xf numFmtId="164" fontId="24" fillId="3" borderId="3" xfId="0" applyNumberFormat="1" applyFont="1" applyFill="1" applyBorder="1" applyAlignment="1">
      <alignment vertical="center" wrapText="1"/>
    </xf>
    <xf numFmtId="0" fontId="23" fillId="2" borderId="3" xfId="0" applyFont="1" applyFill="1" applyBorder="1" applyAlignment="1">
      <alignment horizontal="center" vertical="center"/>
    </xf>
    <xf numFmtId="16" fontId="0" fillId="74" borderId="17" xfId="0" applyNumberFormat="1" applyFill="1" applyBorder="1" applyAlignment="1">
      <alignment horizontal="center" vertical="center" wrapText="1"/>
    </xf>
    <xf numFmtId="16" fontId="0" fillId="74" borderId="19" xfId="0" applyNumberFormat="1" applyFill="1" applyBorder="1" applyAlignment="1">
      <alignment horizontal="center" vertical="center" wrapText="1"/>
    </xf>
    <xf numFmtId="16" fontId="0" fillId="74" borderId="3" xfId="0" applyNumberFormat="1" applyFill="1" applyBorder="1" applyAlignment="1">
      <alignment horizontal="left" vertical="center" wrapText="1"/>
    </xf>
    <xf numFmtId="16" fontId="0" fillId="74" borderId="25" xfId="0" applyNumberFormat="1" applyFill="1" applyBorder="1" applyAlignment="1">
      <alignment horizontal="center" vertical="center" wrapText="1"/>
    </xf>
    <xf numFmtId="16" fontId="29" fillId="74" borderId="4" xfId="0" applyNumberFormat="1" applyFont="1" applyFill="1" applyBorder="1" applyAlignment="1">
      <alignment horizontal="center" vertical="center" wrapText="1"/>
    </xf>
    <xf numFmtId="164" fontId="45" fillId="3" borderId="4" xfId="0" applyNumberFormat="1" applyFont="1" applyFill="1" applyBorder="1" applyAlignment="1">
      <alignment vertical="center" wrapText="1"/>
    </xf>
    <xf numFmtId="164" fontId="0" fillId="4" borderId="19" xfId="0" applyNumberFormat="1" applyFill="1" applyBorder="1" applyAlignment="1">
      <alignment horizontal="left" vertical="center" wrapText="1"/>
    </xf>
    <xf numFmtId="164" fontId="0" fillId="4" borderId="3" xfId="0" applyNumberFormat="1" applyFill="1" applyBorder="1" applyAlignment="1">
      <alignment horizontal="left" vertical="center" wrapText="1"/>
    </xf>
    <xf numFmtId="164" fontId="0" fillId="4" borderId="18" xfId="0" applyNumberFormat="1" applyFill="1" applyBorder="1" applyAlignment="1">
      <alignment horizontal="left" vertical="center" wrapText="1"/>
    </xf>
    <xf numFmtId="164" fontId="0" fillId="4" borderId="20" xfId="0" applyNumberFormat="1" applyFill="1" applyBorder="1" applyAlignment="1">
      <alignment horizontal="left" vertical="center" wrapText="1"/>
    </xf>
    <xf numFmtId="164" fontId="0" fillId="2" borderId="36" xfId="0" applyNumberFormat="1" applyFill="1" applyBorder="1" applyAlignment="1">
      <alignment horizontal="center" vertical="center"/>
    </xf>
    <xf numFmtId="170" fontId="0" fillId="3" borderId="17" xfId="0" applyNumberFormat="1" applyFill="1" applyBorder="1" applyAlignment="1">
      <alignment horizontal="left" vertical="center" wrapText="1"/>
    </xf>
    <xf numFmtId="164" fontId="0" fillId="74" borderId="32" xfId="0" applyNumberFormat="1" applyFill="1" applyBorder="1" applyAlignment="1">
      <alignment horizontal="center" vertical="center" wrapText="1"/>
    </xf>
    <xf numFmtId="170" fontId="0" fillId="3" borderId="36" xfId="0" applyNumberFormat="1" applyFill="1" applyBorder="1" applyAlignment="1">
      <alignment horizontal="left" vertical="center" wrapText="1"/>
    </xf>
    <xf numFmtId="164" fontId="0" fillId="74" borderId="17" xfId="0" applyNumberFormat="1" applyFill="1" applyBorder="1" applyAlignment="1">
      <alignment vertical="center" wrapText="1"/>
    </xf>
    <xf numFmtId="16" fontId="29" fillId="2" borderId="36" xfId="0" applyNumberFormat="1" applyFont="1" applyFill="1" applyBorder="1" applyAlignment="1">
      <alignment horizontal="center" vertical="center"/>
    </xf>
    <xf numFmtId="164" fontId="56" fillId="3" borderId="27" xfId="0" applyNumberFormat="1" applyFont="1" applyFill="1" applyBorder="1" applyAlignment="1">
      <alignment vertical="center" wrapText="1"/>
    </xf>
    <xf numFmtId="16" fontId="0" fillId="3" borderId="36" xfId="0" applyNumberFormat="1" applyFill="1" applyBorder="1" applyAlignment="1">
      <alignment horizontal="left"/>
    </xf>
    <xf numFmtId="164" fontId="0" fillId="4" borderId="27" xfId="0" applyNumberFormat="1" applyFill="1" applyBorder="1" applyAlignment="1">
      <alignment horizontal="left" vertical="center" wrapText="1"/>
    </xf>
    <xf numFmtId="16" fontId="0" fillId="2" borderId="22" xfId="0" applyNumberFormat="1" applyFill="1" applyBorder="1" applyAlignment="1">
      <alignment horizontal="center" vertical="center"/>
    </xf>
    <xf numFmtId="164" fontId="0" fillId="3" borderId="21" xfId="0" applyNumberFormat="1" applyFill="1" applyBorder="1" applyAlignment="1">
      <alignment vertical="center" wrapText="1"/>
    </xf>
    <xf numFmtId="0" fontId="0" fillId="0" borderId="32" xfId="0" applyBorder="1" applyAlignment="1">
      <alignment horizontal="center" vertical="center"/>
    </xf>
    <xf numFmtId="16" fontId="0" fillId="2" borderId="0" xfId="0" applyNumberFormat="1" applyFill="1" applyAlignment="1">
      <alignment horizontal="left" wrapText="1"/>
    </xf>
    <xf numFmtId="16" fontId="0" fillId="74" borderId="32" xfId="0" applyNumberFormat="1" applyFill="1" applyBorder="1" applyAlignment="1">
      <alignment horizontal="center" vertical="center" wrapText="1"/>
    </xf>
    <xf numFmtId="16" fontId="0" fillId="74" borderId="26" xfId="0" applyNumberFormat="1" applyFill="1" applyBorder="1" applyAlignment="1">
      <alignment horizontal="center" vertical="center" wrapText="1"/>
    </xf>
    <xf numFmtId="164" fontId="0" fillId="2" borderId="36" xfId="0" applyNumberFormat="1" applyFill="1" applyBorder="1" applyAlignment="1">
      <alignment horizontal="left" vertical="center" wrapText="1"/>
    </xf>
    <xf numFmtId="16" fontId="0" fillId="2" borderId="27" xfId="0" applyNumberFormat="1" applyFill="1" applyBorder="1" applyAlignment="1">
      <alignment horizontal="center" vertical="center" wrapText="1"/>
    </xf>
    <xf numFmtId="16" fontId="0" fillId="74" borderId="4" xfId="0" applyNumberFormat="1" applyFill="1" applyBorder="1" applyAlignment="1">
      <alignment horizontal="center" vertical="center" wrapText="1"/>
    </xf>
    <xf numFmtId="16" fontId="0" fillId="2" borderId="27" xfId="0" applyNumberFormat="1" applyFill="1" applyBorder="1" applyAlignment="1">
      <alignment horizontal="center" vertical="center"/>
    </xf>
    <xf numFmtId="164" fontId="0" fillId="3" borderId="26" xfId="0" applyNumberFormat="1" applyFill="1" applyBorder="1" applyAlignment="1">
      <alignment vertical="center" wrapText="1"/>
    </xf>
    <xf numFmtId="0" fontId="0" fillId="2" borderId="3" xfId="0" applyFill="1" applyBorder="1" applyAlignment="1">
      <alignment horizontal="left" vertical="center" wrapText="1"/>
    </xf>
    <xf numFmtId="0" fontId="57" fillId="0" borderId="3" xfId="0" applyFont="1" applyBorder="1" applyAlignment="1">
      <alignment vertical="center"/>
    </xf>
    <xf numFmtId="0" fontId="57" fillId="0" borderId="18" xfId="0" applyFont="1" applyBorder="1" applyAlignment="1">
      <alignment vertical="center"/>
    </xf>
    <xf numFmtId="0" fontId="0" fillId="74" borderId="19" xfId="0" applyFill="1" applyBorder="1" applyAlignment="1">
      <alignment wrapText="1"/>
    </xf>
    <xf numFmtId="0" fontId="0" fillId="74" borderId="18" xfId="0" applyFill="1" applyBorder="1" applyAlignment="1">
      <alignment horizontal="left" vertical="center" wrapText="1"/>
    </xf>
    <xf numFmtId="0" fontId="0" fillId="2" borderId="33" xfId="0" applyFill="1" applyBorder="1"/>
    <xf numFmtId="0" fontId="0" fillId="2" borderId="33" xfId="0" applyFill="1" applyBorder="1" applyAlignment="1">
      <alignment horizontal="left" wrapText="1"/>
    </xf>
    <xf numFmtId="0" fontId="53" fillId="2" borderId="20" xfId="0" applyFont="1" applyFill="1" applyBorder="1"/>
    <xf numFmtId="0" fontId="57" fillId="0" borderId="20" xfId="0" applyFont="1" applyBorder="1" applyAlignment="1">
      <alignment vertical="center"/>
    </xf>
    <xf numFmtId="0" fontId="0" fillId="0" borderId="33" xfId="0" applyBorder="1" applyAlignment="1">
      <alignment horizontal="left" vertical="center"/>
    </xf>
    <xf numFmtId="10" fontId="0" fillId="3" borderId="33" xfId="77" applyNumberFormat="1" applyFont="1" applyFill="1" applyBorder="1" applyAlignment="1">
      <alignment horizontal="left" vertical="center" wrapText="1"/>
    </xf>
    <xf numFmtId="10" fontId="0" fillId="3" borderId="3" xfId="77" applyNumberFormat="1" applyFont="1" applyFill="1" applyBorder="1" applyAlignment="1">
      <alignment horizontal="left" vertical="center" wrapText="1"/>
    </xf>
    <xf numFmtId="0" fontId="0" fillId="0" borderId="33" xfId="77" applyNumberFormat="1" applyFont="1" applyBorder="1" applyAlignment="1">
      <alignment horizontal="left" vertical="center"/>
    </xf>
    <xf numFmtId="10" fontId="0" fillId="3" borderId="33" xfId="0" applyNumberFormat="1" applyFill="1" applyBorder="1" applyAlignment="1">
      <alignment horizontal="left" vertical="center" wrapText="1"/>
    </xf>
    <xf numFmtId="0" fontId="0" fillId="2" borderId="33" xfId="77" applyNumberFormat="1" applyFont="1" applyFill="1" applyBorder="1" applyAlignment="1">
      <alignment horizontal="left" vertical="center" wrapText="1"/>
    </xf>
    <xf numFmtId="0" fontId="0" fillId="3" borderId="36" xfId="0" applyFill="1" applyBorder="1" applyAlignment="1">
      <alignment vertical="center" wrapText="1"/>
    </xf>
    <xf numFmtId="10" fontId="0" fillId="0" borderId="4" xfId="77" applyNumberFormat="1" applyFont="1" applyBorder="1" applyAlignment="1">
      <alignment horizontal="center" vertical="center"/>
    </xf>
    <xf numFmtId="16" fontId="0" fillId="2" borderId="18" xfId="0" applyNumberFormat="1" applyFill="1" applyBorder="1" applyAlignment="1">
      <alignment horizontal="center" vertical="center"/>
    </xf>
    <xf numFmtId="16" fontId="29" fillId="2" borderId="18" xfId="0" applyNumberFormat="1" applyFont="1" applyFill="1" applyBorder="1" applyAlignment="1">
      <alignment horizontal="center" vertical="center"/>
    </xf>
    <xf numFmtId="0" fontId="0" fillId="2" borderId="18" xfId="0" applyFill="1" applyBorder="1" applyAlignment="1">
      <alignment vertical="top" wrapText="1"/>
    </xf>
    <xf numFmtId="8" fontId="0" fillId="3" borderId="17" xfId="0" applyNumberFormat="1" applyFill="1" applyBorder="1" applyAlignment="1">
      <alignment horizontal="left" vertical="center" wrapText="1"/>
    </xf>
    <xf numFmtId="171" fontId="0" fillId="3" borderId="17" xfId="77" applyNumberFormat="1" applyFont="1" applyFill="1" applyBorder="1" applyAlignment="1">
      <alignment horizontal="left" vertical="center" wrapText="1"/>
    </xf>
    <xf numFmtId="16" fontId="23" fillId="2" borderId="19" xfId="0" applyNumberFormat="1" applyFont="1" applyFill="1" applyBorder="1" applyAlignment="1">
      <alignment horizontal="center" vertical="center"/>
    </xf>
    <xf numFmtId="0" fontId="0" fillId="2" borderId="19" xfId="0" applyFill="1" applyBorder="1" applyAlignment="1">
      <alignment vertical="top" wrapText="1"/>
    </xf>
    <xf numFmtId="0" fontId="0" fillId="2" borderId="3" xfId="0" applyFill="1" applyBorder="1" applyAlignment="1">
      <alignment horizontal="left" vertical="center"/>
    </xf>
    <xf numFmtId="164" fontId="0" fillId="2" borderId="3" xfId="0" applyNumberFormat="1" applyFill="1" applyBorder="1" applyAlignment="1">
      <alignment horizontal="left" vertical="center"/>
    </xf>
    <xf numFmtId="164" fontId="0" fillId="3" borderId="3" xfId="0" applyNumberFormat="1" applyFill="1" applyBorder="1" applyAlignment="1">
      <alignment horizontal="left" vertical="center"/>
    </xf>
    <xf numFmtId="0" fontId="0" fillId="2" borderId="17" xfId="0" applyFill="1" applyBorder="1" applyAlignment="1">
      <alignment wrapText="1"/>
    </xf>
    <xf numFmtId="10" fontId="0" fillId="0" borderId="18" xfId="77" applyNumberFormat="1" applyFont="1" applyFill="1" applyBorder="1" applyAlignment="1">
      <alignment horizontal="right" vertical="center"/>
    </xf>
    <xf numFmtId="0" fontId="29" fillId="2" borderId="17" xfId="0" applyFont="1" applyFill="1" applyBorder="1" applyAlignment="1">
      <alignment vertical="top" wrapText="1"/>
    </xf>
    <xf numFmtId="0" fontId="53" fillId="2" borderId="17" xfId="0" applyFont="1" applyFill="1" applyBorder="1" applyAlignment="1">
      <alignment horizontal="center" vertical="center"/>
    </xf>
    <xf numFmtId="0" fontId="172" fillId="0" borderId="17" xfId="0" applyFont="1" applyBorder="1" applyAlignment="1">
      <alignment horizontal="center" vertical="center"/>
    </xf>
    <xf numFmtId="0" fontId="23" fillId="2" borderId="17" xfId="0" applyFont="1" applyFill="1" applyBorder="1" applyAlignment="1">
      <alignment horizontal="center" vertical="center"/>
    </xf>
    <xf numFmtId="0" fontId="60" fillId="2" borderId="17" xfId="0" applyFont="1" applyFill="1" applyBorder="1"/>
    <xf numFmtId="16" fontId="0" fillId="2" borderId="17" xfId="0" applyNumberFormat="1" applyFill="1" applyBorder="1" applyAlignment="1">
      <alignment horizontal="left" vertical="center" wrapText="1"/>
    </xf>
    <xf numFmtId="164" fontId="45" fillId="2" borderId="17" xfId="0" applyNumberFormat="1" applyFont="1" applyFill="1" applyBorder="1" applyAlignment="1">
      <alignment horizontal="center" vertical="center" wrapText="1"/>
    </xf>
    <xf numFmtId="16" fontId="57" fillId="2" borderId="18" xfId="0" applyNumberFormat="1" applyFont="1" applyFill="1" applyBorder="1" applyAlignment="1">
      <alignment horizontal="center" vertical="center"/>
    </xf>
    <xf numFmtId="164" fontId="0" fillId="2" borderId="0" xfId="0" applyNumberFormat="1" applyFill="1" applyAlignment="1">
      <alignment horizontal="left" wrapText="1"/>
    </xf>
    <xf numFmtId="43" fontId="0" fillId="2" borderId="0" xfId="79" applyFont="1" applyFill="1" applyBorder="1" applyAlignment="1">
      <alignment horizontal="left" vertical="center"/>
    </xf>
    <xf numFmtId="0" fontId="0" fillId="2" borderId="0" xfId="79" applyNumberFormat="1" applyFont="1" applyFill="1" applyBorder="1" applyAlignment="1">
      <alignment horizontal="left" vertical="center"/>
    </xf>
    <xf numFmtId="0" fontId="0" fillId="2" borderId="0" xfId="77" applyNumberFormat="1" applyFont="1" applyFill="1" applyBorder="1" applyAlignment="1">
      <alignment horizontal="left" vertical="center" wrapText="1"/>
    </xf>
    <xf numFmtId="0" fontId="52" fillId="2" borderId="20" xfId="0" applyFont="1" applyFill="1" applyBorder="1" applyAlignment="1">
      <alignment horizontal="center" vertical="center"/>
    </xf>
    <xf numFmtId="0" fontId="0" fillId="2" borderId="36" xfId="0" applyFill="1" applyBorder="1" applyAlignment="1">
      <alignment horizontal="left" vertical="center" wrapText="1"/>
    </xf>
    <xf numFmtId="0" fontId="0" fillId="2" borderId="19" xfId="0" applyFill="1" applyBorder="1" applyAlignment="1">
      <alignment horizontal="left" vertical="center" wrapText="1"/>
    </xf>
    <xf numFmtId="0" fontId="0" fillId="2" borderId="19" xfId="0" applyFill="1" applyBorder="1"/>
    <xf numFmtId="16" fontId="0" fillId="2" borderId="19" xfId="0" applyNumberFormat="1" applyFill="1" applyBorder="1" applyAlignment="1">
      <alignment horizontal="center" vertical="center" wrapText="1"/>
    </xf>
    <xf numFmtId="0" fontId="0" fillId="2" borderId="19" xfId="0" applyFill="1" applyBorder="1" applyAlignment="1">
      <alignment horizontal="center" vertical="center" wrapText="1"/>
    </xf>
    <xf numFmtId="164" fontId="0" fillId="2" borderId="19" xfId="0" applyNumberFormat="1" applyFill="1" applyBorder="1" applyAlignment="1">
      <alignment horizontal="left" vertical="center" wrapText="1"/>
    </xf>
    <xf numFmtId="0" fontId="0" fillId="2" borderId="19" xfId="77" applyNumberFormat="1" applyFont="1" applyFill="1" applyBorder="1" applyAlignment="1">
      <alignment horizontal="left" vertical="center" wrapText="1"/>
    </xf>
    <xf numFmtId="164" fontId="23" fillId="3" borderId="3" xfId="0" applyNumberFormat="1" applyFont="1" applyFill="1" applyBorder="1" applyAlignment="1">
      <alignment horizontal="left" vertical="center"/>
    </xf>
    <xf numFmtId="164" fontId="24" fillId="3" borderId="3" xfId="0" applyNumberFormat="1" applyFont="1" applyFill="1" applyBorder="1" applyAlignment="1">
      <alignment horizontal="left" vertical="center"/>
    </xf>
    <xf numFmtId="164" fontId="0" fillId="2" borderId="27" xfId="0" applyNumberFormat="1" applyFill="1" applyBorder="1" applyAlignment="1">
      <alignment horizontal="center" vertical="center" wrapText="1"/>
    </xf>
    <xf numFmtId="0" fontId="0" fillId="2" borderId="21" xfId="0" applyFill="1" applyBorder="1" applyAlignment="1">
      <alignment horizontal="center" vertical="center" wrapText="1"/>
    </xf>
    <xf numFmtId="0" fontId="0" fillId="2" borderId="21" xfId="0" applyFill="1" applyBorder="1" applyAlignment="1">
      <alignment horizontal="left" vertical="center" wrapText="1"/>
    </xf>
    <xf numFmtId="16" fontId="0" fillId="2" borderId="20" xfId="0" applyNumberFormat="1" applyFill="1" applyBorder="1" applyAlignment="1">
      <alignment horizontal="center" vertical="center" wrapText="1"/>
    </xf>
    <xf numFmtId="16" fontId="0" fillId="3" borderId="4" xfId="0" applyNumberFormat="1" applyFill="1" applyBorder="1" applyAlignment="1">
      <alignment horizontal="center" vertical="center"/>
    </xf>
    <xf numFmtId="16" fontId="0" fillId="2" borderId="20" xfId="0" applyNumberFormat="1" applyFill="1" applyBorder="1" applyAlignment="1">
      <alignment horizontal="center" vertical="center"/>
    </xf>
    <xf numFmtId="16" fontId="23" fillId="2" borderId="20" xfId="0" applyNumberFormat="1" applyFont="1" applyFill="1" applyBorder="1" applyAlignment="1">
      <alignment horizontal="center" vertical="center"/>
    </xf>
    <xf numFmtId="0" fontId="29" fillId="2" borderId="20" xfId="0" applyFont="1" applyFill="1" applyBorder="1" applyAlignment="1">
      <alignment horizontal="center" vertical="center"/>
    </xf>
    <xf numFmtId="16" fontId="29" fillId="2" borderId="20" xfId="0" applyNumberFormat="1" applyFont="1" applyFill="1" applyBorder="1" applyAlignment="1">
      <alignment horizontal="center" vertical="center"/>
    </xf>
    <xf numFmtId="16" fontId="23" fillId="2" borderId="3" xfId="0" applyNumberFormat="1" applyFont="1" applyFill="1" applyBorder="1" applyAlignment="1">
      <alignment horizontal="center" vertical="center"/>
    </xf>
    <xf numFmtId="16" fontId="0" fillId="2" borderId="3" xfId="0" applyNumberFormat="1" applyFill="1" applyBorder="1" applyAlignment="1">
      <alignment horizontal="center" vertical="center"/>
    </xf>
    <xf numFmtId="0" fontId="29" fillId="2" borderId="3" xfId="0" applyFont="1" applyFill="1" applyBorder="1" applyAlignment="1">
      <alignment horizontal="center" vertical="center"/>
    </xf>
    <xf numFmtId="0" fontId="70" fillId="2" borderId="0" xfId="0" applyFont="1" applyFill="1" applyAlignment="1">
      <alignment horizontal="left"/>
    </xf>
    <xf numFmtId="0" fontId="0" fillId="2" borderId="0" xfId="0" quotePrefix="1" applyFill="1" applyAlignment="1">
      <alignment horizontal="left"/>
    </xf>
    <xf numFmtId="164" fontId="0" fillId="2" borderId="20" xfId="0" applyNumberFormat="1" applyFill="1" applyBorder="1" applyAlignment="1">
      <alignment horizontal="left" vertical="center" wrapText="1"/>
    </xf>
    <xf numFmtId="0" fontId="0" fillId="2" borderId="20" xfId="0" applyFill="1" applyBorder="1" applyAlignment="1">
      <alignment horizontal="left" wrapText="1"/>
    </xf>
    <xf numFmtId="14" fontId="0" fillId="2" borderId="29" xfId="0" applyNumberFormat="1" applyFill="1" applyBorder="1" applyAlignment="1">
      <alignment horizontal="center" vertical="center"/>
    </xf>
    <xf numFmtId="0" fontId="0" fillId="2" borderId="20" xfId="0" applyFill="1" applyBorder="1"/>
    <xf numFmtId="164" fontId="0" fillId="2" borderId="17" xfId="0" applyNumberFormat="1" applyFill="1" applyBorder="1" applyAlignment="1">
      <alignment horizontal="left" vertical="center" wrapText="1"/>
    </xf>
    <xf numFmtId="164" fontId="0" fillId="2" borderId="19" xfId="0" applyNumberFormat="1" applyFill="1" applyBorder="1" applyAlignment="1">
      <alignment horizontal="center" vertical="center" wrapText="1"/>
    </xf>
    <xf numFmtId="164" fontId="23" fillId="2" borderId="19" xfId="0" applyNumberFormat="1" applyFont="1" applyFill="1" applyBorder="1" applyAlignment="1">
      <alignment horizontal="center" vertical="center" wrapText="1"/>
    </xf>
    <xf numFmtId="0" fontId="169" fillId="2" borderId="19" xfId="0" applyFont="1" applyFill="1" applyBorder="1"/>
    <xf numFmtId="16" fontId="45" fillId="2" borderId="19" xfId="0" applyNumberFormat="1" applyFont="1" applyFill="1" applyBorder="1" applyAlignment="1">
      <alignment horizontal="left" vertical="center"/>
    </xf>
    <xf numFmtId="16" fontId="0" fillId="2" borderId="19" xfId="0" applyNumberFormat="1" applyFill="1" applyBorder="1" applyAlignment="1">
      <alignment horizontal="left" vertical="center" wrapText="1"/>
    </xf>
    <xf numFmtId="14" fontId="0" fillId="2" borderId="17" xfId="0" applyNumberFormat="1" applyFill="1" applyBorder="1" applyAlignment="1">
      <alignment horizontal="center" vertical="center" wrapText="1"/>
    </xf>
    <xf numFmtId="0" fontId="0" fillId="2" borderId="17" xfId="0" quotePrefix="1" applyFill="1" applyBorder="1" applyAlignment="1">
      <alignment horizontal="center" vertical="center" wrapText="1"/>
    </xf>
    <xf numFmtId="0" fontId="0" fillId="2" borderId="3" xfId="0" applyFill="1" applyBorder="1" applyAlignment="1">
      <alignment horizontal="center" wrapText="1"/>
    </xf>
    <xf numFmtId="164" fontId="45" fillId="2" borderId="3" xfId="0" applyNumberFormat="1" applyFont="1" applyFill="1" applyBorder="1" applyAlignment="1">
      <alignment horizontal="center" vertical="center" wrapText="1"/>
    </xf>
    <xf numFmtId="16" fontId="0" fillId="2" borderId="3" xfId="0" applyNumberFormat="1" applyFill="1" applyBorder="1" applyAlignment="1">
      <alignment horizontal="center" vertical="center" wrapText="1"/>
    </xf>
    <xf numFmtId="0" fontId="118" fillId="2" borderId="17" xfId="0" applyFont="1" applyFill="1" applyBorder="1" applyAlignment="1">
      <alignment horizontal="left" vertical="center" wrapText="1"/>
    </xf>
    <xf numFmtId="14" fontId="0" fillId="2" borderId="32" xfId="0" applyNumberFormat="1" applyFill="1" applyBorder="1" applyAlignment="1">
      <alignment horizontal="center" vertical="center" wrapText="1"/>
    </xf>
    <xf numFmtId="0" fontId="70" fillId="3" borderId="4" xfId="0" applyFont="1" applyFill="1" applyBorder="1" applyAlignment="1">
      <alignment horizontal="left" vertical="center" wrapText="1"/>
    </xf>
    <xf numFmtId="16" fontId="0" fillId="0" borderId="19" xfId="0" applyNumberFormat="1" applyBorder="1" applyAlignment="1">
      <alignment horizontal="left" vertical="center" wrapText="1"/>
    </xf>
    <xf numFmtId="0" fontId="0" fillId="74" borderId="17" xfId="0" applyFill="1" applyBorder="1"/>
    <xf numFmtId="0" fontId="0" fillId="74" borderId="3" xfId="0" applyFill="1" applyBorder="1" applyAlignment="1">
      <alignment horizontal="center" wrapText="1"/>
    </xf>
    <xf numFmtId="0" fontId="60" fillId="74" borderId="3" xfId="0" applyFont="1" applyFill="1" applyBorder="1"/>
    <xf numFmtId="16" fontId="0" fillId="74" borderId="3" xfId="0" applyNumberFormat="1" applyFill="1" applyBorder="1" applyAlignment="1">
      <alignment horizontal="center" vertical="center" wrapText="1"/>
    </xf>
    <xf numFmtId="14" fontId="0" fillId="74" borderId="3" xfId="0" applyNumberFormat="1" applyFill="1" applyBorder="1" applyAlignment="1">
      <alignment horizontal="center" vertical="center" wrapText="1"/>
    </xf>
    <xf numFmtId="0" fontId="0" fillId="74" borderId="20" xfId="0" applyFill="1" applyBorder="1"/>
    <xf numFmtId="16" fontId="29" fillId="74" borderId="20" xfId="0" applyNumberFormat="1" applyFont="1" applyFill="1" applyBorder="1" applyAlignment="1">
      <alignment horizontal="center" vertical="center" wrapText="1"/>
    </xf>
    <xf numFmtId="0" fontId="0" fillId="74" borderId="17" xfId="0" applyFill="1" applyBorder="1" applyAlignment="1">
      <alignment horizontal="center" wrapText="1"/>
    </xf>
    <xf numFmtId="0" fontId="60" fillId="74" borderId="17" xfId="0" applyFont="1" applyFill="1" applyBorder="1" applyAlignment="1">
      <alignment wrapText="1"/>
    </xf>
    <xf numFmtId="0" fontId="0" fillId="74" borderId="3" xfId="0" applyFill="1" applyBorder="1"/>
    <xf numFmtId="0" fontId="60" fillId="74" borderId="17" xfId="0" applyFont="1" applyFill="1" applyBorder="1"/>
    <xf numFmtId="14" fontId="0" fillId="74" borderId="17" xfId="0" applyNumberFormat="1" applyFill="1" applyBorder="1" applyAlignment="1">
      <alignment horizontal="center" vertical="center" wrapText="1"/>
    </xf>
    <xf numFmtId="164" fontId="0" fillId="74" borderId="18" xfId="0" applyNumberFormat="1" applyFill="1" applyBorder="1" applyAlignment="1">
      <alignment horizontal="center" vertical="center" wrapText="1"/>
    </xf>
    <xf numFmtId="164" fontId="23" fillId="74" borderId="18" xfId="0" applyNumberFormat="1" applyFont="1" applyFill="1" applyBorder="1" applyAlignment="1">
      <alignment horizontal="center" vertical="center" wrapText="1"/>
    </xf>
    <xf numFmtId="164" fontId="0" fillId="74" borderId="18" xfId="0" applyNumberFormat="1" applyFill="1" applyBorder="1" applyAlignment="1">
      <alignment horizontal="left" vertical="center" wrapText="1"/>
    </xf>
    <xf numFmtId="0" fontId="60" fillId="74" borderId="18" xfId="0" applyFont="1" applyFill="1" applyBorder="1"/>
    <xf numFmtId="14" fontId="0" fillId="74" borderId="18" xfId="0" applyNumberFormat="1" applyFill="1" applyBorder="1" applyAlignment="1">
      <alignment horizontal="left" vertical="center" wrapText="1"/>
    </xf>
    <xf numFmtId="164" fontId="0" fillId="74" borderId="17" xfId="0" applyNumberFormat="1" applyFill="1" applyBorder="1" applyAlignment="1">
      <alignment horizontal="left" vertical="center" wrapText="1"/>
    </xf>
    <xf numFmtId="0" fontId="0" fillId="74" borderId="17" xfId="77" applyNumberFormat="1" applyFont="1" applyFill="1" applyBorder="1" applyAlignment="1">
      <alignment horizontal="left" vertical="center" wrapText="1"/>
    </xf>
    <xf numFmtId="0" fontId="0" fillId="74" borderId="4" xfId="0" applyFill="1" applyBorder="1" applyAlignment="1">
      <alignment horizontal="center" vertical="center"/>
    </xf>
    <xf numFmtId="0" fontId="0" fillId="74" borderId="3" xfId="0" applyFill="1" applyBorder="1" applyAlignment="1">
      <alignment horizontal="center" vertical="center"/>
    </xf>
    <xf numFmtId="0" fontId="0" fillId="74" borderId="3" xfId="0" applyFill="1" applyBorder="1" applyAlignment="1">
      <alignment horizontal="left" vertical="center"/>
    </xf>
    <xf numFmtId="0" fontId="0" fillId="74" borderId="4" xfId="0" applyFill="1" applyBorder="1" applyAlignment="1">
      <alignment horizontal="left" vertical="center"/>
    </xf>
    <xf numFmtId="10" fontId="0" fillId="0" borderId="0" xfId="77" applyNumberFormat="1" applyFont="1" applyAlignment="1">
      <alignment vertical="center"/>
    </xf>
    <xf numFmtId="0" fontId="0" fillId="74" borderId="4" xfId="0" applyFill="1" applyBorder="1" applyAlignment="1">
      <alignment horizontal="left" vertical="top" wrapText="1"/>
    </xf>
    <xf numFmtId="170" fontId="0" fillId="2" borderId="4" xfId="0" applyNumberFormat="1" applyFill="1" applyBorder="1" applyAlignment="1">
      <alignment horizontal="center" vertical="center"/>
    </xf>
    <xf numFmtId="0" fontId="0" fillId="2" borderId="3" xfId="0" applyFill="1" applyBorder="1" applyAlignment="1">
      <alignment horizontal="left" vertical="top" wrapText="1"/>
    </xf>
    <xf numFmtId="10" fontId="0" fillId="3" borderId="4" xfId="77" applyNumberFormat="1" applyFont="1" applyFill="1" applyBorder="1" applyAlignment="1">
      <alignment horizontal="left" vertical="center"/>
    </xf>
    <xf numFmtId="0" fontId="0" fillId="3" borderId="32" xfId="0" applyFill="1" applyBorder="1" applyAlignment="1">
      <alignment horizontal="left" vertical="center"/>
    </xf>
    <xf numFmtId="0" fontId="29" fillId="3" borderId="4" xfId="0" applyFont="1" applyFill="1" applyBorder="1" applyAlignment="1">
      <alignment horizontal="left" vertical="center"/>
    </xf>
    <xf numFmtId="164" fontId="29" fillId="3" borderId="4" xfId="0" applyNumberFormat="1" applyFont="1" applyFill="1" applyBorder="1" applyAlignment="1">
      <alignment horizontal="left" vertical="center"/>
    </xf>
    <xf numFmtId="8" fontId="0" fillId="3" borderId="4" xfId="0" applyNumberFormat="1" applyFill="1" applyBorder="1" applyAlignment="1">
      <alignment horizontal="left" vertical="center"/>
    </xf>
    <xf numFmtId="0" fontId="70" fillId="3" borderId="4" xfId="0" applyFont="1" applyFill="1" applyBorder="1" applyAlignment="1">
      <alignment horizontal="center" vertical="center"/>
    </xf>
    <xf numFmtId="10" fontId="0" fillId="3" borderId="3" xfId="77" applyNumberFormat="1" applyFont="1" applyFill="1" applyBorder="1" applyAlignment="1">
      <alignment horizontal="left" vertical="center"/>
    </xf>
    <xf numFmtId="16" fontId="0" fillId="74" borderId="0" xfId="0" applyNumberFormat="1" applyFill="1" applyAlignment="1">
      <alignment horizontal="center" vertical="center" wrapText="1"/>
    </xf>
    <xf numFmtId="14" fontId="0" fillId="74" borderId="0" xfId="0" applyNumberFormat="1" applyFill="1" applyAlignment="1">
      <alignment horizontal="center" vertical="center" wrapText="1"/>
    </xf>
    <xf numFmtId="170" fontId="0" fillId="2" borderId="20" xfId="0" applyNumberFormat="1" applyFill="1" applyBorder="1" applyAlignment="1">
      <alignment horizontal="center" vertical="center"/>
    </xf>
    <xf numFmtId="49" fontId="29" fillId="2" borderId="17" xfId="0" applyNumberFormat="1" applyFont="1" applyFill="1" applyBorder="1" applyAlignment="1">
      <alignment horizontal="center" vertical="center"/>
    </xf>
    <xf numFmtId="49" fontId="29" fillId="2" borderId="18" xfId="0" applyNumberFormat="1" applyFont="1" applyFill="1" applyBorder="1" applyAlignment="1">
      <alignment horizontal="center" vertical="center"/>
    </xf>
    <xf numFmtId="164" fontId="29" fillId="2" borderId="20" xfId="0" applyNumberFormat="1" applyFont="1" applyFill="1" applyBorder="1" applyAlignment="1">
      <alignment horizontal="center" vertical="center"/>
    </xf>
    <xf numFmtId="164" fontId="0" fillId="2" borderId="20" xfId="0" applyNumberFormat="1" applyFill="1" applyBorder="1" applyAlignment="1">
      <alignment horizontal="center" vertical="center"/>
    </xf>
    <xf numFmtId="0" fontId="0" fillId="2" borderId="27" xfId="0" applyFill="1" applyBorder="1" applyAlignment="1">
      <alignment horizontal="center" vertical="center"/>
    </xf>
    <xf numFmtId="4" fontId="0" fillId="3" borderId="4" xfId="0" applyNumberFormat="1" applyFill="1" applyBorder="1" applyAlignment="1">
      <alignment horizontal="left" vertical="center" wrapText="1"/>
    </xf>
    <xf numFmtId="20" fontId="0" fillId="3" borderId="18" xfId="0" applyNumberFormat="1" applyFill="1" applyBorder="1" applyAlignment="1">
      <alignment horizontal="center" vertical="center" wrapText="1"/>
    </xf>
    <xf numFmtId="0" fontId="0" fillId="3" borderId="27" xfId="0" applyFill="1" applyBorder="1" applyAlignment="1">
      <alignment horizontal="center" vertical="center" wrapText="1"/>
    </xf>
    <xf numFmtId="0" fontId="0" fillId="2" borderId="4" xfId="0" applyFill="1" applyBorder="1" applyAlignment="1">
      <alignment horizontal="left" vertical="center" wrapText="1"/>
    </xf>
    <xf numFmtId="0" fontId="0" fillId="2" borderId="4" xfId="0" applyFill="1" applyBorder="1" applyAlignment="1">
      <alignment horizontal="left" wrapText="1"/>
    </xf>
    <xf numFmtId="16" fontId="0" fillId="2" borderId="4" xfId="0" applyNumberFormat="1" applyFill="1" applyBorder="1" applyAlignment="1">
      <alignment horizontal="center" vertical="center" wrapText="1"/>
    </xf>
    <xf numFmtId="164" fontId="0" fillId="2" borderId="28" xfId="0" applyNumberFormat="1" applyFill="1" applyBorder="1" applyAlignment="1">
      <alignment horizontal="center" vertical="center" wrapText="1"/>
    </xf>
    <xf numFmtId="0" fontId="0" fillId="74" borderId="27" xfId="0" applyFill="1" applyBorder="1" applyAlignment="1">
      <alignment horizontal="center" vertical="center"/>
    </xf>
    <xf numFmtId="0" fontId="0" fillId="74" borderId="18" xfId="77" applyNumberFormat="1" applyFont="1" applyFill="1" applyBorder="1" applyAlignment="1">
      <alignment horizontal="center" vertical="center"/>
    </xf>
    <xf numFmtId="0" fontId="0" fillId="74" borderId="23" xfId="0" applyFill="1" applyBorder="1" applyAlignment="1">
      <alignment horizontal="center" vertical="center"/>
    </xf>
    <xf numFmtId="0" fontId="0" fillId="2" borderId="4" xfId="0" applyFill="1" applyBorder="1" applyAlignment="1">
      <alignment horizontal="left"/>
    </xf>
    <xf numFmtId="20" fontId="0" fillId="2" borderId="4" xfId="0" applyNumberFormat="1" applyFill="1" applyBorder="1" applyAlignment="1">
      <alignment horizontal="center" vertical="center"/>
    </xf>
    <xf numFmtId="0" fontId="0" fillId="2" borderId="4" xfId="0" applyFill="1" applyBorder="1"/>
    <xf numFmtId="49" fontId="0" fillId="2" borderId="4" xfId="0" applyNumberFormat="1" applyFill="1" applyBorder="1" applyAlignment="1">
      <alignment horizontal="center" vertical="center"/>
    </xf>
    <xf numFmtId="164" fontId="23" fillId="2" borderId="20" xfId="0" applyNumberFormat="1" applyFont="1" applyFill="1" applyBorder="1" applyAlignment="1">
      <alignment horizontal="center" vertical="center"/>
    </xf>
    <xf numFmtId="164" fontId="23" fillId="3" borderId="4" xfId="0" applyNumberFormat="1" applyFont="1" applyFill="1" applyBorder="1" applyAlignment="1">
      <alignment horizontal="center" vertical="center"/>
    </xf>
    <xf numFmtId="164" fontId="23" fillId="3" borderId="3" xfId="0" applyNumberFormat="1" applyFont="1" applyFill="1" applyBorder="1" applyAlignment="1">
      <alignment horizontal="center" vertical="center"/>
    </xf>
    <xf numFmtId="0" fontId="66" fillId="2" borderId="17" xfId="0" applyFont="1" applyFill="1" applyBorder="1" applyAlignment="1">
      <alignment vertical="top"/>
    </xf>
    <xf numFmtId="0" fontId="29" fillId="2" borderId="27" xfId="0" applyFont="1" applyFill="1" applyBorder="1" applyAlignment="1">
      <alignment horizontal="center" vertical="center"/>
    </xf>
    <xf numFmtId="0" fontId="0" fillId="3" borderId="36" xfId="0" applyFill="1" applyBorder="1" applyAlignment="1">
      <alignment horizontal="left" vertical="center" wrapText="1"/>
    </xf>
    <xf numFmtId="170" fontId="0" fillId="3" borderId="0" xfId="0" applyNumberFormat="1" applyFill="1" applyAlignment="1">
      <alignment horizontal="left" vertical="center" wrapText="1"/>
    </xf>
    <xf numFmtId="0" fontId="0" fillId="0" borderId="18" xfId="77" applyNumberFormat="1" applyFont="1" applyFill="1" applyBorder="1" applyAlignment="1">
      <alignment horizontal="center" vertical="center"/>
    </xf>
    <xf numFmtId="0" fontId="17" fillId="0" borderId="0" xfId="0" applyFont="1" applyAlignment="1">
      <alignment horizontal="left" vertical="center"/>
    </xf>
    <xf numFmtId="11" fontId="29" fillId="2" borderId="0" xfId="0" applyNumberFormat="1" applyFont="1" applyFill="1" applyAlignment="1">
      <alignment horizontal="center" vertical="center"/>
    </xf>
    <xf numFmtId="0" fontId="17" fillId="67" borderId="0" xfId="0" applyFont="1" applyFill="1" applyAlignment="1">
      <alignment horizontal="left" vertical="center" wrapText="1"/>
    </xf>
    <xf numFmtId="0" fontId="0" fillId="2" borderId="17" xfId="77" applyNumberFormat="1" applyFont="1" applyFill="1" applyBorder="1" applyAlignment="1">
      <alignment horizontal="center" vertical="center"/>
    </xf>
    <xf numFmtId="0" fontId="0" fillId="2" borderId="22" xfId="0" applyFill="1" applyBorder="1" applyAlignment="1">
      <alignment horizontal="center" vertical="center"/>
    </xf>
    <xf numFmtId="0" fontId="0" fillId="0" borderId="27" xfId="0" applyBorder="1" applyAlignment="1">
      <alignment horizontal="left" vertical="center"/>
    </xf>
    <xf numFmtId="0" fontId="0" fillId="0" borderId="18" xfId="77" applyNumberFormat="1" applyFont="1" applyFill="1" applyBorder="1" applyAlignment="1">
      <alignment horizontal="left"/>
    </xf>
    <xf numFmtId="170" fontId="23" fillId="2" borderId="17" xfId="0" applyNumberFormat="1" applyFont="1" applyFill="1" applyBorder="1" applyAlignment="1">
      <alignment horizontal="center" vertical="center"/>
    </xf>
    <xf numFmtId="0" fontId="0" fillId="0" borderId="18" xfId="77" applyNumberFormat="1" applyFont="1" applyFill="1" applyBorder="1" applyAlignment="1">
      <alignment horizontal="left" vertical="center"/>
    </xf>
    <xf numFmtId="0" fontId="17" fillId="3" borderId="27" xfId="0" applyFont="1" applyFill="1" applyBorder="1" applyAlignment="1">
      <alignment horizontal="left" vertical="center"/>
    </xf>
    <xf numFmtId="4" fontId="0" fillId="3" borderId="18" xfId="0" applyNumberFormat="1" applyFill="1" applyBorder="1" applyAlignment="1">
      <alignment horizontal="left" vertical="center"/>
    </xf>
    <xf numFmtId="0" fontId="17" fillId="3" borderId="27" xfId="0" applyFont="1" applyFill="1" applyBorder="1" applyAlignment="1">
      <alignment horizontal="left" vertical="center" wrapText="1"/>
    </xf>
    <xf numFmtId="4" fontId="0" fillId="3" borderId="17" xfId="0" applyNumberFormat="1" applyFill="1" applyBorder="1" applyAlignment="1">
      <alignment horizontal="left" vertical="center"/>
    </xf>
    <xf numFmtId="8" fontId="0" fillId="3" borderId="17" xfId="0" applyNumberFormat="1" applyFill="1" applyBorder="1" applyAlignment="1">
      <alignment horizontal="left" vertical="center"/>
    </xf>
    <xf numFmtId="0" fontId="70" fillId="3" borderId="3" xfId="0" applyFont="1" applyFill="1" applyBorder="1" applyAlignment="1">
      <alignment horizontal="left" vertical="center"/>
    </xf>
    <xf numFmtId="4" fontId="17" fillId="3" borderId="18" xfId="0" applyNumberFormat="1" applyFont="1" applyFill="1" applyBorder="1" applyAlignment="1">
      <alignment horizontal="left" vertical="center" wrapText="1"/>
    </xf>
    <xf numFmtId="16" fontId="57" fillId="2" borderId="20" xfId="0" applyNumberFormat="1" applyFont="1" applyFill="1" applyBorder="1" applyAlignment="1">
      <alignment horizontal="center" vertical="center"/>
    </xf>
    <xf numFmtId="164" fontId="0" fillId="0" borderId="18" xfId="0" applyNumberFormat="1" applyBorder="1" applyAlignment="1">
      <alignment horizontal="left" wrapText="1"/>
    </xf>
    <xf numFmtId="164" fontId="0" fillId="0" borderId="23" xfId="0" applyNumberFormat="1" applyBorder="1" applyAlignment="1">
      <alignment horizontal="left"/>
    </xf>
    <xf numFmtId="0" fontId="0" fillId="0" borderId="18" xfId="77" applyNumberFormat="1" applyFont="1" applyBorder="1" applyAlignment="1">
      <alignment horizontal="left" vertical="center"/>
    </xf>
    <xf numFmtId="0" fontId="17" fillId="0" borderId="27" xfId="0" applyFont="1" applyBorder="1" applyAlignment="1">
      <alignment horizontal="center" vertical="center"/>
    </xf>
    <xf numFmtId="0" fontId="17" fillId="0" borderId="0" xfId="0" applyFont="1" applyAlignment="1">
      <alignment vertical="center"/>
    </xf>
    <xf numFmtId="0" fontId="0" fillId="0" borderId="22" xfId="0" applyBorder="1" applyAlignment="1">
      <alignment vertical="center"/>
    </xf>
    <xf numFmtId="0" fontId="17" fillId="0" borderId="0" xfId="0" applyFont="1" applyAlignment="1">
      <alignment vertical="center" wrapText="1"/>
    </xf>
    <xf numFmtId="0" fontId="17" fillId="3" borderId="21" xfId="0" applyFont="1" applyFill="1" applyBorder="1" applyAlignment="1">
      <alignment horizontal="left" vertical="center" wrapText="1"/>
    </xf>
    <xf numFmtId="0" fontId="29" fillId="2" borderId="18" xfId="0" applyFont="1" applyFill="1" applyBorder="1" applyAlignment="1">
      <alignment vertical="center"/>
    </xf>
    <xf numFmtId="0" fontId="29" fillId="2" borderId="18" xfId="77" applyNumberFormat="1" applyFont="1" applyFill="1" applyBorder="1" applyAlignment="1">
      <alignment horizontal="right" vertical="center"/>
    </xf>
    <xf numFmtId="0" fontId="29" fillId="2" borderId="23" xfId="0" applyFont="1" applyFill="1" applyBorder="1" applyAlignment="1">
      <alignment vertical="center"/>
    </xf>
    <xf numFmtId="0" fontId="0" fillId="74" borderId="0" xfId="0" applyFill="1" applyAlignment="1">
      <alignment vertical="center"/>
    </xf>
    <xf numFmtId="0" fontId="0" fillId="0" borderId="17" xfId="77" applyNumberFormat="1" applyFont="1" applyFill="1" applyBorder="1" applyAlignment="1">
      <alignment horizontal="right" vertical="center"/>
    </xf>
    <xf numFmtId="0" fontId="0" fillId="0" borderId="18" xfId="77" applyNumberFormat="1" applyFont="1" applyFill="1" applyBorder="1" applyAlignment="1">
      <alignment horizontal="right" vertical="center"/>
    </xf>
    <xf numFmtId="10" fontId="0" fillId="0" borderId="18" xfId="77" applyNumberFormat="1" applyFont="1" applyBorder="1" applyAlignment="1">
      <alignment horizontal="right" vertical="center"/>
    </xf>
    <xf numFmtId="4" fontId="0" fillId="3" borderId="18" xfId="0" applyNumberFormat="1" applyFill="1" applyBorder="1" applyAlignment="1">
      <alignment horizontal="left" vertical="center" wrapText="1"/>
    </xf>
    <xf numFmtId="10" fontId="0" fillId="0" borderId="17" xfId="77" applyNumberFormat="1" applyFont="1" applyBorder="1" applyAlignment="1">
      <alignment horizontal="right" vertical="center"/>
    </xf>
    <xf numFmtId="0" fontId="0" fillId="0" borderId="19" xfId="0" applyBorder="1" applyAlignment="1">
      <alignment vertical="center"/>
    </xf>
    <xf numFmtId="0" fontId="0" fillId="0" borderId="24" xfId="0" applyBorder="1" applyAlignment="1">
      <alignment vertical="center"/>
    </xf>
    <xf numFmtId="49" fontId="0" fillId="0" borderId="0" xfId="0" applyNumberFormat="1" applyAlignment="1">
      <alignment vertical="center"/>
    </xf>
    <xf numFmtId="0" fontId="0" fillId="47" borderId="17" xfId="0" applyFill="1" applyBorder="1" applyAlignment="1">
      <alignment horizontal="center" vertical="center" wrapText="1"/>
    </xf>
    <xf numFmtId="0" fontId="0" fillId="74" borderId="17" xfId="0" applyFill="1" applyBorder="1" applyAlignment="1">
      <alignment horizontal="center" vertical="center"/>
    </xf>
    <xf numFmtId="0" fontId="0" fillId="74" borderId="20" xfId="0" applyFill="1" applyBorder="1" applyAlignment="1">
      <alignment horizontal="center" vertical="center"/>
    </xf>
    <xf numFmtId="0" fontId="0" fillId="2" borderId="3" xfId="0" applyFill="1" applyBorder="1" applyAlignment="1">
      <alignment horizontal="left"/>
    </xf>
    <xf numFmtId="0" fontId="0" fillId="74" borderId="4" xfId="0" applyFill="1" applyBorder="1"/>
    <xf numFmtId="164" fontId="23" fillId="0" borderId="17" xfId="0" applyNumberFormat="1" applyFont="1" applyBorder="1" applyAlignment="1">
      <alignment horizontal="left" vertical="center"/>
    </xf>
    <xf numFmtId="164" fontId="45" fillId="3" borderId="3" xfId="0" applyNumberFormat="1" applyFont="1" applyFill="1" applyBorder="1" applyAlignment="1">
      <alignment horizontal="left" vertical="center"/>
    </xf>
    <xf numFmtId="0" fontId="29" fillId="2" borderId="17" xfId="0" applyFont="1" applyFill="1" applyBorder="1" applyAlignment="1">
      <alignment horizontal="left" vertical="center"/>
    </xf>
    <xf numFmtId="0" fontId="52" fillId="2" borderId="18" xfId="0" applyFont="1" applyFill="1" applyBorder="1" applyAlignment="1">
      <alignment horizontal="center" vertical="center"/>
    </xf>
    <xf numFmtId="49" fontId="0" fillId="2" borderId="17" xfId="0" applyNumberFormat="1" applyFill="1" applyBorder="1" applyAlignment="1">
      <alignment horizontal="center" vertical="center"/>
    </xf>
    <xf numFmtId="0" fontId="0" fillId="74" borderId="17" xfId="0" applyFill="1" applyBorder="1" applyAlignment="1">
      <alignment horizontal="left" vertical="top" wrapText="1"/>
    </xf>
    <xf numFmtId="0" fontId="0" fillId="74" borderId="0" xfId="0" applyFill="1" applyAlignment="1">
      <alignment horizontal="left" vertical="top" wrapText="1"/>
    </xf>
    <xf numFmtId="0" fontId="0" fillId="2" borderId="3" xfId="0" applyFill="1" applyBorder="1" applyAlignment="1">
      <alignment vertical="top" wrapText="1"/>
    </xf>
    <xf numFmtId="0" fontId="0" fillId="2" borderId="0" xfId="0" applyFill="1" applyAlignment="1">
      <alignment vertical="top" wrapText="1"/>
    </xf>
    <xf numFmtId="4" fontId="0" fillId="3" borderId="4" xfId="0" applyNumberFormat="1" applyFill="1" applyBorder="1"/>
    <xf numFmtId="4" fontId="0" fillId="3" borderId="4" xfId="0" applyNumberFormat="1" applyFill="1" applyBorder="1" applyAlignment="1">
      <alignment horizontal="left" vertical="center"/>
    </xf>
    <xf numFmtId="0" fontId="65" fillId="2" borderId="3" xfId="0" applyFont="1" applyFill="1" applyBorder="1" applyAlignment="1">
      <alignment horizontal="left" vertical="center"/>
    </xf>
    <xf numFmtId="0" fontId="0" fillId="0" borderId="4" xfId="0" applyBorder="1"/>
    <xf numFmtId="16" fontId="52" fillId="2" borderId="18" xfId="0" applyNumberFormat="1" applyFont="1" applyFill="1" applyBorder="1" applyAlignment="1">
      <alignment horizontal="center" vertical="center"/>
    </xf>
    <xf numFmtId="164" fontId="0" fillId="3" borderId="4" xfId="0" applyNumberFormat="1" applyFill="1" applyBorder="1" applyAlignment="1">
      <alignment horizontal="right" vertical="center"/>
    </xf>
    <xf numFmtId="164" fontId="176" fillId="2" borderId="18" xfId="0" applyNumberFormat="1" applyFont="1" applyFill="1" applyBorder="1" applyAlignment="1">
      <alignment horizontal="center" vertical="center"/>
    </xf>
    <xf numFmtId="164" fontId="23" fillId="3" borderId="4" xfId="0" applyNumberFormat="1" applyFont="1" applyFill="1" applyBorder="1" applyAlignment="1">
      <alignment vertical="center"/>
    </xf>
    <xf numFmtId="0" fontId="24" fillId="3" borderId="3" xfId="0" applyFont="1" applyFill="1" applyBorder="1" applyAlignment="1">
      <alignment horizontal="center" vertical="center"/>
    </xf>
    <xf numFmtId="0" fontId="24" fillId="3" borderId="3" xfId="0" applyFont="1" applyFill="1" applyBorder="1" applyAlignment="1">
      <alignment horizontal="left" wrapText="1"/>
    </xf>
    <xf numFmtId="0" fontId="57" fillId="2" borderId="20" xfId="0" applyFont="1" applyFill="1" applyBorder="1" applyAlignment="1">
      <alignment horizontal="center" vertical="center"/>
    </xf>
    <xf numFmtId="0" fontId="52" fillId="2" borderId="1" xfId="0" applyFont="1" applyFill="1" applyBorder="1" applyAlignment="1">
      <alignment horizontal="center" vertical="center"/>
    </xf>
    <xf numFmtId="49" fontId="29" fillId="2" borderId="0" xfId="0" applyNumberFormat="1" applyFont="1" applyFill="1" applyAlignment="1">
      <alignment horizontal="center" vertical="center"/>
    </xf>
    <xf numFmtId="49" fontId="24" fillId="3" borderId="17" xfId="0" applyNumberFormat="1" applyFont="1" applyFill="1" applyBorder="1" applyAlignment="1">
      <alignment horizontal="left" vertical="center"/>
    </xf>
    <xf numFmtId="49" fontId="0" fillId="2" borderId="3" xfId="0" applyNumberFormat="1" applyFill="1" applyBorder="1" applyAlignment="1">
      <alignment horizontal="center" vertical="center"/>
    </xf>
    <xf numFmtId="49" fontId="57" fillId="2" borderId="4" xfId="0" applyNumberFormat="1" applyFont="1" applyFill="1" applyBorder="1" applyAlignment="1">
      <alignment horizontal="center" vertical="center"/>
    </xf>
    <xf numFmtId="0" fontId="60" fillId="2" borderId="17" xfId="0" applyFont="1" applyFill="1" applyBorder="1" applyAlignment="1">
      <alignment horizontal="center" vertical="center"/>
    </xf>
    <xf numFmtId="49" fontId="0" fillId="74" borderId="17" xfId="0" applyNumberFormat="1" applyFill="1" applyBorder="1" applyAlignment="1">
      <alignment horizontal="center" vertical="center"/>
    </xf>
    <xf numFmtId="49" fontId="24" fillId="3" borderId="17" xfId="0" quotePrefix="1" applyNumberFormat="1" applyFont="1" applyFill="1" applyBorder="1" applyAlignment="1">
      <alignment horizontal="left" vertical="center"/>
    </xf>
    <xf numFmtId="0" fontId="29" fillId="3" borderId="0" xfId="0" applyFont="1" applyFill="1" applyAlignment="1">
      <alignment horizontal="left" vertical="center" wrapText="1"/>
    </xf>
    <xf numFmtId="16" fontId="45" fillId="2" borderId="4" xfId="0" applyNumberFormat="1" applyFont="1" applyFill="1" applyBorder="1" applyAlignment="1">
      <alignment horizontal="center" vertical="center"/>
    </xf>
    <xf numFmtId="164" fontId="29" fillId="2" borderId="4" xfId="0" applyNumberFormat="1" applyFont="1" applyFill="1" applyBorder="1" applyAlignment="1">
      <alignment horizontal="center" vertical="center"/>
    </xf>
    <xf numFmtId="164" fontId="0" fillId="2" borderId="32" xfId="0" applyNumberFormat="1" applyFill="1" applyBorder="1" applyAlignment="1">
      <alignment horizontal="left" vertical="center"/>
    </xf>
    <xf numFmtId="0" fontId="0" fillId="2" borderId="20" xfId="0" applyFill="1" applyBorder="1" applyAlignment="1">
      <alignment vertical="top"/>
    </xf>
    <xf numFmtId="0" fontId="0" fillId="3" borderId="4" xfId="0" applyFill="1" applyBorder="1" applyAlignment="1">
      <alignment wrapText="1"/>
    </xf>
    <xf numFmtId="0" fontId="0" fillId="2" borderId="32" xfId="0" applyFill="1" applyBorder="1" applyAlignment="1">
      <alignment vertical="top" wrapText="1"/>
    </xf>
    <xf numFmtId="0" fontId="0" fillId="74" borderId="18" xfId="0" applyFill="1" applyBorder="1" applyAlignment="1">
      <alignment horizontal="left" vertical="top" wrapText="1"/>
    </xf>
    <xf numFmtId="0" fontId="0" fillId="2" borderId="4" xfId="0" applyFill="1" applyBorder="1" applyAlignment="1">
      <alignment vertical="top"/>
    </xf>
    <xf numFmtId="0" fontId="0" fillId="3" borderId="3" xfId="0" applyFill="1" applyBorder="1"/>
    <xf numFmtId="8" fontId="0" fillId="3" borderId="4" xfId="0" applyNumberFormat="1" applyFill="1" applyBorder="1" applyAlignment="1">
      <alignment horizontal="left" vertical="center" wrapText="1"/>
    </xf>
    <xf numFmtId="4" fontId="0" fillId="3" borderId="17" xfId="0" applyNumberFormat="1" applyFill="1" applyBorder="1" applyAlignment="1">
      <alignment horizontal="left" vertical="center" wrapText="1"/>
    </xf>
    <xf numFmtId="10" fontId="0" fillId="2" borderId="3" xfId="77" applyNumberFormat="1" applyFont="1" applyFill="1" applyBorder="1" applyAlignment="1">
      <alignment horizontal="center" vertical="center"/>
    </xf>
    <xf numFmtId="164" fontId="44" fillId="63" borderId="17" xfId="0" applyNumberFormat="1" applyFont="1" applyFill="1" applyBorder="1" applyAlignment="1">
      <alignment vertical="center"/>
    </xf>
    <xf numFmtId="10" fontId="44" fillId="63" borderId="17" xfId="0" applyNumberFormat="1" applyFont="1" applyFill="1" applyBorder="1" applyAlignment="1">
      <alignment vertical="center"/>
    </xf>
    <xf numFmtId="10" fontId="44" fillId="63" borderId="17" xfId="0" applyNumberFormat="1" applyFont="1" applyFill="1" applyBorder="1" applyAlignment="1">
      <alignment vertical="center" wrapText="1"/>
    </xf>
    <xf numFmtId="164" fontId="44" fillId="63" borderId="17" xfId="0" applyNumberFormat="1" applyFont="1" applyFill="1" applyBorder="1" applyAlignment="1">
      <alignment vertical="center" wrapText="1"/>
    </xf>
    <xf numFmtId="49" fontId="44" fillId="63" borderId="17" xfId="0" applyNumberFormat="1" applyFont="1" applyFill="1" applyBorder="1" applyAlignment="1">
      <alignment vertical="center"/>
    </xf>
    <xf numFmtId="10" fontId="44" fillId="63" borderId="17" xfId="77" applyNumberFormat="1" applyFont="1" applyFill="1" applyBorder="1" applyAlignment="1">
      <alignment vertical="center"/>
    </xf>
    <xf numFmtId="0" fontId="0" fillId="2" borderId="18" xfId="0" applyFill="1" applyBorder="1" applyAlignment="1">
      <alignment vertical="top"/>
    </xf>
    <xf numFmtId="0" fontId="116" fillId="2" borderId="20" xfId="0" applyFont="1" applyFill="1" applyBorder="1" applyAlignment="1">
      <alignment horizontal="center" vertical="center"/>
    </xf>
    <xf numFmtId="0" fontId="0" fillId="3" borderId="0" xfId="0" applyFill="1" applyAlignment="1">
      <alignment horizontal="left" vertical="top" wrapText="1"/>
    </xf>
    <xf numFmtId="10" fontId="0" fillId="3" borderId="0" xfId="77" applyNumberFormat="1" applyFont="1" applyFill="1" applyBorder="1" applyAlignment="1">
      <alignment horizontal="center" vertical="center"/>
    </xf>
    <xf numFmtId="0" fontId="0" fillId="3" borderId="27" xfId="0" applyFill="1" applyBorder="1" applyAlignment="1">
      <alignment horizontal="center" vertical="center"/>
    </xf>
    <xf numFmtId="0" fontId="0" fillId="3" borderId="23" xfId="0" applyFill="1" applyBorder="1" applyAlignment="1">
      <alignment vertical="center"/>
    </xf>
    <xf numFmtId="164" fontId="24" fillId="3" borderId="17" xfId="0" applyNumberFormat="1" applyFont="1" applyFill="1" applyBorder="1" applyAlignment="1">
      <alignment vertical="center"/>
    </xf>
    <xf numFmtId="164" fontId="23" fillId="2" borderId="3" xfId="0" applyNumberFormat="1" applyFont="1" applyFill="1" applyBorder="1" applyAlignment="1">
      <alignment horizontal="center" vertical="center"/>
    </xf>
    <xf numFmtId="0" fontId="0" fillId="2" borderId="3" xfId="0" applyFill="1" applyBorder="1" applyAlignment="1">
      <alignment vertical="center"/>
    </xf>
    <xf numFmtId="0" fontId="0" fillId="2" borderId="28" xfId="0" applyFill="1" applyBorder="1" applyAlignment="1">
      <alignment horizontal="center" vertical="center"/>
    </xf>
    <xf numFmtId="0" fontId="0" fillId="3" borderId="4" xfId="0" applyFill="1" applyBorder="1" applyAlignment="1">
      <alignment horizontal="left" vertical="top" wrapText="1"/>
    </xf>
    <xf numFmtId="0" fontId="17" fillId="3" borderId="27" xfId="0" applyFont="1" applyFill="1" applyBorder="1" applyAlignment="1">
      <alignment horizontal="center" vertical="center"/>
    </xf>
    <xf numFmtId="10" fontId="0" fillId="3" borderId="18" xfId="77" applyNumberFormat="1" applyFont="1" applyFill="1" applyBorder="1" applyAlignment="1">
      <alignment horizontal="right" vertical="center"/>
    </xf>
    <xf numFmtId="0" fontId="0" fillId="3" borderId="20" xfId="0" applyFill="1" applyBorder="1" applyAlignment="1">
      <alignment horizontal="center" vertical="center"/>
    </xf>
    <xf numFmtId="164" fontId="0" fillId="3" borderId="20" xfId="0" applyNumberFormat="1" applyFill="1" applyBorder="1" applyAlignment="1">
      <alignment horizontal="center" vertical="center"/>
    </xf>
    <xf numFmtId="0" fontId="0" fillId="3" borderId="17" xfId="0" applyFill="1" applyBorder="1" applyAlignment="1">
      <alignment horizontal="left" vertical="top" wrapText="1"/>
    </xf>
    <xf numFmtId="170" fontId="0" fillId="3" borderId="17" xfId="0" applyNumberFormat="1" applyFill="1" applyBorder="1" applyAlignment="1">
      <alignment horizontal="center" vertical="center"/>
    </xf>
    <xf numFmtId="49" fontId="0" fillId="3" borderId="17" xfId="0" applyNumberFormat="1" applyFill="1" applyBorder="1" applyAlignment="1">
      <alignment horizontal="center" vertical="center"/>
    </xf>
    <xf numFmtId="10" fontId="0" fillId="3" borderId="17" xfId="77" applyNumberFormat="1" applyFont="1" applyFill="1" applyBorder="1" applyAlignment="1">
      <alignment horizontal="center" vertical="center"/>
    </xf>
    <xf numFmtId="4" fontId="0" fillId="3" borderId="17" xfId="0" applyNumberFormat="1" applyFill="1" applyBorder="1" applyAlignment="1">
      <alignment horizontal="center" vertical="center"/>
    </xf>
    <xf numFmtId="0" fontId="45" fillId="3" borderId="17" xfId="0" applyFont="1" applyFill="1" applyBorder="1" applyAlignment="1">
      <alignment horizontal="left" vertical="center" wrapText="1"/>
    </xf>
    <xf numFmtId="164" fontId="29" fillId="2" borderId="3" xfId="0" applyNumberFormat="1" applyFont="1" applyFill="1" applyBorder="1" applyAlignment="1">
      <alignment horizontal="center" vertical="center"/>
    </xf>
    <xf numFmtId="0" fontId="17" fillId="3" borderId="17" xfId="0" applyFont="1" applyFill="1" applyBorder="1" applyAlignment="1">
      <alignment vertical="center" wrapText="1"/>
    </xf>
    <xf numFmtId="0" fontId="17" fillId="3" borderId="18" xfId="0" applyFont="1" applyFill="1" applyBorder="1" applyAlignment="1">
      <alignment vertical="center" wrapText="1"/>
    </xf>
    <xf numFmtId="0" fontId="0" fillId="2" borderId="17" xfId="0" applyFill="1" applyBorder="1" applyAlignment="1">
      <alignment vertical="top"/>
    </xf>
    <xf numFmtId="0" fontId="0" fillId="3" borderId="33" xfId="0" applyFill="1" applyBorder="1" applyAlignment="1">
      <alignment horizontal="center" vertical="center"/>
    </xf>
    <xf numFmtId="0" fontId="173" fillId="3" borderId="3" xfId="0" applyFont="1" applyFill="1" applyBorder="1" applyAlignment="1">
      <alignment horizontal="left" vertical="center"/>
    </xf>
    <xf numFmtId="164" fontId="0" fillId="3" borderId="3" xfId="0" applyNumberFormat="1" applyFill="1" applyBorder="1" applyAlignment="1">
      <alignment horizontal="center" vertical="center"/>
    </xf>
    <xf numFmtId="49" fontId="0" fillId="3" borderId="3" xfId="0" applyNumberFormat="1" applyFill="1" applyBorder="1" applyAlignment="1">
      <alignment horizontal="center" vertical="center"/>
    </xf>
    <xf numFmtId="10" fontId="0" fillId="3" borderId="3" xfId="77" applyNumberFormat="1" applyFont="1" applyFill="1" applyBorder="1" applyAlignment="1">
      <alignment horizontal="center" vertical="center"/>
    </xf>
    <xf numFmtId="4" fontId="0" fillId="3" borderId="18" xfId="0" applyNumberFormat="1" applyFill="1" applyBorder="1" applyAlignment="1">
      <alignment vertical="center"/>
    </xf>
    <xf numFmtId="10" fontId="0" fillId="3" borderId="18" xfId="77" applyNumberFormat="1" applyFont="1" applyFill="1" applyBorder="1" applyAlignment="1">
      <alignment vertical="center"/>
    </xf>
    <xf numFmtId="0" fontId="0" fillId="3" borderId="28" xfId="0" applyFill="1" applyBorder="1" applyAlignment="1">
      <alignment horizontal="center" vertical="center"/>
    </xf>
    <xf numFmtId="0" fontId="0" fillId="3" borderId="19" xfId="0" applyFill="1" applyBorder="1" applyAlignment="1">
      <alignment horizontal="center" vertical="center"/>
    </xf>
    <xf numFmtId="164" fontId="0" fillId="3" borderId="19" xfId="0" applyNumberFormat="1" applyFill="1" applyBorder="1" applyAlignment="1">
      <alignment horizontal="center" vertical="center"/>
    </xf>
    <xf numFmtId="0" fontId="0" fillId="3" borderId="19" xfId="0" applyFill="1" applyBorder="1" applyAlignment="1">
      <alignment horizontal="left" vertical="center" wrapText="1"/>
    </xf>
    <xf numFmtId="10" fontId="0" fillId="3" borderId="19" xfId="77" applyNumberFormat="1" applyFont="1" applyFill="1" applyBorder="1" applyAlignment="1">
      <alignment horizontal="center" vertical="center"/>
    </xf>
    <xf numFmtId="49" fontId="0" fillId="3" borderId="0" xfId="0" quotePrefix="1" applyNumberFormat="1" applyFill="1" applyAlignment="1">
      <alignment horizontal="center" vertical="center"/>
    </xf>
    <xf numFmtId="0" fontId="183" fillId="3" borderId="3" xfId="0" applyFont="1" applyFill="1" applyBorder="1"/>
    <xf numFmtId="0" fontId="0" fillId="3" borderId="18" xfId="77" applyNumberFormat="1" applyFont="1" applyFill="1" applyBorder="1" applyAlignment="1">
      <alignment horizontal="center" vertical="center"/>
    </xf>
    <xf numFmtId="0" fontId="0" fillId="0" borderId="0" xfId="0" applyAlignment="1">
      <alignment vertical="top"/>
    </xf>
    <xf numFmtId="0" fontId="0" fillId="0" borderId="17" xfId="77" applyNumberFormat="1" applyFont="1" applyFill="1" applyBorder="1" applyAlignment="1">
      <alignment horizontal="left" vertical="center"/>
    </xf>
    <xf numFmtId="0" fontId="131" fillId="3" borderId="17" xfId="0" applyFont="1" applyFill="1" applyBorder="1" applyAlignment="1">
      <alignment horizontal="left" wrapText="1"/>
    </xf>
    <xf numFmtId="0" fontId="17" fillId="3" borderId="17" xfId="0" applyFont="1" applyFill="1" applyBorder="1" applyAlignment="1">
      <alignment vertical="center"/>
    </xf>
    <xf numFmtId="4" fontId="0" fillId="3" borderId="17" xfId="0" applyNumberFormat="1" applyFill="1" applyBorder="1" applyAlignment="1">
      <alignment vertical="center" wrapText="1"/>
    </xf>
    <xf numFmtId="8" fontId="0" fillId="3" borderId="17" xfId="0" applyNumberFormat="1" applyFill="1" applyBorder="1" applyAlignment="1">
      <alignment vertical="center"/>
    </xf>
    <xf numFmtId="10" fontId="0" fillId="3" borderId="17" xfId="77" applyNumberFormat="1" applyFont="1" applyFill="1" applyBorder="1" applyAlignment="1">
      <alignment vertical="center"/>
    </xf>
    <xf numFmtId="4" fontId="0" fillId="3" borderId="17" xfId="0" applyNumberFormat="1" applyFill="1" applyBorder="1" applyAlignment="1">
      <alignment vertical="center"/>
    </xf>
    <xf numFmtId="0" fontId="0" fillId="3" borderId="22" xfId="0" applyFill="1" applyBorder="1" applyAlignment="1">
      <alignment vertical="center"/>
    </xf>
    <xf numFmtId="0" fontId="190" fillId="0" borderId="0" xfId="0" applyFont="1" applyAlignment="1">
      <alignment horizontal="left" vertical="center"/>
    </xf>
    <xf numFmtId="0" fontId="17" fillId="0" borderId="0" xfId="0" applyFont="1" applyAlignment="1">
      <alignment horizontal="center" vertical="center" wrapText="1"/>
    </xf>
    <xf numFmtId="0" fontId="17" fillId="3" borderId="0" xfId="0" applyFont="1" applyFill="1" applyAlignment="1">
      <alignment vertical="center" wrapText="1"/>
    </xf>
    <xf numFmtId="0" fontId="29" fillId="2" borderId="17" xfId="0" applyFont="1" applyFill="1" applyBorder="1" applyAlignment="1">
      <alignment vertical="center" wrapText="1"/>
    </xf>
    <xf numFmtId="0" fontId="0" fillId="3" borderId="21" xfId="0" applyFill="1" applyBorder="1"/>
    <xf numFmtId="0" fontId="0" fillId="3" borderId="17" xfId="77" applyNumberFormat="1" applyFont="1" applyFill="1" applyBorder="1" applyAlignment="1">
      <alignment horizontal="center" vertical="center"/>
    </xf>
    <xf numFmtId="0" fontId="0" fillId="3" borderId="22" xfId="0" applyFill="1" applyBorder="1" applyAlignment="1">
      <alignment horizontal="center" vertical="center"/>
    </xf>
    <xf numFmtId="0" fontId="0" fillId="2" borderId="23" xfId="0" applyFill="1" applyBorder="1" applyAlignment="1">
      <alignment vertical="center"/>
    </xf>
    <xf numFmtId="0" fontId="0" fillId="0" borderId="17" xfId="77" applyNumberFormat="1" applyFont="1" applyBorder="1" applyAlignment="1">
      <alignment horizontal="left" vertical="center"/>
    </xf>
    <xf numFmtId="0" fontId="17" fillId="2" borderId="0" xfId="0" applyFont="1" applyFill="1" applyAlignment="1">
      <alignment horizontal="center" vertical="center"/>
    </xf>
    <xf numFmtId="10" fontId="44" fillId="63" borderId="2" xfId="0" applyNumberFormat="1" applyFont="1" applyFill="1" applyBorder="1" applyAlignment="1">
      <alignment vertical="center"/>
    </xf>
    <xf numFmtId="10" fontId="44" fillId="63" borderId="4" xfId="0" applyNumberFormat="1" applyFont="1" applyFill="1" applyBorder="1" applyAlignment="1">
      <alignment vertical="center"/>
    </xf>
    <xf numFmtId="170" fontId="0" fillId="0" borderId="0" xfId="0" applyNumberFormat="1" applyAlignment="1">
      <alignment vertical="center" wrapText="1"/>
    </xf>
    <xf numFmtId="10" fontId="0" fillId="0" borderId="0" xfId="77" applyNumberFormat="1" applyFont="1" applyAlignment="1">
      <alignment vertical="center" wrapText="1"/>
    </xf>
    <xf numFmtId="0" fontId="0" fillId="2" borderId="18" xfId="77" applyNumberFormat="1" applyFont="1" applyFill="1" applyBorder="1" applyAlignment="1">
      <alignment horizontal="right" vertical="center"/>
    </xf>
    <xf numFmtId="0" fontId="0" fillId="2" borderId="17" xfId="0" applyFill="1" applyBorder="1" applyAlignment="1">
      <alignment vertical="center"/>
    </xf>
    <xf numFmtId="0" fontId="0" fillId="2" borderId="22" xfId="0" applyFill="1" applyBorder="1" applyAlignment="1">
      <alignment vertical="center"/>
    </xf>
    <xf numFmtId="164" fontId="128" fillId="2" borderId="17" xfId="0" applyNumberFormat="1" applyFont="1" applyFill="1" applyBorder="1" applyAlignment="1">
      <alignment horizontal="center" vertical="center"/>
    </xf>
    <xf numFmtId="0" fontId="0" fillId="2" borderId="17" xfId="0" applyFill="1" applyBorder="1" applyAlignment="1">
      <alignment vertical="center" wrapText="1"/>
    </xf>
    <xf numFmtId="0" fontId="0" fillId="3" borderId="17" xfId="77" applyNumberFormat="1" applyFont="1" applyFill="1" applyBorder="1" applyAlignment="1">
      <alignment vertical="center"/>
    </xf>
    <xf numFmtId="0" fontId="171" fillId="3" borderId="0" xfId="0" applyFont="1" applyFill="1" applyAlignment="1">
      <alignment horizontal="left" vertical="top" wrapText="1"/>
    </xf>
    <xf numFmtId="0" fontId="0" fillId="3" borderId="17" xfId="77" applyNumberFormat="1" applyFont="1" applyFill="1" applyBorder="1" applyAlignment="1">
      <alignment horizontal="right" vertical="center"/>
    </xf>
    <xf numFmtId="0" fontId="23" fillId="0" borderId="0" xfId="0" applyFont="1" applyAlignment="1">
      <alignment horizontal="left" vertical="center"/>
    </xf>
    <xf numFmtId="0" fontId="17" fillId="3" borderId="21" xfId="0" applyFont="1" applyFill="1" applyBorder="1" applyAlignment="1">
      <alignment horizontal="center" vertical="center"/>
    </xf>
    <xf numFmtId="0" fontId="173" fillId="3" borderId="0" xfId="0" applyFont="1" applyFill="1" applyAlignment="1">
      <alignment horizontal="left" vertical="center"/>
    </xf>
    <xf numFmtId="0" fontId="17" fillId="3" borderId="0" xfId="0" applyFont="1" applyFill="1"/>
    <xf numFmtId="0" fontId="0" fillId="3" borderId="18" xfId="77" applyNumberFormat="1" applyFont="1" applyFill="1" applyBorder="1" applyAlignment="1">
      <alignment horizontal="right" vertical="center"/>
    </xf>
    <xf numFmtId="0" fontId="17" fillId="3" borderId="0" xfId="0" applyFont="1" applyFill="1" applyAlignment="1">
      <alignment horizontal="left" vertical="top" wrapText="1"/>
    </xf>
    <xf numFmtId="0" fontId="0" fillId="3" borderId="18" xfId="77" applyNumberFormat="1" applyFont="1" applyFill="1" applyBorder="1" applyAlignment="1">
      <alignment horizontal="left" vertical="center"/>
    </xf>
    <xf numFmtId="0" fontId="29" fillId="2" borderId="18" xfId="0" applyFont="1" applyFill="1" applyBorder="1" applyAlignment="1">
      <alignment vertical="center" wrapText="1"/>
    </xf>
    <xf numFmtId="0" fontId="17" fillId="3" borderId="21" xfId="0" applyFont="1" applyFill="1" applyBorder="1" applyAlignment="1">
      <alignment horizontal="left" vertical="center"/>
    </xf>
    <xf numFmtId="164" fontId="44" fillId="63" borderId="2" xfId="0" applyNumberFormat="1" applyFont="1" applyFill="1" applyBorder="1" applyAlignment="1">
      <alignment horizontal="center" vertical="center"/>
    </xf>
    <xf numFmtId="164" fontId="44" fillId="63" borderId="4" xfId="0" applyNumberFormat="1" applyFont="1" applyFill="1" applyBorder="1" applyAlignment="1">
      <alignment horizontal="center" vertical="center"/>
    </xf>
    <xf numFmtId="164" fontId="50" fillId="63" borderId="4" xfId="0" applyNumberFormat="1" applyFont="1" applyFill="1" applyBorder="1" applyAlignment="1">
      <alignment horizontal="center" vertical="center"/>
    </xf>
    <xf numFmtId="165" fontId="44" fillId="63" borderId="4" xfId="0" applyNumberFormat="1" applyFont="1" applyFill="1" applyBorder="1" applyAlignment="1">
      <alignment horizontal="center" vertical="center" wrapText="1"/>
    </xf>
    <xf numFmtId="49" fontId="48" fillId="63" borderId="4" xfId="0" applyNumberFormat="1" applyFont="1" applyFill="1" applyBorder="1" applyAlignment="1">
      <alignment horizontal="center" vertical="center"/>
    </xf>
    <xf numFmtId="0" fontId="44" fillId="63" borderId="4" xfId="0" applyFont="1" applyFill="1" applyBorder="1" applyAlignment="1">
      <alignment horizontal="center" vertical="center" wrapText="1"/>
    </xf>
    <xf numFmtId="0" fontId="44" fillId="63" borderId="26" xfId="0" applyFont="1" applyFill="1" applyBorder="1" applyAlignment="1">
      <alignment horizontal="center" vertical="center"/>
    </xf>
    <xf numFmtId="10" fontId="44" fillId="63" borderId="20" xfId="77" applyNumberFormat="1" applyFont="1" applyFill="1" applyBorder="1" applyAlignment="1">
      <alignment horizontal="center" vertical="center"/>
    </xf>
    <xf numFmtId="10" fontId="44" fillId="63" borderId="25" xfId="77" applyNumberFormat="1" applyFont="1" applyFill="1" applyBorder="1" applyAlignment="1">
      <alignment horizontal="center" vertical="center"/>
    </xf>
    <xf numFmtId="0" fontId="53" fillId="2" borderId="27" xfId="0" applyFont="1" applyFill="1" applyBorder="1" applyAlignment="1">
      <alignment horizontal="center" vertical="center"/>
    </xf>
    <xf numFmtId="164" fontId="23" fillId="74" borderId="4" xfId="0" applyNumberFormat="1" applyFont="1" applyFill="1" applyBorder="1" applyAlignment="1">
      <alignment horizontal="left" vertical="center"/>
    </xf>
    <xf numFmtId="10" fontId="0" fillId="74" borderId="4" xfId="77" applyNumberFormat="1" applyFont="1" applyFill="1" applyBorder="1" applyAlignment="1">
      <alignment horizontal="center" vertical="center"/>
    </xf>
    <xf numFmtId="0" fontId="0" fillId="3" borderId="25" xfId="0" applyFill="1" applyBorder="1" applyAlignment="1">
      <alignment horizontal="center" vertical="center"/>
    </xf>
    <xf numFmtId="0" fontId="0" fillId="3" borderId="20" xfId="0" applyFill="1" applyBorder="1" applyAlignment="1">
      <alignment horizontal="left" vertical="top" wrapText="1"/>
    </xf>
    <xf numFmtId="10" fontId="0" fillId="3" borderId="20" xfId="77" applyNumberFormat="1" applyFont="1" applyFill="1" applyBorder="1" applyAlignment="1">
      <alignment horizontal="center" vertical="center"/>
    </xf>
    <xf numFmtId="0" fontId="197" fillId="0" borderId="0" xfId="0" applyFont="1" applyAlignment="1">
      <alignment horizontal="left" vertical="center"/>
    </xf>
    <xf numFmtId="0" fontId="17" fillId="3" borderId="27" xfId="0" applyFont="1" applyFill="1" applyBorder="1" applyAlignment="1">
      <alignment horizontal="center" vertical="center" wrapText="1"/>
    </xf>
    <xf numFmtId="0" fontId="0" fillId="3" borderId="18" xfId="0" applyFill="1" applyBorder="1" applyAlignment="1">
      <alignment horizontal="left" vertical="top" wrapText="1"/>
    </xf>
    <xf numFmtId="10" fontId="0" fillId="3" borderId="18" xfId="77" applyNumberFormat="1" applyFont="1" applyFill="1" applyBorder="1" applyAlignment="1">
      <alignment horizontal="center" vertical="center"/>
    </xf>
    <xf numFmtId="0" fontId="17" fillId="3" borderId="21" xfId="0" applyFont="1" applyFill="1" applyBorder="1" applyAlignment="1">
      <alignment vertical="center"/>
    </xf>
    <xf numFmtId="0" fontId="0" fillId="3" borderId="17" xfId="77" applyNumberFormat="1" applyFont="1" applyFill="1" applyBorder="1" applyAlignment="1">
      <alignment horizontal="left" vertical="center"/>
    </xf>
    <xf numFmtId="164" fontId="45" fillId="3" borderId="0" xfId="0" applyNumberFormat="1" applyFont="1" applyFill="1" applyAlignment="1">
      <alignment horizontal="center" vertical="top"/>
    </xf>
    <xf numFmtId="0" fontId="57" fillId="3" borderId="0" xfId="0" applyFont="1" applyFill="1" applyAlignment="1">
      <alignment horizontal="center" vertical="top"/>
    </xf>
    <xf numFmtId="0" fontId="0" fillId="3" borderId="0" xfId="0" applyFill="1" applyAlignment="1">
      <alignment vertical="top"/>
    </xf>
    <xf numFmtId="0" fontId="17" fillId="3" borderId="27" xfId="0" applyFont="1" applyFill="1" applyBorder="1" applyAlignment="1">
      <alignment vertical="top"/>
    </xf>
    <xf numFmtId="0" fontId="184" fillId="3" borderId="0" xfId="0" applyFont="1" applyFill="1" applyAlignment="1">
      <alignment vertical="center"/>
    </xf>
    <xf numFmtId="0" fontId="17" fillId="3" borderId="21" xfId="0" applyFont="1" applyFill="1" applyBorder="1" applyAlignment="1">
      <alignment vertical="top"/>
    </xf>
    <xf numFmtId="0" fontId="60" fillId="3" borderId="17" xfId="0" applyFont="1" applyFill="1" applyBorder="1" applyAlignment="1">
      <alignment vertical="center"/>
    </xf>
    <xf numFmtId="0" fontId="17" fillId="3" borderId="17" xfId="0" applyFont="1" applyFill="1" applyBorder="1" applyAlignment="1">
      <alignment horizontal="center" vertical="center"/>
    </xf>
    <xf numFmtId="0" fontId="0" fillId="3" borderId="0" xfId="0" applyFill="1" applyAlignment="1">
      <alignment horizontal="center" vertical="top"/>
    </xf>
    <xf numFmtId="0" fontId="0" fillId="2" borderId="18" xfId="77" applyNumberFormat="1" applyFont="1" applyFill="1" applyBorder="1" applyAlignment="1">
      <alignment horizontal="left" vertical="center"/>
    </xf>
    <xf numFmtId="0" fontId="249" fillId="0" borderId="0" xfId="0" applyFont="1" applyAlignment="1">
      <alignment horizontal="left" vertical="center"/>
    </xf>
    <xf numFmtId="16" fontId="53" fillId="2" borderId="0" xfId="0" applyNumberFormat="1" applyFont="1" applyFill="1" applyAlignment="1">
      <alignment horizontal="center" vertical="center"/>
    </xf>
    <xf numFmtId="0" fontId="17" fillId="3" borderId="0" xfId="0" applyFont="1" applyFill="1" applyAlignment="1">
      <alignment wrapText="1"/>
    </xf>
    <xf numFmtId="0" fontId="0" fillId="2" borderId="18" xfId="77" applyNumberFormat="1" applyFont="1" applyFill="1" applyBorder="1" applyAlignment="1">
      <alignment horizontal="center" vertical="center"/>
    </xf>
    <xf numFmtId="164" fontId="23" fillId="3" borderId="0" xfId="0" applyNumberFormat="1" applyFont="1" applyFill="1" applyAlignment="1">
      <alignment horizontal="center" vertical="top"/>
    </xf>
    <xf numFmtId="0" fontId="0" fillId="3" borderId="21" xfId="0" applyFill="1" applyBorder="1" applyAlignment="1">
      <alignment vertical="top"/>
    </xf>
    <xf numFmtId="0" fontId="0" fillId="3" borderId="21" xfId="0" applyFill="1" applyBorder="1" applyAlignment="1">
      <alignment horizontal="center" vertical="center"/>
    </xf>
    <xf numFmtId="0" fontId="0" fillId="3" borderId="27" xfId="0" applyFill="1" applyBorder="1" applyAlignment="1">
      <alignment vertical="top"/>
    </xf>
    <xf numFmtId="0" fontId="0" fillId="3" borderId="21" xfId="0" applyFill="1" applyBorder="1" applyAlignment="1">
      <alignment horizontal="left" vertical="top"/>
    </xf>
    <xf numFmtId="0" fontId="198" fillId="3" borderId="0" xfId="0" applyFont="1" applyFill="1"/>
    <xf numFmtId="0" fontId="0" fillId="3" borderId="18" xfId="77" applyNumberFormat="1" applyFont="1" applyFill="1" applyBorder="1" applyAlignment="1">
      <alignment vertical="center"/>
    </xf>
    <xf numFmtId="0" fontId="195" fillId="3" borderId="0" xfId="0" applyFont="1" applyFill="1"/>
    <xf numFmtId="0" fontId="29" fillId="3" borderId="0" xfId="0" applyFont="1" applyFill="1" applyAlignment="1">
      <alignment horizontal="center" vertical="center"/>
    </xf>
    <xf numFmtId="0" fontId="0" fillId="3" borderId="0" xfId="0" applyFill="1" applyAlignment="1">
      <alignment horizontal="left" vertical="top"/>
    </xf>
    <xf numFmtId="0" fontId="57" fillId="3" borderId="0" xfId="0" applyFont="1" applyFill="1" applyAlignment="1">
      <alignment horizontal="left" vertical="top" wrapText="1"/>
    </xf>
    <xf numFmtId="0" fontId="29" fillId="3" borderId="0" xfId="0" applyFont="1" applyFill="1" applyAlignment="1">
      <alignment horizontal="left" vertical="top"/>
    </xf>
    <xf numFmtId="0" fontId="57" fillId="2" borderId="0" xfId="0" applyFont="1" applyFill="1" applyAlignment="1">
      <alignment horizontal="center" vertical="center" wrapText="1"/>
    </xf>
    <xf numFmtId="4" fontId="17" fillId="3" borderId="17" xfId="0" applyNumberFormat="1" applyFont="1" applyFill="1" applyBorder="1" applyAlignment="1">
      <alignment horizontal="left" vertical="center" wrapText="1"/>
    </xf>
    <xf numFmtId="0" fontId="17" fillId="3" borderId="0" xfId="0" applyFont="1" applyFill="1" applyAlignment="1">
      <alignment vertical="top" wrapText="1"/>
    </xf>
    <xf numFmtId="0" fontId="249" fillId="3" borderId="0" xfId="0" applyFont="1" applyFill="1" applyAlignment="1">
      <alignment horizontal="left" vertical="center"/>
    </xf>
    <xf numFmtId="0" fontId="57" fillId="3" borderId="0" xfId="0" applyFont="1" applyFill="1" applyAlignment="1">
      <alignment horizontal="left" vertical="top"/>
    </xf>
    <xf numFmtId="0" fontId="0" fillId="0" borderId="22" xfId="0" applyBorder="1" applyAlignment="1">
      <alignment horizontal="left"/>
    </xf>
    <xf numFmtId="0" fontId="189" fillId="3" borderId="0" xfId="0" applyFont="1" applyFill="1" applyAlignment="1">
      <alignment horizontal="left" vertical="top"/>
    </xf>
    <xf numFmtId="0" fontId="191" fillId="3" borderId="0" xfId="0" applyFont="1" applyFill="1" applyAlignment="1">
      <alignment horizontal="left" vertical="top" wrapText="1"/>
    </xf>
    <xf numFmtId="0" fontId="255" fillId="3" borderId="0" xfId="0" applyFont="1" applyFill="1" applyAlignment="1">
      <alignment horizontal="left" vertical="center"/>
    </xf>
    <xf numFmtId="0" fontId="189" fillId="3" borderId="18" xfId="0" applyFont="1" applyFill="1" applyBorder="1" applyAlignment="1">
      <alignment horizontal="left" vertical="center"/>
    </xf>
    <xf numFmtId="0" fontId="189" fillId="3" borderId="23" xfId="0" applyFont="1" applyFill="1" applyBorder="1" applyAlignment="1">
      <alignment horizontal="left" vertical="center"/>
    </xf>
    <xf numFmtId="10" fontId="0" fillId="3" borderId="17" xfId="77" applyNumberFormat="1" applyFont="1" applyFill="1" applyBorder="1" applyAlignment="1">
      <alignment horizontal="right" vertical="center"/>
    </xf>
    <xf numFmtId="0" fontId="190" fillId="3" borderId="0" xfId="0" applyFont="1" applyFill="1" applyAlignment="1">
      <alignment horizontal="left" vertical="center"/>
    </xf>
    <xf numFmtId="0" fontId="0" fillId="2" borderId="21" xfId="0" applyFill="1" applyBorder="1" applyAlignment="1">
      <alignment horizontal="left" vertical="center"/>
    </xf>
    <xf numFmtId="0" fontId="0" fillId="2" borderId="27" xfId="0" applyFill="1" applyBorder="1" applyAlignment="1">
      <alignment horizontal="left" vertical="center"/>
    </xf>
    <xf numFmtId="16" fontId="29" fillId="2" borderId="17" xfId="0" applyNumberFormat="1" applyFont="1" applyFill="1" applyBorder="1" applyAlignment="1">
      <alignment horizontal="left" vertical="center"/>
    </xf>
    <xf numFmtId="0" fontId="57" fillId="2" borderId="0" xfId="0" applyFont="1" applyFill="1" applyAlignment="1">
      <alignment horizontal="left" vertical="center"/>
    </xf>
    <xf numFmtId="0" fontId="57" fillId="2" borderId="17" xfId="0" applyFont="1" applyFill="1" applyBorder="1" applyAlignment="1">
      <alignment horizontal="left" vertical="center"/>
    </xf>
    <xf numFmtId="0" fontId="57" fillId="2" borderId="17" xfId="0" applyFont="1" applyFill="1" applyBorder="1" applyAlignment="1">
      <alignment horizontal="left"/>
    </xf>
    <xf numFmtId="164" fontId="17" fillId="3" borderId="17" xfId="0" applyNumberFormat="1" applyFont="1" applyFill="1" applyBorder="1" applyAlignment="1">
      <alignment horizontal="left" vertical="center" wrapText="1"/>
    </xf>
    <xf numFmtId="0" fontId="57" fillId="3" borderId="17" xfId="0" applyFont="1" applyFill="1" applyBorder="1" applyAlignment="1">
      <alignment horizontal="left" vertical="center" wrapText="1"/>
    </xf>
    <xf numFmtId="0" fontId="0" fillId="3" borderId="21" xfId="0" applyFill="1" applyBorder="1" applyAlignment="1">
      <alignment horizontal="left" vertical="center"/>
    </xf>
    <xf numFmtId="0" fontId="0" fillId="3" borderId="22" xfId="0" applyFill="1" applyBorder="1" applyAlignment="1">
      <alignment horizontal="left"/>
    </xf>
    <xf numFmtId="16" fontId="57" fillId="2" borderId="17" xfId="0" applyNumberFormat="1" applyFont="1" applyFill="1" applyBorder="1" applyAlignment="1">
      <alignment horizontal="left" vertical="center"/>
    </xf>
    <xf numFmtId="0" fontId="0" fillId="2" borderId="22" xfId="0" applyFill="1" applyBorder="1" applyAlignment="1">
      <alignment horizontal="left"/>
    </xf>
    <xf numFmtId="164" fontId="194" fillId="3" borderId="17" xfId="0" applyNumberFormat="1" applyFont="1" applyFill="1" applyBorder="1" applyAlignment="1">
      <alignment horizontal="left" vertical="center"/>
    </xf>
    <xf numFmtId="0" fontId="53" fillId="2" borderId="17" xfId="0" applyFont="1" applyFill="1" applyBorder="1" applyAlignment="1">
      <alignment horizontal="left" vertical="center"/>
    </xf>
    <xf numFmtId="0" fontId="60" fillId="3" borderId="0" xfId="0" applyFont="1" applyFill="1" applyAlignment="1">
      <alignment horizontal="left"/>
    </xf>
    <xf numFmtId="0" fontId="53" fillId="2" borderId="17" xfId="0" applyFont="1" applyFill="1" applyBorder="1" applyAlignment="1">
      <alignment horizontal="left"/>
    </xf>
    <xf numFmtId="0" fontId="29" fillId="2" borderId="35" xfId="0" applyFont="1" applyFill="1" applyBorder="1" applyAlignment="1">
      <alignment horizontal="left" vertical="center"/>
    </xf>
    <xf numFmtId="0" fontId="109" fillId="3" borderId="0" xfId="0" applyFont="1" applyFill="1" applyAlignment="1">
      <alignment horizontal="left"/>
    </xf>
    <xf numFmtId="0" fontId="57" fillId="3" borderId="0" xfId="0" applyFont="1" applyFill="1" applyAlignment="1">
      <alignment horizontal="left" vertical="center" wrapText="1"/>
    </xf>
    <xf numFmtId="0" fontId="29" fillId="3" borderId="27" xfId="0" applyFont="1" applyFill="1" applyBorder="1" applyAlignment="1">
      <alignment horizontal="left" vertical="center"/>
    </xf>
    <xf numFmtId="11" fontId="29" fillId="2" borderId="0" xfId="0" applyNumberFormat="1" applyFont="1" applyFill="1" applyAlignment="1">
      <alignment horizontal="left" vertical="center"/>
    </xf>
    <xf numFmtId="0" fontId="29" fillId="3" borderId="18" xfId="77" applyNumberFormat="1" applyFont="1" applyFill="1" applyBorder="1" applyAlignment="1">
      <alignment horizontal="left" vertical="center"/>
    </xf>
    <xf numFmtId="0" fontId="0" fillId="2" borderId="18" xfId="77" applyNumberFormat="1" applyFont="1" applyFill="1" applyBorder="1" applyAlignment="1">
      <alignment vertical="center"/>
    </xf>
    <xf numFmtId="164" fontId="17" fillId="3" borderId="17" xfId="0" quotePrefix="1" applyNumberFormat="1" applyFont="1" applyFill="1" applyBorder="1" applyAlignment="1">
      <alignment horizontal="left" vertical="center" wrapText="1"/>
    </xf>
    <xf numFmtId="40" fontId="17" fillId="3" borderId="17" xfId="0" quotePrefix="1" applyNumberFormat="1" applyFont="1" applyFill="1" applyBorder="1" applyAlignment="1">
      <alignment horizontal="left" vertical="center" wrapText="1"/>
    </xf>
    <xf numFmtId="164" fontId="0" fillId="3" borderId="22" xfId="0" applyNumberFormat="1" applyFill="1" applyBorder="1" applyAlignment="1">
      <alignment horizontal="left" vertical="center"/>
    </xf>
    <xf numFmtId="0" fontId="17" fillId="0" borderId="27" xfId="0" applyFont="1" applyBorder="1" applyAlignment="1">
      <alignment horizontal="left" vertical="center"/>
    </xf>
    <xf numFmtId="0" fontId="0" fillId="2" borderId="23" xfId="0" applyFill="1" applyBorder="1" applyAlignment="1">
      <alignment horizontal="left"/>
    </xf>
    <xf numFmtId="0" fontId="57" fillId="3" borderId="0" xfId="0" applyFont="1" applyFill="1" applyAlignment="1">
      <alignment horizontal="left"/>
    </xf>
    <xf numFmtId="164" fontId="29" fillId="0" borderId="0" xfId="0" applyNumberFormat="1" applyFont="1" applyAlignment="1">
      <alignment horizontal="center" vertical="center"/>
    </xf>
    <xf numFmtId="0" fontId="29" fillId="3" borderId="17" xfId="0" applyFont="1" applyFill="1" applyBorder="1" applyAlignment="1">
      <alignment horizontal="left" vertical="top"/>
    </xf>
    <xf numFmtId="14" fontId="0" fillId="0" borderId="0" xfId="0" applyNumberFormat="1" applyAlignment="1">
      <alignment vertical="center"/>
    </xf>
    <xf numFmtId="0" fontId="29" fillId="3" borderId="0" xfId="0" applyFont="1" applyFill="1" applyAlignment="1">
      <alignment horizontal="left"/>
    </xf>
    <xf numFmtId="0" fontId="57" fillId="3" borderId="17" xfId="0" applyFont="1" applyFill="1" applyBorder="1" applyAlignment="1">
      <alignment horizontal="left"/>
    </xf>
    <xf numFmtId="0" fontId="57" fillId="3" borderId="17" xfId="0" applyFont="1" applyFill="1" applyBorder="1" applyAlignment="1">
      <alignment horizontal="left" vertical="top" wrapText="1"/>
    </xf>
    <xf numFmtId="0" fontId="17" fillId="3" borderId="0" xfId="0" applyFont="1" applyFill="1" applyAlignment="1">
      <alignment horizontal="left" vertical="top"/>
    </xf>
    <xf numFmtId="0" fontId="45" fillId="3" borderId="17" xfId="0" applyFont="1" applyFill="1" applyBorder="1" applyAlignment="1">
      <alignment horizontal="left" vertical="center"/>
    </xf>
    <xf numFmtId="16" fontId="0" fillId="2" borderId="0" xfId="0" applyNumberFormat="1" applyFill="1" applyAlignment="1">
      <alignment vertical="center"/>
    </xf>
    <xf numFmtId="0" fontId="29" fillId="2" borderId="0" xfId="0" applyFont="1" applyFill="1" applyAlignment="1">
      <alignment horizontal="left"/>
    </xf>
    <xf numFmtId="0" fontId="29" fillId="2" borderId="27" xfId="0" applyFont="1" applyFill="1" applyBorder="1" applyAlignment="1">
      <alignment horizontal="left" vertical="center"/>
    </xf>
    <xf numFmtId="0" fontId="29" fillId="2" borderId="18" xfId="0" applyFont="1" applyFill="1" applyBorder="1" applyAlignment="1">
      <alignment horizontal="left" vertical="center"/>
    </xf>
    <xf numFmtId="0" fontId="29" fillId="2" borderId="18" xfId="77" applyNumberFormat="1" applyFont="1" applyFill="1" applyBorder="1" applyAlignment="1">
      <alignment horizontal="left" vertical="center"/>
    </xf>
    <xf numFmtId="0" fontId="29" fillId="2" borderId="0" xfId="0" applyFont="1" applyFill="1" applyAlignment="1">
      <alignment horizontal="left" vertical="top"/>
    </xf>
    <xf numFmtId="0" fontId="57" fillId="2" borderId="0" xfId="0" applyFont="1" applyFill="1" applyAlignment="1">
      <alignment horizontal="left" vertical="top"/>
    </xf>
    <xf numFmtId="0" fontId="249" fillId="2" borderId="0" xfId="0" applyFont="1" applyFill="1" applyAlignment="1">
      <alignment horizontal="left" vertical="center"/>
    </xf>
    <xf numFmtId="0" fontId="17" fillId="2" borderId="0" xfId="0" applyFont="1" applyFill="1" applyAlignment="1">
      <alignment horizontal="left" vertical="center"/>
    </xf>
    <xf numFmtId="16" fontId="29" fillId="3" borderId="17" xfId="0" applyNumberFormat="1" applyFont="1" applyFill="1" applyBorder="1" applyAlignment="1">
      <alignment horizontal="left" vertical="center"/>
    </xf>
    <xf numFmtId="0" fontId="192" fillId="3" borderId="0" xfId="87" applyFont="1" applyFill="1" applyAlignment="1">
      <alignment horizontal="left" vertical="center" wrapText="1"/>
    </xf>
    <xf numFmtId="0" fontId="17" fillId="3" borderId="0" xfId="0" applyFont="1" applyFill="1" applyAlignment="1">
      <alignment horizontal="left" wrapText="1"/>
    </xf>
    <xf numFmtId="16" fontId="57" fillId="2" borderId="0" xfId="0" applyNumberFormat="1" applyFont="1" applyFill="1" applyAlignment="1">
      <alignment horizontal="left" vertical="center"/>
    </xf>
    <xf numFmtId="0" fontId="197" fillId="2" borderId="0" xfId="0" applyFont="1" applyFill="1" applyAlignment="1">
      <alignment horizontal="left" vertical="center"/>
    </xf>
    <xf numFmtId="16" fontId="45" fillId="2" borderId="0" xfId="0" applyNumberFormat="1" applyFont="1" applyFill="1" applyAlignment="1">
      <alignment horizontal="center"/>
    </xf>
    <xf numFmtId="0" fontId="254" fillId="2" borderId="0" xfId="0" applyFont="1" applyFill="1" applyAlignment="1">
      <alignment horizontal="left"/>
    </xf>
    <xf numFmtId="10" fontId="0" fillId="3" borderId="17" xfId="77" applyNumberFormat="1" applyFont="1" applyFill="1" applyBorder="1" applyAlignment="1">
      <alignment horizontal="left"/>
    </xf>
    <xf numFmtId="0" fontId="197" fillId="3" borderId="0" xfId="0" applyFont="1" applyFill="1" applyAlignment="1">
      <alignment horizontal="left" vertical="center"/>
    </xf>
    <xf numFmtId="0" fontId="29" fillId="2" borderId="18" xfId="0" applyFont="1" applyFill="1" applyBorder="1" applyAlignment="1">
      <alignment horizontal="left" vertical="top"/>
    </xf>
    <xf numFmtId="0" fontId="187" fillId="2" borderId="0" xfId="0" applyFont="1" applyFill="1" applyAlignment="1">
      <alignment horizontal="left"/>
    </xf>
    <xf numFmtId="0" fontId="29" fillId="2" borderId="0" xfId="0" applyFont="1" applyFill="1" applyAlignment="1">
      <alignment horizontal="left" wrapText="1"/>
    </xf>
    <xf numFmtId="0" fontId="17" fillId="2" borderId="0" xfId="0" applyFont="1" applyFill="1" applyAlignment="1">
      <alignment horizontal="left" vertical="top"/>
    </xf>
    <xf numFmtId="8" fontId="0" fillId="3" borderId="18" xfId="0" applyNumberFormat="1" applyFill="1" applyBorder="1" applyAlignment="1">
      <alignment horizontal="left"/>
    </xf>
    <xf numFmtId="0" fontId="17" fillId="3" borderId="18" xfId="0" applyFont="1" applyFill="1" applyBorder="1" applyAlignment="1">
      <alignment horizontal="left"/>
    </xf>
    <xf numFmtId="0" fontId="57" fillId="2" borderId="0" xfId="0" applyFont="1" applyFill="1"/>
    <xf numFmtId="0" fontId="189" fillId="2" borderId="0" xfId="0" applyFont="1" applyFill="1" applyAlignment="1">
      <alignment horizontal="left" vertical="top"/>
    </xf>
    <xf numFmtId="0" fontId="189" fillId="2" borderId="0" xfId="0" applyFont="1" applyFill="1" applyAlignment="1">
      <alignment horizontal="left" wrapText="1"/>
    </xf>
    <xf numFmtId="0" fontId="189" fillId="2" borderId="27" xfId="0" applyFont="1" applyFill="1" applyBorder="1" applyAlignment="1">
      <alignment horizontal="left" vertical="center"/>
    </xf>
    <xf numFmtId="0" fontId="189" fillId="2" borderId="18" xfId="0" applyFont="1" applyFill="1" applyBorder="1" applyAlignment="1">
      <alignment horizontal="left" vertical="center"/>
    </xf>
    <xf numFmtId="0" fontId="189" fillId="2" borderId="23" xfId="0" applyFont="1" applyFill="1" applyBorder="1" applyAlignment="1">
      <alignment horizontal="left" vertical="center"/>
    </xf>
    <xf numFmtId="16" fontId="0" fillId="2" borderId="0" xfId="0" applyNumberFormat="1" applyFill="1"/>
    <xf numFmtId="0" fontId="185" fillId="2" borderId="0" xfId="0" applyFont="1" applyFill="1"/>
    <xf numFmtId="0" fontId="0" fillId="2" borderId="0" xfId="0" applyFill="1" applyAlignment="1">
      <alignment vertical="top"/>
    </xf>
    <xf numFmtId="0" fontId="17" fillId="2" borderId="27" xfId="0" applyFont="1" applyFill="1" applyBorder="1" applyAlignment="1">
      <alignment horizontal="left" vertical="center"/>
    </xf>
    <xf numFmtId="0" fontId="189" fillId="2" borderId="21" xfId="0" applyFont="1" applyFill="1" applyBorder="1" applyAlignment="1">
      <alignment horizontal="left" vertical="center"/>
    </xf>
    <xf numFmtId="0" fontId="189" fillId="2" borderId="17" xfId="0" applyFont="1" applyFill="1" applyBorder="1" applyAlignment="1">
      <alignment horizontal="left" vertical="center"/>
    </xf>
    <xf numFmtId="0" fontId="189" fillId="2" borderId="22" xfId="0" applyFont="1" applyFill="1" applyBorder="1" applyAlignment="1">
      <alignment horizontal="left" vertical="center"/>
    </xf>
    <xf numFmtId="0" fontId="29" fillId="2" borderId="0" xfId="0" applyFont="1" applyFill="1"/>
    <xf numFmtId="0" fontId="252" fillId="74" borderId="0" xfId="0" applyFont="1" applyFill="1" applyAlignment="1">
      <alignment horizontal="left"/>
    </xf>
    <xf numFmtId="0" fontId="0" fillId="74" borderId="27" xfId="0" applyFill="1" applyBorder="1" applyAlignment="1">
      <alignment horizontal="left" vertical="center"/>
    </xf>
    <xf numFmtId="0" fontId="0" fillId="74" borderId="23" xfId="0" applyFill="1" applyBorder="1" applyAlignment="1">
      <alignment horizontal="left" vertical="center"/>
    </xf>
    <xf numFmtId="0" fontId="252" fillId="74" borderId="0" xfId="0" applyFont="1" applyFill="1"/>
    <xf numFmtId="0" fontId="0" fillId="74" borderId="18" xfId="77" applyNumberFormat="1" applyFont="1" applyFill="1" applyBorder="1" applyAlignment="1">
      <alignment horizontal="left" vertical="center"/>
    </xf>
    <xf numFmtId="0" fontId="29" fillId="74" borderId="0" xfId="0" applyFont="1" applyFill="1" applyAlignment="1">
      <alignment horizontal="left"/>
    </xf>
    <xf numFmtId="0" fontId="0" fillId="2" borderId="17" xfId="77" applyNumberFormat="1" applyFont="1" applyFill="1" applyBorder="1" applyAlignment="1">
      <alignment horizontal="left" vertical="center"/>
    </xf>
    <xf numFmtId="43" fontId="0" fillId="2" borderId="0" xfId="79" applyFont="1" applyFill="1" applyAlignment="1">
      <alignment vertical="center"/>
    </xf>
    <xf numFmtId="0" fontId="0" fillId="2" borderId="0" xfId="79" applyNumberFormat="1" applyFont="1" applyFill="1" applyAlignment="1">
      <alignment vertical="center"/>
    </xf>
    <xf numFmtId="0" fontId="0" fillId="2" borderId="21" xfId="0" applyFill="1" applyBorder="1"/>
    <xf numFmtId="16" fontId="57" fillId="2" borderId="0" xfId="0" applyNumberFormat="1" applyFont="1" applyFill="1" applyAlignment="1">
      <alignment horizontal="center"/>
    </xf>
    <xf numFmtId="0" fontId="57" fillId="2" borderId="17" xfId="0" applyFont="1" applyFill="1" applyBorder="1" applyAlignment="1">
      <alignment horizontal="left" vertical="center" wrapText="1"/>
    </xf>
    <xf numFmtId="0" fontId="134" fillId="2" borderId="17" xfId="0" applyFont="1" applyFill="1" applyBorder="1" applyAlignment="1">
      <alignment horizontal="left"/>
    </xf>
    <xf numFmtId="10" fontId="0" fillId="0" borderId="0" xfId="77" applyNumberFormat="1" applyFont="1"/>
    <xf numFmtId="10" fontId="0" fillId="2" borderId="0" xfId="77" applyNumberFormat="1" applyFont="1" applyFill="1"/>
    <xf numFmtId="10" fontId="0" fillId="2" borderId="0" xfId="77" applyNumberFormat="1" applyFont="1" applyFill="1" applyAlignment="1">
      <alignment horizontal="left"/>
    </xf>
    <xf numFmtId="10" fontId="0" fillId="2" borderId="0" xfId="77" applyNumberFormat="1" applyFont="1" applyFill="1" applyAlignment="1">
      <alignment horizontal="left" vertical="center"/>
    </xf>
    <xf numFmtId="10" fontId="0" fillId="2" borderId="0" xfId="77" applyNumberFormat="1" applyFont="1" applyFill="1" applyAlignment="1">
      <alignment vertical="center"/>
    </xf>
    <xf numFmtId="0" fontId="45" fillId="2" borderId="0" xfId="0" applyFont="1" applyFill="1"/>
    <xf numFmtId="0" fontId="124" fillId="2" borderId="0" xfId="0" applyFont="1" applyFill="1" applyAlignment="1">
      <alignment horizontal="left"/>
    </xf>
    <xf numFmtId="16" fontId="23" fillId="2" borderId="0" xfId="0" applyNumberFormat="1" applyFont="1" applyFill="1"/>
    <xf numFmtId="164" fontId="44" fillId="63" borderId="4" xfId="0" applyNumberFormat="1" applyFont="1" applyFill="1" applyBorder="1" applyAlignment="1">
      <alignment horizontal="left" vertical="center" wrapText="1"/>
    </xf>
    <xf numFmtId="164" fontId="44" fillId="63" borderId="60" xfId="0" applyNumberFormat="1" applyFont="1" applyFill="1" applyBorder="1" applyAlignment="1">
      <alignment horizontal="left" vertical="center"/>
    </xf>
    <xf numFmtId="164" fontId="44" fillId="63" borderId="4" xfId="0" applyNumberFormat="1" applyFont="1" applyFill="1" applyBorder="1" applyAlignment="1">
      <alignment horizontal="left" vertical="center"/>
    </xf>
    <xf numFmtId="164" fontId="50" fillId="63" borderId="4" xfId="0" applyNumberFormat="1" applyFont="1" applyFill="1" applyBorder="1" applyAlignment="1">
      <alignment horizontal="left" vertical="center"/>
    </xf>
    <xf numFmtId="49" fontId="69" fillId="63" borderId="4" xfId="0" applyNumberFormat="1" applyFont="1" applyFill="1" applyBorder="1" applyAlignment="1">
      <alignment horizontal="left" vertical="center"/>
    </xf>
    <xf numFmtId="0" fontId="44" fillId="63" borderId="4" xfId="0" applyFont="1" applyFill="1" applyBorder="1" applyAlignment="1">
      <alignment horizontal="left" vertical="center" wrapText="1"/>
    </xf>
    <xf numFmtId="0" fontId="44" fillId="63" borderId="61" xfId="0" applyFont="1" applyFill="1" applyBorder="1" applyAlignment="1">
      <alignment horizontal="left" vertical="center"/>
    </xf>
    <xf numFmtId="43" fontId="44" fillId="63" borderId="20" xfId="79" applyFont="1" applyFill="1" applyBorder="1" applyAlignment="1">
      <alignment horizontal="left" vertical="center"/>
    </xf>
    <xf numFmtId="43" fontId="0" fillId="0" borderId="0" xfId="79" applyFont="1" applyBorder="1" applyAlignment="1">
      <alignment horizontal="left" vertical="center"/>
    </xf>
    <xf numFmtId="49" fontId="0" fillId="0" borderId="0" xfId="0" applyNumberFormat="1" applyAlignment="1">
      <alignment horizontal="left" vertical="center"/>
    </xf>
    <xf numFmtId="164" fontId="45" fillId="0" borderId="0" xfId="0" applyNumberFormat="1" applyFont="1" applyAlignment="1">
      <alignment vertical="center"/>
    </xf>
    <xf numFmtId="164" fontId="45" fillId="2" borderId="0" xfId="0" applyNumberFormat="1" applyFont="1" applyFill="1" applyAlignment="1">
      <alignment vertical="center"/>
    </xf>
    <xf numFmtId="164" fontId="17" fillId="3" borderId="0" xfId="0" applyNumberFormat="1" applyFont="1" applyFill="1" applyAlignment="1">
      <alignment horizontal="left" vertical="center" wrapText="1"/>
    </xf>
    <xf numFmtId="0" fontId="0" fillId="2" borderId="21" xfId="0" applyFill="1" applyBorder="1" applyAlignment="1">
      <alignment horizontal="center"/>
    </xf>
    <xf numFmtId="0" fontId="0" fillId="2" borderId="27" xfId="0" applyFill="1" applyBorder="1"/>
    <xf numFmtId="0" fontId="0" fillId="2" borderId="27" xfId="0" applyFill="1" applyBorder="1" applyAlignment="1">
      <alignment vertical="center"/>
    </xf>
    <xf numFmtId="10" fontId="0" fillId="2" borderId="0" xfId="77" applyNumberFormat="1" applyFont="1" applyFill="1" applyBorder="1"/>
    <xf numFmtId="10" fontId="0" fillId="0" borderId="0" xfId="77" applyNumberFormat="1" applyFont="1" applyBorder="1"/>
    <xf numFmtId="0" fontId="0" fillId="0" borderId="21" xfId="0" applyBorder="1" applyAlignment="1">
      <alignment vertical="center"/>
    </xf>
    <xf numFmtId="4" fontId="44" fillId="63" borderId="20" xfId="79" applyNumberFormat="1" applyFont="1" applyFill="1" applyBorder="1" applyAlignment="1">
      <alignment horizontal="left" vertical="center"/>
    </xf>
    <xf numFmtId="4" fontId="0" fillId="3" borderId="17" xfId="0" applyNumberFormat="1" applyFill="1" applyBorder="1" applyAlignment="1">
      <alignment horizontal="left"/>
    </xf>
    <xf numFmtId="10" fontId="0" fillId="3" borderId="17" xfId="0" applyNumberFormat="1" applyFill="1" applyBorder="1" applyAlignment="1">
      <alignment horizontal="left"/>
    </xf>
    <xf numFmtId="0" fontId="17" fillId="67" borderId="21" xfId="0" applyFont="1" applyFill="1" applyBorder="1" applyAlignment="1">
      <alignment horizontal="left" vertical="center" wrapText="1"/>
    </xf>
    <xf numFmtId="0" fontId="252" fillId="2" borderId="0" xfId="0" applyFont="1" applyFill="1"/>
    <xf numFmtId="164" fontId="0" fillId="2" borderId="0" xfId="0" applyNumberFormat="1" applyFill="1"/>
    <xf numFmtId="0" fontId="29" fillId="74" borderId="27" xfId="0" applyFont="1" applyFill="1" applyBorder="1" applyAlignment="1">
      <alignment horizontal="left" vertical="center"/>
    </xf>
    <xf numFmtId="0" fontId="29" fillId="74" borderId="18" xfId="0" applyFont="1" applyFill="1" applyBorder="1" applyAlignment="1">
      <alignment horizontal="left" vertical="center"/>
    </xf>
    <xf numFmtId="0" fontId="29" fillId="74" borderId="18" xfId="77" applyNumberFormat="1" applyFont="1" applyFill="1" applyBorder="1" applyAlignment="1">
      <alignment horizontal="left" vertical="center"/>
    </xf>
    <xf numFmtId="0" fontId="29" fillId="74" borderId="23" xfId="0" applyFont="1" applyFill="1" applyBorder="1" applyAlignment="1">
      <alignment horizontal="left" vertical="center"/>
    </xf>
    <xf numFmtId="0" fontId="249" fillId="74" borderId="0" xfId="0" applyFont="1" applyFill="1" applyAlignment="1">
      <alignment horizontal="left" vertical="center"/>
    </xf>
    <xf numFmtId="164" fontId="29" fillId="3" borderId="17" xfId="0" applyNumberFormat="1" applyFont="1" applyFill="1" applyBorder="1" applyAlignment="1">
      <alignment horizontal="left" vertical="center"/>
    </xf>
    <xf numFmtId="0" fontId="29" fillId="3" borderId="17" xfId="0" applyFont="1" applyFill="1" applyBorder="1" applyAlignment="1">
      <alignment horizontal="left" vertical="center"/>
    </xf>
    <xf numFmtId="0" fontId="29" fillId="2" borderId="0" xfId="0" applyFont="1" applyFill="1" applyAlignment="1">
      <alignment vertical="center"/>
    </xf>
    <xf numFmtId="16" fontId="57" fillId="0" borderId="0" xfId="0" applyNumberFormat="1" applyFont="1" applyAlignment="1">
      <alignment horizontal="center" vertical="center"/>
    </xf>
    <xf numFmtId="16" fontId="29" fillId="0" borderId="0" xfId="0" applyNumberFormat="1" applyFont="1" applyAlignment="1">
      <alignment horizontal="center" vertical="center"/>
    </xf>
    <xf numFmtId="164" fontId="0" fillId="0" borderId="17" xfId="0" applyNumberFormat="1" applyBorder="1" applyAlignment="1">
      <alignment horizontal="left"/>
    </xf>
    <xf numFmtId="10" fontId="0" fillId="2" borderId="0" xfId="77" applyNumberFormat="1" applyFont="1" applyFill="1" applyBorder="1" applyAlignment="1">
      <alignment vertical="center"/>
    </xf>
    <xf numFmtId="43" fontId="0" fillId="0" borderId="0" xfId="79" applyFont="1" applyBorder="1" applyAlignment="1">
      <alignment horizontal="left" vertical="center" wrapText="1"/>
    </xf>
    <xf numFmtId="10" fontId="0" fillId="2" borderId="18" xfId="77" applyNumberFormat="1" applyFont="1" applyFill="1" applyBorder="1"/>
    <xf numFmtId="0" fontId="0" fillId="2" borderId="23" xfId="0" applyFill="1" applyBorder="1"/>
    <xf numFmtId="10" fontId="0" fillId="2" borderId="18" xfId="77" applyNumberFormat="1" applyFont="1" applyFill="1" applyBorder="1" applyAlignment="1">
      <alignment vertical="center"/>
    </xf>
    <xf numFmtId="0" fontId="0" fillId="0" borderId="21" xfId="0" applyBorder="1" applyAlignment="1">
      <alignment horizontal="left"/>
    </xf>
    <xf numFmtId="0" fontId="0" fillId="106" borderId="21" xfId="0" applyFill="1" applyBorder="1" applyAlignment="1">
      <alignment horizontal="left"/>
    </xf>
    <xf numFmtId="0" fontId="0" fillId="106" borderId="17" xfId="0" applyFill="1" applyBorder="1" applyAlignment="1">
      <alignment horizontal="left"/>
    </xf>
    <xf numFmtId="0" fontId="8" fillId="2" borderId="0" xfId="0" applyFont="1" applyFill="1" applyAlignment="1">
      <alignment horizontal="left" vertical="center"/>
    </xf>
    <xf numFmtId="0" fontId="193" fillId="3" borderId="0" xfId="0" applyFont="1" applyFill="1" applyAlignment="1">
      <alignment horizontal="center"/>
    </xf>
    <xf numFmtId="0" fontId="53" fillId="3" borderId="0" xfId="0" applyFont="1" applyFill="1" applyAlignment="1">
      <alignment horizontal="center"/>
    </xf>
    <xf numFmtId="43" fontId="0" fillId="2" borderId="0" xfId="79" applyFont="1" applyFill="1" applyBorder="1" applyAlignment="1">
      <alignment vertical="center"/>
    </xf>
    <xf numFmtId="0" fontId="0" fillId="2" borderId="0" xfId="79" applyNumberFormat="1" applyFont="1" applyFill="1" applyBorder="1" applyAlignment="1">
      <alignment vertical="center"/>
    </xf>
    <xf numFmtId="164" fontId="0" fillId="0" borderId="22" xfId="0" applyNumberFormat="1" applyBorder="1" applyAlignment="1">
      <alignment horizontal="left" vertical="center"/>
    </xf>
    <xf numFmtId="0" fontId="0" fillId="0" borderId="20" xfId="0" applyBorder="1" applyAlignment="1">
      <alignment horizontal="left"/>
    </xf>
    <xf numFmtId="164" fontId="0" fillId="0" borderId="20" xfId="0" applyNumberFormat="1" applyBorder="1" applyAlignment="1">
      <alignment horizontal="left" vertical="center"/>
    </xf>
    <xf numFmtId="0" fontId="45" fillId="2" borderId="0" xfId="0" applyFont="1" applyFill="1" applyAlignment="1">
      <alignment horizontal="left" vertical="center"/>
    </xf>
    <xf numFmtId="164" fontId="0" fillId="0" borderId="26" xfId="0" applyNumberFormat="1" applyBorder="1" applyAlignment="1">
      <alignment horizontal="left" vertical="center"/>
    </xf>
    <xf numFmtId="16" fontId="17" fillId="3" borderId="0" xfId="0" applyNumberFormat="1" applyFont="1" applyFill="1" applyAlignment="1">
      <alignment horizontal="left" vertical="center"/>
    </xf>
    <xf numFmtId="16" fontId="29" fillId="56" borderId="0" xfId="0" applyNumberFormat="1" applyFont="1" applyFill="1" applyAlignment="1">
      <alignment horizontal="center" vertical="center"/>
    </xf>
    <xf numFmtId="0" fontId="0" fillId="52" borderId="19" xfId="0" applyFill="1" applyBorder="1" applyAlignment="1">
      <alignment horizontal="center" vertical="center"/>
    </xf>
    <xf numFmtId="164" fontId="0" fillId="52" borderId="19" xfId="0" applyNumberFormat="1" applyFill="1" applyBorder="1" applyAlignment="1">
      <alignment horizontal="center" vertical="center"/>
    </xf>
    <xf numFmtId="164" fontId="45" fillId="52" borderId="19" xfId="0" applyNumberFormat="1" applyFont="1" applyFill="1" applyBorder="1" applyAlignment="1">
      <alignment horizontal="center" vertical="center" wrapText="1"/>
    </xf>
    <xf numFmtId="0" fontId="0" fillId="0" borderId="25" xfId="0" applyBorder="1" applyAlignment="1">
      <alignment horizontal="left" vertical="center"/>
    </xf>
    <xf numFmtId="0" fontId="57" fillId="52" borderId="19" xfId="0" applyFont="1" applyFill="1" applyBorder="1" applyAlignment="1">
      <alignment horizontal="center" vertical="center"/>
    </xf>
    <xf numFmtId="0" fontId="248" fillId="52" borderId="19" xfId="0" applyFont="1" applyFill="1" applyBorder="1"/>
    <xf numFmtId="164" fontId="29" fillId="2" borderId="18" xfId="0" applyNumberFormat="1" applyFont="1" applyFill="1" applyBorder="1" applyAlignment="1">
      <alignment horizontal="left"/>
    </xf>
    <xf numFmtId="164" fontId="0" fillId="52" borderId="19" xfId="0" applyNumberFormat="1" applyFill="1" applyBorder="1" applyAlignment="1">
      <alignment horizontal="left" vertical="center"/>
    </xf>
    <xf numFmtId="0" fontId="29" fillId="2" borderId="18" xfId="0" applyFont="1" applyFill="1" applyBorder="1" applyAlignment="1">
      <alignment horizontal="left"/>
    </xf>
    <xf numFmtId="0" fontId="0" fillId="52" borderId="19" xfId="0" applyFill="1" applyBorder="1" applyAlignment="1">
      <alignment horizontal="left" vertical="center"/>
    </xf>
    <xf numFmtId="164" fontId="0" fillId="74" borderId="0" xfId="0" applyNumberFormat="1" applyFill="1" applyAlignment="1">
      <alignment vertical="center"/>
    </xf>
    <xf numFmtId="0" fontId="57" fillId="74" borderId="0" xfId="0" applyFont="1" applyFill="1" applyAlignment="1">
      <alignment horizontal="left" vertical="center"/>
    </xf>
    <xf numFmtId="10" fontId="0" fillId="74" borderId="0" xfId="77" applyNumberFormat="1" applyFont="1" applyFill="1" applyAlignment="1">
      <alignment vertical="center"/>
    </xf>
    <xf numFmtId="14" fontId="44" fillId="63" borderId="17" xfId="0" applyNumberFormat="1" applyFont="1" applyFill="1" applyBorder="1" applyAlignment="1">
      <alignment vertical="center"/>
    </xf>
    <xf numFmtId="14" fontId="0" fillId="2" borderId="17" xfId="0" applyNumberFormat="1" applyFill="1" applyBorder="1" applyAlignment="1">
      <alignment horizontal="center" vertical="center"/>
    </xf>
    <xf numFmtId="14" fontId="0" fillId="2" borderId="18" xfId="0" applyNumberFormat="1" applyFill="1" applyBorder="1" applyAlignment="1">
      <alignment horizontal="center" vertical="center"/>
    </xf>
    <xf numFmtId="14" fontId="45" fillId="2" borderId="18" xfId="0" applyNumberFormat="1" applyFont="1" applyFill="1" applyBorder="1" applyAlignment="1">
      <alignment horizontal="center" vertical="center"/>
    </xf>
    <xf numFmtId="14" fontId="0" fillId="2" borderId="4" xfId="0" applyNumberFormat="1" applyFill="1" applyBorder="1" applyAlignment="1">
      <alignment horizontal="center" vertical="center"/>
    </xf>
    <xf numFmtId="14" fontId="45" fillId="2" borderId="0" xfId="0" applyNumberFormat="1" applyFont="1" applyFill="1" applyAlignment="1">
      <alignment horizontal="center" vertical="center"/>
    </xf>
    <xf numFmtId="14" fontId="0" fillId="2" borderId="0" xfId="0" applyNumberFormat="1" applyFill="1" applyAlignment="1">
      <alignment horizontal="center" vertical="center"/>
    </xf>
    <xf numFmtId="14" fontId="0" fillId="74" borderId="20" xfId="0" applyNumberFormat="1" applyFill="1" applyBorder="1" applyAlignment="1">
      <alignment horizontal="center" vertical="center"/>
    </xf>
    <xf numFmtId="14" fontId="45" fillId="74" borderId="20" xfId="0" applyNumberFormat="1" applyFont="1" applyFill="1" applyBorder="1" applyAlignment="1">
      <alignment horizontal="center" vertical="center"/>
    </xf>
    <xf numFmtId="14" fontId="45" fillId="2" borderId="17" xfId="0" applyNumberFormat="1" applyFont="1" applyFill="1" applyBorder="1" applyAlignment="1">
      <alignment horizontal="center" vertical="center"/>
    </xf>
    <xf numFmtId="14" fontId="0" fillId="74" borderId="17" xfId="0" applyNumberFormat="1" applyFill="1" applyBorder="1" applyAlignment="1">
      <alignment horizontal="center" vertical="center"/>
    </xf>
    <xf numFmtId="14" fontId="45" fillId="74" borderId="17" xfId="0" applyNumberFormat="1" applyFont="1" applyFill="1" applyBorder="1" applyAlignment="1">
      <alignment horizontal="center" vertical="center"/>
    </xf>
    <xf numFmtId="14" fontId="0" fillId="3" borderId="4" xfId="0" applyNumberFormat="1" applyFill="1" applyBorder="1" applyAlignment="1">
      <alignment horizontal="left" vertical="center"/>
    </xf>
    <xf numFmtId="14" fontId="45" fillId="3" borderId="4" xfId="0" applyNumberFormat="1" applyFont="1" applyFill="1" applyBorder="1" applyAlignment="1">
      <alignment horizontal="left" vertical="center"/>
    </xf>
    <xf numFmtId="14" fontId="0" fillId="74" borderId="4" xfId="0" applyNumberFormat="1" applyFill="1" applyBorder="1" applyAlignment="1">
      <alignment horizontal="center" vertical="center"/>
    </xf>
    <xf numFmtId="14" fontId="23" fillId="74" borderId="4" xfId="0" applyNumberFormat="1" applyFont="1" applyFill="1" applyBorder="1" applyAlignment="1">
      <alignment horizontal="center" vertical="center"/>
    </xf>
    <xf numFmtId="14" fontId="23" fillId="74" borderId="17" xfId="0" applyNumberFormat="1" applyFont="1" applyFill="1" applyBorder="1" applyAlignment="1">
      <alignment horizontal="center" vertical="center"/>
    </xf>
    <xf numFmtId="14" fontId="0" fillId="3" borderId="0" xfId="0" applyNumberFormat="1" applyFill="1" applyAlignment="1">
      <alignment horizontal="center" vertical="center"/>
    </xf>
    <xf numFmtId="14" fontId="23" fillId="3" borderId="4" xfId="0" applyNumberFormat="1" applyFont="1" applyFill="1" applyBorder="1" applyAlignment="1">
      <alignment horizontal="center" vertical="center"/>
    </xf>
    <xf numFmtId="14" fontId="0" fillId="74" borderId="0" xfId="0" applyNumberFormat="1" applyFill="1" applyAlignment="1">
      <alignment horizontal="center" vertical="center"/>
    </xf>
    <xf numFmtId="14" fontId="0" fillId="74" borderId="3" xfId="0" applyNumberFormat="1" applyFill="1" applyBorder="1" applyAlignment="1">
      <alignment horizontal="center" vertical="center"/>
    </xf>
    <xf numFmtId="14" fontId="23" fillId="74" borderId="3" xfId="0" applyNumberFormat="1" applyFont="1" applyFill="1" applyBorder="1" applyAlignment="1">
      <alignment horizontal="center" vertical="center"/>
    </xf>
    <xf numFmtId="14" fontId="0" fillId="2" borderId="3" xfId="0" applyNumberFormat="1" applyFill="1" applyBorder="1" applyAlignment="1">
      <alignment horizontal="center" vertical="center"/>
    </xf>
    <xf numFmtId="14" fontId="23" fillId="2" borderId="3" xfId="0" applyNumberFormat="1" applyFont="1" applyFill="1" applyBorder="1" applyAlignment="1">
      <alignment horizontal="center" vertical="center"/>
    </xf>
    <xf numFmtId="14" fontId="0" fillId="3" borderId="20" xfId="0" applyNumberFormat="1" applyFill="1" applyBorder="1" applyAlignment="1">
      <alignment horizontal="center" vertical="center"/>
    </xf>
    <xf numFmtId="14" fontId="23" fillId="3" borderId="20" xfId="0" applyNumberFormat="1" applyFont="1" applyFill="1" applyBorder="1" applyAlignment="1">
      <alignment horizontal="center" vertical="center"/>
    </xf>
    <xf numFmtId="14" fontId="23" fillId="2" borderId="17" xfId="0" applyNumberFormat="1" applyFont="1" applyFill="1" applyBorder="1" applyAlignment="1">
      <alignment horizontal="center" vertical="center"/>
    </xf>
    <xf numFmtId="14" fontId="0" fillId="3" borderId="17" xfId="0" applyNumberFormat="1" applyFill="1" applyBorder="1" applyAlignment="1">
      <alignment horizontal="center" vertical="center"/>
    </xf>
    <xf numFmtId="14" fontId="23" fillId="3" borderId="17" xfId="0" applyNumberFormat="1" applyFont="1" applyFill="1" applyBorder="1" applyAlignment="1">
      <alignment horizontal="center" vertical="center"/>
    </xf>
    <xf numFmtId="14" fontId="0" fillId="2" borderId="19" xfId="0" applyNumberFormat="1" applyFill="1" applyBorder="1" applyAlignment="1">
      <alignment horizontal="center" vertical="center"/>
    </xf>
    <xf numFmtId="14" fontId="23" fillId="2" borderId="19" xfId="0" applyNumberFormat="1" applyFont="1" applyFill="1" applyBorder="1" applyAlignment="1">
      <alignment horizontal="center" vertical="center"/>
    </xf>
    <xf numFmtId="14" fontId="23" fillId="3" borderId="0" xfId="0" applyNumberFormat="1" applyFont="1" applyFill="1" applyAlignment="1">
      <alignment horizontal="center" vertical="center"/>
    </xf>
    <xf numFmtId="14" fontId="45" fillId="3" borderId="17" xfId="0" applyNumberFormat="1" applyFont="1" applyFill="1" applyBorder="1" applyAlignment="1">
      <alignment horizontal="center" vertical="center"/>
    </xf>
    <xf numFmtId="14" fontId="0" fillId="3" borderId="17" xfId="0" applyNumberFormat="1" applyFill="1" applyBorder="1" applyAlignment="1">
      <alignment horizontal="right" vertical="center"/>
    </xf>
    <xf numFmtId="14" fontId="23" fillId="3" borderId="17" xfId="0" applyNumberFormat="1" applyFont="1" applyFill="1" applyBorder="1" applyAlignment="1">
      <alignment vertical="center"/>
    </xf>
    <xf numFmtId="14" fontId="0" fillId="74" borderId="18" xfId="0" applyNumberFormat="1" applyFill="1" applyBorder="1" applyAlignment="1">
      <alignment horizontal="center" vertical="center"/>
    </xf>
    <xf numFmtId="14" fontId="45" fillId="74" borderId="18" xfId="0" applyNumberFormat="1" applyFont="1" applyFill="1" applyBorder="1" applyAlignment="1">
      <alignment horizontal="center" vertical="center"/>
    </xf>
    <xf numFmtId="14" fontId="45" fillId="3" borderId="17" xfId="0" applyNumberFormat="1" applyFont="1" applyFill="1" applyBorder="1" applyAlignment="1">
      <alignment vertical="center"/>
    </xf>
    <xf numFmtId="14" fontId="45" fillId="3" borderId="0" xfId="0" applyNumberFormat="1" applyFont="1" applyFill="1" applyAlignment="1">
      <alignment horizontal="center" vertical="center"/>
    </xf>
    <xf numFmtId="14" fontId="45" fillId="2" borderId="3" xfId="0" applyNumberFormat="1" applyFont="1" applyFill="1" applyBorder="1" applyAlignment="1">
      <alignment horizontal="center" vertical="center"/>
    </xf>
    <xf numFmtId="14" fontId="0" fillId="3" borderId="3" xfId="0" applyNumberFormat="1" applyFill="1" applyBorder="1" applyAlignment="1">
      <alignment horizontal="center" vertical="center"/>
    </xf>
    <xf numFmtId="14" fontId="23" fillId="3" borderId="3" xfId="0" applyNumberFormat="1" applyFont="1" applyFill="1" applyBorder="1" applyAlignment="1">
      <alignment horizontal="center" vertical="center"/>
    </xf>
    <xf numFmtId="14" fontId="0" fillId="3" borderId="19" xfId="0" applyNumberFormat="1" applyFill="1" applyBorder="1" applyAlignment="1">
      <alignment horizontal="center" vertical="center"/>
    </xf>
    <xf numFmtId="14" fontId="23" fillId="3" borderId="19" xfId="0" applyNumberFormat="1" applyFont="1" applyFill="1" applyBorder="1" applyAlignment="1">
      <alignment horizontal="center" vertical="center"/>
    </xf>
    <xf numFmtId="14" fontId="45" fillId="3" borderId="20" xfId="0" applyNumberFormat="1" applyFont="1" applyFill="1" applyBorder="1" applyAlignment="1">
      <alignment horizontal="center" vertical="center"/>
    </xf>
    <xf numFmtId="14" fontId="0" fillId="3" borderId="18" xfId="0" applyNumberFormat="1" applyFill="1" applyBorder="1" applyAlignment="1">
      <alignment horizontal="center" vertical="center"/>
    </xf>
    <xf numFmtId="14" fontId="23" fillId="3" borderId="18" xfId="0" applyNumberFormat="1" applyFont="1" applyFill="1" applyBorder="1" applyAlignment="1">
      <alignment horizontal="center" vertical="center"/>
    </xf>
    <xf numFmtId="14" fontId="0" fillId="0" borderId="0" xfId="0" applyNumberFormat="1" applyAlignment="1">
      <alignment vertical="center" wrapText="1"/>
    </xf>
    <xf numFmtId="14" fontId="29" fillId="2" borderId="17" xfId="0" applyNumberFormat="1" applyFont="1" applyFill="1" applyBorder="1" applyAlignment="1">
      <alignment horizontal="center" vertical="center"/>
    </xf>
    <xf numFmtId="14" fontId="57" fillId="2" borderId="17" xfId="0" applyNumberFormat="1" applyFont="1" applyFill="1" applyBorder="1" applyAlignment="1">
      <alignment horizontal="center" vertical="center"/>
    </xf>
    <xf numFmtId="14" fontId="0" fillId="3" borderId="4" xfId="0" applyNumberFormat="1" applyFill="1" applyBorder="1" applyAlignment="1">
      <alignment horizontal="center" vertical="center"/>
    </xf>
    <xf numFmtId="14" fontId="0" fillId="3" borderId="17" xfId="0" applyNumberFormat="1" applyFill="1" applyBorder="1"/>
    <xf numFmtId="14" fontId="24" fillId="3" borderId="17" xfId="0" applyNumberFormat="1" applyFont="1" applyFill="1" applyBorder="1" applyAlignment="1">
      <alignment horizontal="left" vertical="center"/>
    </xf>
    <xf numFmtId="14" fontId="0" fillId="3" borderId="17" xfId="0" applyNumberFormat="1" applyFill="1" applyBorder="1" applyAlignment="1">
      <alignment horizontal="left" vertical="center"/>
    </xf>
    <xf numFmtId="14" fontId="24" fillId="3" borderId="17" xfId="0" quotePrefix="1" applyNumberFormat="1" applyFont="1" applyFill="1" applyBorder="1" applyAlignment="1">
      <alignment horizontal="left" vertical="center"/>
    </xf>
    <xf numFmtId="14" fontId="0" fillId="3" borderId="26" xfId="0" applyNumberFormat="1" applyFill="1" applyBorder="1" applyAlignment="1">
      <alignment horizontal="center" vertical="center"/>
    </xf>
    <xf numFmtId="0" fontId="0" fillId="2" borderId="0" xfId="0" applyFill="1" applyAlignment="1">
      <alignment horizontal="right" vertical="center"/>
    </xf>
    <xf numFmtId="0" fontId="0" fillId="2" borderId="17" xfId="0" applyFill="1" applyBorder="1" applyAlignment="1">
      <alignment horizontal="right" vertical="center"/>
    </xf>
    <xf numFmtId="0" fontId="0" fillId="0" borderId="0" xfId="0" applyAlignment="1">
      <alignment horizontal="right" vertical="center"/>
    </xf>
    <xf numFmtId="0" fontId="0" fillId="2" borderId="0" xfId="0" applyFill="1" applyAlignment="1">
      <alignment horizontal="right"/>
    </xf>
    <xf numFmtId="0" fontId="17" fillId="3" borderId="0" xfId="0" applyFont="1" applyFill="1" applyAlignment="1">
      <alignment horizontal="right" vertical="center"/>
    </xf>
    <xf numFmtId="0" fontId="29" fillId="2" borderId="0" xfId="0" applyFont="1" applyFill="1" applyAlignment="1">
      <alignment horizontal="right" vertical="center"/>
    </xf>
    <xf numFmtId="0" fontId="173" fillId="2" borderId="0" xfId="0" applyFont="1" applyFill="1" applyAlignment="1">
      <alignment horizontal="right" vertical="center"/>
    </xf>
    <xf numFmtId="0" fontId="178" fillId="2" borderId="0" xfId="0" applyFont="1" applyFill="1" applyAlignment="1">
      <alignment horizontal="right" vertical="center"/>
    </xf>
    <xf numFmtId="0" fontId="0" fillId="74" borderId="0" xfId="0" applyFill="1" applyAlignment="1">
      <alignment horizontal="right" vertical="center"/>
    </xf>
    <xf numFmtId="0" fontId="111" fillId="2" borderId="0" xfId="0" applyFont="1" applyFill="1" applyAlignment="1">
      <alignment horizontal="right" vertical="center"/>
    </xf>
    <xf numFmtId="0" fontId="111" fillId="71" borderId="0" xfId="0" applyFont="1" applyFill="1" applyAlignment="1">
      <alignment horizontal="right" vertical="center"/>
    </xf>
    <xf numFmtId="0" fontId="24" fillId="3" borderId="0" xfId="0" applyFont="1" applyFill="1" applyAlignment="1">
      <alignment horizontal="right" vertical="center" wrapText="1"/>
    </xf>
    <xf numFmtId="164" fontId="44" fillId="63" borderId="4" xfId="0" applyNumberFormat="1" applyFont="1" applyFill="1" applyBorder="1" applyAlignment="1">
      <alignment horizontal="right" vertical="center"/>
    </xf>
    <xf numFmtId="0" fontId="57" fillId="2" borderId="17" xfId="0" applyFont="1" applyFill="1" applyBorder="1" applyAlignment="1">
      <alignment horizontal="right" vertical="center"/>
    </xf>
    <xf numFmtId="0" fontId="17" fillId="3" borderId="17" xfId="0" applyFont="1" applyFill="1" applyBorder="1" applyAlignment="1">
      <alignment horizontal="right" vertical="center"/>
    </xf>
    <xf numFmtId="0" fontId="0" fillId="3" borderId="0" xfId="0" applyFill="1" applyAlignment="1">
      <alignment horizontal="right" vertical="center"/>
    </xf>
    <xf numFmtId="0" fontId="0" fillId="3" borderId="0" xfId="0" applyFill="1" applyAlignment="1">
      <alignment horizontal="right"/>
    </xf>
    <xf numFmtId="0" fontId="29" fillId="3" borderId="0" xfId="0" applyFont="1" applyFill="1" applyAlignment="1">
      <alignment horizontal="right" vertical="center"/>
    </xf>
    <xf numFmtId="0" fontId="17" fillId="3" borderId="0" xfId="0" applyFont="1" applyFill="1" applyAlignment="1">
      <alignment horizontal="right" vertical="center" wrapText="1"/>
    </xf>
    <xf numFmtId="0" fontId="29" fillId="3" borderId="0" xfId="0" applyFont="1" applyFill="1" applyAlignment="1">
      <alignment horizontal="right" vertical="top"/>
    </xf>
    <xf numFmtId="0" fontId="0" fillId="3" borderId="0" xfId="0" applyFill="1" applyAlignment="1">
      <alignment horizontal="right" vertical="top"/>
    </xf>
    <xf numFmtId="0" fontId="0" fillId="2" borderId="0" xfId="0" applyFill="1" applyAlignment="1">
      <alignment horizontal="right" vertical="top"/>
    </xf>
    <xf numFmtId="0" fontId="17" fillId="2" borderId="0" xfId="0" applyFont="1" applyFill="1" applyAlignment="1">
      <alignment horizontal="right" vertical="center"/>
    </xf>
    <xf numFmtId="0" fontId="0" fillId="74" borderId="0" xfId="0" applyFill="1" applyAlignment="1">
      <alignment horizontal="right" vertical="top"/>
    </xf>
    <xf numFmtId="0" fontId="29" fillId="2" borderId="0" xfId="0" applyFont="1" applyFill="1" applyAlignment="1">
      <alignment horizontal="right" vertical="top"/>
    </xf>
    <xf numFmtId="0" fontId="57" fillId="3" borderId="0" xfId="0" applyFont="1" applyFill="1" applyAlignment="1">
      <alignment horizontal="right" vertical="center"/>
    </xf>
    <xf numFmtId="0" fontId="25" fillId="3" borderId="0" xfId="0" applyFont="1" applyFill="1" applyAlignment="1">
      <alignment horizontal="right" vertical="center"/>
    </xf>
    <xf numFmtId="164" fontId="0" fillId="2" borderId="3" xfId="0" applyNumberFormat="1" applyFill="1" applyBorder="1" applyAlignment="1">
      <alignment horizontal="left"/>
    </xf>
    <xf numFmtId="164" fontId="0" fillId="2" borderId="20" xfId="0" applyNumberFormat="1" applyFill="1" applyBorder="1" applyAlignment="1">
      <alignment horizontal="left"/>
    </xf>
    <xf numFmtId="0" fontId="0" fillId="2" borderId="20" xfId="0" applyFill="1" applyBorder="1" applyAlignment="1">
      <alignment horizontal="left"/>
    </xf>
    <xf numFmtId="164" fontId="0" fillId="2" borderId="20" xfId="0" applyNumberFormat="1" applyFill="1" applyBorder="1" applyAlignment="1">
      <alignment horizontal="left" vertical="center"/>
    </xf>
    <xf numFmtId="0" fontId="0" fillId="52" borderId="19" xfId="0" applyFill="1" applyBorder="1" applyAlignment="1">
      <alignment horizontal="right" vertical="center"/>
    </xf>
    <xf numFmtId="164" fontId="0" fillId="0" borderId="0" xfId="0" applyNumberFormat="1" applyAlignment="1">
      <alignment horizontal="right" vertical="center"/>
    </xf>
    <xf numFmtId="16" fontId="45" fillId="74" borderId="0" xfId="0" applyNumberFormat="1" applyFont="1" applyFill="1" applyAlignment="1">
      <alignment horizontal="center" vertical="center"/>
    </xf>
    <xf numFmtId="16" fontId="23" fillId="74" borderId="0" xfId="0" applyNumberFormat="1" applyFont="1" applyFill="1" applyAlignment="1">
      <alignment horizontal="center" vertical="center"/>
    </xf>
    <xf numFmtId="0" fontId="29" fillId="74" borderId="0" xfId="0" applyFont="1" applyFill="1" applyAlignment="1">
      <alignment horizontal="left" vertical="center"/>
    </xf>
    <xf numFmtId="43" fontId="0" fillId="74" borderId="0" xfId="79" applyFont="1" applyFill="1" applyAlignment="1">
      <alignment vertical="center"/>
    </xf>
    <xf numFmtId="0" fontId="0" fillId="74" borderId="0" xfId="79" applyNumberFormat="1" applyFont="1" applyFill="1" applyAlignment="1">
      <alignment vertical="center"/>
    </xf>
    <xf numFmtId="0" fontId="29" fillId="74" borderId="0" xfId="0" applyFont="1" applyFill="1" applyAlignment="1">
      <alignment horizontal="right" vertical="center"/>
    </xf>
    <xf numFmtId="0" fontId="17" fillId="74" borderId="0" xfId="0" applyFont="1" applyFill="1" applyAlignment="1">
      <alignment horizontal="left" vertical="center"/>
    </xf>
    <xf numFmtId="16" fontId="0" fillId="2" borderId="4" xfId="0" applyNumberFormat="1" applyFill="1" applyBorder="1" applyAlignment="1">
      <alignment horizontal="left"/>
    </xf>
    <xf numFmtId="0" fontId="29" fillId="2" borderId="4" xfId="0" applyFont="1" applyFill="1" applyBorder="1" applyAlignment="1">
      <alignment horizontal="left"/>
    </xf>
    <xf numFmtId="164" fontId="0" fillId="2" borderId="4" xfId="0" applyNumberFormat="1" applyFill="1" applyBorder="1" applyAlignment="1">
      <alignment horizontal="left"/>
    </xf>
    <xf numFmtId="164" fontId="0" fillId="3" borderId="21" xfId="0" applyNumberFormat="1" applyFill="1" applyBorder="1" applyAlignment="1">
      <alignment horizontal="left" vertical="center"/>
    </xf>
    <xf numFmtId="0" fontId="248" fillId="3" borderId="17" xfId="0" applyFont="1" applyFill="1" applyBorder="1" applyAlignment="1">
      <alignment horizontal="left"/>
    </xf>
    <xf numFmtId="164" fontId="0" fillId="3" borderId="27" xfId="0" applyNumberFormat="1" applyFill="1" applyBorder="1" applyAlignment="1">
      <alignment horizontal="left" vertical="center"/>
    </xf>
    <xf numFmtId="164" fontId="44" fillId="63" borderId="2" xfId="0" applyNumberFormat="1" applyFont="1" applyFill="1" applyBorder="1" applyAlignment="1">
      <alignment horizontal="left" vertical="center"/>
    </xf>
    <xf numFmtId="49" fontId="48" fillId="63" borderId="4" xfId="0" applyNumberFormat="1" applyFont="1" applyFill="1" applyBorder="1" applyAlignment="1">
      <alignment horizontal="left" vertical="center"/>
    </xf>
    <xf numFmtId="164" fontId="21" fillId="63" borderId="4" xfId="0" applyNumberFormat="1" applyFont="1" applyFill="1" applyBorder="1" applyAlignment="1">
      <alignment horizontal="left" vertical="center" wrapText="1"/>
    </xf>
    <xf numFmtId="0" fontId="44" fillId="63" borderId="26" xfId="0" applyFont="1" applyFill="1" applyBorder="1" applyAlignment="1">
      <alignment horizontal="left" vertical="center"/>
    </xf>
    <xf numFmtId="0" fontId="45" fillId="0" borderId="0" xfId="0" applyFont="1" applyAlignment="1">
      <alignment horizontal="left" vertical="center" wrapText="1"/>
    </xf>
    <xf numFmtId="0" fontId="23" fillId="0" borderId="0" xfId="0" applyFont="1" applyAlignment="1">
      <alignment horizontal="left" vertical="center" wrapText="1"/>
    </xf>
    <xf numFmtId="16" fontId="0" fillId="74" borderId="20" xfId="0" applyNumberFormat="1" applyFill="1" applyBorder="1" applyAlignment="1">
      <alignment horizontal="left"/>
    </xf>
    <xf numFmtId="0" fontId="0" fillId="74" borderId="20" xfId="0" applyFill="1" applyBorder="1" applyAlignment="1">
      <alignment horizontal="left"/>
    </xf>
    <xf numFmtId="164" fontId="0" fillId="74" borderId="17" xfId="0" applyNumberFormat="1" applyFill="1" applyBorder="1" applyAlignment="1">
      <alignment horizontal="left"/>
    </xf>
    <xf numFmtId="164" fontId="0" fillId="74" borderId="4" xfId="0" applyNumberFormat="1" applyFill="1" applyBorder="1" applyAlignment="1">
      <alignment horizontal="left"/>
    </xf>
    <xf numFmtId="0" fontId="0" fillId="74" borderId="4" xfId="0" applyFill="1" applyBorder="1" applyAlignment="1">
      <alignment horizontal="left"/>
    </xf>
    <xf numFmtId="164" fontId="0" fillId="74" borderId="3" xfId="0" applyNumberFormat="1" applyFill="1" applyBorder="1" applyAlignment="1">
      <alignment horizontal="left"/>
    </xf>
    <xf numFmtId="0" fontId="0" fillId="74" borderId="3" xfId="0" applyFill="1" applyBorder="1" applyAlignment="1">
      <alignment horizontal="left"/>
    </xf>
    <xf numFmtId="164" fontId="0" fillId="74" borderId="18" xfId="0" applyNumberFormat="1" applyFill="1" applyBorder="1" applyAlignment="1">
      <alignment horizontal="left"/>
    </xf>
    <xf numFmtId="10" fontId="0" fillId="3" borderId="0" xfId="77" applyNumberFormat="1" applyFont="1" applyFill="1" applyBorder="1"/>
    <xf numFmtId="16" fontId="0" fillId="74" borderId="4" xfId="0" applyNumberFormat="1" applyFill="1" applyBorder="1" applyAlignment="1">
      <alignment horizontal="left" vertical="center"/>
    </xf>
    <xf numFmtId="164" fontId="45" fillId="74" borderId="4" xfId="0" applyNumberFormat="1" applyFont="1" applyFill="1" applyBorder="1" applyAlignment="1">
      <alignment horizontal="left" vertical="center" wrapText="1"/>
    </xf>
    <xf numFmtId="0" fontId="29" fillId="74" borderId="4" xfId="0" applyFont="1" applyFill="1" applyBorder="1" applyAlignment="1">
      <alignment horizontal="left"/>
    </xf>
    <xf numFmtId="0" fontId="57" fillId="74" borderId="4" xfId="0" applyFont="1" applyFill="1" applyBorder="1" applyAlignment="1">
      <alignment horizontal="left" vertical="center"/>
    </xf>
    <xf numFmtId="0" fontId="29" fillId="74" borderId="4" xfId="0" applyFont="1" applyFill="1" applyBorder="1" applyAlignment="1">
      <alignment horizontal="left" vertical="center"/>
    </xf>
    <xf numFmtId="0" fontId="57" fillId="74" borderId="20" xfId="0" applyFont="1" applyFill="1" applyBorder="1" applyAlignment="1">
      <alignment horizontal="left" vertical="center"/>
    </xf>
    <xf numFmtId="0" fontId="0" fillId="0" borderId="46" xfId="0" applyBorder="1" applyAlignment="1">
      <alignment horizontal="left" vertical="center"/>
    </xf>
    <xf numFmtId="164" fontId="0" fillId="0" borderId="3" xfId="0" applyNumberFormat="1" applyBorder="1" applyAlignment="1">
      <alignment horizontal="left"/>
    </xf>
    <xf numFmtId="164" fontId="0" fillId="56" borderId="25" xfId="0" applyNumberFormat="1" applyFill="1" applyBorder="1" applyAlignment="1">
      <alignment horizontal="left" vertical="center"/>
    </xf>
    <xf numFmtId="164" fontId="0" fillId="74" borderId="20" xfId="0" applyNumberFormat="1" applyFill="1" applyBorder="1" applyAlignment="1">
      <alignment horizontal="left"/>
    </xf>
    <xf numFmtId="0" fontId="0" fillId="0" borderId="47" xfId="0" applyBorder="1" applyAlignment="1">
      <alignment horizontal="left" vertical="center"/>
    </xf>
    <xf numFmtId="0" fontId="0" fillId="0" borderId="47" xfId="0" applyBorder="1" applyAlignment="1">
      <alignment horizontal="left"/>
    </xf>
    <xf numFmtId="0" fontId="0" fillId="0" borderId="37" xfId="0" applyBorder="1" applyAlignment="1">
      <alignment horizontal="left"/>
    </xf>
    <xf numFmtId="164" fontId="24" fillId="3" borderId="27" xfId="0" applyNumberFormat="1" applyFont="1" applyFill="1" applyBorder="1" applyAlignment="1">
      <alignment horizontal="left" vertical="center"/>
    </xf>
    <xf numFmtId="164" fontId="54" fillId="63" borderId="4" xfId="0" applyNumberFormat="1" applyFont="1" applyFill="1" applyBorder="1" applyAlignment="1">
      <alignment horizontal="left" vertical="center"/>
    </xf>
    <xf numFmtId="0" fontId="152" fillId="3" borderId="0" xfId="0" applyFont="1" applyFill="1" applyAlignment="1">
      <alignment horizontal="left" vertical="center"/>
    </xf>
    <xf numFmtId="0" fontId="7" fillId="0" borderId="0" xfId="0" applyFont="1" applyAlignment="1">
      <alignment horizontal="left" vertical="center"/>
    </xf>
    <xf numFmtId="0" fontId="57" fillId="2" borderId="4" xfId="0" applyFont="1" applyFill="1" applyBorder="1" applyAlignment="1">
      <alignment horizontal="left"/>
    </xf>
    <xf numFmtId="164" fontId="0" fillId="2" borderId="4" xfId="0" applyNumberFormat="1" applyFill="1" applyBorder="1" applyAlignment="1">
      <alignment horizontal="left" vertical="center"/>
    </xf>
    <xf numFmtId="164" fontId="29" fillId="2" borderId="4" xfId="0" applyNumberFormat="1" applyFont="1" applyFill="1" applyBorder="1" applyAlignment="1">
      <alignment horizontal="left" vertical="center"/>
    </xf>
    <xf numFmtId="0" fontId="53" fillId="2" borderId="4" xfId="0" applyFont="1" applyFill="1" applyBorder="1" applyAlignment="1">
      <alignment horizontal="left" vertical="center"/>
    </xf>
    <xf numFmtId="0" fontId="29" fillId="2" borderId="4" xfId="0" applyFont="1" applyFill="1" applyBorder="1" applyAlignment="1">
      <alignment horizontal="left" vertical="center"/>
    </xf>
    <xf numFmtId="43" fontId="0" fillId="3" borderId="4" xfId="79" applyFont="1" applyFill="1" applyBorder="1" applyAlignment="1">
      <alignment horizontal="left" vertical="center"/>
    </xf>
    <xf numFmtId="0" fontId="0" fillId="3" borderId="4" xfId="79" applyNumberFormat="1" applyFont="1" applyFill="1" applyBorder="1" applyAlignment="1">
      <alignment horizontal="left" vertical="center"/>
    </xf>
    <xf numFmtId="43" fontId="0" fillId="3" borderId="17" xfId="79" applyFont="1" applyFill="1" applyBorder="1" applyAlignment="1">
      <alignment horizontal="left" vertical="center"/>
    </xf>
    <xf numFmtId="164" fontId="57" fillId="2" borderId="4" xfId="0" applyNumberFormat="1" applyFont="1" applyFill="1" applyBorder="1" applyAlignment="1">
      <alignment horizontal="left" vertical="center"/>
    </xf>
    <xf numFmtId="164" fontId="23" fillId="0" borderId="0" xfId="0" applyNumberFormat="1" applyFont="1" applyAlignment="1">
      <alignment horizontal="left"/>
    </xf>
    <xf numFmtId="164" fontId="45" fillId="2" borderId="0" xfId="0" applyNumberFormat="1" applyFont="1" applyFill="1" applyAlignment="1">
      <alignment horizontal="left" vertical="center" wrapText="1"/>
    </xf>
    <xf numFmtId="164" fontId="0" fillId="2" borderId="4" xfId="0" applyNumberFormat="1" applyFill="1" applyBorder="1" applyAlignment="1">
      <alignment horizontal="left" vertical="center" wrapText="1"/>
    </xf>
    <xf numFmtId="0" fontId="45" fillId="2" borderId="4" xfId="0" applyFont="1" applyFill="1" applyBorder="1" applyAlignment="1">
      <alignment horizontal="left" vertical="center"/>
    </xf>
    <xf numFmtId="164" fontId="45" fillId="2" borderId="4" xfId="0" applyNumberFormat="1" applyFont="1" applyFill="1" applyBorder="1" applyAlignment="1">
      <alignment horizontal="left" vertical="center" wrapText="1"/>
    </xf>
    <xf numFmtId="164" fontId="23" fillId="2" borderId="4" xfId="0" applyNumberFormat="1" applyFont="1" applyFill="1" applyBorder="1" applyAlignment="1">
      <alignment horizontal="left" vertical="center" wrapText="1"/>
    </xf>
    <xf numFmtId="164" fontId="23" fillId="2" borderId="17" xfId="0" applyNumberFormat="1" applyFont="1" applyFill="1" applyBorder="1" applyAlignment="1">
      <alignment horizontal="left" vertical="center" wrapText="1"/>
    </xf>
    <xf numFmtId="16" fontId="23" fillId="2" borderId="18" xfId="0" applyNumberFormat="1" applyFont="1" applyFill="1" applyBorder="1" applyAlignment="1">
      <alignment horizontal="left" vertical="center"/>
    </xf>
    <xf numFmtId="0" fontId="57" fillId="2" borderId="18" xfId="0" applyFont="1" applyFill="1" applyBorder="1" applyAlignment="1">
      <alignment horizontal="left" vertical="center"/>
    </xf>
    <xf numFmtId="16" fontId="0" fillId="2" borderId="3" xfId="0" applyNumberFormat="1" applyFill="1" applyBorder="1" applyAlignment="1">
      <alignment horizontal="left" vertical="center"/>
    </xf>
    <xf numFmtId="0" fontId="29" fillId="2" borderId="3" xfId="0" applyFont="1" applyFill="1" applyBorder="1" applyAlignment="1">
      <alignment horizontal="left" vertical="center"/>
    </xf>
    <xf numFmtId="16" fontId="0" fillId="2" borderId="20" xfId="0" applyNumberFormat="1" applyFill="1" applyBorder="1" applyAlignment="1">
      <alignment horizontal="left" vertical="center"/>
    </xf>
    <xf numFmtId="164" fontId="45" fillId="2" borderId="20" xfId="0" applyNumberFormat="1" applyFont="1" applyFill="1" applyBorder="1" applyAlignment="1">
      <alignment horizontal="left" vertical="center" wrapText="1"/>
    </xf>
    <xf numFmtId="0" fontId="29" fillId="2" borderId="20" xfId="0" applyFont="1" applyFill="1" applyBorder="1" applyAlignment="1">
      <alignment horizontal="left" vertical="center"/>
    </xf>
    <xf numFmtId="0" fontId="57" fillId="2" borderId="20" xfId="0" applyFont="1" applyFill="1" applyBorder="1" applyAlignment="1">
      <alignment horizontal="left"/>
    </xf>
    <xf numFmtId="16" fontId="29" fillId="2" borderId="18" xfId="0" applyNumberFormat="1" applyFont="1" applyFill="1" applyBorder="1" applyAlignment="1">
      <alignment horizontal="left" vertical="center"/>
    </xf>
    <xf numFmtId="164" fontId="45" fillId="2" borderId="18" xfId="0" applyNumberFormat="1" applyFont="1" applyFill="1" applyBorder="1" applyAlignment="1">
      <alignment horizontal="left" vertical="center" wrapText="1"/>
    </xf>
    <xf numFmtId="16" fontId="0" fillId="2" borderId="19" xfId="0" applyNumberFormat="1" applyFill="1" applyBorder="1" applyAlignment="1">
      <alignment horizontal="left" vertical="center"/>
    </xf>
    <xf numFmtId="164" fontId="23" fillId="2" borderId="19" xfId="0" applyNumberFormat="1" applyFont="1" applyFill="1" applyBorder="1" applyAlignment="1">
      <alignment horizontal="left" vertical="center" wrapText="1"/>
    </xf>
    <xf numFmtId="0" fontId="45" fillId="2" borderId="19" xfId="0" applyFont="1" applyFill="1" applyBorder="1" applyAlignment="1">
      <alignment horizontal="left" vertical="center"/>
    </xf>
    <xf numFmtId="0" fontId="57" fillId="2" borderId="19" xfId="0" applyFont="1" applyFill="1" applyBorder="1" applyAlignment="1">
      <alignment horizontal="left"/>
    </xf>
    <xf numFmtId="164" fontId="45" fillId="2" borderId="3" xfId="0" applyNumberFormat="1" applyFont="1" applyFill="1" applyBorder="1" applyAlignment="1">
      <alignment horizontal="left" vertical="center" wrapText="1"/>
    </xf>
    <xf numFmtId="0" fontId="29" fillId="2" borderId="3" xfId="0" applyFont="1" applyFill="1" applyBorder="1" applyAlignment="1">
      <alignment horizontal="left"/>
    </xf>
    <xf numFmtId="0" fontId="57" fillId="2" borderId="3" xfId="0" applyFont="1" applyFill="1" applyBorder="1" applyAlignment="1">
      <alignment horizontal="left" vertical="center"/>
    </xf>
    <xf numFmtId="0" fontId="0" fillId="2" borderId="32" xfId="0" applyFill="1" applyBorder="1" applyAlignment="1">
      <alignment horizontal="left"/>
    </xf>
    <xf numFmtId="0" fontId="0" fillId="2" borderId="34" xfId="0" applyFill="1" applyBorder="1" applyAlignment="1">
      <alignment horizontal="left"/>
    </xf>
    <xf numFmtId="16" fontId="0" fillId="2" borderId="4" xfId="0" applyNumberFormat="1" applyFill="1" applyBorder="1" applyAlignment="1">
      <alignment horizontal="left" vertical="center"/>
    </xf>
    <xf numFmtId="0" fontId="57" fillId="2" borderId="4" xfId="0" applyFont="1" applyFill="1" applyBorder="1" applyAlignment="1">
      <alignment horizontal="left" vertical="center"/>
    </xf>
    <xf numFmtId="164" fontId="23" fillId="2" borderId="0" xfId="0" applyNumberFormat="1" applyFont="1" applyFill="1" applyAlignment="1">
      <alignment horizontal="left"/>
    </xf>
    <xf numFmtId="0" fontId="257" fillId="2" borderId="0" xfId="0" applyFont="1" applyFill="1" applyAlignment="1">
      <alignment horizontal="left"/>
    </xf>
    <xf numFmtId="0" fontId="0" fillId="50" borderId="4" xfId="0" applyFill="1" applyBorder="1" applyAlignment="1">
      <alignment horizontal="left" vertical="center"/>
    </xf>
    <xf numFmtId="164" fontId="23" fillId="0" borderId="17" xfId="0" applyNumberFormat="1" applyFont="1" applyBorder="1" applyAlignment="1">
      <alignment horizontal="left"/>
    </xf>
    <xf numFmtId="16" fontId="29" fillId="2" borderId="3" xfId="0" applyNumberFormat="1" applyFont="1" applyFill="1" applyBorder="1" applyAlignment="1">
      <alignment horizontal="left" vertical="center"/>
    </xf>
    <xf numFmtId="0" fontId="53" fillId="2" borderId="3" xfId="0" applyFont="1" applyFill="1" applyBorder="1" applyAlignment="1">
      <alignment horizontal="left"/>
    </xf>
    <xf numFmtId="164" fontId="0" fillId="2" borderId="18" xfId="0" applyNumberFormat="1" applyFill="1" applyBorder="1" applyAlignment="1">
      <alignment horizontal="left" vertical="center" wrapText="1"/>
    </xf>
    <xf numFmtId="164" fontId="0" fillId="74" borderId="20" xfId="0" applyNumberFormat="1" applyFill="1" applyBorder="1" applyAlignment="1">
      <alignment horizontal="left" vertical="center" wrapText="1"/>
    </xf>
    <xf numFmtId="164" fontId="23" fillId="74" borderId="20" xfId="0" applyNumberFormat="1" applyFont="1" applyFill="1" applyBorder="1" applyAlignment="1">
      <alignment horizontal="left" vertical="center" wrapText="1"/>
    </xf>
    <xf numFmtId="0" fontId="0" fillId="74" borderId="2" xfId="0" applyFill="1" applyBorder="1" applyAlignment="1">
      <alignment horizontal="left"/>
    </xf>
    <xf numFmtId="0" fontId="0" fillId="74" borderId="1" xfId="0" applyFill="1" applyBorder="1" applyAlignment="1">
      <alignment horizontal="left"/>
    </xf>
    <xf numFmtId="164" fontId="45" fillId="74" borderId="0" xfId="0" applyNumberFormat="1" applyFont="1" applyFill="1" applyAlignment="1">
      <alignment horizontal="left" vertical="center" wrapText="1"/>
    </xf>
    <xf numFmtId="0" fontId="248" fillId="74" borderId="0" xfId="0" applyFont="1" applyFill="1" applyAlignment="1">
      <alignment horizontal="left"/>
    </xf>
    <xf numFmtId="16" fontId="0" fillId="74" borderId="17" xfId="0" applyNumberFormat="1" applyFill="1" applyBorder="1" applyAlignment="1">
      <alignment horizontal="left" vertical="center"/>
    </xf>
    <xf numFmtId="164" fontId="45" fillId="74" borderId="17" xfId="0" applyNumberFormat="1" applyFont="1" applyFill="1" applyBorder="1" applyAlignment="1">
      <alignment horizontal="left" vertical="center" wrapText="1"/>
    </xf>
    <xf numFmtId="0" fontId="57" fillId="74" borderId="17" xfId="0" applyFont="1" applyFill="1" applyBorder="1" applyAlignment="1">
      <alignment horizontal="left" vertical="center"/>
    </xf>
    <xf numFmtId="0" fontId="29" fillId="74" borderId="17" xfId="0" applyFont="1" applyFill="1" applyBorder="1" applyAlignment="1">
      <alignment horizontal="left" vertical="center"/>
    </xf>
    <xf numFmtId="0" fontId="248" fillId="74" borderId="17" xfId="0" applyFont="1" applyFill="1" applyBorder="1" applyAlignment="1">
      <alignment horizontal="left"/>
    </xf>
    <xf numFmtId="0" fontId="248" fillId="74" borderId="4" xfId="0" applyFont="1" applyFill="1" applyBorder="1" applyAlignment="1">
      <alignment horizontal="left"/>
    </xf>
    <xf numFmtId="16" fontId="0" fillId="74" borderId="3" xfId="0" applyNumberFormat="1" applyFill="1" applyBorder="1" applyAlignment="1">
      <alignment horizontal="left" vertical="center"/>
    </xf>
    <xf numFmtId="164" fontId="45" fillId="74" borderId="3" xfId="0" applyNumberFormat="1" applyFont="1" applyFill="1" applyBorder="1" applyAlignment="1">
      <alignment horizontal="left" vertical="center" wrapText="1"/>
    </xf>
    <xf numFmtId="0" fontId="57" fillId="74" borderId="3" xfId="0" applyFont="1" applyFill="1" applyBorder="1" applyAlignment="1">
      <alignment horizontal="left" vertical="center"/>
    </xf>
    <xf numFmtId="0" fontId="29" fillId="74" borderId="3" xfId="0" applyFont="1" applyFill="1" applyBorder="1" applyAlignment="1">
      <alignment horizontal="left" vertical="center"/>
    </xf>
    <xf numFmtId="0" fontId="57" fillId="74" borderId="3" xfId="0" applyFont="1" applyFill="1" applyBorder="1" applyAlignment="1">
      <alignment horizontal="left"/>
    </xf>
    <xf numFmtId="0" fontId="0" fillId="74" borderId="32" xfId="0" applyFill="1" applyBorder="1" applyAlignment="1">
      <alignment horizontal="left" vertical="center"/>
    </xf>
    <xf numFmtId="16" fontId="0" fillId="74" borderId="20" xfId="0" applyNumberFormat="1" applyFill="1" applyBorder="1" applyAlignment="1">
      <alignment horizontal="left" vertical="center"/>
    </xf>
    <xf numFmtId="164" fontId="45" fillId="74" borderId="20" xfId="0" applyNumberFormat="1" applyFont="1" applyFill="1" applyBorder="1" applyAlignment="1">
      <alignment horizontal="left" vertical="center" wrapText="1"/>
    </xf>
    <xf numFmtId="164" fontId="0" fillId="74" borderId="2" xfId="0" applyNumberFormat="1" applyFill="1" applyBorder="1" applyAlignment="1">
      <alignment horizontal="left"/>
    </xf>
    <xf numFmtId="0" fontId="29" fillId="0" borderId="18" xfId="0" applyFont="1" applyBorder="1" applyAlignment="1">
      <alignment horizontal="left" vertical="center"/>
    </xf>
    <xf numFmtId="164" fontId="23" fillId="0" borderId="18" xfId="0" applyNumberFormat="1" applyFont="1" applyBorder="1" applyAlignment="1">
      <alignment horizontal="left"/>
    </xf>
    <xf numFmtId="164" fontId="23" fillId="74" borderId="17" xfId="0" applyNumberFormat="1" applyFont="1" applyFill="1" applyBorder="1" applyAlignment="1">
      <alignment horizontal="left"/>
    </xf>
    <xf numFmtId="0" fontId="29" fillId="74" borderId="17" xfId="0" applyFont="1" applyFill="1" applyBorder="1" applyAlignment="1">
      <alignment horizontal="left"/>
    </xf>
    <xf numFmtId="0" fontId="0" fillId="105" borderId="17" xfId="0" applyFill="1" applyBorder="1" applyAlignment="1">
      <alignment horizontal="left" vertical="center"/>
    </xf>
    <xf numFmtId="0" fontId="29" fillId="0" borderId="17" xfId="0" applyFont="1" applyBorder="1" applyAlignment="1">
      <alignment horizontal="left" vertical="center"/>
    </xf>
    <xf numFmtId="0" fontId="29" fillId="105" borderId="18" xfId="0" applyFont="1" applyFill="1" applyBorder="1" applyAlignment="1">
      <alignment horizontal="left" vertical="center"/>
    </xf>
    <xf numFmtId="0" fontId="29" fillId="0" borderId="18" xfId="0" applyFont="1" applyBorder="1" applyAlignment="1">
      <alignment horizontal="left"/>
    </xf>
    <xf numFmtId="0" fontId="57" fillId="0" borderId="18" xfId="0" applyFont="1" applyBorder="1" applyAlignment="1">
      <alignment horizontal="left"/>
    </xf>
    <xf numFmtId="0" fontId="0" fillId="77" borderId="48" xfId="0" applyFill="1" applyBorder="1" applyAlignment="1">
      <alignment horizontal="left" vertical="center"/>
    </xf>
    <xf numFmtId="164" fontId="0" fillId="0" borderId="27" xfId="0" applyNumberFormat="1" applyBorder="1" applyAlignment="1">
      <alignment horizontal="left"/>
    </xf>
    <xf numFmtId="0" fontId="0" fillId="0" borderId="27" xfId="0" applyBorder="1" applyAlignment="1">
      <alignment horizontal="left"/>
    </xf>
    <xf numFmtId="0" fontId="0" fillId="105" borderId="48" xfId="0" applyFill="1" applyBorder="1" applyAlignment="1">
      <alignment horizontal="left" vertical="center"/>
    </xf>
    <xf numFmtId="164" fontId="0" fillId="0" borderId="21" xfId="0" applyNumberFormat="1" applyBorder="1" applyAlignment="1">
      <alignment horizontal="left"/>
    </xf>
    <xf numFmtId="0" fontId="29" fillId="50" borderId="0" xfId="0" applyFont="1" applyFill="1" applyAlignment="1">
      <alignment horizontal="left" vertical="center"/>
    </xf>
    <xf numFmtId="16" fontId="0" fillId="3" borderId="27" xfId="0" applyNumberFormat="1" applyFill="1" applyBorder="1" applyAlignment="1">
      <alignment horizontal="left" vertical="center"/>
    </xf>
    <xf numFmtId="0" fontId="23" fillId="3" borderId="18" xfId="0" applyFont="1" applyFill="1" applyBorder="1" applyAlignment="1">
      <alignment horizontal="left" vertical="center"/>
    </xf>
    <xf numFmtId="164" fontId="24" fillId="3" borderId="19" xfId="0" applyNumberFormat="1" applyFont="1" applyFill="1" applyBorder="1" applyAlignment="1">
      <alignment horizontal="left" vertical="center"/>
    </xf>
    <xf numFmtId="164" fontId="45" fillId="2" borderId="28" xfId="0" applyNumberFormat="1" applyFont="1" applyFill="1" applyBorder="1" applyAlignment="1">
      <alignment horizontal="left" vertical="center"/>
    </xf>
    <xf numFmtId="164" fontId="45" fillId="2" borderId="24" xfId="0" applyNumberFormat="1" applyFont="1" applyFill="1" applyBorder="1" applyAlignment="1">
      <alignment horizontal="left" vertical="center"/>
    </xf>
    <xf numFmtId="0" fontId="0" fillId="2" borderId="28" xfId="0" applyFill="1" applyBorder="1" applyAlignment="1">
      <alignment horizontal="left" vertical="center"/>
    </xf>
    <xf numFmtId="10" fontId="0" fillId="2" borderId="19" xfId="77" applyNumberFormat="1" applyFont="1" applyFill="1" applyBorder="1" applyAlignment="1">
      <alignment horizontal="left" vertical="center"/>
    </xf>
    <xf numFmtId="16" fontId="0" fillId="2" borderId="27" xfId="0" applyNumberFormat="1" applyFill="1" applyBorder="1" applyAlignment="1">
      <alignment horizontal="left" vertical="center"/>
    </xf>
    <xf numFmtId="43" fontId="0" fillId="2" borderId="18" xfId="79" applyFont="1" applyFill="1" applyBorder="1" applyAlignment="1">
      <alignment horizontal="left" vertical="center"/>
    </xf>
    <xf numFmtId="0" fontId="0" fillId="2" borderId="18" xfId="79" applyNumberFormat="1" applyFont="1" applyFill="1" applyBorder="1" applyAlignment="1">
      <alignment horizontal="left" vertical="center"/>
    </xf>
    <xf numFmtId="10" fontId="0" fillId="2" borderId="18" xfId="77" applyNumberFormat="1" applyFont="1" applyFill="1" applyBorder="1" applyAlignment="1">
      <alignment horizontal="left" vertical="center"/>
    </xf>
    <xf numFmtId="0" fontId="193" fillId="3" borderId="17" xfId="0" applyFont="1" applyFill="1" applyBorder="1" applyAlignment="1">
      <alignment horizontal="left" vertical="center"/>
    </xf>
    <xf numFmtId="164" fontId="23" fillId="3" borderId="19" xfId="0" applyNumberFormat="1" applyFont="1" applyFill="1" applyBorder="1" applyAlignment="1">
      <alignment horizontal="left" vertical="center"/>
    </xf>
    <xf numFmtId="0" fontId="29" fillId="3" borderId="19" xfId="0" applyFont="1" applyFill="1" applyBorder="1" applyAlignment="1">
      <alignment horizontal="left"/>
    </xf>
    <xf numFmtId="0" fontId="0" fillId="0" borderId="30" xfId="0" applyBorder="1" applyAlignment="1">
      <alignment horizontal="left"/>
    </xf>
    <xf numFmtId="164" fontId="0" fillId="2" borderId="19" xfId="0" applyNumberFormat="1" applyFill="1" applyBorder="1" applyAlignment="1">
      <alignment horizontal="left" vertical="center"/>
    </xf>
    <xf numFmtId="164" fontId="23" fillId="2" borderId="19" xfId="0" applyNumberFormat="1" applyFont="1" applyFill="1" applyBorder="1" applyAlignment="1">
      <alignment horizontal="left" vertical="center"/>
    </xf>
    <xf numFmtId="0" fontId="53" fillId="2" borderId="19" xfId="0" applyFont="1" applyFill="1" applyBorder="1" applyAlignment="1">
      <alignment horizontal="left" vertical="center"/>
    </xf>
    <xf numFmtId="0" fontId="29" fillId="2" borderId="19" xfId="0" applyFont="1" applyFill="1" applyBorder="1" applyAlignment="1">
      <alignment horizontal="left" vertical="center"/>
    </xf>
    <xf numFmtId="164" fontId="29" fillId="2" borderId="19" xfId="0" applyNumberFormat="1" applyFont="1" applyFill="1" applyBorder="1" applyAlignment="1">
      <alignment horizontal="left" vertical="center"/>
    </xf>
    <xf numFmtId="0" fontId="262" fillId="2" borderId="0" xfId="0" applyFont="1" applyFill="1" applyAlignment="1">
      <alignment horizontal="left"/>
    </xf>
    <xf numFmtId="16" fontId="0" fillId="74" borderId="18" xfId="0" applyNumberFormat="1" applyFill="1" applyBorder="1" applyAlignment="1">
      <alignment horizontal="left" vertical="center"/>
    </xf>
    <xf numFmtId="164" fontId="45" fillId="74" borderId="18" xfId="0" applyNumberFormat="1" applyFont="1" applyFill="1" applyBorder="1" applyAlignment="1">
      <alignment horizontal="left" vertical="center" wrapText="1"/>
    </xf>
    <xf numFmtId="0" fontId="45" fillId="74" borderId="18" xfId="0" applyFont="1" applyFill="1" applyBorder="1" applyAlignment="1">
      <alignment horizontal="left" vertical="center"/>
    </xf>
    <xf numFmtId="0" fontId="29" fillId="74" borderId="18" xfId="0" applyFont="1" applyFill="1" applyBorder="1" applyAlignment="1">
      <alignment horizontal="left"/>
    </xf>
    <xf numFmtId="43" fontId="0" fillId="3" borderId="18" xfId="79" applyFont="1" applyFill="1" applyBorder="1" applyAlignment="1">
      <alignment horizontal="left" vertical="center"/>
    </xf>
    <xf numFmtId="8" fontId="0" fillId="3" borderId="18" xfId="79" applyNumberFormat="1" applyFont="1" applyFill="1" applyBorder="1" applyAlignment="1">
      <alignment horizontal="left" vertical="center"/>
    </xf>
    <xf numFmtId="43" fontId="0" fillId="3" borderId="18" xfId="0" applyNumberFormat="1" applyFill="1" applyBorder="1" applyAlignment="1">
      <alignment horizontal="left" vertical="center"/>
    </xf>
    <xf numFmtId="0" fontId="25" fillId="3" borderId="18" xfId="0" applyFont="1" applyFill="1" applyBorder="1" applyAlignment="1">
      <alignment horizontal="left" vertical="center"/>
    </xf>
    <xf numFmtId="0" fontId="24" fillId="0" borderId="18" xfId="0" applyFont="1" applyBorder="1" applyAlignment="1">
      <alignment horizontal="left" vertical="center" wrapText="1"/>
    </xf>
    <xf numFmtId="43" fontId="0" fillId="3" borderId="18" xfId="79" applyFont="1" applyFill="1" applyBorder="1" applyAlignment="1">
      <alignment horizontal="left" vertical="center" wrapText="1"/>
    </xf>
    <xf numFmtId="0" fontId="25" fillId="3" borderId="3" xfId="0" applyFont="1" applyFill="1" applyBorder="1" applyAlignment="1">
      <alignment horizontal="left" vertical="center"/>
    </xf>
    <xf numFmtId="16" fontId="0" fillId="2" borderId="3" xfId="0" applyNumberFormat="1" applyFill="1" applyBorder="1" applyAlignment="1">
      <alignment horizontal="left"/>
    </xf>
    <xf numFmtId="16" fontId="23" fillId="2" borderId="3" xfId="0" applyNumberFormat="1" applyFont="1" applyFill="1" applyBorder="1" applyAlignment="1">
      <alignment horizontal="left"/>
    </xf>
    <xf numFmtId="0" fontId="53" fillId="2" borderId="3" xfId="0" applyFont="1" applyFill="1" applyBorder="1" applyAlignment="1">
      <alignment horizontal="left" vertical="center"/>
    </xf>
    <xf numFmtId="0" fontId="0" fillId="2" borderId="26" xfId="0" applyFill="1" applyBorder="1" applyAlignment="1">
      <alignment horizontal="left"/>
    </xf>
    <xf numFmtId="43" fontId="0" fillId="3" borderId="4" xfId="79" applyFont="1" applyFill="1" applyBorder="1" applyAlignment="1">
      <alignment horizontal="left" vertical="center" wrapText="1"/>
    </xf>
    <xf numFmtId="1" fontId="44" fillId="63" borderId="4" xfId="0" applyNumberFormat="1" applyFont="1" applyFill="1" applyBorder="1" applyAlignment="1">
      <alignment horizontal="left" vertical="center"/>
    </xf>
    <xf numFmtId="10" fontId="44" fillId="63" borderId="4" xfId="77" applyNumberFormat="1" applyFont="1" applyFill="1" applyBorder="1" applyAlignment="1">
      <alignment horizontal="left" vertical="center"/>
    </xf>
    <xf numFmtId="0" fontId="53" fillId="0" borderId="47" xfId="0" applyFont="1" applyBorder="1" applyAlignment="1">
      <alignment horizontal="left" vertical="center" wrapText="1"/>
    </xf>
    <xf numFmtId="0" fontId="248" fillId="3" borderId="0" xfId="0" applyFont="1" applyFill="1" applyAlignment="1">
      <alignment horizontal="center"/>
    </xf>
    <xf numFmtId="0" fontId="171" fillId="3" borderId="0" xfId="0" applyFont="1" applyFill="1" applyAlignment="1">
      <alignment horizontal="center"/>
    </xf>
    <xf numFmtId="0" fontId="0" fillId="2" borderId="78" xfId="0" applyFill="1" applyBorder="1" applyAlignment="1">
      <alignment horizontal="left" vertical="center"/>
    </xf>
    <xf numFmtId="0" fontId="0" fillId="2" borderId="34" xfId="0" applyFill="1" applyBorder="1" applyAlignment="1">
      <alignment horizontal="left" vertical="center"/>
    </xf>
    <xf numFmtId="0" fontId="0" fillId="2" borderId="34" xfId="77" applyNumberFormat="1" applyFont="1" applyFill="1" applyBorder="1" applyAlignment="1">
      <alignment horizontal="left" vertical="center"/>
    </xf>
    <xf numFmtId="164" fontId="23" fillId="74" borderId="0" xfId="0" applyNumberFormat="1" applyFont="1" applyFill="1" applyAlignment="1">
      <alignment horizontal="left"/>
    </xf>
    <xf numFmtId="0" fontId="52" fillId="74" borderId="0" xfId="0" applyFont="1" applyFill="1" applyAlignment="1">
      <alignment horizontal="left"/>
    </xf>
    <xf numFmtId="0" fontId="0" fillId="2" borderId="2" xfId="0" applyFill="1" applyBorder="1" applyAlignment="1">
      <alignment horizontal="left"/>
    </xf>
    <xf numFmtId="16" fontId="0" fillId="0" borderId="0" xfId="0" applyNumberFormat="1" applyAlignment="1">
      <alignment horizontal="center"/>
    </xf>
    <xf numFmtId="164" fontId="29" fillId="2" borderId="0" xfId="0" applyNumberFormat="1" applyFont="1" applyFill="1" applyAlignment="1">
      <alignment horizontal="left"/>
    </xf>
    <xf numFmtId="0" fontId="0" fillId="0" borderId="36" xfId="0" applyBorder="1"/>
    <xf numFmtId="164" fontId="23" fillId="2" borderId="20" xfId="0" applyNumberFormat="1" applyFont="1" applyFill="1" applyBorder="1" applyAlignment="1">
      <alignment horizontal="left"/>
    </xf>
    <xf numFmtId="164" fontId="0" fillId="2" borderId="2" xfId="0" applyNumberFormat="1" applyFill="1" applyBorder="1" applyAlignment="1">
      <alignment horizontal="left"/>
    </xf>
    <xf numFmtId="0" fontId="0" fillId="2" borderId="1" xfId="0" applyFill="1" applyBorder="1" applyAlignment="1">
      <alignment horizontal="left"/>
    </xf>
    <xf numFmtId="0" fontId="57" fillId="2" borderId="20" xfId="0" applyFont="1" applyFill="1" applyBorder="1" applyAlignment="1">
      <alignment horizontal="left" vertical="center"/>
    </xf>
    <xf numFmtId="0" fontId="57" fillId="2" borderId="19" xfId="0" applyFont="1" applyFill="1" applyBorder="1" applyAlignment="1">
      <alignment horizontal="left" vertical="center"/>
    </xf>
    <xf numFmtId="0" fontId="262" fillId="2" borderId="19" xfId="0" applyFont="1" applyFill="1" applyBorder="1" applyAlignment="1">
      <alignment horizontal="left"/>
    </xf>
    <xf numFmtId="43" fontId="0" fillId="2" borderId="19" xfId="79" applyFont="1" applyFill="1" applyBorder="1" applyAlignment="1">
      <alignment horizontal="left" vertical="center"/>
    </xf>
    <xf numFmtId="0" fontId="0" fillId="2" borderId="19" xfId="79" applyNumberFormat="1" applyFont="1" applyFill="1" applyBorder="1" applyAlignment="1">
      <alignment horizontal="left" vertical="center"/>
    </xf>
    <xf numFmtId="16" fontId="23" fillId="0" borderId="0" xfId="0" applyNumberFormat="1" applyFont="1" applyAlignment="1">
      <alignment horizontal="center" vertical="center"/>
    </xf>
    <xf numFmtId="16" fontId="23" fillId="0" borderId="0" xfId="0" applyNumberFormat="1" applyFont="1" applyAlignment="1">
      <alignment horizontal="center"/>
    </xf>
    <xf numFmtId="164" fontId="23" fillId="0" borderId="0" xfId="0" applyNumberFormat="1" applyFont="1" applyAlignment="1">
      <alignment vertical="center"/>
    </xf>
    <xf numFmtId="0" fontId="53" fillId="79" borderId="0" xfId="0" applyFont="1" applyFill="1" applyAlignment="1">
      <alignment horizontal="center" vertical="center"/>
    </xf>
    <xf numFmtId="0" fontId="171" fillId="2" borderId="3" xfId="0" applyFont="1" applyFill="1" applyBorder="1" applyAlignment="1">
      <alignment horizontal="center"/>
    </xf>
    <xf numFmtId="0" fontId="0" fillId="77" borderId="0" xfId="0" applyFill="1" applyAlignment="1">
      <alignment horizontal="center" vertical="center"/>
    </xf>
    <xf numFmtId="16" fontId="0" fillId="74" borderId="18" xfId="0" applyNumberFormat="1" applyFill="1" applyBorder="1" applyAlignment="1">
      <alignment horizontal="left"/>
    </xf>
    <xf numFmtId="0" fontId="57" fillId="74" borderId="18" xfId="0" applyFont="1" applyFill="1" applyBorder="1" applyAlignment="1">
      <alignment horizontal="left" vertical="center"/>
    </xf>
    <xf numFmtId="0" fontId="262" fillId="74" borderId="0" xfId="0" applyFont="1" applyFill="1" applyAlignment="1">
      <alignment horizontal="left"/>
    </xf>
    <xf numFmtId="164" fontId="23" fillId="74" borderId="18" xfId="0" applyNumberFormat="1" applyFont="1" applyFill="1" applyBorder="1" applyAlignment="1">
      <alignment horizontal="left"/>
    </xf>
    <xf numFmtId="164" fontId="0" fillId="2" borderId="21" xfId="0" applyNumberFormat="1" applyFill="1" applyBorder="1" applyAlignment="1">
      <alignment horizontal="left"/>
    </xf>
    <xf numFmtId="0" fontId="0" fillId="2" borderId="48" xfId="0" applyFill="1" applyBorder="1" applyAlignment="1">
      <alignment horizontal="left" vertical="center"/>
    </xf>
    <xf numFmtId="164" fontId="0" fillId="2" borderId="27" xfId="0" applyNumberFormat="1" applyFill="1" applyBorder="1" applyAlignment="1">
      <alignment horizontal="left"/>
    </xf>
    <xf numFmtId="0" fontId="252" fillId="2" borderId="0" xfId="0" applyFont="1" applyFill="1" applyAlignment="1">
      <alignment horizontal="center"/>
    </xf>
    <xf numFmtId="0" fontId="53" fillId="62" borderId="17" xfId="0" applyFont="1" applyFill="1" applyBorder="1" applyAlignment="1">
      <alignment horizontal="left" vertical="center"/>
    </xf>
    <xf numFmtId="164" fontId="29" fillId="2" borderId="17" xfId="0" applyNumberFormat="1" applyFont="1" applyFill="1" applyBorder="1" applyAlignment="1">
      <alignment horizontal="left" vertical="center"/>
    </xf>
    <xf numFmtId="0" fontId="45" fillId="2" borderId="17" xfId="0" applyFont="1" applyFill="1" applyBorder="1" applyAlignment="1">
      <alignment horizontal="left" vertical="center"/>
    </xf>
    <xf numFmtId="164" fontId="23" fillId="4" borderId="21" xfId="0" applyNumberFormat="1" applyFont="1" applyFill="1" applyBorder="1" applyAlignment="1">
      <alignment horizontal="left" vertical="center"/>
    </xf>
    <xf numFmtId="0" fontId="29" fillId="3" borderId="20" xfId="0" applyFont="1" applyFill="1" applyBorder="1" applyAlignment="1">
      <alignment horizontal="left" vertical="center"/>
    </xf>
    <xf numFmtId="0" fontId="17" fillId="3" borderId="28" xfId="0" applyFont="1" applyFill="1" applyBorder="1" applyAlignment="1">
      <alignment horizontal="left" vertical="center"/>
    </xf>
    <xf numFmtId="4" fontId="0" fillId="3" borderId="19" xfId="0" applyNumberFormat="1" applyFill="1" applyBorder="1" applyAlignment="1">
      <alignment horizontal="left" vertical="center"/>
    </xf>
    <xf numFmtId="0" fontId="0" fillId="3" borderId="36" xfId="0" applyFill="1" applyBorder="1" applyAlignment="1">
      <alignment vertical="center"/>
    </xf>
    <xf numFmtId="4" fontId="0" fillId="3" borderId="0" xfId="0" applyNumberFormat="1" applyFill="1"/>
    <xf numFmtId="10" fontId="0" fillId="3" borderId="0" xfId="77" applyNumberFormat="1" applyFont="1" applyFill="1"/>
    <xf numFmtId="4" fontId="0" fillId="3" borderId="0" xfId="0" applyNumberFormat="1" applyFill="1" applyAlignment="1">
      <alignment vertical="center" wrapText="1"/>
    </xf>
    <xf numFmtId="164" fontId="45" fillId="3" borderId="0" xfId="0" applyNumberFormat="1" applyFont="1" applyFill="1" applyAlignment="1">
      <alignment vertical="center"/>
    </xf>
    <xf numFmtId="16" fontId="0" fillId="3" borderId="0" xfId="0" applyNumberFormat="1" applyFill="1" applyAlignment="1">
      <alignment vertical="center"/>
    </xf>
    <xf numFmtId="18" fontId="24" fillId="3" borderId="0" xfId="0" applyNumberFormat="1" applyFont="1" applyFill="1" applyAlignment="1">
      <alignment horizontal="left" vertical="center"/>
    </xf>
    <xf numFmtId="4" fontId="0" fillId="0" borderId="3" xfId="0" applyNumberFormat="1" applyBorder="1" applyAlignment="1">
      <alignment horizontal="left"/>
    </xf>
    <xf numFmtId="4" fontId="0" fillId="0" borderId="47" xfId="0" applyNumberFormat="1" applyBorder="1" applyAlignment="1">
      <alignment horizontal="left"/>
    </xf>
    <xf numFmtId="0" fontId="0" fillId="107" borderId="0" xfId="0" applyFill="1" applyAlignment="1">
      <alignment horizontal="center" vertical="center"/>
    </xf>
    <xf numFmtId="0" fontId="53" fillId="62" borderId="20" xfId="0" applyFont="1" applyFill="1" applyBorder="1" applyAlignment="1">
      <alignment horizontal="center" vertical="center"/>
    </xf>
    <xf numFmtId="164" fontId="23" fillId="3" borderId="47" xfId="0" applyNumberFormat="1" applyFont="1" applyFill="1" applyBorder="1" applyAlignment="1">
      <alignment horizontal="left" vertical="center"/>
    </xf>
    <xf numFmtId="49" fontId="258" fillId="63" borderId="4" xfId="0" applyNumberFormat="1" applyFont="1" applyFill="1" applyBorder="1" applyAlignment="1">
      <alignment horizontal="center" vertical="center"/>
    </xf>
    <xf numFmtId="49" fontId="60" fillId="74" borderId="0" xfId="0" applyNumberFormat="1" applyFont="1" applyFill="1" applyAlignment="1">
      <alignment horizontal="center"/>
    </xf>
    <xf numFmtId="49" fontId="0" fillId="2" borderId="0" xfId="0" applyNumberFormat="1" applyFill="1" applyAlignment="1">
      <alignment horizontal="center" vertical="center"/>
    </xf>
    <xf numFmtId="49" fontId="0" fillId="2" borderId="0" xfId="0" applyNumberFormat="1" applyFill="1" applyAlignment="1">
      <alignment horizontal="center"/>
    </xf>
    <xf numFmtId="0" fontId="263" fillId="2" borderId="0" xfId="0" applyFont="1" applyFill="1" applyAlignment="1">
      <alignment horizontal="center"/>
    </xf>
    <xf numFmtId="0" fontId="57" fillId="74" borderId="0" xfId="0" applyFont="1" applyFill="1" applyAlignment="1">
      <alignment horizontal="center" vertical="center"/>
    </xf>
    <xf numFmtId="0" fontId="259" fillId="2" borderId="0" xfId="0" applyFont="1" applyFill="1" applyAlignment="1">
      <alignment horizontal="center"/>
    </xf>
    <xf numFmtId="164" fontId="0" fillId="3" borderId="47" xfId="0" applyNumberFormat="1" applyFill="1" applyBorder="1" applyAlignment="1">
      <alignment horizontal="left" vertical="center"/>
    </xf>
    <xf numFmtId="0" fontId="0" fillId="2" borderId="0" xfId="0" quotePrefix="1" applyFill="1" applyAlignment="1">
      <alignment horizontal="center"/>
    </xf>
    <xf numFmtId="0" fontId="57" fillId="3" borderId="32" xfId="0" applyFont="1" applyFill="1" applyBorder="1" applyAlignment="1">
      <alignment horizontal="left" vertical="center"/>
    </xf>
    <xf numFmtId="0" fontId="57" fillId="3" borderId="77" xfId="0" applyFont="1" applyFill="1" applyBorder="1" applyAlignment="1">
      <alignment horizontal="left" vertical="center"/>
    </xf>
    <xf numFmtId="0" fontId="0" fillId="3" borderId="47" xfId="0" applyFill="1" applyBorder="1" applyAlignment="1">
      <alignment horizontal="left" vertical="center"/>
    </xf>
    <xf numFmtId="0" fontId="53" fillId="3" borderId="3" xfId="0" applyFont="1" applyFill="1" applyBorder="1" applyAlignment="1">
      <alignment horizontal="left" vertical="center" wrapText="1"/>
    </xf>
    <xf numFmtId="4" fontId="0" fillId="3" borderId="3" xfId="0" applyNumberFormat="1" applyFill="1" applyBorder="1" applyAlignment="1">
      <alignment horizontal="left" vertical="center"/>
    </xf>
    <xf numFmtId="164" fontId="0" fillId="3" borderId="46" xfId="0" applyNumberFormat="1" applyFill="1" applyBorder="1" applyAlignment="1">
      <alignment horizontal="left" vertical="center"/>
    </xf>
    <xf numFmtId="16" fontId="0" fillId="2" borderId="3" xfId="0" applyNumberFormat="1" applyFill="1" applyBorder="1" applyAlignment="1">
      <alignment horizontal="center"/>
    </xf>
    <xf numFmtId="0" fontId="57" fillId="3" borderId="75" xfId="0" applyFont="1" applyFill="1" applyBorder="1" applyAlignment="1">
      <alignment horizontal="left" vertical="center"/>
    </xf>
    <xf numFmtId="10" fontId="23" fillId="0" borderId="0" xfId="77" applyNumberFormat="1" applyFont="1" applyAlignment="1">
      <alignment vertical="center"/>
    </xf>
    <xf numFmtId="8" fontId="0" fillId="3" borderId="3" xfId="0" applyNumberFormat="1" applyFill="1" applyBorder="1" applyAlignment="1">
      <alignment horizontal="left" vertical="center"/>
    </xf>
    <xf numFmtId="0" fontId="163" fillId="4" borderId="0" xfId="0" applyFont="1" applyFill="1" applyAlignment="1">
      <alignment horizontal="left" vertical="center"/>
    </xf>
    <xf numFmtId="0" fontId="53" fillId="3" borderId="46" xfId="0" applyFont="1" applyFill="1" applyBorder="1" applyAlignment="1">
      <alignment horizontal="left" vertical="center" wrapText="1"/>
    </xf>
    <xf numFmtId="0" fontId="0" fillId="3" borderId="46" xfId="0" applyFill="1" applyBorder="1" applyAlignment="1">
      <alignment horizontal="left" vertical="center"/>
    </xf>
    <xf numFmtId="4" fontId="0" fillId="3" borderId="46" xfId="0" applyNumberFormat="1" applyFill="1" applyBorder="1" applyAlignment="1">
      <alignment horizontal="left" vertical="center"/>
    </xf>
    <xf numFmtId="10" fontId="0" fillId="3" borderId="46" xfId="77" applyNumberFormat="1" applyFont="1" applyFill="1" applyBorder="1" applyAlignment="1">
      <alignment horizontal="left" vertical="center"/>
    </xf>
    <xf numFmtId="0" fontId="0" fillId="3" borderId="76" xfId="0" applyFill="1" applyBorder="1" applyAlignment="1">
      <alignment horizontal="left" vertical="center"/>
    </xf>
    <xf numFmtId="0" fontId="183" fillId="2" borderId="0" xfId="0" applyFont="1" applyFill="1"/>
    <xf numFmtId="0" fontId="57" fillId="2" borderId="32" xfId="0" applyFont="1" applyFill="1" applyBorder="1" applyAlignment="1">
      <alignment horizontal="left" vertical="center"/>
    </xf>
    <xf numFmtId="0" fontId="264" fillId="3" borderId="0" xfId="0" applyFont="1" applyFill="1" applyAlignment="1">
      <alignment horizontal="left" vertical="center"/>
    </xf>
    <xf numFmtId="0" fontId="115" fillId="3" borderId="3" xfId="0" applyFont="1" applyFill="1" applyBorder="1" applyAlignment="1">
      <alignment horizontal="left" vertical="center"/>
    </xf>
    <xf numFmtId="0" fontId="24" fillId="3" borderId="47" xfId="0" applyFont="1" applyFill="1" applyBorder="1" applyAlignment="1">
      <alignment horizontal="left" vertical="center"/>
    </xf>
    <xf numFmtId="0" fontId="0" fillId="0" borderId="26" xfId="0" applyBorder="1" applyAlignment="1">
      <alignment horizontal="left" vertical="center"/>
    </xf>
    <xf numFmtId="164" fontId="0" fillId="2" borderId="3" xfId="0" applyNumberFormat="1" applyFill="1" applyBorder="1" applyAlignment="1">
      <alignment horizontal="center"/>
    </xf>
    <xf numFmtId="0" fontId="29" fillId="3" borderId="75" xfId="0" applyFont="1" applyFill="1" applyBorder="1" applyAlignment="1">
      <alignment horizontal="left" vertical="center"/>
    </xf>
    <xf numFmtId="164" fontId="23" fillId="3" borderId="46" xfId="0" applyNumberFormat="1" applyFont="1" applyFill="1" applyBorder="1" applyAlignment="1">
      <alignment horizontal="left" vertical="center"/>
    </xf>
    <xf numFmtId="164" fontId="45" fillId="3" borderId="46" xfId="0" applyNumberFormat="1" applyFont="1" applyFill="1" applyBorder="1" applyAlignment="1">
      <alignment horizontal="left" vertical="center"/>
    </xf>
    <xf numFmtId="164" fontId="56" fillId="3" borderId="46" xfId="0" applyNumberFormat="1" applyFont="1" applyFill="1" applyBorder="1" applyAlignment="1">
      <alignment horizontal="left" vertical="center"/>
    </xf>
    <xf numFmtId="0" fontId="53" fillId="0" borderId="46" xfId="0" applyFont="1" applyBorder="1" applyAlignment="1">
      <alignment horizontal="left" vertical="center" wrapText="1"/>
    </xf>
    <xf numFmtId="0" fontId="53" fillId="0" borderId="47" xfId="0" applyFont="1" applyBorder="1" applyAlignment="1">
      <alignment horizontal="left" wrapText="1"/>
    </xf>
    <xf numFmtId="0" fontId="0" fillId="3" borderId="46" xfId="0" applyFill="1" applyBorder="1" applyAlignment="1">
      <alignment vertical="center"/>
    </xf>
    <xf numFmtId="0" fontId="25" fillId="0" borderId="0" xfId="0" applyFont="1" applyAlignment="1">
      <alignment horizontal="left" vertical="center"/>
    </xf>
    <xf numFmtId="164" fontId="24" fillId="3" borderId="46" xfId="0" applyNumberFormat="1" applyFont="1" applyFill="1" applyBorder="1" applyAlignment="1">
      <alignment horizontal="left" vertical="center"/>
    </xf>
    <xf numFmtId="0" fontId="24" fillId="3" borderId="46" xfId="0" applyFont="1" applyFill="1" applyBorder="1" applyAlignment="1">
      <alignment horizontal="left" vertical="center"/>
    </xf>
    <xf numFmtId="0" fontId="24" fillId="3" borderId="46" xfId="0" applyFont="1" applyFill="1" applyBorder="1" applyAlignment="1">
      <alignment horizontal="left" vertical="center" wrapText="1"/>
    </xf>
    <xf numFmtId="0" fontId="0" fillId="0" borderId="47" xfId="77" applyNumberFormat="1" applyFont="1" applyBorder="1" applyAlignment="1">
      <alignment horizontal="left"/>
    </xf>
    <xf numFmtId="0" fontId="0" fillId="107" borderId="0" xfId="0" applyFill="1" applyAlignment="1">
      <alignment horizontal="left" vertical="center"/>
    </xf>
    <xf numFmtId="0" fontId="0" fillId="109" borderId="47" xfId="0" applyFill="1" applyBorder="1" applyAlignment="1">
      <alignment horizontal="left" vertical="center"/>
    </xf>
    <xf numFmtId="0" fontId="115" fillId="3" borderId="46" xfId="0" applyFont="1" applyFill="1" applyBorder="1" applyAlignment="1">
      <alignment horizontal="left" vertical="center"/>
    </xf>
    <xf numFmtId="0" fontId="0" fillId="0" borderId="47" xfId="0" applyBorder="1"/>
    <xf numFmtId="16" fontId="23" fillId="0" borderId="0" xfId="0" applyNumberFormat="1" applyFont="1" applyAlignment="1">
      <alignment horizontal="left"/>
    </xf>
    <xf numFmtId="164" fontId="56" fillId="3" borderId="47" xfId="0" applyNumberFormat="1" applyFont="1" applyFill="1" applyBorder="1" applyAlignment="1">
      <alignment horizontal="left" vertical="center"/>
    </xf>
    <xf numFmtId="0" fontId="57" fillId="3" borderId="0" xfId="0" applyFont="1" applyFill="1" applyAlignment="1">
      <alignment horizontal="left" vertical="center"/>
    </xf>
    <xf numFmtId="164" fontId="56" fillId="3" borderId="47" xfId="0" applyNumberFormat="1" applyFont="1" applyFill="1" applyBorder="1" applyAlignment="1">
      <alignment horizontal="left" vertical="center" wrapText="1"/>
    </xf>
    <xf numFmtId="0" fontId="57" fillId="3" borderId="46" xfId="0" applyFont="1" applyFill="1" applyBorder="1" applyAlignment="1">
      <alignment horizontal="left" vertical="center"/>
    </xf>
    <xf numFmtId="164" fontId="57" fillId="2" borderId="3" xfId="0" applyNumberFormat="1" applyFont="1" applyFill="1" applyBorder="1" applyAlignment="1">
      <alignment horizontal="left" vertical="center"/>
    </xf>
    <xf numFmtId="0" fontId="24" fillId="3" borderId="46" xfId="0" applyFont="1" applyFill="1" applyBorder="1" applyAlignment="1">
      <alignment horizontal="left"/>
    </xf>
    <xf numFmtId="0" fontId="24" fillId="3" borderId="0" xfId="0" applyFont="1" applyFill="1" applyAlignment="1">
      <alignment horizontal="left" vertical="top"/>
    </xf>
    <xf numFmtId="164" fontId="56" fillId="3" borderId="46" xfId="0" applyNumberFormat="1" applyFont="1" applyFill="1" applyBorder="1" applyAlignment="1">
      <alignment horizontal="left" vertical="center" wrapText="1"/>
    </xf>
    <xf numFmtId="164" fontId="45" fillId="0" borderId="47" xfId="0" applyNumberFormat="1" applyFont="1" applyBorder="1" applyAlignment="1">
      <alignment horizontal="left" vertical="center"/>
    </xf>
    <xf numFmtId="0" fontId="0" fillId="2" borderId="3" xfId="0" applyFill="1" applyBorder="1" applyAlignment="1">
      <alignment horizontal="left" wrapText="1"/>
    </xf>
    <xf numFmtId="0" fontId="53" fillId="2" borderId="3" xfId="0" applyFont="1" applyFill="1" applyBorder="1" applyAlignment="1">
      <alignment horizontal="left" wrapText="1"/>
    </xf>
    <xf numFmtId="43" fontId="0" fillId="3" borderId="46" xfId="79" applyFont="1" applyFill="1" applyBorder="1" applyAlignment="1">
      <alignment horizontal="left" vertical="center"/>
    </xf>
    <xf numFmtId="3" fontId="0" fillId="0" borderId="47" xfId="0" applyNumberFormat="1" applyBorder="1" applyAlignment="1">
      <alignment horizontal="left" vertical="center"/>
    </xf>
    <xf numFmtId="8" fontId="0" fillId="3" borderId="46" xfId="0" applyNumberFormat="1" applyFill="1" applyBorder="1" applyAlignment="1">
      <alignment horizontal="left" vertical="center"/>
    </xf>
    <xf numFmtId="0" fontId="0" fillId="2" borderId="47" xfId="0" applyFill="1" applyBorder="1" applyAlignment="1">
      <alignment horizontal="left"/>
    </xf>
    <xf numFmtId="4" fontId="0" fillId="0" borderId="47" xfId="0" applyNumberFormat="1" applyBorder="1" applyAlignment="1">
      <alignment horizontal="left" vertical="center"/>
    </xf>
    <xf numFmtId="4" fontId="0" fillId="2" borderId="3" xfId="0" applyNumberFormat="1" applyFill="1" applyBorder="1" applyAlignment="1">
      <alignment horizontal="left"/>
    </xf>
    <xf numFmtId="0" fontId="0" fillId="0" borderId="3" xfId="77" applyNumberFormat="1" applyFont="1" applyBorder="1" applyAlignment="1">
      <alignment horizontal="left"/>
    </xf>
    <xf numFmtId="0" fontId="0" fillId="0" borderId="37" xfId="0" applyBorder="1" applyAlignment="1">
      <alignment horizontal="left" vertical="center"/>
    </xf>
    <xf numFmtId="0" fontId="0" fillId="2" borderId="33" xfId="0" applyFill="1" applyBorder="1" applyAlignment="1">
      <alignment horizontal="left"/>
    </xf>
    <xf numFmtId="0" fontId="57" fillId="2" borderId="77" xfId="0" applyFont="1" applyFill="1" applyBorder="1" applyAlignment="1">
      <alignment horizontal="left" vertical="center"/>
    </xf>
    <xf numFmtId="0" fontId="0" fillId="2" borderId="47" xfId="0" applyFill="1" applyBorder="1" applyAlignment="1">
      <alignment horizontal="left" vertical="center"/>
    </xf>
    <xf numFmtId="164" fontId="163" fillId="2" borderId="3" xfId="0" applyNumberFormat="1" applyFont="1" applyFill="1" applyBorder="1" applyAlignment="1">
      <alignment horizontal="left" vertical="center"/>
    </xf>
    <xf numFmtId="164" fontId="163" fillId="2" borderId="47" xfId="0" applyNumberFormat="1" applyFont="1" applyFill="1" applyBorder="1" applyAlignment="1">
      <alignment horizontal="left" vertical="center"/>
    </xf>
    <xf numFmtId="164" fontId="0" fillId="2" borderId="47" xfId="0" applyNumberFormat="1" applyFill="1" applyBorder="1" applyAlignment="1">
      <alignment horizontal="left"/>
    </xf>
    <xf numFmtId="0" fontId="53" fillId="2" borderId="47" xfId="0" applyFont="1" applyFill="1" applyBorder="1" applyAlignment="1">
      <alignment horizontal="left" wrapText="1"/>
    </xf>
    <xf numFmtId="4" fontId="0" fillId="2" borderId="47" xfId="0" applyNumberFormat="1" applyFill="1" applyBorder="1" applyAlignment="1">
      <alignment horizontal="left"/>
    </xf>
    <xf numFmtId="0" fontId="0" fillId="2" borderId="37" xfId="0" applyFill="1" applyBorder="1" applyAlignment="1">
      <alignment horizontal="left"/>
    </xf>
    <xf numFmtId="16" fontId="23" fillId="3" borderId="0" xfId="0" applyNumberFormat="1" applyFont="1" applyFill="1" applyAlignment="1">
      <alignment horizontal="center"/>
    </xf>
    <xf numFmtId="0" fontId="17" fillId="42" borderId="0" xfId="0" applyFont="1" applyFill="1" applyAlignment="1">
      <alignment horizontal="center" vertical="center"/>
    </xf>
    <xf numFmtId="0" fontId="23" fillId="4" borderId="0" xfId="0" applyFont="1" applyFill="1" applyAlignment="1">
      <alignment horizontal="center"/>
    </xf>
    <xf numFmtId="0" fontId="183" fillId="0" borderId="0" xfId="0" applyFont="1" applyAlignment="1">
      <alignment horizontal="center"/>
    </xf>
    <xf numFmtId="0" fontId="252" fillId="0" borderId="0" xfId="0" applyFont="1" applyAlignment="1">
      <alignment horizontal="center"/>
    </xf>
    <xf numFmtId="0" fontId="183" fillId="2" borderId="0" xfId="0" applyFont="1" applyFill="1" applyAlignment="1">
      <alignment horizontal="center"/>
    </xf>
    <xf numFmtId="0" fontId="29" fillId="2" borderId="3" xfId="0" applyFont="1" applyFill="1" applyBorder="1" applyAlignment="1">
      <alignment horizontal="center"/>
    </xf>
    <xf numFmtId="16" fontId="0" fillId="2" borderId="47" xfId="0" applyNumberFormat="1" applyFill="1" applyBorder="1" applyAlignment="1">
      <alignment horizontal="left"/>
    </xf>
    <xf numFmtId="16" fontId="23" fillId="2" borderId="46" xfId="0" applyNumberFormat="1" applyFont="1" applyFill="1" applyBorder="1" applyAlignment="1">
      <alignment horizontal="left"/>
    </xf>
    <xf numFmtId="0" fontId="0" fillId="2" borderId="47" xfId="0" applyFill="1" applyBorder="1"/>
    <xf numFmtId="10" fontId="45" fillId="0" borderId="0" xfId="77" applyNumberFormat="1" applyFont="1" applyAlignment="1">
      <alignment vertical="center"/>
    </xf>
    <xf numFmtId="0" fontId="53" fillId="0" borderId="0" xfId="0" applyFont="1" applyAlignment="1">
      <alignment horizontal="left" vertical="center"/>
    </xf>
    <xf numFmtId="0" fontId="57" fillId="2" borderId="0" xfId="0" applyFont="1" applyFill="1" applyAlignment="1">
      <alignment vertical="center"/>
    </xf>
    <xf numFmtId="16" fontId="23" fillId="2" borderId="0" xfId="0" applyNumberFormat="1" applyFont="1" applyFill="1" applyAlignment="1">
      <alignment vertical="center"/>
    </xf>
    <xf numFmtId="164" fontId="0" fillId="3" borderId="4" xfId="0" applyNumberFormat="1" applyFill="1" applyBorder="1" applyAlignment="1">
      <alignment vertical="center"/>
    </xf>
    <xf numFmtId="0" fontId="0" fillId="0" borderId="4" xfId="0" applyBorder="1" applyAlignment="1">
      <alignment vertical="center"/>
    </xf>
    <xf numFmtId="164" fontId="0" fillId="0" borderId="4" xfId="0" applyNumberFormat="1" applyBorder="1" applyAlignment="1">
      <alignment vertical="center"/>
    </xf>
    <xf numFmtId="0" fontId="53" fillId="0" borderId="4" xfId="0" applyFont="1" applyBorder="1" applyAlignment="1">
      <alignment vertical="center" wrapText="1"/>
    </xf>
    <xf numFmtId="164" fontId="0" fillId="0" borderId="4" xfId="0" applyNumberFormat="1" applyBorder="1" applyAlignment="1">
      <alignment horizontal="left" vertical="center"/>
    </xf>
    <xf numFmtId="0" fontId="0" fillId="0" borderId="4" xfId="0" applyBorder="1" applyAlignment="1">
      <alignment horizontal="left" vertical="center" wrapText="1"/>
    </xf>
    <xf numFmtId="10" fontId="0" fillId="0" borderId="4" xfId="77" applyNumberFormat="1" applyFont="1" applyBorder="1" applyAlignment="1">
      <alignment horizontal="left" vertical="center"/>
    </xf>
    <xf numFmtId="0" fontId="57" fillId="0" borderId="4" xfId="0" applyFont="1" applyBorder="1" applyAlignment="1">
      <alignment horizontal="left" vertical="center"/>
    </xf>
    <xf numFmtId="0" fontId="53" fillId="0" borderId="4" xfId="0" applyFont="1" applyBorder="1" applyAlignment="1">
      <alignment horizontal="left" vertical="center" wrapText="1"/>
    </xf>
    <xf numFmtId="4" fontId="0" fillId="0" borderId="4" xfId="0" applyNumberFormat="1" applyBorder="1" applyAlignment="1">
      <alignment horizontal="left" vertical="center"/>
    </xf>
    <xf numFmtId="0" fontId="57" fillId="0" borderId="4" xfId="0" applyFont="1" applyBorder="1" applyAlignment="1">
      <alignment horizontal="center" vertical="center"/>
    </xf>
    <xf numFmtId="0" fontId="0" fillId="2" borderId="30" xfId="0" applyFill="1" applyBorder="1" applyAlignment="1">
      <alignment vertical="center"/>
    </xf>
    <xf numFmtId="0" fontId="57" fillId="3" borderId="2" xfId="0" applyFont="1" applyFill="1" applyBorder="1" applyAlignment="1">
      <alignment vertical="center"/>
    </xf>
    <xf numFmtId="0" fontId="0" fillId="0" borderId="20" xfId="0" applyBorder="1" applyAlignment="1">
      <alignment vertical="center"/>
    </xf>
    <xf numFmtId="4" fontId="0" fillId="0" borderId="17" xfId="0" applyNumberFormat="1" applyBorder="1" applyAlignment="1">
      <alignment horizontal="left" vertical="center"/>
    </xf>
    <xf numFmtId="0" fontId="23" fillId="2" borderId="3" xfId="0" applyFont="1" applyFill="1" applyBorder="1" applyAlignment="1">
      <alignment horizontal="left" vertical="center"/>
    </xf>
    <xf numFmtId="16" fontId="0" fillId="0" borderId="0" xfId="0" applyNumberFormat="1" applyAlignment="1">
      <alignment horizontal="left"/>
    </xf>
    <xf numFmtId="164" fontId="45" fillId="2" borderId="46" xfId="0" applyNumberFormat="1" applyFont="1" applyFill="1" applyBorder="1" applyAlignment="1">
      <alignment horizontal="left" vertical="center"/>
    </xf>
    <xf numFmtId="16" fontId="45" fillId="2" borderId="0" xfId="0" applyNumberFormat="1" applyFont="1" applyFill="1" applyAlignment="1">
      <alignment horizontal="left"/>
    </xf>
    <xf numFmtId="16" fontId="45" fillId="2" borderId="3" xfId="0" applyNumberFormat="1" applyFont="1" applyFill="1" applyBorder="1" applyAlignment="1">
      <alignment horizontal="center" vertical="center"/>
    </xf>
    <xf numFmtId="16" fontId="45" fillId="2" borderId="0" xfId="0" applyNumberFormat="1" applyFont="1" applyFill="1" applyAlignment="1">
      <alignment horizontal="left" vertical="center"/>
    </xf>
    <xf numFmtId="164" fontId="163" fillId="0" borderId="0" xfId="0" applyNumberFormat="1" applyFont="1" applyAlignment="1">
      <alignment horizontal="left" vertical="center"/>
    </xf>
    <xf numFmtId="164" fontId="163" fillId="2" borderId="0" xfId="0" applyNumberFormat="1" applyFont="1" applyFill="1" applyAlignment="1">
      <alignment horizontal="left" vertical="center"/>
    </xf>
    <xf numFmtId="16" fontId="24" fillId="3" borderId="0" xfId="0" applyNumberFormat="1" applyFont="1" applyFill="1" applyAlignment="1">
      <alignment horizontal="left" vertical="center"/>
    </xf>
    <xf numFmtId="164" fontId="163" fillId="4" borderId="0" xfId="0" applyNumberFormat="1" applyFont="1" applyFill="1" applyAlignment="1">
      <alignment horizontal="left" vertical="center"/>
    </xf>
    <xf numFmtId="164" fontId="172" fillId="2" borderId="0" xfId="0" applyNumberFormat="1" applyFont="1" applyFill="1" applyAlignment="1">
      <alignment horizontal="left" vertical="center"/>
    </xf>
    <xf numFmtId="0" fontId="24" fillId="3" borderId="46" xfId="0" applyFont="1" applyFill="1" applyBorder="1" applyAlignment="1">
      <alignment vertical="center"/>
    </xf>
    <xf numFmtId="0" fontId="266" fillId="3" borderId="0" xfId="0" applyFont="1" applyFill="1" applyAlignment="1">
      <alignment horizontal="left" vertical="center"/>
    </xf>
    <xf numFmtId="11" fontId="24" fillId="3" borderId="0" xfId="0" applyNumberFormat="1" applyFont="1" applyFill="1" applyAlignment="1">
      <alignment horizontal="left" vertical="center" wrapText="1"/>
    </xf>
    <xf numFmtId="0" fontId="24" fillId="3" borderId="0" xfId="0" quotePrefix="1" applyFont="1" applyFill="1" applyAlignment="1">
      <alignment horizontal="left" vertical="center" wrapText="1"/>
    </xf>
    <xf numFmtId="0" fontId="0" fillId="2" borderId="0" xfId="0" quotePrefix="1" applyFill="1" applyAlignment="1">
      <alignment horizontal="left" vertical="center"/>
    </xf>
    <xf numFmtId="164" fontId="24" fillId="3" borderId="47" xfId="0" applyNumberFormat="1" applyFont="1" applyFill="1" applyBorder="1" applyAlignment="1">
      <alignment horizontal="left" vertical="center"/>
    </xf>
    <xf numFmtId="0" fontId="267" fillId="3" borderId="0" xfId="0" applyFont="1" applyFill="1" applyAlignment="1">
      <alignment horizontal="left" vertical="center" wrapText="1"/>
    </xf>
    <xf numFmtId="0" fontId="53" fillId="3" borderId="47" xfId="0" applyFont="1" applyFill="1" applyBorder="1" applyAlignment="1">
      <alignment horizontal="left" vertical="center" wrapText="1"/>
    </xf>
    <xf numFmtId="0" fontId="53" fillId="2" borderId="47" xfId="0" applyFont="1" applyFill="1" applyBorder="1" applyAlignment="1">
      <alignment horizontal="left" vertical="center" wrapText="1"/>
    </xf>
    <xf numFmtId="0" fontId="267" fillId="3" borderId="0" xfId="0" applyFont="1" applyFill="1" applyAlignment="1">
      <alignment horizontal="left" vertical="center"/>
    </xf>
    <xf numFmtId="4" fontId="0" fillId="3" borderId="47" xfId="0" applyNumberFormat="1" applyFill="1" applyBorder="1" applyAlignment="1">
      <alignment horizontal="left" vertical="center"/>
    </xf>
    <xf numFmtId="8" fontId="0" fillId="3" borderId="47" xfId="0" applyNumberFormat="1" applyFill="1" applyBorder="1" applyAlignment="1">
      <alignment horizontal="left" vertical="center"/>
    </xf>
    <xf numFmtId="4" fontId="0" fillId="0" borderId="46" xfId="0" applyNumberFormat="1" applyBorder="1" applyAlignment="1">
      <alignment horizontal="left" vertical="center"/>
    </xf>
    <xf numFmtId="10" fontId="0" fillId="3" borderId="47" xfId="77" applyNumberFormat="1" applyFont="1" applyFill="1" applyBorder="1" applyAlignment="1">
      <alignment horizontal="left" vertical="center"/>
    </xf>
    <xf numFmtId="0" fontId="0" fillId="3" borderId="37" xfId="0" applyFill="1" applyBorder="1" applyAlignment="1">
      <alignment horizontal="left" vertical="center"/>
    </xf>
    <xf numFmtId="0" fontId="0" fillId="0" borderId="76" xfId="0" applyBorder="1" applyAlignment="1">
      <alignment horizontal="left" vertical="center"/>
    </xf>
    <xf numFmtId="0" fontId="57" fillId="111" borderId="75" xfId="0" applyFont="1" applyFill="1" applyBorder="1" applyAlignment="1">
      <alignment horizontal="left" vertical="center"/>
    </xf>
    <xf numFmtId="0" fontId="29" fillId="111" borderId="46" xfId="0" applyFont="1" applyFill="1" applyBorder="1" applyAlignment="1">
      <alignment horizontal="left" vertical="center"/>
    </xf>
    <xf numFmtId="16" fontId="0" fillId="111" borderId="46" xfId="0" applyNumberFormat="1" applyFill="1" applyBorder="1" applyAlignment="1">
      <alignment horizontal="center" vertical="center"/>
    </xf>
    <xf numFmtId="16" fontId="45" fillId="111" borderId="46" xfId="0" applyNumberFormat="1" applyFont="1" applyFill="1" applyBorder="1" applyAlignment="1">
      <alignment horizontal="center" vertical="center"/>
    </xf>
    <xf numFmtId="0" fontId="0" fillId="111" borderId="46" xfId="0" applyFill="1" applyBorder="1" applyAlignment="1">
      <alignment horizontal="center" vertical="center"/>
    </xf>
    <xf numFmtId="164" fontId="163" fillId="111" borderId="47" xfId="0" applyNumberFormat="1" applyFont="1" applyFill="1" applyBorder="1" applyAlignment="1">
      <alignment horizontal="left" vertical="center"/>
    </xf>
    <xf numFmtId="0" fontId="0" fillId="111" borderId="47" xfId="0" applyFill="1" applyBorder="1" applyAlignment="1">
      <alignment horizontal="left" vertical="center"/>
    </xf>
    <xf numFmtId="164" fontId="0" fillId="111" borderId="46" xfId="0" applyNumberFormat="1" applyFill="1" applyBorder="1" applyAlignment="1">
      <alignment horizontal="left"/>
    </xf>
    <xf numFmtId="0" fontId="0" fillId="111" borderId="46" xfId="0" applyFill="1" applyBorder="1" applyAlignment="1">
      <alignment horizontal="left" wrapText="1"/>
    </xf>
    <xf numFmtId="0" fontId="53" fillId="111" borderId="46" xfId="0" applyFont="1" applyFill="1" applyBorder="1" applyAlignment="1">
      <alignment horizontal="center" wrapText="1"/>
    </xf>
    <xf numFmtId="0" fontId="0" fillId="111" borderId="47" xfId="0" applyFill="1" applyBorder="1" applyAlignment="1">
      <alignment horizontal="left"/>
    </xf>
    <xf numFmtId="4" fontId="0" fillId="111" borderId="47" xfId="0" applyNumberFormat="1" applyFill="1" applyBorder="1" applyAlignment="1">
      <alignment horizontal="left"/>
    </xf>
    <xf numFmtId="0" fontId="0" fillId="111" borderId="37" xfId="0" applyFill="1" applyBorder="1" applyAlignment="1">
      <alignment horizontal="left"/>
    </xf>
    <xf numFmtId="0" fontId="0" fillId="111" borderId="0" xfId="0" applyFill="1" applyAlignment="1">
      <alignment horizontal="left" vertical="center"/>
    </xf>
    <xf numFmtId="16" fontId="23" fillId="111" borderId="0" xfId="0" applyNumberFormat="1" applyFont="1" applyFill="1" applyAlignment="1">
      <alignment horizontal="left"/>
    </xf>
    <xf numFmtId="0" fontId="0" fillId="2" borderId="21" xfId="0" applyFill="1" applyBorder="1" applyAlignment="1">
      <alignment vertical="center"/>
    </xf>
    <xf numFmtId="0" fontId="0" fillId="0" borderId="26" xfId="0" applyBorder="1" applyAlignment="1">
      <alignment vertical="center"/>
    </xf>
    <xf numFmtId="0" fontId="0" fillId="0" borderId="3" xfId="0" applyBorder="1" applyAlignment="1">
      <alignment vertical="center"/>
    </xf>
    <xf numFmtId="164" fontId="0" fillId="0" borderId="3" xfId="0" applyNumberFormat="1" applyBorder="1" applyAlignment="1">
      <alignment vertical="center"/>
    </xf>
    <xf numFmtId="0" fontId="53" fillId="0" borderId="3" xfId="0" applyFont="1" applyBorder="1" applyAlignment="1">
      <alignment vertical="center" wrapText="1"/>
    </xf>
    <xf numFmtId="0" fontId="53" fillId="3" borderId="4" xfId="0" applyFont="1" applyFill="1" applyBorder="1" applyAlignment="1">
      <alignment vertical="center" wrapText="1"/>
    </xf>
    <xf numFmtId="10" fontId="0" fillId="3" borderId="4" xfId="77" applyNumberFormat="1" applyFont="1" applyFill="1" applyBorder="1" applyAlignment="1">
      <alignment vertical="center"/>
    </xf>
    <xf numFmtId="0" fontId="0" fillId="3" borderId="1" xfId="0" applyFill="1" applyBorder="1" applyAlignment="1">
      <alignment vertical="center"/>
    </xf>
    <xf numFmtId="164" fontId="0" fillId="0" borderId="20" xfId="0" applyNumberFormat="1" applyBorder="1" applyAlignment="1">
      <alignment vertical="center"/>
    </xf>
    <xf numFmtId="0" fontId="53" fillId="0" borderId="27" xfId="0" applyFont="1" applyBorder="1" applyAlignment="1">
      <alignment vertical="center" wrapText="1"/>
    </xf>
    <xf numFmtId="0" fontId="0" fillId="0" borderId="20" xfId="0" applyBorder="1" applyAlignment="1">
      <alignment horizontal="left" vertical="center" wrapText="1"/>
    </xf>
    <xf numFmtId="0" fontId="0" fillId="0" borderId="32" xfId="0" applyBorder="1" applyAlignment="1">
      <alignment horizontal="left" vertical="center" wrapText="1"/>
    </xf>
    <xf numFmtId="0" fontId="0" fillId="0" borderId="19" xfId="0" applyBorder="1" applyAlignment="1">
      <alignment vertical="center" wrapText="1"/>
    </xf>
    <xf numFmtId="0" fontId="0" fillId="0" borderId="3" xfId="0" applyBorder="1" applyAlignment="1">
      <alignment vertical="center" wrapText="1"/>
    </xf>
    <xf numFmtId="0" fontId="53" fillId="0" borderId="17" xfId="0" applyFont="1" applyBorder="1" applyAlignment="1">
      <alignment vertical="center" wrapText="1"/>
    </xf>
    <xf numFmtId="0" fontId="0" fillId="0" borderId="20" xfId="0" applyBorder="1" applyAlignment="1">
      <alignment vertical="center" wrapText="1"/>
    </xf>
    <xf numFmtId="0" fontId="299" fillId="0" borderId="0" xfId="0" applyFont="1" applyAlignment="1">
      <alignment horizontal="left" vertical="center"/>
    </xf>
    <xf numFmtId="0" fontId="299" fillId="0" borderId="0" xfId="0" applyFont="1" applyAlignment="1">
      <alignment horizontal="left" vertical="center" wrapText="1"/>
    </xf>
    <xf numFmtId="10" fontId="299" fillId="0" borderId="0" xfId="77" applyNumberFormat="1" applyFont="1" applyFill="1" applyAlignment="1">
      <alignment horizontal="left" vertical="center"/>
    </xf>
    <xf numFmtId="10" fontId="299" fillId="0" borderId="0" xfId="77" applyNumberFormat="1" applyFont="1" applyAlignment="1">
      <alignment horizontal="left" vertical="center"/>
    </xf>
    <xf numFmtId="0" fontId="57" fillId="3" borderId="0" xfId="0" applyFont="1" applyFill="1" applyAlignment="1">
      <alignment vertical="center"/>
    </xf>
    <xf numFmtId="0" fontId="29" fillId="0" borderId="0" xfId="0" applyFont="1" applyAlignment="1">
      <alignment vertical="center"/>
    </xf>
    <xf numFmtId="164" fontId="23" fillId="3" borderId="0" xfId="0" applyNumberFormat="1" applyFont="1" applyFill="1" applyAlignment="1">
      <alignment horizontal="right" vertical="center"/>
    </xf>
    <xf numFmtId="164" fontId="23" fillId="2" borderId="0" xfId="0" applyNumberFormat="1" applyFont="1" applyFill="1" applyAlignment="1">
      <alignment horizontal="right" vertical="center"/>
    </xf>
    <xf numFmtId="0" fontId="57" fillId="3" borderId="4" xfId="0" applyFont="1" applyFill="1" applyBorder="1" applyAlignment="1">
      <alignment vertical="center"/>
    </xf>
    <xf numFmtId="164" fontId="0" fillId="2" borderId="0" xfId="0" applyNumberFormat="1" applyFill="1" applyAlignment="1">
      <alignment vertical="center" wrapText="1"/>
    </xf>
    <xf numFmtId="0" fontId="24" fillId="3" borderId="0" xfId="0" quotePrefix="1" applyFont="1" applyFill="1" applyAlignment="1">
      <alignment vertical="center" wrapText="1"/>
    </xf>
    <xf numFmtId="0" fontId="70" fillId="3" borderId="0" xfId="0" applyFont="1" applyFill="1" applyAlignment="1">
      <alignment vertical="center" wrapText="1"/>
    </xf>
    <xf numFmtId="0" fontId="45" fillId="2" borderId="0" xfId="0" applyFont="1" applyFill="1" applyAlignment="1">
      <alignment vertical="center" wrapText="1"/>
    </xf>
    <xf numFmtId="0" fontId="53" fillId="2" borderId="0" xfId="0" applyFont="1" applyFill="1" applyAlignment="1">
      <alignment vertical="center"/>
    </xf>
    <xf numFmtId="4" fontId="0" fillId="3" borderId="4" xfId="0" applyNumberFormat="1" applyFill="1" applyBorder="1" applyAlignment="1">
      <alignment vertical="center"/>
    </xf>
    <xf numFmtId="4" fontId="0" fillId="2" borderId="0" xfId="0" applyNumberFormat="1" applyFill="1" applyAlignment="1">
      <alignment vertical="center"/>
    </xf>
    <xf numFmtId="0" fontId="252" fillId="2" borderId="0" xfId="0" applyFont="1" applyFill="1" applyAlignment="1">
      <alignment horizontal="left"/>
    </xf>
    <xf numFmtId="0" fontId="0" fillId="77" borderId="0" xfId="0" applyFill="1" applyAlignment="1">
      <alignment vertical="center"/>
    </xf>
    <xf numFmtId="0" fontId="23" fillId="2" borderId="0" xfId="0" applyFont="1" applyFill="1" applyAlignment="1">
      <alignment horizontal="center" vertical="center" wrapText="1"/>
    </xf>
    <xf numFmtId="4" fontId="0" fillId="2" borderId="0" xfId="0" applyNumberFormat="1" applyFill="1" applyAlignment="1">
      <alignment horizontal="left"/>
    </xf>
    <xf numFmtId="0" fontId="57" fillId="0" borderId="0" xfId="0" applyFont="1" applyAlignment="1">
      <alignment horizontal="left" vertical="center"/>
    </xf>
    <xf numFmtId="0" fontId="53" fillId="0" borderId="0" xfId="0" applyFont="1" applyAlignment="1">
      <alignment horizontal="left" vertical="center" wrapText="1"/>
    </xf>
    <xf numFmtId="16" fontId="0" fillId="0" borderId="0" xfId="0" applyNumberFormat="1" applyAlignment="1">
      <alignment horizontal="left" vertical="center"/>
    </xf>
    <xf numFmtId="0" fontId="146" fillId="0" borderId="0" xfId="0" applyFont="1" applyAlignment="1">
      <alignment horizontal="left" vertical="center"/>
    </xf>
    <xf numFmtId="0" fontId="57" fillId="0" borderId="0" xfId="0" applyFont="1" applyAlignment="1">
      <alignment horizontal="left" vertical="center" wrapText="1"/>
    </xf>
    <xf numFmtId="10" fontId="0" fillId="0" borderId="0" xfId="77" applyNumberFormat="1" applyFont="1" applyFill="1" applyBorder="1" applyAlignment="1">
      <alignment horizontal="left" vertical="center"/>
    </xf>
    <xf numFmtId="0" fontId="4" fillId="0" borderId="0" xfId="0" applyFont="1" applyAlignment="1">
      <alignment horizontal="left" vertical="center"/>
    </xf>
    <xf numFmtId="0" fontId="4" fillId="2" borderId="0" xfId="0" applyFont="1" applyFill="1"/>
    <xf numFmtId="0" fontId="4" fillId="0" borderId="0" xfId="0" applyFont="1" applyAlignment="1">
      <alignment vertical="center"/>
    </xf>
    <xf numFmtId="0" fontId="29" fillId="0" borderId="17" xfId="0" applyFont="1" applyBorder="1" applyAlignment="1">
      <alignment vertical="center"/>
    </xf>
    <xf numFmtId="0" fontId="29" fillId="0" borderId="18" xfId="0" applyFont="1" applyBorder="1" applyAlignment="1">
      <alignment vertical="center"/>
    </xf>
    <xf numFmtId="164" fontId="23" fillId="0" borderId="17" xfId="0" applyNumberFormat="1" applyFont="1" applyBorder="1" applyAlignment="1">
      <alignment vertical="center" wrapText="1"/>
    </xf>
    <xf numFmtId="0" fontId="29" fillId="106" borderId="17" xfId="0" applyFont="1" applyFill="1" applyBorder="1" applyAlignment="1">
      <alignment vertical="center"/>
    </xf>
    <xf numFmtId="0" fontId="29" fillId="0" borderId="19" xfId="0" applyFont="1" applyBorder="1" applyAlignment="1">
      <alignment vertical="center"/>
    </xf>
    <xf numFmtId="0" fontId="23" fillId="0" borderId="17" xfId="0" applyFont="1" applyBorder="1" applyAlignment="1">
      <alignment vertical="center"/>
    </xf>
    <xf numFmtId="0" fontId="29" fillId="0" borderId="17" xfId="0" applyFont="1" applyBorder="1" applyAlignment="1">
      <alignment vertical="center" wrapText="1"/>
    </xf>
    <xf numFmtId="0" fontId="29" fillId="0" borderId="18" xfId="0" applyFont="1" applyBorder="1" applyAlignment="1">
      <alignment vertical="center" wrapText="1"/>
    </xf>
    <xf numFmtId="0" fontId="29" fillId="0" borderId="3" xfId="0" applyFont="1" applyBorder="1" applyAlignment="1">
      <alignment vertical="center" wrapText="1"/>
    </xf>
    <xf numFmtId="0" fontId="0" fillId="107" borderId="4" xfId="0" applyFill="1" applyBorder="1" applyAlignment="1">
      <alignment horizontal="left" vertical="center"/>
    </xf>
    <xf numFmtId="16" fontId="0" fillId="0" borderId="4" xfId="0" applyNumberFormat="1" applyBorder="1" applyAlignment="1">
      <alignment horizontal="left" vertical="center"/>
    </xf>
    <xf numFmtId="0" fontId="301" fillId="2" borderId="0" xfId="0" applyFont="1" applyFill="1"/>
    <xf numFmtId="0" fontId="57" fillId="3" borderId="17" xfId="0" applyFont="1" applyFill="1" applyBorder="1" applyAlignment="1">
      <alignment vertical="center"/>
    </xf>
    <xf numFmtId="0" fontId="146" fillId="3" borderId="17" xfId="0" applyFont="1" applyFill="1" applyBorder="1" applyAlignment="1">
      <alignment vertical="center"/>
    </xf>
    <xf numFmtId="0" fontId="57" fillId="2" borderId="17" xfId="0" applyFont="1" applyFill="1" applyBorder="1" applyAlignment="1">
      <alignment vertical="center"/>
    </xf>
    <xf numFmtId="0" fontId="53" fillId="2" borderId="17" xfId="0" applyFont="1" applyFill="1" applyBorder="1" applyAlignment="1">
      <alignment vertical="center"/>
    </xf>
    <xf numFmtId="164" fontId="0" fillId="2" borderId="17" xfId="0" applyNumberFormat="1" applyFill="1" applyBorder="1" applyAlignment="1">
      <alignment vertical="center"/>
    </xf>
    <xf numFmtId="164" fontId="23" fillId="2" borderId="17" xfId="0" applyNumberFormat="1" applyFont="1" applyFill="1" applyBorder="1" applyAlignment="1">
      <alignment vertical="center"/>
    </xf>
    <xf numFmtId="164" fontId="24" fillId="2" borderId="17" xfId="0" applyNumberFormat="1" applyFont="1" applyFill="1" applyBorder="1" applyAlignment="1">
      <alignment vertical="center"/>
    </xf>
    <xf numFmtId="164" fontId="24" fillId="2" borderId="17" xfId="0" applyNumberFormat="1" applyFont="1" applyFill="1" applyBorder="1" applyAlignment="1">
      <alignment vertical="center" wrapText="1"/>
    </xf>
    <xf numFmtId="0" fontId="4" fillId="2" borderId="0" xfId="0" applyFont="1" applyFill="1" applyAlignment="1">
      <alignment vertical="center"/>
    </xf>
    <xf numFmtId="0" fontId="23" fillId="0" borderId="19" xfId="0" applyFont="1" applyBorder="1" applyAlignment="1">
      <alignment vertical="center"/>
    </xf>
    <xf numFmtId="0" fontId="25" fillId="0" borderId="17" xfId="0" applyFont="1" applyBorder="1" applyAlignment="1">
      <alignment vertical="center"/>
    </xf>
    <xf numFmtId="164" fontId="24" fillId="0" borderId="18" xfId="0" applyNumberFormat="1" applyFont="1" applyBorder="1" applyAlignment="1">
      <alignment vertical="center"/>
    </xf>
    <xf numFmtId="0" fontId="24" fillId="0" borderId="17" xfId="0" applyFont="1" applyBorder="1" applyAlignment="1">
      <alignment vertical="center" wrapText="1"/>
    </xf>
    <xf numFmtId="164" fontId="24" fillId="0" borderId="17" xfId="0" applyNumberFormat="1" applyFont="1" applyBorder="1" applyAlignment="1">
      <alignment vertical="center"/>
    </xf>
    <xf numFmtId="0" fontId="23" fillId="0" borderId="17" xfId="0" applyFont="1" applyBorder="1" applyAlignment="1">
      <alignment vertical="center" wrapText="1"/>
    </xf>
    <xf numFmtId="0" fontId="4" fillId="0" borderId="17" xfId="0" applyFont="1" applyBorder="1" applyAlignment="1">
      <alignment vertical="center"/>
    </xf>
    <xf numFmtId="164" fontId="24" fillId="106" borderId="17" xfId="0" applyNumberFormat="1" applyFont="1" applyFill="1" applyBorder="1" applyAlignment="1">
      <alignment vertical="center" wrapText="1"/>
    </xf>
    <xf numFmtId="14" fontId="4" fillId="0" borderId="0" xfId="0" applyNumberFormat="1" applyFont="1" applyAlignment="1">
      <alignment vertical="center"/>
    </xf>
    <xf numFmtId="0" fontId="4" fillId="0" borderId="0" xfId="0" applyFont="1" applyAlignment="1">
      <alignment vertical="center" wrapText="1"/>
    </xf>
    <xf numFmtId="0" fontId="4" fillId="0" borderId="0" xfId="0" applyFont="1" applyAlignment="1">
      <alignment vertical="top"/>
    </xf>
    <xf numFmtId="10" fontId="4" fillId="0" borderId="0" xfId="77" applyNumberFormat="1" applyFont="1" applyBorder="1" applyAlignment="1">
      <alignment vertical="center"/>
    </xf>
    <xf numFmtId="0" fontId="146" fillId="2" borderId="17" xfId="0" applyFont="1" applyFill="1" applyBorder="1" applyAlignment="1">
      <alignment vertical="center"/>
    </xf>
    <xf numFmtId="10" fontId="0" fillId="0" borderId="4" xfId="77" applyNumberFormat="1" applyFont="1" applyBorder="1" applyAlignment="1">
      <alignment vertical="center"/>
    </xf>
    <xf numFmtId="164" fontId="45" fillId="3" borderId="17" xfId="0" applyNumberFormat="1" applyFont="1" applyFill="1" applyBorder="1" applyAlignment="1">
      <alignment vertical="center"/>
    </xf>
    <xf numFmtId="0" fontId="3" fillId="0" borderId="0" xfId="0" applyFont="1" applyAlignment="1">
      <alignment horizontal="left"/>
    </xf>
    <xf numFmtId="14" fontId="0" fillId="0" borderId="17" xfId="0" applyNumberFormat="1" applyBorder="1"/>
    <xf numFmtId="0" fontId="54" fillId="113" borderId="0" xfId="0" applyFont="1" applyFill="1" applyAlignment="1">
      <alignment horizontal="left" vertical="center"/>
    </xf>
    <xf numFmtId="16" fontId="23" fillId="0" borderId="0" xfId="0" applyNumberFormat="1" applyFont="1" applyAlignment="1">
      <alignment horizontal="left" vertical="center"/>
    </xf>
    <xf numFmtId="14" fontId="0" fillId="0" borderId="0" xfId="0" applyNumberFormat="1" applyAlignment="1">
      <alignment horizontal="left" vertical="center" wrapText="1"/>
    </xf>
    <xf numFmtId="4" fontId="0" fillId="0" borderId="0" xfId="0" applyNumberFormat="1" applyAlignment="1">
      <alignment horizontal="left" vertical="center"/>
    </xf>
    <xf numFmtId="164" fontId="57" fillId="0" borderId="0" xfId="0" applyNumberFormat="1" applyFont="1" applyAlignment="1">
      <alignment horizontal="left" vertical="center"/>
    </xf>
    <xf numFmtId="164" fontId="29" fillId="0" borderId="0" xfId="0" applyNumberFormat="1" applyFont="1" applyAlignment="1">
      <alignment horizontal="left" vertical="center"/>
    </xf>
    <xf numFmtId="0" fontId="115" fillId="0" borderId="0" xfId="0" applyFont="1" applyAlignment="1">
      <alignment horizontal="left" vertical="center"/>
    </xf>
    <xf numFmtId="14" fontId="23" fillId="0" borderId="0" xfId="0" applyNumberFormat="1" applyFont="1" applyAlignment="1">
      <alignment horizontal="left" vertical="center"/>
    </xf>
    <xf numFmtId="0" fontId="57" fillId="0" borderId="17" xfId="0" applyFont="1" applyBorder="1" applyAlignment="1">
      <alignment vertical="center"/>
    </xf>
    <xf numFmtId="0" fontId="57" fillId="2" borderId="20" xfId="0" applyFont="1" applyFill="1" applyBorder="1" applyAlignment="1">
      <alignment vertical="center"/>
    </xf>
    <xf numFmtId="0" fontId="29" fillId="2" borderId="20" xfId="0" applyFont="1" applyFill="1" applyBorder="1" applyAlignment="1">
      <alignment vertical="center"/>
    </xf>
    <xf numFmtId="0" fontId="0" fillId="4" borderId="17" xfId="0" applyFill="1" applyBorder="1"/>
    <xf numFmtId="0" fontId="57" fillId="2" borderId="4" xfId="0" applyFont="1" applyFill="1" applyBorder="1" applyAlignment="1">
      <alignment vertical="center"/>
    </xf>
    <xf numFmtId="0" fontId="29" fillId="2" borderId="4" xfId="0" applyFont="1" applyFill="1" applyBorder="1" applyAlignment="1">
      <alignment vertical="center"/>
    </xf>
    <xf numFmtId="14" fontId="0" fillId="0" borderId="17" xfId="0" applyNumberFormat="1" applyBorder="1" applyAlignment="1">
      <alignment horizontal="left"/>
    </xf>
    <xf numFmtId="0" fontId="29" fillId="2" borderId="17" xfId="0" applyFont="1" applyFill="1" applyBorder="1" applyAlignment="1">
      <alignment vertical="center"/>
    </xf>
    <xf numFmtId="0" fontId="29" fillId="2" borderId="20" xfId="0" applyFont="1" applyFill="1" applyBorder="1" applyAlignment="1">
      <alignment vertical="center" wrapText="1"/>
    </xf>
    <xf numFmtId="179" fontId="0" fillId="0" borderId="0" xfId="0" applyNumberFormat="1" applyAlignment="1">
      <alignment vertical="center"/>
    </xf>
    <xf numFmtId="0" fontId="0" fillId="0" borderId="80" xfId="0" applyBorder="1" applyAlignment="1">
      <alignment horizontal="left" vertical="center"/>
    </xf>
    <xf numFmtId="179" fontId="0" fillId="0" borderId="17" xfId="0" applyNumberFormat="1" applyBorder="1" applyAlignment="1">
      <alignment vertical="center"/>
    </xf>
    <xf numFmtId="0" fontId="0" fillId="0" borderId="81" xfId="0" applyBorder="1" applyAlignment="1">
      <alignment vertical="center"/>
    </xf>
    <xf numFmtId="164" fontId="0" fillId="0" borderId="81" xfId="0" applyNumberFormat="1" applyBorder="1" applyAlignment="1">
      <alignment vertical="center"/>
    </xf>
    <xf numFmtId="164" fontId="0" fillId="0" borderId="81" xfId="0" applyNumberFormat="1" applyBorder="1" applyAlignment="1">
      <alignment horizontal="left" vertical="center"/>
    </xf>
    <xf numFmtId="179" fontId="0" fillId="0" borderId="81" xfId="0" applyNumberFormat="1" applyBorder="1" applyAlignment="1">
      <alignment vertical="center"/>
    </xf>
    <xf numFmtId="0" fontId="316" fillId="0" borderId="17" xfId="0" applyFont="1" applyBorder="1" applyAlignment="1">
      <alignment vertical="center"/>
    </xf>
    <xf numFmtId="164" fontId="0" fillId="0" borderId="17" xfId="0" applyNumberFormat="1" applyBorder="1" applyAlignment="1">
      <alignment horizontal="right" vertical="center"/>
    </xf>
    <xf numFmtId="164" fontId="0" fillId="0" borderId="18" xfId="0" applyNumberFormat="1" applyBorder="1" applyAlignment="1">
      <alignment horizontal="right" vertical="center"/>
    </xf>
    <xf numFmtId="179" fontId="0" fillId="0" borderId="18" xfId="0" applyNumberFormat="1" applyBorder="1" applyAlignment="1">
      <alignment vertical="center"/>
    </xf>
    <xf numFmtId="0" fontId="0" fillId="0" borderId="81" xfId="0" applyBorder="1" applyAlignment="1">
      <alignment horizontal="left" vertical="center"/>
    </xf>
    <xf numFmtId="164" fontId="23" fillId="0" borderId="0" xfId="0" applyNumberFormat="1" applyFont="1"/>
    <xf numFmtId="9" fontId="0" fillId="2" borderId="17" xfId="0" applyNumberFormat="1" applyFill="1" applyBorder="1" applyAlignment="1">
      <alignment vertical="center"/>
    </xf>
    <xf numFmtId="14" fontId="23" fillId="2" borderId="0" xfId="0" applyNumberFormat="1" applyFont="1" applyFill="1" applyAlignment="1">
      <alignment vertical="center"/>
    </xf>
    <xf numFmtId="0" fontId="29" fillId="3" borderId="17" xfId="0" applyFont="1" applyFill="1" applyBorder="1" applyAlignment="1">
      <alignment vertical="center"/>
    </xf>
    <xf numFmtId="0" fontId="29" fillId="3" borderId="17" xfId="0" applyFont="1" applyFill="1" applyBorder="1" applyAlignment="1">
      <alignment vertical="center" wrapText="1"/>
    </xf>
    <xf numFmtId="0" fontId="0" fillId="0" borderId="21" xfId="0" applyBorder="1"/>
    <xf numFmtId="0" fontId="29" fillId="3" borderId="3" xfId="0" applyFont="1" applyFill="1" applyBorder="1" applyAlignment="1">
      <alignment vertical="center"/>
    </xf>
    <xf numFmtId="0" fontId="24" fillId="3" borderId="3" xfId="0" applyFont="1" applyFill="1" applyBorder="1" applyAlignment="1">
      <alignment vertical="center"/>
    </xf>
    <xf numFmtId="0" fontId="29" fillId="3" borderId="3" xfId="0" applyFont="1" applyFill="1" applyBorder="1" applyAlignment="1">
      <alignment vertical="center" wrapText="1"/>
    </xf>
    <xf numFmtId="14" fontId="23" fillId="2" borderId="18" xfId="0" applyNumberFormat="1" applyFont="1" applyFill="1" applyBorder="1" applyAlignment="1">
      <alignment vertical="center"/>
    </xf>
    <xf numFmtId="0" fontId="0" fillId="0" borderId="4" xfId="0" quotePrefix="1" applyBorder="1"/>
    <xf numFmtId="16" fontId="0" fillId="0" borderId="4" xfId="0" applyNumberFormat="1" applyBorder="1" applyAlignment="1">
      <alignment vertical="center"/>
    </xf>
    <xf numFmtId="0" fontId="0" fillId="0" borderId="1" xfId="0" applyBorder="1"/>
    <xf numFmtId="164" fontId="23" fillId="2" borderId="18" xfId="0" applyNumberFormat="1" applyFont="1" applyFill="1" applyBorder="1" applyAlignment="1">
      <alignment vertical="center"/>
    </xf>
    <xf numFmtId="164" fontId="24" fillId="2" borderId="18" xfId="0" applyNumberFormat="1" applyFont="1" applyFill="1" applyBorder="1" applyAlignment="1">
      <alignment vertical="center"/>
    </xf>
    <xf numFmtId="0" fontId="24" fillId="2" borderId="18" xfId="0" applyFont="1" applyFill="1" applyBorder="1" applyAlignment="1">
      <alignment vertical="center"/>
    </xf>
    <xf numFmtId="164" fontId="24" fillId="2" borderId="18" xfId="0" applyNumberFormat="1" applyFont="1" applyFill="1" applyBorder="1" applyAlignment="1">
      <alignment vertical="center" wrapText="1"/>
    </xf>
    <xf numFmtId="0" fontId="0" fillId="0" borderId="27" xfId="0" applyBorder="1"/>
    <xf numFmtId="0" fontId="0" fillId="105" borderId="20" xfId="0" applyFill="1" applyBorder="1"/>
    <xf numFmtId="16" fontId="0" fillId="0" borderId="20" xfId="0" applyNumberFormat="1" applyBorder="1"/>
    <xf numFmtId="16" fontId="45" fillId="0" borderId="20" xfId="0" applyNumberFormat="1" applyFont="1" applyBorder="1"/>
    <xf numFmtId="0" fontId="252" fillId="0" borderId="20" xfId="0" applyFont="1" applyBorder="1"/>
    <xf numFmtId="16" fontId="0" fillId="0" borderId="20" xfId="0" applyNumberFormat="1" applyBorder="1" applyAlignment="1">
      <alignment vertical="center"/>
    </xf>
    <xf numFmtId="0" fontId="0" fillId="0" borderId="20" xfId="0" applyBorder="1"/>
    <xf numFmtId="0" fontId="0" fillId="0" borderId="25" xfId="0" applyBorder="1"/>
    <xf numFmtId="0" fontId="0" fillId="0" borderId="26" xfId="0" applyBorder="1"/>
    <xf numFmtId="164" fontId="23" fillId="2" borderId="20" xfId="0" applyNumberFormat="1" applyFont="1" applyFill="1" applyBorder="1" applyAlignment="1">
      <alignment vertical="center"/>
    </xf>
    <xf numFmtId="164" fontId="23" fillId="2" borderId="4" xfId="0" applyNumberFormat="1" applyFont="1" applyFill="1" applyBorder="1" applyAlignment="1">
      <alignment vertical="center"/>
    </xf>
    <xf numFmtId="0" fontId="24" fillId="2" borderId="0" xfId="0" applyFont="1" applyFill="1" applyAlignment="1">
      <alignment vertical="center"/>
    </xf>
    <xf numFmtId="0" fontId="29" fillId="2" borderId="4" xfId="0" applyFont="1" applyFill="1" applyBorder="1" applyAlignment="1">
      <alignment vertical="center" wrapText="1"/>
    </xf>
    <xf numFmtId="0" fontId="0" fillId="0" borderId="80" xfId="0" applyBorder="1" applyAlignment="1">
      <alignment vertical="center"/>
    </xf>
    <xf numFmtId="10" fontId="0" fillId="2" borderId="17" xfId="77" applyNumberFormat="1" applyFont="1" applyFill="1" applyBorder="1" applyAlignment="1">
      <alignment vertical="center"/>
    </xf>
    <xf numFmtId="16" fontId="0" fillId="0" borderId="0" xfId="0" applyNumberFormat="1" applyAlignment="1">
      <alignment vertical="center"/>
    </xf>
    <xf numFmtId="0" fontId="29" fillId="3" borderId="0" xfId="0" applyFont="1" applyFill="1" applyAlignment="1">
      <alignment vertical="center"/>
    </xf>
    <xf numFmtId="0" fontId="0" fillId="2" borderId="30" xfId="0" applyFill="1" applyBorder="1"/>
    <xf numFmtId="164" fontId="0" fillId="2" borderId="17" xfId="0" applyNumberFormat="1" applyFill="1" applyBorder="1"/>
    <xf numFmtId="164" fontId="23" fillId="2" borderId="17" xfId="0" applyNumberFormat="1" applyFont="1" applyFill="1" applyBorder="1"/>
    <xf numFmtId="16" fontId="0" fillId="2" borderId="17" xfId="0" applyNumberFormat="1" applyFill="1" applyBorder="1"/>
    <xf numFmtId="18" fontId="0" fillId="2" borderId="17" xfId="0" applyNumberFormat="1" applyFill="1" applyBorder="1"/>
    <xf numFmtId="4" fontId="0" fillId="2" borderId="17" xfId="0" applyNumberFormat="1" applyFill="1" applyBorder="1"/>
    <xf numFmtId="0" fontId="66" fillId="2" borderId="17" xfId="0" applyFont="1" applyFill="1" applyBorder="1" applyAlignment="1">
      <alignment vertical="center"/>
    </xf>
    <xf numFmtId="14" fontId="0" fillId="2" borderId="17" xfId="0" applyNumberFormat="1" applyFill="1" applyBorder="1" applyAlignment="1">
      <alignment vertical="center" wrapText="1"/>
    </xf>
    <xf numFmtId="16" fontId="0" fillId="2" borderId="17" xfId="0" applyNumberFormat="1" applyFill="1" applyBorder="1" applyAlignment="1">
      <alignment vertical="center"/>
    </xf>
    <xf numFmtId="0" fontId="0" fillId="77" borderId="4" xfId="0" applyFill="1" applyBorder="1"/>
    <xf numFmtId="164" fontId="0" fillId="0" borderId="4" xfId="0" applyNumberFormat="1" applyBorder="1"/>
    <xf numFmtId="164" fontId="23" fillId="0" borderId="4" xfId="0" applyNumberFormat="1" applyFont="1" applyBorder="1"/>
    <xf numFmtId="16" fontId="0" fillId="0" borderId="4" xfId="0" applyNumberFormat="1" applyBorder="1"/>
    <xf numFmtId="164" fontId="0" fillId="2" borderId="4" xfId="0" applyNumberFormat="1" applyFill="1" applyBorder="1"/>
    <xf numFmtId="16" fontId="0" fillId="2" borderId="4" xfId="0" applyNumberFormat="1" applyFill="1" applyBorder="1"/>
    <xf numFmtId="164" fontId="23" fillId="2" borderId="0" xfId="0" applyNumberFormat="1" applyFont="1" applyFill="1"/>
    <xf numFmtId="0" fontId="0" fillId="110" borderId="20" xfId="0" applyFill="1" applyBorder="1"/>
    <xf numFmtId="164" fontId="0" fillId="0" borderId="20" xfId="0" applyNumberFormat="1" applyBorder="1"/>
    <xf numFmtId="0" fontId="0" fillId="77" borderId="17" xfId="0" applyFill="1" applyBorder="1"/>
    <xf numFmtId="164" fontId="0" fillId="0" borderId="17" xfId="0" applyNumberFormat="1" applyBorder="1"/>
    <xf numFmtId="164" fontId="23" fillId="0" borderId="17" xfId="0" applyNumberFormat="1" applyFont="1" applyBorder="1"/>
    <xf numFmtId="16" fontId="0" fillId="0" borderId="17" xfId="0" applyNumberFormat="1" applyBorder="1"/>
    <xf numFmtId="16" fontId="45" fillId="0" borderId="4" xfId="0" applyNumberFormat="1" applyFont="1" applyBorder="1"/>
    <xf numFmtId="164" fontId="0" fillId="0" borderId="0" xfId="0" applyNumberFormat="1"/>
    <xf numFmtId="0" fontId="57" fillId="3" borderId="18" xfId="0" applyFont="1" applyFill="1" applyBorder="1" applyAlignment="1">
      <alignment vertical="center" wrapText="1"/>
    </xf>
    <xf numFmtId="0" fontId="53" fillId="3" borderId="17" xfId="0" applyFont="1" applyFill="1" applyBorder="1" applyAlignment="1">
      <alignment vertical="center" wrapText="1"/>
    </xf>
    <xf numFmtId="16" fontId="0" fillId="0" borderId="0" xfId="0" applyNumberFormat="1"/>
    <xf numFmtId="0" fontId="0" fillId="0" borderId="3" xfId="0" applyBorder="1"/>
    <xf numFmtId="0" fontId="0" fillId="77" borderId="18" xfId="0" applyFill="1" applyBorder="1"/>
    <xf numFmtId="164" fontId="0" fillId="0" borderId="18" xfId="0" applyNumberFormat="1" applyBorder="1"/>
    <xf numFmtId="164" fontId="23" fillId="0" borderId="18" xfId="0" applyNumberFormat="1" applyFont="1" applyBorder="1"/>
    <xf numFmtId="0" fontId="292" fillId="0" borderId="18" xfId="0" applyFont="1" applyBorder="1"/>
    <xf numFmtId="16" fontId="0" fillId="0" borderId="18" xfId="0" applyNumberFormat="1" applyBorder="1"/>
    <xf numFmtId="0" fontId="304" fillId="0" borderId="4" xfId="0" applyFont="1" applyBorder="1"/>
    <xf numFmtId="0" fontId="0" fillId="2" borderId="3" xfId="0" applyFill="1" applyBorder="1"/>
    <xf numFmtId="10" fontId="0" fillId="2" borderId="3" xfId="77" applyNumberFormat="1" applyFont="1" applyFill="1" applyBorder="1" applyAlignment="1">
      <alignment vertical="center"/>
    </xf>
    <xf numFmtId="0" fontId="0" fillId="77" borderId="3" xfId="0" applyFill="1" applyBorder="1"/>
    <xf numFmtId="164" fontId="0" fillId="0" borderId="3" xfId="0" applyNumberFormat="1" applyBorder="1"/>
    <xf numFmtId="164" fontId="23" fillId="0" borderId="3" xfId="0" applyNumberFormat="1" applyFont="1" applyBorder="1"/>
    <xf numFmtId="16" fontId="0" fillId="0" borderId="3" xfId="0" applyNumberFormat="1" applyBorder="1"/>
    <xf numFmtId="0" fontId="0" fillId="0" borderId="28" xfId="0" applyBorder="1"/>
    <xf numFmtId="0" fontId="0" fillId="0" borderId="19" xfId="0" applyBorder="1"/>
    <xf numFmtId="0" fontId="0" fillId="77" borderId="20" xfId="0" applyFill="1" applyBorder="1" applyAlignment="1">
      <alignment vertical="center"/>
    </xf>
    <xf numFmtId="164" fontId="23" fillId="0" borderId="20" xfId="0" applyNumberFormat="1" applyFont="1" applyBorder="1"/>
    <xf numFmtId="16" fontId="0" fillId="0" borderId="20" xfId="0" applyNumberFormat="1" applyBorder="1" applyAlignment="1">
      <alignment vertical="center" wrapText="1"/>
    </xf>
    <xf numFmtId="16" fontId="0" fillId="0" borderId="2" xfId="0" applyNumberFormat="1" applyBorder="1"/>
    <xf numFmtId="14" fontId="0" fillId="2" borderId="4" xfId="0" applyNumberFormat="1" applyFill="1" applyBorder="1"/>
    <xf numFmtId="0" fontId="56" fillId="2" borderId="17" xfId="0" applyFont="1" applyFill="1" applyBorder="1" applyAlignment="1">
      <alignment vertical="center" wrapText="1"/>
    </xf>
    <xf numFmtId="0" fontId="298" fillId="2" borderId="17" xfId="0" applyFont="1" applyFill="1" applyBorder="1" applyAlignment="1">
      <alignment vertical="center"/>
    </xf>
    <xf numFmtId="0" fontId="24" fillId="2" borderId="17" xfId="0" applyFont="1" applyFill="1" applyBorder="1" applyAlignment="1">
      <alignment vertical="center"/>
    </xf>
    <xf numFmtId="0" fontId="53" fillId="2" borderId="17" xfId="0" applyFont="1" applyFill="1" applyBorder="1" applyAlignment="1">
      <alignment vertical="center" wrapText="1"/>
    </xf>
    <xf numFmtId="0" fontId="56" fillId="2" borderId="20" xfId="0" applyFont="1" applyFill="1" applyBorder="1" applyAlignment="1">
      <alignment vertical="center" wrapText="1"/>
    </xf>
    <xf numFmtId="0" fontId="0" fillId="2" borderId="20" xfId="0" applyFill="1" applyBorder="1" applyAlignment="1">
      <alignment vertical="center"/>
    </xf>
    <xf numFmtId="164" fontId="0" fillId="2" borderId="20" xfId="0" applyNumberFormat="1" applyFill="1" applyBorder="1" applyAlignment="1">
      <alignment vertical="center"/>
    </xf>
    <xf numFmtId="0" fontId="0" fillId="2" borderId="19" xfId="0" applyFill="1" applyBorder="1" applyAlignment="1">
      <alignment vertical="center"/>
    </xf>
    <xf numFmtId="0" fontId="24" fillId="2" borderId="19" xfId="0" applyFont="1" applyFill="1" applyBorder="1" applyAlignment="1">
      <alignment vertical="center"/>
    </xf>
    <xf numFmtId="164" fontId="24" fillId="2" borderId="20" xfId="0" applyNumberFormat="1" applyFont="1" applyFill="1" applyBorder="1" applyAlignment="1">
      <alignment vertical="center"/>
    </xf>
    <xf numFmtId="0" fontId="53" fillId="2" borderId="19" xfId="0" applyFont="1" applyFill="1" applyBorder="1" applyAlignment="1">
      <alignment vertical="center"/>
    </xf>
    <xf numFmtId="0" fontId="24" fillId="2" borderId="20" xfId="0" quotePrefix="1" applyFont="1" applyFill="1" applyBorder="1" applyAlignment="1">
      <alignment vertical="center" wrapText="1"/>
    </xf>
    <xf numFmtId="16" fontId="0" fillId="2" borderId="20" xfId="0" applyNumberFormat="1" applyFill="1" applyBorder="1" applyAlignment="1">
      <alignment vertical="center" wrapText="1"/>
    </xf>
    <xf numFmtId="0" fontId="53" fillId="2" borderId="20" xfId="0" applyFont="1" applyFill="1" applyBorder="1" applyAlignment="1">
      <alignment vertical="center" wrapText="1"/>
    </xf>
    <xf numFmtId="10" fontId="0" fillId="2" borderId="20" xfId="77" applyNumberFormat="1" applyFont="1" applyFill="1" applyBorder="1" applyAlignment="1">
      <alignment vertical="center"/>
    </xf>
    <xf numFmtId="164" fontId="0" fillId="2" borderId="18" xfId="0" applyNumberFormat="1" applyFill="1" applyBorder="1"/>
    <xf numFmtId="16" fontId="0" fillId="2" borderId="18" xfId="0" applyNumberFormat="1" applyFill="1" applyBorder="1"/>
    <xf numFmtId="0" fontId="0" fillId="2" borderId="18" xfId="0" applyFill="1" applyBorder="1" applyAlignment="1">
      <alignment wrapText="1"/>
    </xf>
    <xf numFmtId="164" fontId="0" fillId="2" borderId="18" xfId="0" applyNumberFormat="1" applyFill="1" applyBorder="1" applyAlignment="1">
      <alignment vertical="center"/>
    </xf>
    <xf numFmtId="164" fontId="45" fillId="2" borderId="18" xfId="0" applyNumberFormat="1" applyFont="1" applyFill="1" applyBorder="1" applyAlignment="1">
      <alignment vertical="center"/>
    </xf>
    <xf numFmtId="16" fontId="0" fillId="2" borderId="18" xfId="0" applyNumberFormat="1" applyFill="1" applyBorder="1" applyAlignment="1">
      <alignment vertical="center" wrapText="1"/>
    </xf>
    <xf numFmtId="0" fontId="57" fillId="2" borderId="18" xfId="0" applyFont="1" applyFill="1" applyBorder="1" applyAlignment="1">
      <alignment vertical="center"/>
    </xf>
    <xf numFmtId="0" fontId="53" fillId="2" borderId="18" xfId="0" applyFont="1" applyFill="1" applyBorder="1" applyAlignment="1">
      <alignment vertical="center"/>
    </xf>
    <xf numFmtId="0" fontId="56" fillId="2" borderId="18" xfId="0" applyFont="1" applyFill="1" applyBorder="1" applyAlignment="1">
      <alignment vertical="center"/>
    </xf>
    <xf numFmtId="164" fontId="45" fillId="2" borderId="18" xfId="0" applyNumberFormat="1" applyFont="1" applyFill="1" applyBorder="1" applyAlignment="1">
      <alignment vertical="center" wrapText="1"/>
    </xf>
    <xf numFmtId="16" fontId="0" fillId="2" borderId="18" xfId="0" applyNumberFormat="1" applyFill="1" applyBorder="1" applyAlignment="1">
      <alignment vertical="center"/>
    </xf>
    <xf numFmtId="0" fontId="57" fillId="2" borderId="17" xfId="0" applyFont="1" applyFill="1" applyBorder="1" applyAlignment="1">
      <alignment vertical="center" wrapText="1"/>
    </xf>
    <xf numFmtId="0" fontId="29" fillId="2" borderId="19" xfId="0" applyFont="1" applyFill="1" applyBorder="1" applyAlignment="1">
      <alignment vertical="center" wrapText="1"/>
    </xf>
    <xf numFmtId="10" fontId="0" fillId="2" borderId="19" xfId="77" applyNumberFormat="1" applyFont="1" applyFill="1" applyBorder="1" applyAlignment="1">
      <alignment vertical="center"/>
    </xf>
    <xf numFmtId="0" fontId="0" fillId="110" borderId="17" xfId="0" applyFill="1" applyBorder="1"/>
    <xf numFmtId="164" fontId="0" fillId="3" borderId="17" xfId="0" applyNumberFormat="1" applyFill="1" applyBorder="1"/>
    <xf numFmtId="0" fontId="0" fillId="3" borderId="17" xfId="0" applyFill="1" applyBorder="1" applyAlignment="1">
      <alignment wrapText="1"/>
    </xf>
    <xf numFmtId="16" fontId="0" fillId="3" borderId="17" xfId="0" applyNumberFormat="1" applyFill="1" applyBorder="1"/>
    <xf numFmtId="0" fontId="0" fillId="0" borderId="32" xfId="0" applyBorder="1"/>
    <xf numFmtId="0" fontId="0" fillId="0" borderId="33" xfId="0" applyBorder="1"/>
    <xf numFmtId="0" fontId="29" fillId="0" borderId="4" xfId="0" applyFont="1" applyBorder="1"/>
    <xf numFmtId="0" fontId="0" fillId="77" borderId="20" xfId="0" applyFill="1" applyBorder="1"/>
    <xf numFmtId="164" fontId="0" fillId="2" borderId="20" xfId="0" applyNumberFormat="1" applyFill="1" applyBorder="1"/>
    <xf numFmtId="16" fontId="0" fillId="2" borderId="20" xfId="0" applyNumberFormat="1" applyFill="1" applyBorder="1"/>
    <xf numFmtId="164" fontId="23" fillId="2" borderId="4" xfId="0" applyNumberFormat="1" applyFont="1" applyFill="1" applyBorder="1"/>
    <xf numFmtId="1" fontId="0" fillId="2" borderId="4" xfId="0" applyNumberFormat="1" applyFill="1" applyBorder="1"/>
    <xf numFmtId="0" fontId="0" fillId="2" borderId="4" xfId="0" applyFill="1" applyBorder="1" applyAlignment="1">
      <alignment wrapText="1"/>
    </xf>
    <xf numFmtId="10" fontId="0" fillId="2" borderId="4" xfId="77" applyNumberFormat="1" applyFont="1" applyFill="1" applyBorder="1" applyAlignment="1">
      <alignment vertical="center"/>
    </xf>
    <xf numFmtId="0" fontId="23" fillId="2" borderId="17" xfId="0" applyFont="1" applyFill="1" applyBorder="1" applyAlignment="1">
      <alignment vertical="center" wrapText="1"/>
    </xf>
    <xf numFmtId="18" fontId="0" fillId="2" borderId="17" xfId="0" applyNumberFormat="1" applyFill="1" applyBorder="1" applyAlignment="1">
      <alignment vertical="center"/>
    </xf>
    <xf numFmtId="0" fontId="0" fillId="114" borderId="20" xfId="0" applyFill="1" applyBorder="1"/>
    <xf numFmtId="164" fontId="23" fillId="0" borderId="25" xfId="0" applyNumberFormat="1" applyFont="1" applyBorder="1"/>
    <xf numFmtId="0" fontId="0" fillId="114" borderId="17" xfId="0" applyFill="1" applyBorder="1"/>
    <xf numFmtId="164" fontId="23" fillId="0" borderId="22" xfId="0" applyNumberFormat="1" applyFont="1" applyBorder="1"/>
    <xf numFmtId="16" fontId="17" fillId="2" borderId="17" xfId="0" applyNumberFormat="1" applyFont="1" applyFill="1" applyBorder="1"/>
    <xf numFmtId="9" fontId="0" fillId="2" borderId="17" xfId="0" applyNumberFormat="1" applyFill="1" applyBorder="1"/>
    <xf numFmtId="164" fontId="0" fillId="2" borderId="3" xfId="0" applyNumberFormat="1" applyFill="1" applyBorder="1" applyAlignment="1">
      <alignment vertical="center"/>
    </xf>
    <xf numFmtId="18" fontId="0" fillId="2" borderId="4" xfId="0" applyNumberFormat="1" applyFill="1" applyBorder="1" applyAlignment="1">
      <alignment vertical="center"/>
    </xf>
    <xf numFmtId="0" fontId="57" fillId="2" borderId="4" xfId="0" applyFont="1" applyFill="1" applyBorder="1" applyAlignment="1">
      <alignment vertical="center" wrapText="1"/>
    </xf>
    <xf numFmtId="0" fontId="0" fillId="115" borderId="17" xfId="0" applyFill="1" applyBorder="1"/>
    <xf numFmtId="0" fontId="0" fillId="0" borderId="22" xfId="0" applyBorder="1"/>
    <xf numFmtId="0" fontId="0" fillId="115" borderId="0" xfId="0" applyFill="1"/>
    <xf numFmtId="0" fontId="173" fillId="2" borderId="20" xfId="0" applyFont="1" applyFill="1" applyBorder="1" applyAlignment="1">
      <alignment vertical="center"/>
    </xf>
    <xf numFmtId="164" fontId="29" fillId="2" borderId="20" xfId="0" applyNumberFormat="1" applyFont="1" applyFill="1" applyBorder="1" applyAlignment="1">
      <alignment vertical="center" wrapText="1"/>
    </xf>
    <xf numFmtId="0" fontId="23" fillId="2" borderId="20" xfId="0" applyFont="1" applyFill="1" applyBorder="1" applyAlignment="1">
      <alignment vertical="center" wrapText="1"/>
    </xf>
    <xf numFmtId="0" fontId="0" fillId="110" borderId="0" xfId="0" applyFill="1"/>
    <xf numFmtId="0" fontId="306" fillId="0" borderId="0" xfId="0" applyFont="1"/>
    <xf numFmtId="16" fontId="23" fillId="2" borderId="18" xfId="0" applyNumberFormat="1" applyFont="1" applyFill="1" applyBorder="1" applyAlignment="1">
      <alignment vertical="center" wrapText="1"/>
    </xf>
    <xf numFmtId="18" fontId="23" fillId="2" borderId="18" xfId="0" applyNumberFormat="1" applyFont="1" applyFill="1" applyBorder="1" applyAlignment="1">
      <alignment vertical="center" wrapText="1"/>
    </xf>
    <xf numFmtId="0" fontId="23" fillId="2" borderId="18" xfId="0" applyFont="1" applyFill="1" applyBorder="1" applyAlignment="1">
      <alignment vertical="center" wrapText="1"/>
    </xf>
    <xf numFmtId="49" fontId="23" fillId="2" borderId="17" xfId="0" applyNumberFormat="1" applyFont="1" applyFill="1" applyBorder="1" applyAlignment="1">
      <alignment vertical="center" wrapText="1"/>
    </xf>
    <xf numFmtId="14" fontId="0" fillId="2" borderId="0" xfId="0" applyNumberFormat="1" applyFill="1" applyAlignment="1">
      <alignment vertical="center"/>
    </xf>
    <xf numFmtId="18" fontId="0" fillId="2" borderId="20" xfId="0" applyNumberFormat="1" applyFill="1" applyBorder="1"/>
    <xf numFmtId="14" fontId="0" fillId="2" borderId="17" xfId="0" applyNumberFormat="1" applyFill="1" applyBorder="1" applyAlignment="1">
      <alignment vertical="center"/>
    </xf>
    <xf numFmtId="164" fontId="45" fillId="2" borderId="17" xfId="0" applyNumberFormat="1" applyFont="1" applyFill="1" applyBorder="1" applyAlignment="1">
      <alignment vertical="center"/>
    </xf>
    <xf numFmtId="16" fontId="0" fillId="2" borderId="20" xfId="0" applyNumberFormat="1" applyFill="1" applyBorder="1" applyAlignment="1">
      <alignment vertical="center"/>
    </xf>
    <xf numFmtId="10" fontId="0" fillId="0" borderId="17" xfId="77" applyNumberFormat="1" applyFont="1" applyBorder="1" applyAlignment="1">
      <alignment vertical="center"/>
    </xf>
    <xf numFmtId="16" fontId="17" fillId="2" borderId="17" xfId="0" applyNumberFormat="1" applyFont="1" applyFill="1" applyBorder="1" applyAlignment="1">
      <alignment vertical="center"/>
    </xf>
    <xf numFmtId="14" fontId="23" fillId="0" borderId="17" xfId="0" applyNumberFormat="1" applyFont="1" applyBorder="1"/>
    <xf numFmtId="0" fontId="0" fillId="107" borderId="17" xfId="0" applyFill="1" applyBorder="1"/>
    <xf numFmtId="14" fontId="45" fillId="0" borderId="17" xfId="0" applyNumberFormat="1" applyFont="1" applyBorder="1"/>
    <xf numFmtId="0" fontId="0" fillId="106" borderId="17" xfId="0" applyFill="1" applyBorder="1" applyAlignment="1">
      <alignment vertical="center"/>
    </xf>
    <xf numFmtId="0" fontId="0" fillId="3" borderId="80" xfId="0" applyFill="1" applyBorder="1" applyAlignment="1">
      <alignment horizontal="center" vertical="center"/>
    </xf>
    <xf numFmtId="0" fontId="0" fillId="2" borderId="80" xfId="0" applyFill="1" applyBorder="1" applyAlignment="1">
      <alignment horizontal="center" vertical="center"/>
    </xf>
    <xf numFmtId="0" fontId="53" fillId="3" borderId="80" xfId="0" applyFont="1" applyFill="1" applyBorder="1" applyAlignment="1">
      <alignment horizontal="center" vertical="center"/>
    </xf>
    <xf numFmtId="0" fontId="53" fillId="2" borderId="80" xfId="0" applyFont="1" applyFill="1" applyBorder="1" applyAlignment="1">
      <alignment horizontal="center" vertical="center"/>
    </xf>
    <xf numFmtId="164" fontId="29" fillId="0" borderId="80" xfId="0" applyNumberFormat="1" applyFont="1" applyBorder="1" applyAlignment="1">
      <alignment horizontal="center" vertical="center"/>
    </xf>
    <xf numFmtId="0" fontId="0" fillId="0" borderId="80" xfId="0" applyBorder="1" applyAlignment="1">
      <alignment horizontal="center" vertical="center"/>
    </xf>
    <xf numFmtId="0" fontId="0" fillId="0" borderId="80" xfId="0" applyBorder="1" applyAlignment="1">
      <alignment horizontal="center" vertical="center" wrapText="1"/>
    </xf>
    <xf numFmtId="0" fontId="0" fillId="0" borderId="81" xfId="0" applyBorder="1" applyAlignment="1">
      <alignment horizontal="center" vertical="center"/>
    </xf>
    <xf numFmtId="164" fontId="23" fillId="0" borderId="81" xfId="0" applyNumberFormat="1" applyFont="1" applyBorder="1" applyAlignment="1">
      <alignment horizontal="center" vertical="center"/>
    </xf>
    <xf numFmtId="164" fontId="0" fillId="0" borderId="81" xfId="0" applyNumberFormat="1" applyBorder="1" applyAlignment="1">
      <alignment horizontal="center" vertical="center"/>
    </xf>
    <xf numFmtId="164" fontId="0" fillId="3" borderId="80" xfId="0" applyNumberFormat="1" applyFill="1" applyBorder="1" applyAlignment="1">
      <alignment horizontal="center" vertical="center"/>
    </xf>
    <xf numFmtId="164" fontId="0" fillId="3" borderId="80" xfId="0" applyNumberFormat="1" applyFill="1" applyBorder="1" applyAlignment="1">
      <alignment vertical="center"/>
    </xf>
    <xf numFmtId="0" fontId="0" fillId="2" borderId="81" xfId="0" applyFill="1" applyBorder="1" applyAlignment="1">
      <alignment horizontal="left" vertical="center"/>
    </xf>
    <xf numFmtId="10" fontId="0" fillId="2" borderId="81" xfId="0" applyNumberFormat="1" applyFill="1" applyBorder="1" applyAlignment="1">
      <alignment horizontal="left" vertical="center"/>
    </xf>
    <xf numFmtId="0" fontId="0" fillId="2" borderId="82" xfId="0" applyFill="1" applyBorder="1" applyAlignment="1">
      <alignment horizontal="left" vertical="center"/>
    </xf>
    <xf numFmtId="10" fontId="0" fillId="0" borderId="81" xfId="0" applyNumberFormat="1" applyBorder="1" applyAlignment="1">
      <alignment horizontal="left" vertical="center"/>
    </xf>
    <xf numFmtId="0" fontId="0" fillId="0" borderId="82" xfId="0" applyBorder="1" applyAlignment="1">
      <alignment horizontal="left" vertical="center"/>
    </xf>
    <xf numFmtId="0" fontId="0" fillId="74" borderId="81" xfId="0" applyFill="1" applyBorder="1"/>
    <xf numFmtId="0" fontId="0" fillId="74" borderId="81" xfId="0" applyFill="1" applyBorder="1" applyAlignment="1">
      <alignment horizontal="left" vertical="center"/>
    </xf>
    <xf numFmtId="10" fontId="0" fillId="74" borderId="81" xfId="0" applyNumberFormat="1" applyFill="1" applyBorder="1" applyAlignment="1">
      <alignment horizontal="left" vertical="center"/>
    </xf>
    <xf numFmtId="0" fontId="0" fillId="74" borderId="82" xfId="0" applyFill="1" applyBorder="1" applyAlignment="1">
      <alignment horizontal="left" vertical="center"/>
    </xf>
    <xf numFmtId="0" fontId="0" fillId="0" borderId="81" xfId="0" applyBorder="1" applyAlignment="1">
      <alignment horizontal="left"/>
    </xf>
    <xf numFmtId="0" fontId="0" fillId="0" borderId="82" xfId="0" applyBorder="1" applyAlignment="1">
      <alignment horizontal="left"/>
    </xf>
    <xf numFmtId="10" fontId="0" fillId="2" borderId="81" xfId="77" applyNumberFormat="1" applyFont="1" applyFill="1" applyBorder="1" applyAlignment="1">
      <alignment horizontal="left" vertical="center"/>
    </xf>
    <xf numFmtId="0" fontId="0" fillId="2" borderId="81" xfId="0" applyFill="1" applyBorder="1" applyAlignment="1">
      <alignment horizontal="left"/>
    </xf>
    <xf numFmtId="0" fontId="0" fillId="2" borderId="82" xfId="0" applyFill="1" applyBorder="1" applyAlignment="1">
      <alignment horizontal="left"/>
    </xf>
    <xf numFmtId="0" fontId="162" fillId="3" borderId="81" xfId="0" applyFont="1" applyFill="1" applyBorder="1" applyAlignment="1">
      <alignment horizontal="right" vertical="center" wrapText="1" indent="1"/>
    </xf>
    <xf numFmtId="0" fontId="0" fillId="2" borderId="81" xfId="0" applyFill="1" applyBorder="1" applyAlignment="1">
      <alignment horizontal="center"/>
    </xf>
    <xf numFmtId="164" fontId="0" fillId="3" borderId="81" xfId="0" applyNumberFormat="1" applyFill="1" applyBorder="1" applyAlignment="1">
      <alignment horizontal="left" vertical="center"/>
    </xf>
    <xf numFmtId="0" fontId="23" fillId="3" borderId="81" xfId="0" applyFont="1" applyFill="1" applyBorder="1" applyAlignment="1">
      <alignment horizontal="left" vertical="center" wrapText="1"/>
    </xf>
    <xf numFmtId="164" fontId="23" fillId="3" borderId="81" xfId="0" applyNumberFormat="1" applyFont="1" applyFill="1" applyBorder="1" applyAlignment="1">
      <alignment horizontal="left" vertical="center"/>
    </xf>
    <xf numFmtId="0" fontId="0" fillId="3" borderId="81" xfId="0" applyFill="1" applyBorder="1" applyAlignment="1">
      <alignment horizontal="center" vertical="center"/>
    </xf>
    <xf numFmtId="16" fontId="0" fillId="2" borderId="81" xfId="0" applyNumberFormat="1" applyFill="1" applyBorder="1" applyAlignment="1">
      <alignment horizontal="left"/>
    </xf>
    <xf numFmtId="164" fontId="0" fillId="2" borderId="81" xfId="0" applyNumberFormat="1" applyFill="1" applyBorder="1" applyAlignment="1">
      <alignment horizontal="left"/>
    </xf>
    <xf numFmtId="0" fontId="0" fillId="3" borderId="81" xfId="0" applyFill="1" applyBorder="1" applyAlignment="1">
      <alignment horizontal="left" vertical="center"/>
    </xf>
    <xf numFmtId="10" fontId="0" fillId="3" borderId="81" xfId="77" applyNumberFormat="1" applyFont="1" applyFill="1" applyBorder="1" applyAlignment="1">
      <alignment horizontal="left" vertical="center"/>
    </xf>
    <xf numFmtId="0" fontId="0" fillId="3" borderId="82" xfId="0" applyFill="1" applyBorder="1" applyAlignment="1">
      <alignment horizontal="left" vertical="center"/>
    </xf>
    <xf numFmtId="10" fontId="0" fillId="0" borderId="81" xfId="77" applyNumberFormat="1" applyFont="1" applyBorder="1" applyAlignment="1">
      <alignment horizontal="left" vertical="center"/>
    </xf>
    <xf numFmtId="0" fontId="53" fillId="3" borderId="81" xfId="0" applyFont="1" applyFill="1" applyBorder="1" applyAlignment="1">
      <alignment horizontal="left" vertical="center"/>
    </xf>
    <xf numFmtId="0" fontId="0" fillId="3" borderId="81" xfId="0" applyFill="1" applyBorder="1" applyAlignment="1">
      <alignment horizontal="left" vertical="center" wrapText="1"/>
    </xf>
    <xf numFmtId="0" fontId="0" fillId="3" borderId="81" xfId="0" applyFill="1" applyBorder="1" applyAlignment="1">
      <alignment horizontal="left"/>
    </xf>
    <xf numFmtId="0" fontId="0" fillId="2" borderId="81" xfId="0" applyFill="1" applyBorder="1" applyAlignment="1">
      <alignment horizontal="center" vertical="center"/>
    </xf>
    <xf numFmtId="0" fontId="0" fillId="0" borderId="81" xfId="77" applyNumberFormat="1" applyFont="1" applyBorder="1" applyAlignment="1">
      <alignment horizontal="left" vertical="center"/>
    </xf>
    <xf numFmtId="9" fontId="0" fillId="2" borderId="81" xfId="0" applyNumberFormat="1" applyFill="1" applyBorder="1" applyAlignment="1">
      <alignment horizontal="left"/>
    </xf>
    <xf numFmtId="0" fontId="52" fillId="2" borderId="81" xfId="0" applyFont="1" applyFill="1" applyBorder="1" applyAlignment="1">
      <alignment horizontal="center" vertical="center"/>
    </xf>
    <xf numFmtId="16" fontId="0" fillId="2" borderId="81" xfId="0" applyNumberFormat="1" applyFill="1" applyBorder="1" applyAlignment="1">
      <alignment horizontal="center" vertical="center"/>
    </xf>
    <xf numFmtId="164" fontId="0" fillId="2" borderId="81" xfId="0" applyNumberFormat="1" applyFill="1" applyBorder="1" applyAlignment="1">
      <alignment horizontal="center" vertical="center"/>
    </xf>
    <xf numFmtId="0" fontId="29" fillId="2" borderId="81" xfId="0" applyFont="1" applyFill="1" applyBorder="1" applyAlignment="1">
      <alignment horizontal="center"/>
    </xf>
    <xf numFmtId="164" fontId="29" fillId="2" borderId="81" xfId="0" applyNumberFormat="1" applyFont="1" applyFill="1" applyBorder="1" applyAlignment="1">
      <alignment horizontal="center"/>
    </xf>
    <xf numFmtId="0" fontId="0" fillId="2" borderId="81" xfId="0" applyFill="1" applyBorder="1" applyAlignment="1">
      <alignment horizontal="left" wrapText="1"/>
    </xf>
    <xf numFmtId="0" fontId="53" fillId="2" borderId="81" xfId="0" applyFont="1" applyFill="1" applyBorder="1" applyAlignment="1">
      <alignment horizontal="center"/>
    </xf>
    <xf numFmtId="0" fontId="0" fillId="74" borderId="81" xfId="0" applyFill="1" applyBorder="1" applyAlignment="1">
      <alignment horizontal="left"/>
    </xf>
    <xf numFmtId="0" fontId="53" fillId="2" borderId="81" xfId="0" applyFont="1" applyFill="1" applyBorder="1" applyAlignment="1">
      <alignment horizontal="center" vertical="center"/>
    </xf>
    <xf numFmtId="0" fontId="0" fillId="2" borderId="82" xfId="0" applyFill="1" applyBorder="1" applyAlignment="1">
      <alignment horizontal="left" vertical="center" wrapText="1"/>
    </xf>
    <xf numFmtId="0" fontId="0" fillId="2" borderId="82" xfId="77" applyNumberFormat="1" applyFont="1" applyFill="1" applyBorder="1" applyAlignment="1">
      <alignment horizontal="left" vertical="center" wrapText="1"/>
    </xf>
    <xf numFmtId="0" fontId="0" fillId="2" borderId="81" xfId="0" applyFill="1" applyBorder="1" applyAlignment="1">
      <alignment horizontal="left" vertical="center" wrapText="1"/>
    </xf>
    <xf numFmtId="164" fontId="0" fillId="3" borderId="81" xfId="0" applyNumberFormat="1" applyFill="1" applyBorder="1" applyAlignment="1">
      <alignment horizontal="center" vertical="center" wrapText="1"/>
    </xf>
    <xf numFmtId="164" fontId="23" fillId="3" borderId="81" xfId="0" applyNumberFormat="1" applyFont="1" applyFill="1" applyBorder="1" applyAlignment="1">
      <alignment horizontal="center" vertical="center" wrapText="1"/>
    </xf>
    <xf numFmtId="164" fontId="0" fillId="3" borderId="81" xfId="0" applyNumberFormat="1" applyFill="1" applyBorder="1" applyAlignment="1">
      <alignment horizontal="left" vertical="center" wrapText="1"/>
    </xf>
    <xf numFmtId="0" fontId="24" fillId="3" borderId="81" xfId="0" applyFont="1" applyFill="1" applyBorder="1" applyAlignment="1">
      <alignment horizontal="left" vertical="center" wrapText="1"/>
    </xf>
    <xf numFmtId="10" fontId="0" fillId="3" borderId="81" xfId="77" applyNumberFormat="1" applyFont="1" applyFill="1" applyBorder="1" applyAlignment="1">
      <alignment horizontal="left" vertical="center" wrapText="1"/>
    </xf>
    <xf numFmtId="0" fontId="0" fillId="0" borderId="81" xfId="0" applyBorder="1" applyAlignment="1">
      <alignment horizontal="center" vertical="center" wrapText="1"/>
    </xf>
    <xf numFmtId="0" fontId="0" fillId="2" borderId="82" xfId="0" applyFill="1" applyBorder="1" applyAlignment="1">
      <alignment horizontal="left" vertical="top"/>
    </xf>
    <xf numFmtId="0" fontId="0" fillId="2" borderId="82" xfId="0" applyFill="1" applyBorder="1" applyAlignment="1">
      <alignment horizontal="center" vertical="center"/>
    </xf>
    <xf numFmtId="0" fontId="0" fillId="0" borderId="82" xfId="0" applyBorder="1" applyAlignment="1">
      <alignment horizontal="center" vertical="center"/>
    </xf>
    <xf numFmtId="0" fontId="0" fillId="0" borderId="82" xfId="77" applyNumberFormat="1" applyFont="1" applyBorder="1" applyAlignment="1">
      <alignment horizontal="center" vertical="center"/>
    </xf>
    <xf numFmtId="0" fontId="0" fillId="2" borderId="81" xfId="0" applyFill="1" applyBorder="1" applyAlignment="1">
      <alignment horizontal="center" vertical="center" wrapText="1"/>
    </xf>
    <xf numFmtId="164" fontId="0" fillId="2" borderId="81" xfId="0" applyNumberFormat="1" applyFill="1" applyBorder="1" applyAlignment="1">
      <alignment horizontal="center" vertical="center" wrapText="1"/>
    </xf>
    <xf numFmtId="164" fontId="23" fillId="2" borderId="81" xfId="0" applyNumberFormat="1" applyFont="1" applyFill="1" applyBorder="1" applyAlignment="1">
      <alignment horizontal="center" vertical="center" wrapText="1"/>
    </xf>
    <xf numFmtId="0" fontId="29" fillId="2" borderId="81" xfId="0" applyFont="1" applyFill="1" applyBorder="1" applyAlignment="1">
      <alignment horizontal="center" vertical="center" wrapText="1"/>
    </xf>
    <xf numFmtId="164" fontId="29" fillId="2" borderId="81" xfId="0" applyNumberFormat="1" applyFont="1" applyFill="1" applyBorder="1" applyAlignment="1">
      <alignment horizontal="center" vertical="center" wrapText="1"/>
    </xf>
    <xf numFmtId="164" fontId="0" fillId="2" borderId="80" xfId="0" applyNumberFormat="1" applyFill="1" applyBorder="1" applyAlignment="1">
      <alignment horizontal="center" vertical="center" wrapText="1"/>
    </xf>
    <xf numFmtId="0" fontId="0" fillId="2" borderId="82" xfId="0" applyFill="1" applyBorder="1" applyAlignment="1">
      <alignment horizontal="center"/>
    </xf>
    <xf numFmtId="0" fontId="0" fillId="0" borderId="82" xfId="0" applyBorder="1" applyAlignment="1">
      <alignment horizontal="left" vertical="center" wrapText="1"/>
    </xf>
    <xf numFmtId="0" fontId="0" fillId="0" borderId="82" xfId="77" applyNumberFormat="1" applyFont="1" applyBorder="1" applyAlignment="1">
      <alignment horizontal="left" vertical="center" wrapText="1"/>
    </xf>
    <xf numFmtId="0" fontId="0" fillId="0" borderId="81" xfId="0" applyBorder="1" applyAlignment="1">
      <alignment horizontal="left" vertical="center" wrapText="1"/>
    </xf>
    <xf numFmtId="0" fontId="0" fillId="2" borderId="82" xfId="0" applyFill="1" applyBorder="1"/>
    <xf numFmtId="0" fontId="0" fillId="0" borderId="82" xfId="77" applyNumberFormat="1" applyFont="1" applyBorder="1" applyAlignment="1">
      <alignment horizontal="left" vertical="center"/>
    </xf>
    <xf numFmtId="0" fontId="115" fillId="3" borderId="81" xfId="0" applyFont="1" applyFill="1" applyBorder="1" applyAlignment="1">
      <alignment horizontal="left" vertical="center" wrapText="1"/>
    </xf>
    <xf numFmtId="0" fontId="0" fillId="3" borderId="81" xfId="0" applyFill="1" applyBorder="1" applyAlignment="1">
      <alignment horizontal="center" vertical="center" wrapText="1"/>
    </xf>
    <xf numFmtId="164" fontId="23" fillId="3" borderId="81" xfId="0" applyNumberFormat="1" applyFont="1" applyFill="1" applyBorder="1" applyAlignment="1">
      <alignment horizontal="left" vertical="center" wrapText="1"/>
    </xf>
    <xf numFmtId="170" fontId="0" fillId="3" borderId="80" xfId="0" applyNumberFormat="1" applyFill="1" applyBorder="1" applyAlignment="1">
      <alignment horizontal="left" vertical="center" wrapText="1"/>
    </xf>
    <xf numFmtId="0" fontId="0" fillId="2" borderId="82" xfId="0" applyFill="1" applyBorder="1" applyAlignment="1">
      <alignment horizontal="center" vertical="center" wrapText="1"/>
    </xf>
    <xf numFmtId="0" fontId="0" fillId="3" borderId="81" xfId="0" applyFill="1" applyBorder="1" applyAlignment="1">
      <alignment vertical="center" wrapText="1"/>
    </xf>
    <xf numFmtId="164" fontId="45" fillId="3" borderId="81" xfId="0" applyNumberFormat="1" applyFont="1" applyFill="1" applyBorder="1" applyAlignment="1">
      <alignment horizontal="center" vertical="center" wrapText="1"/>
    </xf>
    <xf numFmtId="164" fontId="56" fillId="3" borderId="81" xfId="0" applyNumberFormat="1" applyFont="1" applyFill="1" applyBorder="1" applyAlignment="1">
      <alignment vertical="center" wrapText="1"/>
    </xf>
    <xf numFmtId="0" fontId="56" fillId="3" borderId="81" xfId="0" applyFont="1" applyFill="1" applyBorder="1" applyAlignment="1">
      <alignment vertical="center" wrapText="1"/>
    </xf>
    <xf numFmtId="164" fontId="0" fillId="3" borderId="81" xfId="0" applyNumberFormat="1" applyFill="1" applyBorder="1" applyAlignment="1">
      <alignment vertical="center" wrapText="1"/>
    </xf>
    <xf numFmtId="0" fontId="0" fillId="3" borderId="82" xfId="0" applyFill="1" applyBorder="1" applyAlignment="1">
      <alignment vertical="center" wrapText="1"/>
    </xf>
    <xf numFmtId="1" fontId="0" fillId="2" borderId="81" xfId="0" applyNumberFormat="1" applyFill="1" applyBorder="1" applyAlignment="1">
      <alignment horizontal="left" vertical="center" wrapText="1"/>
    </xf>
    <xf numFmtId="16" fontId="0" fillId="2" borderId="81" xfId="0" applyNumberFormat="1" applyFill="1" applyBorder="1" applyAlignment="1">
      <alignment horizontal="center" vertical="center" wrapText="1"/>
    </xf>
    <xf numFmtId="0" fontId="0" fillId="3" borderId="82" xfId="0" applyFill="1" applyBorder="1" applyAlignment="1">
      <alignment horizontal="left" vertical="center" wrapText="1"/>
    </xf>
    <xf numFmtId="0" fontId="0" fillId="3" borderId="82" xfId="0" applyFill="1" applyBorder="1"/>
    <xf numFmtId="0" fontId="0" fillId="2" borderId="82" xfId="0" applyFill="1" applyBorder="1" applyAlignment="1">
      <alignment wrapText="1"/>
    </xf>
    <xf numFmtId="0" fontId="116" fillId="2" borderId="81" xfId="0" applyFont="1" applyFill="1" applyBorder="1" applyAlignment="1">
      <alignment horizontal="center" vertical="center"/>
    </xf>
    <xf numFmtId="164" fontId="57" fillId="2" borderId="81" xfId="0" applyNumberFormat="1" applyFont="1" applyFill="1" applyBorder="1" applyAlignment="1">
      <alignment horizontal="center" vertical="center"/>
    </xf>
    <xf numFmtId="0" fontId="57" fillId="2" borderId="81" xfId="0" applyFont="1" applyFill="1" applyBorder="1" applyAlignment="1">
      <alignment horizontal="center" vertical="center" wrapText="1"/>
    </xf>
    <xf numFmtId="0" fontId="45" fillId="2" borderId="81" xfId="0" applyFont="1" applyFill="1" applyBorder="1" applyAlignment="1">
      <alignment horizontal="center" vertical="center"/>
    </xf>
    <xf numFmtId="0" fontId="57" fillId="0" borderId="81" xfId="0" applyFont="1" applyBorder="1" applyAlignment="1">
      <alignment horizontal="center" vertical="center"/>
    </xf>
    <xf numFmtId="10" fontId="0" fillId="3" borderId="82" xfId="77" applyNumberFormat="1" applyFont="1" applyFill="1" applyBorder="1" applyAlignment="1">
      <alignment horizontal="left" vertical="center" wrapText="1"/>
    </xf>
    <xf numFmtId="164" fontId="56" fillId="3" borderId="80" xfId="0" applyNumberFormat="1" applyFont="1" applyFill="1" applyBorder="1" applyAlignment="1">
      <alignment vertical="center" wrapText="1"/>
    </xf>
    <xf numFmtId="0" fontId="24" fillId="3" borderId="81" xfId="0" applyFont="1" applyFill="1" applyBorder="1" applyAlignment="1">
      <alignment horizontal="center" vertical="center" wrapText="1"/>
    </xf>
    <xf numFmtId="164" fontId="24" fillId="3" borderId="81" xfId="0" applyNumberFormat="1" applyFont="1" applyFill="1" applyBorder="1" applyAlignment="1">
      <alignment horizontal="center" vertical="center" wrapText="1"/>
    </xf>
    <xf numFmtId="170" fontId="0" fillId="0" borderId="81" xfId="0" applyNumberFormat="1" applyBorder="1" applyAlignment="1">
      <alignment horizontal="left" vertical="center" wrapText="1"/>
    </xf>
    <xf numFmtId="16" fontId="0" fillId="3" borderId="81" xfId="0" applyNumberFormat="1" applyFill="1" applyBorder="1" applyAlignment="1">
      <alignment horizontal="center"/>
    </xf>
    <xf numFmtId="16" fontId="0" fillId="3" borderId="81" xfId="0" applyNumberFormat="1" applyFill="1" applyBorder="1" applyAlignment="1">
      <alignment horizontal="left"/>
    </xf>
    <xf numFmtId="0" fontId="0" fillId="3" borderId="82" xfId="77" applyNumberFormat="1" applyFont="1" applyFill="1" applyBorder="1" applyAlignment="1">
      <alignment horizontal="left" vertical="center" wrapText="1"/>
    </xf>
    <xf numFmtId="8" fontId="0" fillId="3" borderId="82" xfId="0" applyNumberFormat="1" applyFill="1" applyBorder="1" applyAlignment="1">
      <alignment horizontal="left" vertical="center" wrapText="1"/>
    </xf>
    <xf numFmtId="16" fontId="23" fillId="2" borderId="81" xfId="0" applyNumberFormat="1" applyFont="1" applyFill="1" applyBorder="1" applyAlignment="1">
      <alignment horizontal="center" vertical="center" wrapText="1"/>
    </xf>
    <xf numFmtId="164" fontId="57" fillId="2" borderId="81" xfId="0" applyNumberFormat="1" applyFont="1" applyFill="1" applyBorder="1" applyAlignment="1">
      <alignment horizontal="center" vertical="center" wrapText="1"/>
    </xf>
    <xf numFmtId="0" fontId="0" fillId="0" borderId="82" xfId="0" applyBorder="1" applyAlignment="1">
      <alignment horizontal="center" vertical="center" wrapText="1"/>
    </xf>
    <xf numFmtId="0" fontId="0" fillId="0" borderId="82" xfId="77" applyNumberFormat="1" applyFont="1" applyBorder="1" applyAlignment="1">
      <alignment horizontal="center" vertical="center" wrapText="1"/>
    </xf>
    <xf numFmtId="164" fontId="23" fillId="2" borderId="81" xfId="0" applyNumberFormat="1" applyFont="1" applyFill="1" applyBorder="1" applyAlignment="1">
      <alignment horizontal="center" vertical="center"/>
    </xf>
    <xf numFmtId="0" fontId="57" fillId="2" borderId="81" xfId="0" applyFont="1" applyFill="1" applyBorder="1" applyAlignment="1">
      <alignment horizontal="center" vertical="center"/>
    </xf>
    <xf numFmtId="0" fontId="0" fillId="2" borderId="81" xfId="0" applyFill="1" applyBorder="1"/>
    <xf numFmtId="0" fontId="57" fillId="2" borderId="81" xfId="0" applyFont="1" applyFill="1" applyBorder="1" applyAlignment="1">
      <alignment horizontal="center"/>
    </xf>
    <xf numFmtId="16" fontId="29" fillId="2" borderId="81" xfId="0" applyNumberFormat="1" applyFont="1" applyFill="1" applyBorder="1" applyAlignment="1">
      <alignment horizontal="center" vertical="center"/>
    </xf>
    <xf numFmtId="164" fontId="0" fillId="2" borderId="81" xfId="0" applyNumberFormat="1" applyFill="1" applyBorder="1" applyAlignment="1">
      <alignment horizontal="left" vertical="center" wrapText="1"/>
    </xf>
    <xf numFmtId="10" fontId="0" fillId="3" borderId="82" xfId="77" applyNumberFormat="1" applyFont="1" applyFill="1" applyBorder="1" applyAlignment="1">
      <alignment vertical="center" wrapText="1"/>
    </xf>
    <xf numFmtId="0" fontId="113" fillId="2" borderId="81" xfId="0" applyFont="1" applyFill="1" applyBorder="1"/>
    <xf numFmtId="0" fontId="60" fillId="2" borderId="81" xfId="0" applyFont="1" applyFill="1" applyBorder="1" applyAlignment="1">
      <alignment horizontal="left" vertical="center" wrapText="1"/>
    </xf>
    <xf numFmtId="0" fontId="0" fillId="74" borderId="81" xfId="77" applyNumberFormat="1" applyFont="1" applyFill="1" applyBorder="1" applyAlignment="1">
      <alignment horizontal="left" vertical="center" wrapText="1"/>
    </xf>
    <xf numFmtId="0" fontId="0" fillId="74" borderId="81" xfId="0" applyFill="1" applyBorder="1" applyAlignment="1">
      <alignment horizontal="left" vertical="center" wrapText="1"/>
    </xf>
    <xf numFmtId="0" fontId="29" fillId="2" borderId="81" xfId="0" applyFont="1" applyFill="1" applyBorder="1" applyAlignment="1">
      <alignment horizontal="center" vertical="center"/>
    </xf>
    <xf numFmtId="164" fontId="0" fillId="74" borderId="81" xfId="0" applyNumberFormat="1" applyFill="1" applyBorder="1" applyAlignment="1">
      <alignment horizontal="left" vertical="center" wrapText="1"/>
    </xf>
    <xf numFmtId="164" fontId="0" fillId="74" borderId="81" xfId="0" applyNumberFormat="1" applyFill="1" applyBorder="1" applyAlignment="1">
      <alignment horizontal="center" vertical="center" wrapText="1"/>
    </xf>
    <xf numFmtId="164" fontId="45" fillId="74" borderId="81" xfId="0" applyNumberFormat="1" applyFont="1" applyFill="1" applyBorder="1" applyAlignment="1">
      <alignment horizontal="center" vertical="center" wrapText="1"/>
    </xf>
    <xf numFmtId="0" fontId="0" fillId="74" borderId="81" xfId="0" applyFill="1" applyBorder="1" applyAlignment="1">
      <alignment horizontal="center" vertical="center" wrapText="1"/>
    </xf>
    <xf numFmtId="0" fontId="0" fillId="74" borderId="81" xfId="0" quotePrefix="1" applyFill="1" applyBorder="1" applyAlignment="1">
      <alignment horizontal="center" vertical="center" wrapText="1"/>
    </xf>
    <xf numFmtId="0" fontId="0" fillId="74" borderId="81" xfId="77" applyNumberFormat="1" applyFont="1" applyFill="1" applyBorder="1" applyAlignment="1">
      <alignment horizontal="center" vertical="center" wrapText="1"/>
    </xf>
    <xf numFmtId="0" fontId="0" fillId="3" borderId="81" xfId="0" applyFill="1" applyBorder="1" applyAlignment="1">
      <alignment vertical="center"/>
    </xf>
    <xf numFmtId="164" fontId="23" fillId="3" borderId="81" xfId="0" applyNumberFormat="1" applyFont="1" applyFill="1" applyBorder="1" applyAlignment="1">
      <alignment horizontal="center" vertical="center"/>
    </xf>
    <xf numFmtId="164" fontId="24" fillId="3" borderId="81" xfId="0" applyNumberFormat="1" applyFont="1" applyFill="1" applyBorder="1" applyAlignment="1">
      <alignment horizontal="left" vertical="center"/>
    </xf>
    <xf numFmtId="0" fontId="24" fillId="3" borderId="81" xfId="0" applyFont="1" applyFill="1" applyBorder="1" applyAlignment="1">
      <alignment horizontal="left" vertical="center"/>
    </xf>
    <xf numFmtId="0" fontId="0" fillId="0" borderId="81" xfId="0" applyBorder="1"/>
    <xf numFmtId="170" fontId="0" fillId="3" borderId="81" xfId="0" applyNumberFormat="1" applyFill="1" applyBorder="1" applyAlignment="1">
      <alignment horizontal="center" vertical="center"/>
    </xf>
    <xf numFmtId="0" fontId="23" fillId="2" borderId="81" xfId="0" applyFont="1" applyFill="1" applyBorder="1" applyAlignment="1">
      <alignment horizontal="center" vertical="center"/>
    </xf>
    <xf numFmtId="16" fontId="57" fillId="2" borderId="81" xfId="0" applyNumberFormat="1" applyFont="1" applyFill="1" applyBorder="1" applyAlignment="1">
      <alignment horizontal="center" vertical="center"/>
    </xf>
    <xf numFmtId="0" fontId="0" fillId="2" borderId="81" xfId="0" applyFill="1" applyBorder="1" applyAlignment="1">
      <alignment vertical="top" wrapText="1"/>
    </xf>
    <xf numFmtId="164" fontId="0" fillId="3" borderId="81" xfId="0" applyNumberFormat="1" applyFill="1" applyBorder="1" applyAlignment="1">
      <alignment horizontal="center" vertical="center"/>
    </xf>
    <xf numFmtId="16" fontId="0" fillId="3" borderId="81" xfId="0" applyNumberFormat="1" applyFill="1" applyBorder="1" applyAlignment="1">
      <alignment horizontal="center" vertical="center"/>
    </xf>
    <xf numFmtId="20" fontId="0" fillId="3" borderId="81" xfId="0" applyNumberFormat="1" applyFill="1" applyBorder="1" applyAlignment="1">
      <alignment horizontal="center" vertical="center"/>
    </xf>
    <xf numFmtId="0" fontId="0" fillId="3" borderId="81" xfId="0" applyFill="1" applyBorder="1"/>
    <xf numFmtId="164" fontId="45" fillId="3" borderId="81" xfId="0" applyNumberFormat="1" applyFont="1" applyFill="1" applyBorder="1" applyAlignment="1">
      <alignment horizontal="left" vertical="center"/>
    </xf>
    <xf numFmtId="164" fontId="24" fillId="3" borderId="81" xfId="0" applyNumberFormat="1" applyFont="1" applyFill="1" applyBorder="1" applyAlignment="1">
      <alignment horizontal="center" vertical="center"/>
    </xf>
    <xf numFmtId="0" fontId="24" fillId="3" borderId="81" xfId="0" applyFont="1" applyFill="1" applyBorder="1" applyAlignment="1">
      <alignment horizontal="center" vertical="center"/>
    </xf>
    <xf numFmtId="0" fontId="56" fillId="3" borderId="81" xfId="0" applyFont="1" applyFill="1" applyBorder="1" applyAlignment="1">
      <alignment horizontal="left" vertical="center"/>
    </xf>
    <xf numFmtId="8" fontId="0" fillId="3" borderId="81" xfId="0" applyNumberFormat="1" applyFill="1" applyBorder="1" applyAlignment="1">
      <alignment horizontal="left" vertical="center" wrapText="1"/>
    </xf>
    <xf numFmtId="6" fontId="0" fillId="3" borderId="81" xfId="0" applyNumberFormat="1" applyFill="1" applyBorder="1" applyAlignment="1">
      <alignment horizontal="left" vertical="center"/>
    </xf>
    <xf numFmtId="16" fontId="23" fillId="2" borderId="81" xfId="0" applyNumberFormat="1" applyFont="1" applyFill="1" applyBorder="1" applyAlignment="1">
      <alignment horizontal="center" vertical="center"/>
    </xf>
    <xf numFmtId="0" fontId="0" fillId="74" borderId="81" xfId="0" applyFill="1" applyBorder="1" applyAlignment="1">
      <alignment horizontal="center" vertical="center"/>
    </xf>
    <xf numFmtId="14" fontId="0" fillId="74" borderId="81" xfId="0" applyNumberFormat="1" applyFill="1" applyBorder="1" applyAlignment="1">
      <alignment horizontal="center" vertical="center"/>
    </xf>
    <xf numFmtId="14" fontId="23" fillId="74" borderId="81" xfId="0" applyNumberFormat="1" applyFont="1" applyFill="1" applyBorder="1" applyAlignment="1">
      <alignment horizontal="center" vertical="center"/>
    </xf>
    <xf numFmtId="0" fontId="0" fillId="74" borderId="81" xfId="0" applyFill="1" applyBorder="1" applyAlignment="1">
      <alignment horizontal="left" vertical="top" wrapText="1"/>
    </xf>
    <xf numFmtId="14" fontId="0" fillId="2" borderId="81" xfId="0" applyNumberFormat="1" applyFill="1" applyBorder="1" applyAlignment="1">
      <alignment horizontal="center" vertical="center"/>
    </xf>
    <xf numFmtId="14" fontId="23" fillId="2" borderId="81" xfId="0" applyNumberFormat="1" applyFont="1" applyFill="1" applyBorder="1" applyAlignment="1">
      <alignment horizontal="center" vertical="center"/>
    </xf>
    <xf numFmtId="170" fontId="0" fillId="2" borderId="81" xfId="0" applyNumberFormat="1" applyFill="1" applyBorder="1" applyAlignment="1">
      <alignment horizontal="center" vertical="center"/>
    </xf>
    <xf numFmtId="164" fontId="23" fillId="74" borderId="81" xfId="0" applyNumberFormat="1" applyFont="1" applyFill="1" applyBorder="1" applyAlignment="1">
      <alignment horizontal="left" vertical="center"/>
    </xf>
    <xf numFmtId="0" fontId="24" fillId="3" borderId="81" xfId="0" applyFont="1" applyFill="1" applyBorder="1" applyAlignment="1">
      <alignment vertical="center"/>
    </xf>
    <xf numFmtId="4" fontId="0" fillId="3" borderId="81" xfId="0" applyNumberFormat="1" applyFill="1" applyBorder="1" applyAlignment="1">
      <alignment horizontal="left" vertical="center" wrapText="1"/>
    </xf>
    <xf numFmtId="170" fontId="45" fillId="2" borderId="81" xfId="0" applyNumberFormat="1" applyFont="1" applyFill="1" applyBorder="1" applyAlignment="1">
      <alignment horizontal="center" vertical="center"/>
    </xf>
    <xf numFmtId="49" fontId="29" fillId="2" borderId="81" xfId="0" applyNumberFormat="1" applyFont="1" applyFill="1" applyBorder="1" applyAlignment="1">
      <alignment horizontal="center" vertical="center"/>
    </xf>
    <xf numFmtId="164" fontId="29" fillId="2" borderId="81" xfId="0" applyNumberFormat="1" applyFont="1" applyFill="1" applyBorder="1" applyAlignment="1">
      <alignment horizontal="center" vertical="center"/>
    </xf>
    <xf numFmtId="0" fontId="66" fillId="2" borderId="81" xfId="0" applyFont="1" applyFill="1" applyBorder="1" applyAlignment="1">
      <alignment horizontal="left" vertical="center"/>
    </xf>
    <xf numFmtId="10" fontId="0" fillId="0" borderId="81" xfId="77" applyNumberFormat="1" applyFont="1" applyBorder="1" applyAlignment="1">
      <alignment horizontal="center" vertical="center"/>
    </xf>
    <xf numFmtId="0" fontId="0" fillId="74" borderId="80" xfId="0" applyFill="1" applyBorder="1" applyAlignment="1">
      <alignment horizontal="center" vertical="center"/>
    </xf>
    <xf numFmtId="14" fontId="0" fillId="3" borderId="81" xfId="0" applyNumberFormat="1" applyFill="1" applyBorder="1" applyAlignment="1">
      <alignment horizontal="center" vertical="center"/>
    </xf>
    <xf numFmtId="14" fontId="45" fillId="3" borderId="81" xfId="0" applyNumberFormat="1" applyFont="1" applyFill="1" applyBorder="1" applyAlignment="1">
      <alignment horizontal="center" vertical="center"/>
    </xf>
    <xf numFmtId="49" fontId="0" fillId="3" borderId="81" xfId="0" applyNumberFormat="1" applyFill="1" applyBorder="1" applyAlignment="1">
      <alignment horizontal="center" vertical="center"/>
    </xf>
    <xf numFmtId="14" fontId="45" fillId="74" borderId="81" xfId="0" applyNumberFormat="1" applyFont="1" applyFill="1" applyBorder="1" applyAlignment="1">
      <alignment horizontal="center" vertical="center"/>
    </xf>
    <xf numFmtId="49" fontId="0" fillId="74" borderId="81" xfId="0" applyNumberFormat="1" applyFill="1" applyBorder="1" applyAlignment="1">
      <alignment horizontal="center" vertical="center"/>
    </xf>
    <xf numFmtId="0" fontId="0" fillId="3" borderId="82" xfId="0" applyFill="1" applyBorder="1" applyAlignment="1">
      <alignment horizontal="center" vertical="center"/>
    </xf>
    <xf numFmtId="10" fontId="0" fillId="3" borderId="81" xfId="77" applyNumberFormat="1" applyFont="1" applyFill="1" applyBorder="1" applyAlignment="1">
      <alignment horizontal="center" vertical="center"/>
    </xf>
    <xf numFmtId="0" fontId="0" fillId="3" borderId="80" xfId="0" applyFill="1" applyBorder="1" applyAlignment="1">
      <alignment horizontal="left" vertical="top" wrapText="1"/>
    </xf>
    <xf numFmtId="0" fontId="0" fillId="2" borderId="80" xfId="0" applyFill="1" applyBorder="1" applyAlignment="1">
      <alignment horizontal="left" vertical="top" wrapText="1"/>
    </xf>
    <xf numFmtId="10" fontId="0" fillId="2" borderId="81" xfId="77" applyNumberFormat="1" applyFont="1" applyFill="1" applyBorder="1" applyAlignment="1">
      <alignment horizontal="center" vertical="center"/>
    </xf>
    <xf numFmtId="0" fontId="0" fillId="74" borderId="80" xfId="0" applyFill="1" applyBorder="1" applyAlignment="1">
      <alignment horizontal="left" vertical="top" wrapText="1"/>
    </xf>
    <xf numFmtId="0" fontId="0" fillId="3" borderId="80" xfId="0" applyFill="1" applyBorder="1"/>
    <xf numFmtId="0" fontId="0" fillId="2" borderId="80" xfId="0" applyFill="1" applyBorder="1" applyAlignment="1">
      <alignment vertical="top" wrapText="1"/>
    </xf>
    <xf numFmtId="0" fontId="29" fillId="2" borderId="80" xfId="0" applyFont="1" applyFill="1" applyBorder="1" applyAlignment="1">
      <alignment horizontal="center" vertical="center"/>
    </xf>
    <xf numFmtId="165" fontId="29" fillId="2" borderId="81" xfId="0" applyNumberFormat="1" applyFont="1" applyFill="1" applyBorder="1" applyAlignment="1">
      <alignment horizontal="center" vertical="center"/>
    </xf>
    <xf numFmtId="0" fontId="29" fillId="2" borderId="81" xfId="0" applyFont="1" applyFill="1" applyBorder="1" applyAlignment="1">
      <alignment vertical="center" wrapText="1"/>
    </xf>
    <xf numFmtId="20" fontId="17" fillId="3" borderId="81" xfId="0" applyNumberFormat="1" applyFont="1" applyFill="1" applyBorder="1" applyAlignment="1">
      <alignment horizontal="left" vertical="center"/>
    </xf>
    <xf numFmtId="0" fontId="0" fillId="3" borderId="80" xfId="0" applyFill="1" applyBorder="1" applyAlignment="1">
      <alignment horizontal="left" vertical="center"/>
    </xf>
    <xf numFmtId="164" fontId="24" fillId="3" borderId="81" xfId="0" applyNumberFormat="1" applyFont="1" applyFill="1" applyBorder="1" applyAlignment="1">
      <alignment horizontal="left" vertical="center" wrapText="1"/>
    </xf>
    <xf numFmtId="0" fontId="17" fillId="3" borderId="81" xfId="0" applyFont="1" applyFill="1" applyBorder="1" applyAlignment="1">
      <alignment horizontal="center" vertical="center"/>
    </xf>
    <xf numFmtId="49" fontId="23" fillId="3" borderId="81" xfId="0" applyNumberFormat="1" applyFont="1" applyFill="1" applyBorder="1" applyAlignment="1">
      <alignment horizontal="center" vertical="center"/>
    </xf>
    <xf numFmtId="0" fontId="17" fillId="3" borderId="81" xfId="0" applyFont="1" applyFill="1" applyBorder="1" applyAlignment="1">
      <alignment vertical="center"/>
    </xf>
    <xf numFmtId="164" fontId="17" fillId="3" borderId="81" xfId="0" applyNumberFormat="1" applyFont="1" applyFill="1" applyBorder="1" applyAlignment="1">
      <alignment horizontal="center" vertical="center" wrapText="1"/>
    </xf>
    <xf numFmtId="164" fontId="0" fillId="74" borderId="81" xfId="0" applyNumberFormat="1" applyFill="1" applyBorder="1" applyAlignment="1">
      <alignment horizontal="center" vertical="center"/>
    </xf>
    <xf numFmtId="164" fontId="45" fillId="74" borderId="81" xfId="0" applyNumberFormat="1" applyFont="1" applyFill="1" applyBorder="1" applyAlignment="1">
      <alignment horizontal="center" vertical="center"/>
    </xf>
    <xf numFmtId="0" fontId="0" fillId="74" borderId="81" xfId="0" applyFill="1" applyBorder="1" applyAlignment="1">
      <alignment vertical="center" wrapText="1"/>
    </xf>
    <xf numFmtId="49" fontId="17" fillId="3" borderId="81" xfId="0" applyNumberFormat="1" applyFont="1" applyFill="1" applyBorder="1" applyAlignment="1">
      <alignment horizontal="left" vertical="center"/>
    </xf>
    <xf numFmtId="164" fontId="17" fillId="3" borderId="81" xfId="0" applyNumberFormat="1" applyFont="1" applyFill="1" applyBorder="1" applyAlignment="1">
      <alignment horizontal="left" vertical="center" wrapText="1"/>
    </xf>
    <xf numFmtId="11" fontId="179" fillId="3" borderId="81" xfId="0" applyNumberFormat="1" applyFont="1" applyFill="1" applyBorder="1" applyAlignment="1">
      <alignment vertical="center"/>
    </xf>
    <xf numFmtId="0" fontId="0" fillId="2" borderId="81" xfId="0" applyFill="1" applyBorder="1" applyAlignment="1">
      <alignment vertical="center" wrapText="1"/>
    </xf>
    <xf numFmtId="0" fontId="17" fillId="3" borderId="81" xfId="0" applyFont="1" applyFill="1" applyBorder="1" applyAlignment="1">
      <alignment horizontal="left" vertical="center"/>
    </xf>
    <xf numFmtId="164" fontId="56" fillId="3" borderId="81" xfId="0" applyNumberFormat="1" applyFont="1" applyFill="1" applyBorder="1" applyAlignment="1">
      <alignment horizontal="left" vertical="center" wrapText="1"/>
    </xf>
    <xf numFmtId="0" fontId="17" fillId="3" borderId="81" xfId="0" applyFont="1" applyFill="1" applyBorder="1" applyAlignment="1">
      <alignment horizontal="left" vertical="center" wrapText="1"/>
    </xf>
    <xf numFmtId="164" fontId="45" fillId="2" borderId="81" xfId="0" applyNumberFormat="1" applyFont="1" applyFill="1" applyBorder="1" applyAlignment="1">
      <alignment horizontal="center" vertical="center"/>
    </xf>
    <xf numFmtId="0" fontId="29" fillId="2" borderId="81" xfId="0" applyFont="1" applyFill="1" applyBorder="1" applyAlignment="1">
      <alignment horizontal="left" vertical="center"/>
    </xf>
    <xf numFmtId="0" fontId="173" fillId="3" borderId="81" xfId="0" applyFont="1" applyFill="1" applyBorder="1" applyAlignment="1">
      <alignment horizontal="center" vertical="center"/>
    </xf>
    <xf numFmtId="0" fontId="0" fillId="3" borderId="80" xfId="0" applyFill="1" applyBorder="1" applyAlignment="1">
      <alignment horizontal="center" vertical="center" wrapText="1"/>
    </xf>
    <xf numFmtId="0" fontId="0" fillId="3" borderId="81" xfId="0" quotePrefix="1" applyFill="1" applyBorder="1" applyAlignment="1">
      <alignment horizontal="center" vertical="center"/>
    </xf>
    <xf numFmtId="164" fontId="17" fillId="3" borderId="81" xfId="0" applyNumberFormat="1" applyFont="1" applyFill="1" applyBorder="1" applyAlignment="1">
      <alignment horizontal="left" vertical="center"/>
    </xf>
    <xf numFmtId="0" fontId="0" fillId="2" borderId="81" xfId="0" applyFill="1" applyBorder="1" applyAlignment="1">
      <alignment vertical="center"/>
    </xf>
    <xf numFmtId="164" fontId="24" fillId="3" borderId="81" xfId="0" applyNumberFormat="1" applyFont="1" applyFill="1" applyBorder="1" applyAlignment="1">
      <alignment vertical="center"/>
    </xf>
    <xf numFmtId="0" fontId="17" fillId="0" borderId="81" xfId="0" applyFont="1" applyBorder="1" applyAlignment="1">
      <alignment horizontal="center" vertical="center"/>
    </xf>
    <xf numFmtId="164" fontId="17" fillId="0" borderId="81" xfId="0" applyNumberFormat="1" applyFont="1" applyBorder="1" applyAlignment="1">
      <alignment horizontal="center" vertical="center" wrapText="1"/>
    </xf>
    <xf numFmtId="0" fontId="17" fillId="0" borderId="81" xfId="0" applyFont="1" applyBorder="1" applyAlignment="1">
      <alignment horizontal="center" vertical="center" wrapText="1"/>
    </xf>
    <xf numFmtId="164" fontId="0" fillId="0" borderId="81" xfId="0" applyNumberFormat="1" applyBorder="1" applyAlignment="1">
      <alignment horizontal="center" vertical="center" wrapText="1"/>
    </xf>
    <xf numFmtId="0" fontId="17" fillId="0" borderId="81" xfId="0" applyFont="1" applyBorder="1" applyAlignment="1">
      <alignment vertical="center"/>
    </xf>
    <xf numFmtId="0" fontId="29" fillId="0" borderId="81" xfId="0" applyFont="1" applyBorder="1" applyAlignment="1">
      <alignment horizontal="center" vertical="center"/>
    </xf>
    <xf numFmtId="0" fontId="17" fillId="0" borderId="81" xfId="0" applyFont="1" applyBorder="1" applyAlignment="1">
      <alignment vertical="center" wrapText="1"/>
    </xf>
    <xf numFmtId="49" fontId="0" fillId="0" borderId="81" xfId="0" applyNumberFormat="1" applyBorder="1" applyAlignment="1">
      <alignment horizontal="center" vertical="center"/>
    </xf>
    <xf numFmtId="0" fontId="67" fillId="2" borderId="81" xfId="0" applyFont="1" applyFill="1" applyBorder="1" applyAlignment="1">
      <alignment horizontal="center" vertical="center"/>
    </xf>
    <xf numFmtId="0" fontId="60" fillId="3" borderId="81" xfId="0" applyFont="1" applyFill="1" applyBorder="1" applyAlignment="1">
      <alignment vertical="center"/>
    </xf>
    <xf numFmtId="0" fontId="180" fillId="3" borderId="81" xfId="0" applyFont="1" applyFill="1" applyBorder="1" applyAlignment="1">
      <alignment vertical="center"/>
    </xf>
    <xf numFmtId="164" fontId="45" fillId="3" borderId="81" xfId="0" applyNumberFormat="1" applyFont="1" applyFill="1" applyBorder="1" applyAlignment="1">
      <alignment horizontal="center" vertical="center"/>
    </xf>
    <xf numFmtId="164" fontId="56" fillId="3" borderId="81" xfId="0" applyNumberFormat="1" applyFont="1" applyFill="1" applyBorder="1" applyAlignment="1">
      <alignment horizontal="left" vertical="center"/>
    </xf>
    <xf numFmtId="20" fontId="29" fillId="2" borderId="81" xfId="0" applyNumberFormat="1" applyFont="1" applyFill="1" applyBorder="1" applyAlignment="1">
      <alignment horizontal="center" vertical="center"/>
    </xf>
    <xf numFmtId="0" fontId="115" fillId="3" borderId="81" xfId="0" applyFont="1" applyFill="1" applyBorder="1" applyAlignment="1">
      <alignment horizontal="left" vertical="center"/>
    </xf>
    <xf numFmtId="164" fontId="122" fillId="3" borderId="81" xfId="0" applyNumberFormat="1" applyFont="1" applyFill="1" applyBorder="1" applyAlignment="1">
      <alignment horizontal="center" vertical="center"/>
    </xf>
    <xf numFmtId="0" fontId="23" fillId="0" borderId="81" xfId="0" applyFont="1" applyBorder="1" applyAlignment="1">
      <alignment vertical="center" wrapText="1"/>
    </xf>
    <xf numFmtId="20" fontId="24" fillId="3" borderId="81" xfId="0" applyNumberFormat="1" applyFont="1" applyFill="1" applyBorder="1" applyAlignment="1">
      <alignment horizontal="left" vertical="center" wrapText="1"/>
    </xf>
    <xf numFmtId="0" fontId="56" fillId="3" borderId="81" xfId="0" quotePrefix="1" applyFont="1" applyFill="1" applyBorder="1" applyAlignment="1">
      <alignment horizontal="left" vertical="center"/>
    </xf>
    <xf numFmtId="0" fontId="185" fillId="3" borderId="81" xfId="0" applyFont="1" applyFill="1" applyBorder="1" applyAlignment="1">
      <alignment vertical="center"/>
    </xf>
    <xf numFmtId="0" fontId="17" fillId="3" borderId="81" xfId="0" applyFont="1" applyFill="1" applyBorder="1" applyAlignment="1">
      <alignment vertical="center" wrapText="1"/>
    </xf>
    <xf numFmtId="0" fontId="29" fillId="3" borderId="81" xfId="0" applyFont="1" applyFill="1" applyBorder="1" applyAlignment="1">
      <alignment horizontal="left" vertical="center"/>
    </xf>
    <xf numFmtId="164" fontId="45" fillId="3" borderId="81" xfId="0" applyNumberFormat="1" applyFont="1" applyFill="1" applyBorder="1" applyAlignment="1">
      <alignment horizontal="left" vertical="center" wrapText="1"/>
    </xf>
    <xf numFmtId="0" fontId="173" fillId="3" borderId="81" xfId="0" applyFont="1" applyFill="1" applyBorder="1" applyAlignment="1">
      <alignment horizontal="left" vertical="center"/>
    </xf>
    <xf numFmtId="0" fontId="0" fillId="3" borderId="81" xfId="0" quotePrefix="1" applyFill="1" applyBorder="1" applyAlignment="1">
      <alignment horizontal="left" vertical="center"/>
    </xf>
    <xf numFmtId="0" fontId="0" fillId="3" borderId="80" xfId="0" applyFill="1" applyBorder="1" applyAlignment="1">
      <alignment vertical="center"/>
    </xf>
    <xf numFmtId="164" fontId="0" fillId="3" borderId="81" xfId="0" applyNumberFormat="1" applyFill="1" applyBorder="1" applyAlignment="1">
      <alignment vertical="center"/>
    </xf>
    <xf numFmtId="0" fontId="45" fillId="3" borderId="81" xfId="0" applyFont="1" applyFill="1" applyBorder="1" applyAlignment="1">
      <alignment horizontal="center" vertical="center" wrapText="1"/>
    </xf>
    <xf numFmtId="0" fontId="56" fillId="3" borderId="81" xfId="0" applyFont="1" applyFill="1" applyBorder="1" applyAlignment="1">
      <alignment vertical="center"/>
    </xf>
    <xf numFmtId="0" fontId="134" fillId="3" borderId="81" xfId="0" applyFont="1" applyFill="1" applyBorder="1"/>
    <xf numFmtId="0" fontId="187" fillId="3" borderId="81" xfId="0" applyFont="1" applyFill="1" applyBorder="1" applyAlignment="1">
      <alignment horizontal="left" vertical="center"/>
    </xf>
    <xf numFmtId="0" fontId="173" fillId="0" borderId="81" xfId="0" applyFont="1" applyBorder="1" applyAlignment="1">
      <alignment horizontal="left" vertical="center"/>
    </xf>
    <xf numFmtId="0" fontId="0" fillId="0" borderId="81" xfId="0" applyBorder="1" applyAlignment="1">
      <alignment vertical="center" wrapText="1"/>
    </xf>
    <xf numFmtId="0" fontId="17" fillId="3" borderId="80" xfId="0" applyFont="1" applyFill="1" applyBorder="1" applyAlignment="1">
      <alignment horizontal="left" vertical="center"/>
    </xf>
    <xf numFmtId="0" fontId="17" fillId="2" borderId="81" xfId="0" applyFont="1" applyFill="1" applyBorder="1" applyAlignment="1">
      <alignment vertical="center"/>
    </xf>
    <xf numFmtId="20" fontId="0" fillId="2" borderId="81" xfId="0" applyNumberFormat="1" applyFill="1" applyBorder="1" applyAlignment="1">
      <alignment horizontal="center" vertical="center"/>
    </xf>
    <xf numFmtId="0" fontId="124" fillId="3" borderId="81" xfId="0" applyFont="1" applyFill="1" applyBorder="1"/>
    <xf numFmtId="11" fontId="0" fillId="3" borderId="81" xfId="0" applyNumberFormat="1" applyFill="1" applyBorder="1" applyAlignment="1">
      <alignment horizontal="center" vertical="center"/>
    </xf>
    <xf numFmtId="164" fontId="193" fillId="2" borderId="81" xfId="0" applyNumberFormat="1" applyFont="1" applyFill="1" applyBorder="1" applyAlignment="1">
      <alignment horizontal="center" vertical="center"/>
    </xf>
    <xf numFmtId="0" fontId="173" fillId="3" borderId="81" xfId="0" applyFont="1" applyFill="1" applyBorder="1" applyAlignment="1">
      <alignment vertical="top"/>
    </xf>
    <xf numFmtId="0" fontId="0" fillId="3" borderId="81" xfId="0" applyFill="1" applyBorder="1" applyAlignment="1">
      <alignment vertical="top"/>
    </xf>
    <xf numFmtId="164" fontId="0" fillId="3" borderId="81" xfId="0" applyNumberFormat="1" applyFill="1" applyBorder="1" applyAlignment="1">
      <alignment vertical="top"/>
    </xf>
    <xf numFmtId="164" fontId="23" fillId="3" borderId="81" xfId="0" applyNumberFormat="1" applyFont="1" applyFill="1" applyBorder="1" applyAlignment="1">
      <alignment horizontal="center" vertical="top"/>
    </xf>
    <xf numFmtId="0" fontId="109" fillId="3" borderId="81" xfId="0" applyFont="1" applyFill="1" applyBorder="1" applyAlignment="1">
      <alignment vertical="top"/>
    </xf>
    <xf numFmtId="0" fontId="0" fillId="3" borderId="81" xfId="0" applyFill="1" applyBorder="1" applyAlignment="1">
      <alignment vertical="top" wrapText="1"/>
    </xf>
    <xf numFmtId="0" fontId="29" fillId="3" borderId="81" xfId="0" applyFont="1" applyFill="1" applyBorder="1" applyAlignment="1">
      <alignment horizontal="center" vertical="center"/>
    </xf>
    <xf numFmtId="0" fontId="185" fillId="3" borderId="81" xfId="0" applyFont="1" applyFill="1" applyBorder="1"/>
    <xf numFmtId="0" fontId="0" fillId="3" borderId="81" xfId="0" applyFill="1" applyBorder="1" applyAlignment="1">
      <alignment horizontal="center" vertical="top"/>
    </xf>
    <xf numFmtId="164" fontId="0" fillId="3" borderId="81" xfId="0" applyNumberFormat="1" applyFill="1" applyBorder="1" applyAlignment="1">
      <alignment horizontal="center" vertical="top"/>
    </xf>
    <xf numFmtId="0" fontId="0" fillId="3" borderId="81" xfId="0" quotePrefix="1" applyFill="1" applyBorder="1" applyAlignment="1">
      <alignment vertical="top"/>
    </xf>
    <xf numFmtId="0" fontId="57" fillId="3" borderId="81" xfId="0" applyFont="1" applyFill="1" applyBorder="1" applyAlignment="1">
      <alignment horizontal="center" vertical="center"/>
    </xf>
    <xf numFmtId="0" fontId="17" fillId="2" borderId="81" xfId="0" applyFont="1" applyFill="1" applyBorder="1" applyAlignment="1">
      <alignment vertical="center" wrapText="1"/>
    </xf>
    <xf numFmtId="0" fontId="0" fillId="2" borderId="80" xfId="0" applyFill="1" applyBorder="1" applyAlignment="1">
      <alignment horizontal="center" vertical="top"/>
    </xf>
    <xf numFmtId="0" fontId="0" fillId="2" borderId="81" xfId="0" applyFill="1" applyBorder="1" applyAlignment="1">
      <alignment horizontal="center" vertical="top"/>
    </xf>
    <xf numFmtId="164" fontId="0" fillId="2" borderId="81" xfId="0" applyNumberFormat="1" applyFill="1" applyBorder="1" applyAlignment="1">
      <alignment horizontal="center" vertical="top"/>
    </xf>
    <xf numFmtId="164" fontId="23" fillId="2" borderId="81" xfId="0" applyNumberFormat="1" applyFont="1" applyFill="1" applyBorder="1" applyAlignment="1">
      <alignment horizontal="center" vertical="top"/>
    </xf>
    <xf numFmtId="0" fontId="57" fillId="2" borderId="81" xfId="0" applyFont="1" applyFill="1" applyBorder="1" applyAlignment="1">
      <alignment horizontal="center" vertical="top"/>
    </xf>
    <xf numFmtId="0" fontId="0" fillId="2" borderId="81" xfId="0" applyFill="1" applyBorder="1" applyAlignment="1">
      <alignment vertical="top"/>
    </xf>
    <xf numFmtId="164" fontId="0" fillId="2" borderId="81" xfId="0" applyNumberFormat="1" applyFill="1" applyBorder="1" applyAlignment="1">
      <alignment vertical="top"/>
    </xf>
    <xf numFmtId="16" fontId="53" fillId="2" borderId="81" xfId="0" applyNumberFormat="1" applyFont="1" applyFill="1" applyBorder="1" applyAlignment="1">
      <alignment horizontal="center" vertical="center"/>
    </xf>
    <xf numFmtId="0" fontId="23" fillId="3" borderId="81" xfId="0" applyFont="1" applyFill="1" applyBorder="1" applyAlignment="1">
      <alignment horizontal="left" vertical="center"/>
    </xf>
    <xf numFmtId="0" fontId="17" fillId="2" borderId="81" xfId="0" applyFont="1" applyFill="1" applyBorder="1" applyAlignment="1">
      <alignment horizontal="center" vertical="center"/>
    </xf>
    <xf numFmtId="0" fontId="115" fillId="3" borderId="81" xfId="0" applyFont="1" applyFill="1" applyBorder="1" applyAlignment="1">
      <alignment vertical="center"/>
    </xf>
    <xf numFmtId="164" fontId="24" fillId="3" borderId="81" xfId="0" applyNumberFormat="1" applyFont="1" applyFill="1" applyBorder="1" applyAlignment="1">
      <alignment vertical="center" wrapText="1"/>
    </xf>
    <xf numFmtId="0" fontId="0" fillId="3" borderId="80" xfId="0" applyFill="1" applyBorder="1" applyAlignment="1">
      <alignment horizontal="center" vertical="top"/>
    </xf>
    <xf numFmtId="0" fontId="17" fillId="3" borderId="81" xfId="0" applyFont="1" applyFill="1" applyBorder="1" applyAlignment="1">
      <alignment horizontal="center" vertical="top"/>
    </xf>
    <xf numFmtId="164" fontId="17" fillId="3" borderId="81" xfId="0" applyNumberFormat="1" applyFont="1" applyFill="1" applyBorder="1" applyAlignment="1">
      <alignment vertical="top"/>
    </xf>
    <xf numFmtId="0" fontId="17" fillId="3" borderId="81" xfId="0" applyFont="1" applyFill="1" applyBorder="1" applyAlignment="1">
      <alignment vertical="top" wrapText="1"/>
    </xf>
    <xf numFmtId="0" fontId="17" fillId="3" borderId="81" xfId="0" applyFont="1" applyFill="1" applyBorder="1" applyAlignment="1">
      <alignment vertical="top"/>
    </xf>
    <xf numFmtId="164" fontId="45" fillId="3" borderId="81" xfId="0" applyNumberFormat="1" applyFont="1" applyFill="1" applyBorder="1" applyAlignment="1">
      <alignment horizontal="center" vertical="top"/>
    </xf>
    <xf numFmtId="165" fontId="0" fillId="2" borderId="81" xfId="0" applyNumberFormat="1" applyFill="1" applyBorder="1" applyAlignment="1">
      <alignment horizontal="center" vertical="center"/>
    </xf>
    <xf numFmtId="49" fontId="0" fillId="2" borderId="81" xfId="0" applyNumberFormat="1" applyFill="1" applyBorder="1" applyAlignment="1">
      <alignment horizontal="center" vertical="center"/>
    </xf>
    <xf numFmtId="0" fontId="57" fillId="3" borderId="81" xfId="0" applyFont="1" applyFill="1" applyBorder="1" applyAlignment="1">
      <alignment horizontal="left" vertical="center"/>
    </xf>
    <xf numFmtId="0" fontId="111" fillId="2" borderId="81" xfId="0" applyFont="1" applyFill="1" applyBorder="1" applyAlignment="1">
      <alignment horizontal="center" vertical="center"/>
    </xf>
    <xf numFmtId="49" fontId="29" fillId="2" borderId="81" xfId="0" applyNumberFormat="1" applyFont="1" applyFill="1" applyBorder="1" applyAlignment="1">
      <alignment horizontal="center" vertical="center" wrapText="1"/>
    </xf>
    <xf numFmtId="0" fontId="55" fillId="2" borderId="81" xfId="0" applyFont="1" applyFill="1" applyBorder="1" applyAlignment="1">
      <alignment horizontal="center" vertical="center"/>
    </xf>
    <xf numFmtId="0" fontId="29" fillId="3" borderId="81" xfId="0" applyFont="1" applyFill="1" applyBorder="1"/>
    <xf numFmtId="0" fontId="0" fillId="3" borderId="81" xfId="0" applyFill="1" applyBorder="1" applyAlignment="1">
      <alignment horizontal="center"/>
    </xf>
    <xf numFmtId="16" fontId="17" fillId="3" borderId="81" xfId="0" applyNumberFormat="1" applyFont="1" applyFill="1" applyBorder="1" applyAlignment="1">
      <alignment horizontal="left" vertical="center" wrapText="1"/>
    </xf>
    <xf numFmtId="0" fontId="0" fillId="3" borderId="81" xfId="0" applyFill="1" applyBorder="1" applyAlignment="1">
      <alignment horizontal="left" vertical="top"/>
    </xf>
    <xf numFmtId="0" fontId="22" fillId="2" borderId="81" xfId="1" applyFill="1" applyBorder="1" applyAlignment="1">
      <alignment horizontal="center" vertical="center"/>
    </xf>
    <xf numFmtId="0" fontId="0" fillId="2" borderId="81" xfId="0" applyFill="1" applyBorder="1" applyAlignment="1">
      <alignment horizontal="right"/>
    </xf>
    <xf numFmtId="0" fontId="57" fillId="2" borderId="81" xfId="0" applyFont="1" applyFill="1" applyBorder="1" applyAlignment="1">
      <alignment horizontal="left" vertical="center"/>
    </xf>
    <xf numFmtId="16" fontId="57" fillId="2" borderId="81" xfId="0" applyNumberFormat="1" applyFont="1" applyFill="1" applyBorder="1" applyAlignment="1">
      <alignment horizontal="left" vertical="center"/>
    </xf>
    <xf numFmtId="16" fontId="29" fillId="2" borderId="81" xfId="0" applyNumberFormat="1" applyFont="1" applyFill="1" applyBorder="1" applyAlignment="1">
      <alignment horizontal="left" vertical="center"/>
    </xf>
    <xf numFmtId="16" fontId="0" fillId="2" borderId="81" xfId="0" applyNumberFormat="1" applyFill="1" applyBorder="1" applyAlignment="1">
      <alignment horizontal="left" vertical="center"/>
    </xf>
    <xf numFmtId="0" fontId="0" fillId="2" borderId="80" xfId="0" applyFill="1" applyBorder="1" applyAlignment="1">
      <alignment horizontal="left" vertical="center"/>
    </xf>
    <xf numFmtId="0" fontId="0" fillId="2" borderId="81" xfId="0" applyFill="1" applyBorder="1" applyAlignment="1">
      <alignment horizontal="right" vertical="center"/>
    </xf>
    <xf numFmtId="0" fontId="52" fillId="2" borderId="81" xfId="0" applyFont="1" applyFill="1" applyBorder="1" applyAlignment="1">
      <alignment horizontal="left" vertical="center"/>
    </xf>
    <xf numFmtId="0" fontId="57" fillId="2" borderId="81" xfId="0" applyFont="1" applyFill="1" applyBorder="1" applyAlignment="1">
      <alignment horizontal="left"/>
    </xf>
    <xf numFmtId="0" fontId="17" fillId="3" borderId="81" xfId="0" applyFont="1" applyFill="1" applyBorder="1" applyAlignment="1">
      <alignment horizontal="right" vertical="center"/>
    </xf>
    <xf numFmtId="0" fontId="177" fillId="3" borderId="81" xfId="83" applyFont="1" applyFill="1" applyBorder="1" applyAlignment="1">
      <alignment horizontal="left" vertical="center" wrapText="1"/>
    </xf>
    <xf numFmtId="0" fontId="17" fillId="3" borderId="81" xfId="0" applyFont="1" applyFill="1" applyBorder="1" applyAlignment="1">
      <alignment horizontal="left" wrapText="1"/>
    </xf>
    <xf numFmtId="164" fontId="0" fillId="2" borderId="81" xfId="0" applyNumberFormat="1" applyFill="1" applyBorder="1" applyAlignment="1">
      <alignment horizontal="left" vertical="center"/>
    </xf>
    <xf numFmtId="164" fontId="23" fillId="2" borderId="81" xfId="0" applyNumberFormat="1" applyFont="1" applyFill="1" applyBorder="1" applyAlignment="1">
      <alignment horizontal="left" vertical="center"/>
    </xf>
    <xf numFmtId="16" fontId="30" fillId="2" borderId="81" xfId="0" applyNumberFormat="1" applyFont="1" applyFill="1" applyBorder="1" applyAlignment="1">
      <alignment horizontal="left"/>
    </xf>
    <xf numFmtId="0" fontId="23" fillId="2" borderId="81" xfId="0" applyFont="1" applyFill="1" applyBorder="1" applyAlignment="1">
      <alignment horizontal="left" vertical="center"/>
    </xf>
    <xf numFmtId="0" fontId="0" fillId="3" borderId="81" xfId="0" applyFill="1" applyBorder="1" applyAlignment="1">
      <alignment horizontal="right" vertical="center"/>
    </xf>
    <xf numFmtId="0" fontId="57" fillId="3" borderId="81" xfId="0" applyFont="1" applyFill="1" applyBorder="1" applyAlignment="1">
      <alignment horizontal="left"/>
    </xf>
    <xf numFmtId="0" fontId="60" fillId="3" borderId="81" xfId="0" applyFont="1" applyFill="1" applyBorder="1" applyAlignment="1">
      <alignment horizontal="left"/>
    </xf>
    <xf numFmtId="16" fontId="0" fillId="3" borderId="81" xfId="0" applyNumberFormat="1" applyFill="1" applyBorder="1" applyAlignment="1">
      <alignment horizontal="left" vertical="center"/>
    </xf>
    <xf numFmtId="0" fontId="0" fillId="3" borderId="81" xfId="0" applyFill="1" applyBorder="1" applyAlignment="1">
      <alignment horizontal="left" wrapText="1"/>
    </xf>
    <xf numFmtId="0" fontId="17" fillId="3" borderId="81" xfId="0" applyFont="1" applyFill="1" applyBorder="1" applyAlignment="1">
      <alignment horizontal="left"/>
    </xf>
    <xf numFmtId="0" fontId="53" fillId="2" borderId="81" xfId="0" applyFont="1" applyFill="1" applyBorder="1" applyAlignment="1">
      <alignment horizontal="left" vertical="center"/>
    </xf>
    <xf numFmtId="0" fontId="45" fillId="3" borderId="81" xfId="0" applyFont="1" applyFill="1" applyBorder="1" applyAlignment="1">
      <alignment horizontal="left" vertical="center"/>
    </xf>
    <xf numFmtId="0" fontId="29" fillId="3" borderId="81" xfId="0" applyFont="1" applyFill="1" applyBorder="1" applyAlignment="1">
      <alignment horizontal="left"/>
    </xf>
    <xf numFmtId="16" fontId="23" fillId="3" borderId="81" xfId="0" applyNumberFormat="1" applyFont="1" applyFill="1" applyBorder="1" applyAlignment="1">
      <alignment horizontal="left" vertical="center"/>
    </xf>
    <xf numFmtId="0" fontId="0" fillId="0" borderId="80" xfId="0" applyBorder="1" applyAlignment="1">
      <alignment horizontal="left"/>
    </xf>
    <xf numFmtId="0" fontId="17" fillId="0" borderId="81" xfId="0" applyFont="1" applyBorder="1" applyAlignment="1">
      <alignment horizontal="right" vertical="center"/>
    </xf>
    <xf numFmtId="164" fontId="23" fillId="0" borderId="81" xfId="0" applyNumberFormat="1" applyFont="1" applyBorder="1" applyAlignment="1">
      <alignment horizontal="left" vertical="center"/>
    </xf>
    <xf numFmtId="0" fontId="57" fillId="0" borderId="81" xfId="0" applyFont="1" applyBorder="1" applyAlignment="1">
      <alignment horizontal="left"/>
    </xf>
    <xf numFmtId="0" fontId="29" fillId="0" borderId="81" xfId="0" applyFont="1" applyBorder="1" applyAlignment="1">
      <alignment horizontal="left" vertical="center"/>
    </xf>
    <xf numFmtId="16" fontId="0" fillId="0" borderId="81" xfId="0" applyNumberFormat="1" applyBorder="1" applyAlignment="1">
      <alignment horizontal="left" vertical="center"/>
    </xf>
    <xf numFmtId="0" fontId="17" fillId="0" borderId="81" xfId="0" applyFont="1" applyBorder="1" applyAlignment="1">
      <alignment horizontal="left" wrapText="1"/>
    </xf>
    <xf numFmtId="164" fontId="194" fillId="3" borderId="81" xfId="0" applyNumberFormat="1" applyFont="1" applyFill="1" applyBorder="1" applyAlignment="1">
      <alignment horizontal="left" vertical="center"/>
    </xf>
    <xf numFmtId="0" fontId="57" fillId="2" borderId="81" xfId="0" applyFont="1" applyFill="1" applyBorder="1" applyAlignment="1">
      <alignment horizontal="left" vertical="center" wrapText="1"/>
    </xf>
    <xf numFmtId="0" fontId="29" fillId="2" borderId="80" xfId="0" applyFont="1" applyFill="1" applyBorder="1" applyAlignment="1">
      <alignment horizontal="left" vertical="center"/>
    </xf>
    <xf numFmtId="164" fontId="29" fillId="2" borderId="81" xfId="0" applyNumberFormat="1" applyFont="1" applyFill="1" applyBorder="1" applyAlignment="1">
      <alignment horizontal="left" vertical="center"/>
    </xf>
    <xf numFmtId="0" fontId="67" fillId="2" borderId="81" xfId="0" applyFont="1" applyFill="1" applyBorder="1" applyAlignment="1">
      <alignment horizontal="left"/>
    </xf>
    <xf numFmtId="0" fontId="57" fillId="3" borderId="81" xfId="0" applyFont="1" applyFill="1" applyBorder="1" applyAlignment="1">
      <alignment horizontal="left" vertical="center" wrapText="1"/>
    </xf>
    <xf numFmtId="0" fontId="68" fillId="3" borderId="81" xfId="0" applyFont="1" applyFill="1" applyBorder="1" applyAlignment="1">
      <alignment horizontal="left" wrapText="1"/>
    </xf>
    <xf numFmtId="0" fontId="45" fillId="2" borderId="81" xfId="0" applyFont="1" applyFill="1" applyBorder="1" applyAlignment="1">
      <alignment horizontal="left"/>
    </xf>
    <xf numFmtId="16" fontId="45" fillId="2" borderId="81" xfId="0" applyNumberFormat="1" applyFont="1" applyFill="1" applyBorder="1" applyAlignment="1">
      <alignment horizontal="left" vertical="center"/>
    </xf>
    <xf numFmtId="0" fontId="53" fillId="2" borderId="81" xfId="0" applyFont="1" applyFill="1" applyBorder="1" applyAlignment="1">
      <alignment horizontal="left"/>
    </xf>
    <xf numFmtId="164" fontId="29" fillId="3" borderId="81" xfId="0" applyNumberFormat="1" applyFont="1" applyFill="1" applyBorder="1" applyAlignment="1">
      <alignment horizontal="left" vertical="center"/>
    </xf>
    <xf numFmtId="16" fontId="29" fillId="3" borderId="81" xfId="0" applyNumberFormat="1" applyFont="1" applyFill="1" applyBorder="1" applyAlignment="1">
      <alignment horizontal="left" vertical="center"/>
    </xf>
    <xf numFmtId="0" fontId="0" fillId="3" borderId="80" xfId="0" applyFill="1" applyBorder="1" applyAlignment="1">
      <alignment horizontal="left" vertical="top"/>
    </xf>
    <xf numFmtId="0" fontId="29" fillId="3" borderId="81" xfId="0" applyFont="1" applyFill="1" applyBorder="1" applyAlignment="1">
      <alignment horizontal="left" wrapText="1"/>
    </xf>
    <xf numFmtId="0" fontId="29" fillId="2" borderId="81" xfId="0" applyFont="1" applyFill="1" applyBorder="1" applyAlignment="1">
      <alignment horizontal="left"/>
    </xf>
    <xf numFmtId="164" fontId="57" fillId="2" borderId="81" xfId="0" applyNumberFormat="1" applyFont="1" applyFill="1" applyBorder="1" applyAlignment="1">
      <alignment horizontal="left" vertical="center"/>
    </xf>
    <xf numFmtId="0" fontId="29" fillId="3" borderId="81" xfId="0" applyFont="1" applyFill="1" applyBorder="1" applyAlignment="1">
      <alignment horizontal="right" vertical="top"/>
    </xf>
    <xf numFmtId="0" fontId="57" fillId="3" borderId="81" xfId="0" applyFont="1" applyFill="1" applyBorder="1" applyAlignment="1">
      <alignment horizontal="left" vertical="top"/>
    </xf>
    <xf numFmtId="0" fontId="29" fillId="3" borderId="81" xfId="0" applyFont="1" applyFill="1" applyBorder="1" applyAlignment="1">
      <alignment horizontal="right" vertical="center"/>
    </xf>
    <xf numFmtId="0" fontId="248" fillId="3" borderId="81" xfId="0" applyFont="1" applyFill="1" applyBorder="1" applyAlignment="1">
      <alignment horizontal="left"/>
    </xf>
    <xf numFmtId="0" fontId="0" fillId="3" borderId="81" xfId="0" applyFill="1" applyBorder="1" applyAlignment="1">
      <alignment horizontal="right" vertical="top"/>
    </xf>
    <xf numFmtId="0" fontId="29" fillId="3" borderId="81" xfId="0" applyFont="1" applyFill="1" applyBorder="1" applyAlignment="1">
      <alignment horizontal="left" vertical="top"/>
    </xf>
    <xf numFmtId="0" fontId="189" fillId="3" borderId="81" xfId="0" applyFont="1" applyFill="1" applyBorder="1" applyAlignment="1">
      <alignment horizontal="left" vertical="top"/>
    </xf>
    <xf numFmtId="0" fontId="189" fillId="3" borderId="81" xfId="0" applyFont="1" applyFill="1" applyBorder="1" applyAlignment="1">
      <alignment horizontal="left" vertical="center"/>
    </xf>
    <xf numFmtId="16" fontId="189" fillId="3" borderId="81" xfId="0" applyNumberFormat="1" applyFont="1" applyFill="1" applyBorder="1" applyAlignment="1">
      <alignment horizontal="left" vertical="center"/>
    </xf>
    <xf numFmtId="0" fontId="189" fillId="3" borderId="81" xfId="0" applyFont="1" applyFill="1" applyBorder="1" applyAlignment="1">
      <alignment horizontal="left" wrapText="1"/>
    </xf>
    <xf numFmtId="0" fontId="57" fillId="2" borderId="81" xfId="0" applyFont="1" applyFill="1" applyBorder="1" applyAlignment="1">
      <alignment horizontal="right" vertical="top"/>
    </xf>
    <xf numFmtId="0" fontId="57" fillId="2" borderId="81" xfId="0" applyFont="1" applyFill="1" applyBorder="1" applyAlignment="1">
      <alignment horizontal="left" vertical="top" wrapText="1"/>
    </xf>
    <xf numFmtId="0" fontId="57" fillId="3" borderId="81" xfId="0" applyFont="1" applyFill="1" applyBorder="1" applyAlignment="1">
      <alignment horizontal="right" vertical="top"/>
    </xf>
    <xf numFmtId="0" fontId="189" fillId="2" borderId="80" xfId="0" applyFont="1" applyFill="1" applyBorder="1" applyAlignment="1">
      <alignment horizontal="left" vertical="top"/>
    </xf>
    <xf numFmtId="0" fontId="189" fillId="2" borderId="81" xfId="0" applyFont="1" applyFill="1" applyBorder="1" applyAlignment="1">
      <alignment horizontal="left" vertical="top"/>
    </xf>
    <xf numFmtId="0" fontId="189" fillId="2" borderId="81" xfId="0" applyFont="1" applyFill="1" applyBorder="1" applyAlignment="1">
      <alignment horizontal="left" vertical="center"/>
    </xf>
    <xf numFmtId="16" fontId="189" fillId="2" borderId="81" xfId="0" applyNumberFormat="1" applyFont="1" applyFill="1" applyBorder="1" applyAlignment="1">
      <alignment horizontal="left" vertical="center"/>
    </xf>
    <xf numFmtId="0" fontId="0" fillId="2" borderId="80" xfId="0" applyFill="1" applyBorder="1" applyAlignment="1">
      <alignment horizontal="left" vertical="top"/>
    </xf>
    <xf numFmtId="0" fontId="29" fillId="2" borderId="81" xfId="0" applyFont="1" applyFill="1" applyBorder="1" applyAlignment="1">
      <alignment horizontal="left" vertical="top"/>
    </xf>
    <xf numFmtId="0" fontId="0" fillId="2" borderId="81" xfId="0" applyFill="1" applyBorder="1" applyAlignment="1">
      <alignment horizontal="left" vertical="top"/>
    </xf>
    <xf numFmtId="0" fontId="60" fillId="2" borderId="81" xfId="0" applyFont="1" applyFill="1" applyBorder="1" applyAlignment="1">
      <alignment horizontal="left"/>
    </xf>
    <xf numFmtId="0" fontId="29" fillId="74" borderId="80" xfId="0" applyFont="1" applyFill="1" applyBorder="1" applyAlignment="1">
      <alignment horizontal="left" vertical="center"/>
    </xf>
    <xf numFmtId="0" fontId="57" fillId="74" borderId="81" xfId="0" applyFont="1" applyFill="1" applyBorder="1" applyAlignment="1">
      <alignment horizontal="right" vertical="center"/>
    </xf>
    <xf numFmtId="0" fontId="29" fillId="74" borderId="81" xfId="0" applyFont="1" applyFill="1" applyBorder="1" applyAlignment="1">
      <alignment horizontal="left" vertical="center"/>
    </xf>
    <xf numFmtId="164" fontId="29" fillId="74" borderId="81" xfId="0" applyNumberFormat="1" applyFont="1" applyFill="1" applyBorder="1" applyAlignment="1">
      <alignment horizontal="left" vertical="center"/>
    </xf>
    <xf numFmtId="0" fontId="57" fillId="74" borderId="81" xfId="0" applyFont="1" applyFill="1" applyBorder="1" applyAlignment="1">
      <alignment horizontal="left"/>
    </xf>
    <xf numFmtId="0" fontId="29" fillId="74" borderId="81" xfId="0" applyFont="1" applyFill="1" applyBorder="1" applyAlignment="1">
      <alignment horizontal="left"/>
    </xf>
    <xf numFmtId="16" fontId="57" fillId="74" borderId="81" xfId="0" applyNumberFormat="1" applyFont="1" applyFill="1" applyBorder="1" applyAlignment="1">
      <alignment horizontal="left" vertical="center"/>
    </xf>
    <xf numFmtId="16" fontId="29" fillId="74" borderId="81" xfId="0" applyNumberFormat="1" applyFont="1" applyFill="1" applyBorder="1" applyAlignment="1">
      <alignment horizontal="left" vertical="center"/>
    </xf>
    <xf numFmtId="0" fontId="29" fillId="74" borderId="81" xfId="0" applyFont="1" applyFill="1" applyBorder="1" applyAlignment="1">
      <alignment horizontal="left" wrapText="1"/>
    </xf>
    <xf numFmtId="0" fontId="0" fillId="2" borderId="81" xfId="0" applyFill="1" applyBorder="1" applyAlignment="1">
      <alignment horizontal="right" vertical="top"/>
    </xf>
    <xf numFmtId="0" fontId="57" fillId="2" borderId="81" xfId="0" applyFont="1" applyFill="1" applyBorder="1" applyAlignment="1">
      <alignment horizontal="left" vertical="top"/>
    </xf>
    <xf numFmtId="0" fontId="29" fillId="2" borderId="80" xfId="0" applyFont="1" applyFill="1" applyBorder="1" applyAlignment="1">
      <alignment horizontal="left" vertical="top"/>
    </xf>
    <xf numFmtId="0" fontId="57" fillId="2" borderId="81" xfId="0" applyFont="1" applyFill="1" applyBorder="1" applyAlignment="1">
      <alignment horizontal="left" wrapText="1"/>
    </xf>
    <xf numFmtId="0" fontId="29" fillId="2" borderId="81" xfId="0" applyFont="1" applyFill="1" applyBorder="1" applyAlignment="1">
      <alignment horizontal="left" wrapText="1"/>
    </xf>
    <xf numFmtId="16" fontId="57" fillId="3" borderId="81" xfId="0" applyNumberFormat="1" applyFont="1" applyFill="1" applyBorder="1" applyAlignment="1">
      <alignment horizontal="left" vertical="center"/>
    </xf>
    <xf numFmtId="0" fontId="29" fillId="2" borderId="81" xfId="0" applyFont="1" applyFill="1" applyBorder="1" applyAlignment="1">
      <alignment horizontal="right" vertical="top"/>
    </xf>
    <xf numFmtId="0" fontId="253" fillId="2" borderId="81" xfId="0" applyFont="1" applyFill="1" applyBorder="1" applyAlignment="1">
      <alignment horizontal="left"/>
    </xf>
    <xf numFmtId="0" fontId="254" fillId="3" borderId="81" xfId="0" applyFont="1" applyFill="1" applyBorder="1" applyAlignment="1">
      <alignment horizontal="left"/>
    </xf>
    <xf numFmtId="0" fontId="57" fillId="2" borderId="81" xfId="0" applyFont="1" applyFill="1" applyBorder="1" applyAlignment="1">
      <alignment horizontal="right" vertical="center"/>
    </xf>
    <xf numFmtId="0" fontId="0" fillId="74" borderId="80" xfId="0" applyFill="1" applyBorder="1" applyAlignment="1">
      <alignment horizontal="left" vertical="center"/>
    </xf>
    <xf numFmtId="164" fontId="0" fillId="74" borderId="81" xfId="0" applyNumberFormat="1" applyFill="1" applyBorder="1" applyAlignment="1">
      <alignment horizontal="left" vertical="center"/>
    </xf>
    <xf numFmtId="16" fontId="0" fillId="74" borderId="81" xfId="0" applyNumberFormat="1" applyFill="1" applyBorder="1" applyAlignment="1">
      <alignment horizontal="left" vertical="center"/>
    </xf>
    <xf numFmtId="0" fontId="0" fillId="74" borderId="81" xfId="0" applyFill="1" applyBorder="1" applyAlignment="1">
      <alignment horizontal="left" wrapText="1"/>
    </xf>
    <xf numFmtId="0" fontId="28" fillId="3" borderId="81" xfId="0" applyFont="1" applyFill="1" applyBorder="1" applyAlignment="1">
      <alignment horizontal="left" vertical="center" wrapText="1"/>
    </xf>
    <xf numFmtId="164" fontId="45" fillId="2" borderId="81" xfId="0" applyNumberFormat="1" applyFont="1" applyFill="1" applyBorder="1" applyAlignment="1">
      <alignment horizontal="left" vertical="center"/>
    </xf>
    <xf numFmtId="0" fontId="29" fillId="2" borderId="81" xfId="0" applyFont="1" applyFill="1" applyBorder="1" applyAlignment="1">
      <alignment horizontal="right" vertical="center"/>
    </xf>
    <xf numFmtId="0" fontId="25" fillId="3" borderId="81" xfId="0" applyFont="1" applyFill="1" applyBorder="1" applyAlignment="1">
      <alignment horizontal="right" vertical="center"/>
    </xf>
    <xf numFmtId="0" fontId="24" fillId="3" borderId="81" xfId="0" applyFont="1" applyFill="1" applyBorder="1" applyAlignment="1">
      <alignment horizontal="left" wrapText="1"/>
    </xf>
    <xf numFmtId="0" fontId="0" fillId="78" borderId="81" xfId="0" applyFill="1" applyBorder="1" applyAlignment="1">
      <alignment horizontal="right" vertical="center"/>
    </xf>
    <xf numFmtId="16" fontId="23" fillId="0" borderId="81" xfId="0" applyNumberFormat="1" applyFont="1" applyBorder="1" applyAlignment="1">
      <alignment horizontal="left" vertical="center"/>
    </xf>
    <xf numFmtId="0" fontId="0" fillId="0" borderId="81" xfId="0" applyBorder="1" applyAlignment="1">
      <alignment horizontal="left" wrapText="1"/>
    </xf>
    <xf numFmtId="16" fontId="23" fillId="2" borderId="81" xfId="0" applyNumberFormat="1" applyFont="1" applyFill="1" applyBorder="1" applyAlignment="1">
      <alignment horizontal="left" vertical="center"/>
    </xf>
    <xf numFmtId="0" fontId="178" fillId="2" borderId="81" xfId="0" applyFont="1" applyFill="1" applyBorder="1" applyAlignment="1">
      <alignment horizontal="right" vertical="center"/>
    </xf>
    <xf numFmtId="16" fontId="23" fillId="74" borderId="81" xfId="0" applyNumberFormat="1" applyFont="1" applyFill="1" applyBorder="1" applyAlignment="1">
      <alignment horizontal="left" vertical="center"/>
    </xf>
    <xf numFmtId="16" fontId="17" fillId="3" borderId="81" xfId="0" applyNumberFormat="1" applyFont="1" applyFill="1" applyBorder="1" applyAlignment="1">
      <alignment horizontal="left" vertical="center"/>
    </xf>
    <xf numFmtId="0" fontId="70" fillId="3" borderId="81" xfId="0" applyFont="1" applyFill="1" applyBorder="1" applyAlignment="1">
      <alignment vertical="center" wrapText="1"/>
    </xf>
    <xf numFmtId="16" fontId="45" fillId="3" borderId="81" xfId="0" applyNumberFormat="1" applyFont="1" applyFill="1" applyBorder="1" applyAlignment="1">
      <alignment horizontal="left" vertical="center"/>
    </xf>
    <xf numFmtId="0" fontId="17" fillId="3" borderId="82" xfId="0" applyFont="1" applyFill="1" applyBorder="1" applyAlignment="1">
      <alignment horizontal="left" vertical="center"/>
    </xf>
    <xf numFmtId="0" fontId="256" fillId="2" borderId="81" xfId="0" applyFont="1" applyFill="1" applyBorder="1" applyAlignment="1">
      <alignment horizontal="left"/>
    </xf>
    <xf numFmtId="0" fontId="17" fillId="2" borderId="81" xfId="0" applyFont="1" applyFill="1" applyBorder="1" applyAlignment="1">
      <alignment horizontal="left" vertical="center"/>
    </xf>
    <xf numFmtId="0" fontId="17" fillId="2" borderId="81" xfId="0" applyFont="1" applyFill="1" applyBorder="1" applyAlignment="1">
      <alignment horizontal="left" wrapText="1"/>
    </xf>
    <xf numFmtId="0" fontId="56" fillId="3" borderId="81" xfId="0" applyFont="1" applyFill="1" applyBorder="1" applyAlignment="1">
      <alignment horizontal="left" vertical="center" wrapText="1"/>
    </xf>
    <xf numFmtId="20" fontId="0" fillId="3" borderId="81" xfId="0" applyNumberFormat="1" applyFill="1" applyBorder="1" applyAlignment="1">
      <alignment horizontal="left" vertical="center"/>
    </xf>
    <xf numFmtId="0" fontId="0" fillId="2" borderId="80" xfId="0" applyFill="1" applyBorder="1" applyAlignment="1">
      <alignment horizontal="left" vertical="center" wrapText="1"/>
    </xf>
    <xf numFmtId="0" fontId="111" fillId="2" borderId="81" xfId="0" applyFont="1" applyFill="1" applyBorder="1" applyAlignment="1">
      <alignment horizontal="right" vertical="center" wrapText="1"/>
    </xf>
    <xf numFmtId="0" fontId="29" fillId="2" borderId="81" xfId="0" applyFont="1" applyFill="1" applyBorder="1" applyAlignment="1">
      <alignment horizontal="left" vertical="center" wrapText="1"/>
    </xf>
    <xf numFmtId="0" fontId="0" fillId="2" borderId="81" xfId="0" applyFill="1" applyBorder="1" applyAlignment="1">
      <alignment horizontal="left" vertical="top" wrapText="1"/>
    </xf>
    <xf numFmtId="0" fontId="111" fillId="2" borderId="81" xfId="0" applyFont="1" applyFill="1" applyBorder="1" applyAlignment="1">
      <alignment horizontal="right" vertical="center"/>
    </xf>
    <xf numFmtId="0" fontId="66" fillId="2" borderId="81" xfId="0" applyFont="1" applyFill="1" applyBorder="1" applyAlignment="1">
      <alignment horizontal="left" vertical="top"/>
    </xf>
    <xf numFmtId="0" fontId="0" fillId="74" borderId="81" xfId="0" applyFill="1" applyBorder="1" applyAlignment="1">
      <alignment horizontal="right" vertical="center"/>
    </xf>
    <xf numFmtId="0" fontId="0" fillId="2" borderId="80" xfId="0" applyFill="1" applyBorder="1"/>
    <xf numFmtId="16" fontId="0" fillId="2" borderId="81" xfId="0" applyNumberFormat="1" applyFill="1" applyBorder="1"/>
    <xf numFmtId="16" fontId="23" fillId="2" borderId="81" xfId="0" applyNumberFormat="1" applyFont="1" applyFill="1" applyBorder="1" applyAlignment="1">
      <alignment horizontal="center"/>
    </xf>
    <xf numFmtId="0" fontId="60" fillId="2" borderId="81" xfId="0" applyFont="1" applyFill="1" applyBorder="1" applyAlignment="1">
      <alignment horizontal="center"/>
    </xf>
    <xf numFmtId="16" fontId="23" fillId="2" borderId="81" xfId="0" applyNumberFormat="1" applyFont="1" applyFill="1" applyBorder="1"/>
    <xf numFmtId="164" fontId="45" fillId="2" borderId="81" xfId="0" applyNumberFormat="1" applyFont="1" applyFill="1" applyBorder="1" applyAlignment="1">
      <alignment vertical="center"/>
    </xf>
    <xf numFmtId="164" fontId="0" fillId="2" borderId="81" xfId="0" applyNumberFormat="1" applyFill="1" applyBorder="1"/>
    <xf numFmtId="16" fontId="0" fillId="2" borderId="81" xfId="0" applyNumberFormat="1" applyFill="1" applyBorder="1" applyAlignment="1">
      <alignment vertical="center"/>
    </xf>
    <xf numFmtId="164" fontId="0" fillId="2" borderId="81" xfId="0" applyNumberFormat="1" applyFill="1" applyBorder="1" applyAlignment="1">
      <alignment vertical="center"/>
    </xf>
    <xf numFmtId="164" fontId="45" fillId="0" borderId="81" xfId="0" applyNumberFormat="1" applyFont="1" applyBorder="1" applyAlignment="1">
      <alignment horizontal="left" vertical="center"/>
    </xf>
    <xf numFmtId="16" fontId="57" fillId="2" borderId="81" xfId="0" applyNumberFormat="1" applyFont="1" applyFill="1" applyBorder="1" applyAlignment="1">
      <alignment horizontal="center"/>
    </xf>
    <xf numFmtId="16" fontId="29" fillId="2" borderId="81" xfId="0" applyNumberFormat="1" applyFont="1" applyFill="1" applyBorder="1" applyAlignment="1">
      <alignment horizontal="center"/>
    </xf>
    <xf numFmtId="0" fontId="0" fillId="74" borderId="81" xfId="0" applyFill="1" applyBorder="1" applyAlignment="1">
      <alignment vertical="center"/>
    </xf>
    <xf numFmtId="0" fontId="0" fillId="3" borderId="81" xfId="0" applyFill="1" applyBorder="1" applyAlignment="1">
      <alignment horizontal="right"/>
    </xf>
    <xf numFmtId="0" fontId="24" fillId="0" borderId="81" xfId="0" applyFont="1" applyBorder="1" applyAlignment="1">
      <alignment horizontal="left" vertical="center" wrapText="1"/>
    </xf>
    <xf numFmtId="0" fontId="45" fillId="2" borderId="81" xfId="0" applyFont="1" applyFill="1" applyBorder="1" applyAlignment="1">
      <alignment horizontal="left" vertical="center"/>
    </xf>
    <xf numFmtId="164" fontId="0" fillId="3" borderId="81" xfId="0" applyNumberFormat="1" applyFill="1" applyBorder="1" applyAlignment="1">
      <alignment horizontal="left"/>
    </xf>
    <xf numFmtId="0" fontId="113" fillId="3" borderId="81" xfId="0" applyFont="1" applyFill="1" applyBorder="1" applyAlignment="1">
      <alignment horizontal="left"/>
    </xf>
    <xf numFmtId="164" fontId="45" fillId="2" borderId="81" xfId="0" applyNumberFormat="1" applyFont="1" applyFill="1" applyBorder="1" applyAlignment="1">
      <alignment horizontal="left" vertical="center" wrapText="1"/>
    </xf>
    <xf numFmtId="164" fontId="23" fillId="2" borderId="81" xfId="0" applyNumberFormat="1" applyFont="1" applyFill="1" applyBorder="1" applyAlignment="1">
      <alignment horizontal="left"/>
    </xf>
    <xf numFmtId="164" fontId="45" fillId="2" borderId="81" xfId="0" applyNumberFormat="1" applyFont="1" applyFill="1" applyBorder="1" applyAlignment="1">
      <alignment horizontal="left"/>
    </xf>
    <xf numFmtId="0" fontId="0" fillId="2" borderId="80" xfId="0" applyFill="1" applyBorder="1" applyAlignment="1">
      <alignment horizontal="left"/>
    </xf>
    <xf numFmtId="0" fontId="53" fillId="62" borderId="81" xfId="0" applyFont="1" applyFill="1" applyBorder="1" applyAlignment="1">
      <alignment horizontal="left" vertical="center"/>
    </xf>
    <xf numFmtId="0" fontId="57" fillId="74" borderId="81" xfId="0" applyFont="1" applyFill="1" applyBorder="1" applyAlignment="1">
      <alignment horizontal="left" vertical="center"/>
    </xf>
    <xf numFmtId="164" fontId="0" fillId="74" borderId="81" xfId="0" applyNumberFormat="1" applyFill="1" applyBorder="1" applyAlignment="1">
      <alignment horizontal="left"/>
    </xf>
    <xf numFmtId="164" fontId="0" fillId="74" borderId="80" xfId="0" applyNumberFormat="1" applyFill="1" applyBorder="1" applyAlignment="1">
      <alignment horizontal="left"/>
    </xf>
    <xf numFmtId="0" fontId="0" fillId="74" borderId="82" xfId="0" applyFill="1" applyBorder="1" applyAlignment="1">
      <alignment horizontal="left"/>
    </xf>
    <xf numFmtId="0" fontId="0" fillId="74" borderId="80" xfId="0" applyFill="1" applyBorder="1" applyAlignment="1">
      <alignment horizontal="left"/>
    </xf>
    <xf numFmtId="164" fontId="0" fillId="2" borderId="80" xfId="0" applyNumberFormat="1" applyFill="1" applyBorder="1" applyAlignment="1">
      <alignment horizontal="left"/>
    </xf>
    <xf numFmtId="164" fontId="45" fillId="0" borderId="81" xfId="0" applyNumberFormat="1" applyFont="1" applyBorder="1" applyAlignment="1">
      <alignment horizontal="left"/>
    </xf>
    <xf numFmtId="16" fontId="29" fillId="2" borderId="81" xfId="0" applyNumberFormat="1" applyFont="1" applyFill="1" applyBorder="1" applyAlignment="1">
      <alignment horizontal="left"/>
    </xf>
    <xf numFmtId="0" fontId="0" fillId="0" borderId="81" xfId="0" applyBorder="1" applyAlignment="1">
      <alignment horizontal="center"/>
    </xf>
    <xf numFmtId="16" fontId="0" fillId="2" borderId="81" xfId="0" applyNumberFormat="1" applyFill="1" applyBorder="1" applyAlignment="1">
      <alignment horizontal="center"/>
    </xf>
    <xf numFmtId="16" fontId="0" fillId="0" borderId="81" xfId="0" applyNumberFormat="1" applyBorder="1" applyAlignment="1">
      <alignment horizontal="center" vertical="center"/>
    </xf>
    <xf numFmtId="16" fontId="23" fillId="0" borderId="81" xfId="0" applyNumberFormat="1" applyFont="1" applyBorder="1" applyAlignment="1">
      <alignment horizontal="center" vertical="center"/>
    </xf>
    <xf numFmtId="20" fontId="24" fillId="3" borderId="81" xfId="0" applyNumberFormat="1" applyFont="1" applyFill="1" applyBorder="1" applyAlignment="1">
      <alignment horizontal="left" vertical="center"/>
    </xf>
    <xf numFmtId="0" fontId="53" fillId="3" borderId="81" xfId="0" applyFont="1" applyFill="1" applyBorder="1" applyAlignment="1">
      <alignment horizontal="left" vertical="center" wrapText="1"/>
    </xf>
    <xf numFmtId="4" fontId="0" fillId="3" borderId="81" xfId="0" applyNumberFormat="1" applyFill="1" applyBorder="1" applyAlignment="1">
      <alignment horizontal="left" vertical="center"/>
    </xf>
    <xf numFmtId="0" fontId="53" fillId="2" borderId="80" xfId="0" applyFont="1" applyFill="1" applyBorder="1" applyAlignment="1">
      <alignment horizontal="left" vertical="center"/>
    </xf>
    <xf numFmtId="0" fontId="0" fillId="2" borderId="80" xfId="0" applyFill="1" applyBorder="1" applyAlignment="1">
      <alignment vertical="center"/>
    </xf>
    <xf numFmtId="164" fontId="0" fillId="2" borderId="81" xfId="0" applyNumberFormat="1" applyFill="1" applyBorder="1" applyAlignment="1">
      <alignment horizontal="center"/>
    </xf>
    <xf numFmtId="10" fontId="0" fillId="2" borderId="81" xfId="77" applyNumberFormat="1" applyFont="1" applyFill="1" applyBorder="1" applyAlignment="1">
      <alignment horizontal="left"/>
    </xf>
    <xf numFmtId="0" fontId="0" fillId="2" borderId="80" xfId="0" applyFill="1" applyBorder="1" applyAlignment="1">
      <alignment horizontal="center"/>
    </xf>
    <xf numFmtId="164" fontId="53" fillId="3" borderId="81" xfId="0" applyNumberFormat="1" applyFont="1" applyFill="1" applyBorder="1" applyAlignment="1">
      <alignment horizontal="left" vertical="center"/>
    </xf>
    <xf numFmtId="0" fontId="57" fillId="3" borderId="80" xfId="0" applyFont="1" applyFill="1" applyBorder="1" applyAlignment="1">
      <alignment horizontal="left" vertical="center"/>
    </xf>
    <xf numFmtId="164" fontId="0" fillId="2" borderId="81" xfId="0" applyNumberFormat="1" applyFill="1" applyBorder="1" applyAlignment="1">
      <alignment horizontal="left" wrapText="1"/>
    </xf>
    <xf numFmtId="0" fontId="0" fillId="2" borderId="80" xfId="0" applyFill="1" applyBorder="1" applyAlignment="1">
      <alignment horizontal="center" vertical="center" wrapText="1"/>
    </xf>
    <xf numFmtId="16" fontId="45" fillId="2" borderId="81" xfId="0" applyNumberFormat="1" applyFont="1" applyFill="1" applyBorder="1" applyAlignment="1">
      <alignment horizontal="center"/>
    </xf>
    <xf numFmtId="0" fontId="0" fillId="3" borderId="80" xfId="0" applyFill="1" applyBorder="1" applyAlignment="1">
      <alignment horizontal="center"/>
    </xf>
    <xf numFmtId="164" fontId="0" fillId="3" borderId="81" xfId="0" applyNumberFormat="1" applyFill="1" applyBorder="1" applyAlignment="1">
      <alignment horizontal="center"/>
    </xf>
    <xf numFmtId="0" fontId="0" fillId="3" borderId="82" xfId="0" applyFill="1" applyBorder="1" applyAlignment="1">
      <alignment horizontal="left"/>
    </xf>
    <xf numFmtId="16" fontId="23" fillId="3" borderId="81" xfId="0" applyNumberFormat="1" applyFont="1" applyFill="1" applyBorder="1" applyAlignment="1">
      <alignment horizontal="center"/>
    </xf>
    <xf numFmtId="16" fontId="0" fillId="0" borderId="81" xfId="0" applyNumberFormat="1" applyBorder="1" applyAlignment="1">
      <alignment horizontal="left"/>
    </xf>
    <xf numFmtId="0" fontId="171" fillId="3" borderId="81" xfId="0" applyFont="1" applyFill="1" applyBorder="1" applyAlignment="1">
      <alignment horizontal="center"/>
    </xf>
    <xf numFmtId="0" fontId="53" fillId="3" borderId="81" xfId="0" applyFont="1" applyFill="1" applyBorder="1" applyAlignment="1">
      <alignment horizontal="center" wrapText="1"/>
    </xf>
    <xf numFmtId="0" fontId="53" fillId="3" borderId="80" xfId="0" applyFont="1" applyFill="1" applyBorder="1" applyAlignment="1">
      <alignment horizontal="left" vertical="center"/>
    </xf>
    <xf numFmtId="10" fontId="0" fillId="3" borderId="81" xfId="0" applyNumberFormat="1" applyFill="1" applyBorder="1" applyAlignment="1">
      <alignment horizontal="left" vertical="center"/>
    </xf>
    <xf numFmtId="0" fontId="24" fillId="3" borderId="81" xfId="0" applyFont="1" applyFill="1" applyBorder="1" applyAlignment="1">
      <alignment horizontal="left"/>
    </xf>
    <xf numFmtId="0" fontId="29" fillId="0" borderId="80" xfId="0" applyFont="1" applyBorder="1"/>
    <xf numFmtId="0" fontId="0" fillId="107" borderId="81" xfId="0" applyFill="1" applyBorder="1" applyAlignment="1">
      <alignment horizontal="center" vertical="center"/>
    </xf>
    <xf numFmtId="16" fontId="0" fillId="4" borderId="81" xfId="0" applyNumberFormat="1" applyFill="1" applyBorder="1" applyAlignment="1">
      <alignment horizontal="center" vertical="center"/>
    </xf>
    <xf numFmtId="0" fontId="0" fillId="4" borderId="81" xfId="0" applyFill="1" applyBorder="1" applyAlignment="1">
      <alignment horizontal="center"/>
    </xf>
    <xf numFmtId="16" fontId="0" fillId="0" borderId="81" xfId="0" applyNumberFormat="1" applyBorder="1" applyAlignment="1">
      <alignment horizontal="center"/>
    </xf>
    <xf numFmtId="16" fontId="23" fillId="0" borderId="81" xfId="0" applyNumberFormat="1" applyFont="1" applyBorder="1" applyAlignment="1">
      <alignment horizontal="center"/>
    </xf>
    <xf numFmtId="164" fontId="0" fillId="4" borderId="81" xfId="0" applyNumberFormat="1" applyFill="1" applyBorder="1" applyAlignment="1">
      <alignment horizontal="center"/>
    </xf>
    <xf numFmtId="164" fontId="0" fillId="0" borderId="81" xfId="0" applyNumberFormat="1" applyBorder="1" applyAlignment="1">
      <alignment horizontal="center"/>
    </xf>
    <xf numFmtId="0" fontId="0" fillId="3" borderId="82" xfId="0" applyFill="1" applyBorder="1" applyAlignment="1">
      <alignment vertical="center"/>
    </xf>
    <xf numFmtId="0" fontId="57" fillId="0" borderId="80" xfId="0" applyFont="1" applyBorder="1"/>
    <xf numFmtId="0" fontId="0" fillId="107" borderId="81" xfId="0" applyFill="1" applyBorder="1" applyAlignment="1">
      <alignment horizontal="center"/>
    </xf>
    <xf numFmtId="0" fontId="53" fillId="79" borderId="81" xfId="0" applyFont="1" applyFill="1" applyBorder="1" applyAlignment="1">
      <alignment horizontal="center" vertical="center"/>
    </xf>
    <xf numFmtId="0" fontId="0" fillId="4" borderId="81" xfId="0" applyFill="1" applyBorder="1" applyAlignment="1">
      <alignment horizontal="left" vertical="center"/>
    </xf>
    <xf numFmtId="164" fontId="0" fillId="4" borderId="81" xfId="0" applyNumberFormat="1" applyFill="1" applyBorder="1" applyAlignment="1">
      <alignment horizontal="left" vertical="center"/>
    </xf>
    <xf numFmtId="0" fontId="53" fillId="0" borderId="81" xfId="0" applyFont="1" applyBorder="1" applyAlignment="1">
      <alignment horizontal="left" vertical="center" wrapText="1"/>
    </xf>
    <xf numFmtId="0" fontId="53" fillId="2" borderId="81" xfId="0" applyFont="1" applyFill="1" applyBorder="1" applyAlignment="1">
      <alignment horizontal="center" wrapText="1"/>
    </xf>
    <xf numFmtId="16" fontId="23" fillId="2" borderId="81" xfId="0" applyNumberFormat="1" applyFont="1" applyFill="1" applyBorder="1" applyAlignment="1">
      <alignment horizontal="left"/>
    </xf>
    <xf numFmtId="0" fontId="29" fillId="2" borderId="80" xfId="0" applyFont="1" applyFill="1" applyBorder="1"/>
    <xf numFmtId="0" fontId="29" fillId="3" borderId="80" xfId="0" applyFont="1" applyFill="1" applyBorder="1" applyAlignment="1">
      <alignment vertical="center"/>
    </xf>
    <xf numFmtId="164" fontId="23" fillId="3" borderId="81" xfId="0" applyNumberFormat="1" applyFont="1" applyFill="1" applyBorder="1" applyAlignment="1">
      <alignment vertical="center"/>
    </xf>
    <xf numFmtId="164" fontId="56" fillId="3" borderId="81" xfId="0" applyNumberFormat="1" applyFont="1" applyFill="1" applyBorder="1" applyAlignment="1">
      <alignment vertical="center"/>
    </xf>
    <xf numFmtId="0" fontId="57" fillId="3" borderId="81" xfId="0" applyFont="1" applyFill="1" applyBorder="1" applyAlignment="1">
      <alignment vertical="center"/>
    </xf>
    <xf numFmtId="0" fontId="53" fillId="3" borderId="81" xfId="0" applyFont="1" applyFill="1" applyBorder="1" applyAlignment="1">
      <alignment vertical="center" wrapText="1"/>
    </xf>
    <xf numFmtId="4" fontId="0" fillId="3" borderId="81" xfId="0" applyNumberFormat="1" applyFill="1" applyBorder="1" applyAlignment="1">
      <alignment vertical="center"/>
    </xf>
    <xf numFmtId="10" fontId="0" fillId="3" borderId="81" xfId="77" applyNumberFormat="1" applyFont="1" applyFill="1" applyBorder="1" applyAlignment="1">
      <alignment vertical="center"/>
    </xf>
    <xf numFmtId="0" fontId="248" fillId="3" borderId="81" xfId="0" applyFont="1" applyFill="1" applyBorder="1" applyAlignment="1">
      <alignment horizontal="center"/>
    </xf>
    <xf numFmtId="0" fontId="29" fillId="3" borderId="81" xfId="0" applyFont="1" applyFill="1" applyBorder="1" applyAlignment="1">
      <alignment vertical="center"/>
    </xf>
    <xf numFmtId="0" fontId="24" fillId="3" borderId="81" xfId="0" applyFont="1" applyFill="1" applyBorder="1" applyAlignment="1">
      <alignment vertical="center" wrapText="1"/>
    </xf>
    <xf numFmtId="0" fontId="25" fillId="3" borderId="81" xfId="0" applyFont="1" applyFill="1" applyBorder="1" applyAlignment="1">
      <alignment horizontal="left" vertical="center"/>
    </xf>
    <xf numFmtId="0" fontId="24" fillId="2" borderId="81" xfId="0" applyFont="1" applyFill="1" applyBorder="1" applyAlignment="1">
      <alignment horizontal="center" vertical="center"/>
    </xf>
    <xf numFmtId="0" fontId="53" fillId="62" borderId="81" xfId="0" applyFont="1" applyFill="1" applyBorder="1" applyAlignment="1">
      <alignment horizontal="center" vertical="center"/>
    </xf>
    <xf numFmtId="0" fontId="0" fillId="3" borderId="80" xfId="0" applyFill="1" applyBorder="1" applyAlignment="1">
      <alignment vertical="center" wrapText="1"/>
    </xf>
    <xf numFmtId="10" fontId="23" fillId="3" borderId="81" xfId="77" applyNumberFormat="1" applyFont="1" applyFill="1" applyBorder="1" applyAlignment="1">
      <alignment vertical="center"/>
    </xf>
    <xf numFmtId="0" fontId="53" fillId="0" borderId="81" xfId="0" applyFont="1" applyBorder="1" applyAlignment="1">
      <alignment horizontal="center" wrapText="1"/>
    </xf>
    <xf numFmtId="0" fontId="0" fillId="105" borderId="81" xfId="0" applyFill="1" applyBorder="1" applyAlignment="1">
      <alignment horizontal="center" vertical="center"/>
    </xf>
    <xf numFmtId="0" fontId="0" fillId="2" borderId="81" xfId="0" quotePrefix="1" applyFill="1" applyBorder="1" applyAlignment="1">
      <alignment horizontal="center"/>
    </xf>
    <xf numFmtId="0" fontId="0" fillId="105" borderId="81" xfId="0" applyFill="1" applyBorder="1" applyAlignment="1">
      <alignment horizontal="left"/>
    </xf>
    <xf numFmtId="16" fontId="23" fillId="0" borderId="81" xfId="0" applyNumberFormat="1" applyFont="1" applyBorder="1" applyAlignment="1">
      <alignment horizontal="left"/>
    </xf>
    <xf numFmtId="0" fontId="57" fillId="3" borderId="80" xfId="0" applyFont="1" applyFill="1" applyBorder="1" applyAlignment="1">
      <alignment vertical="center"/>
    </xf>
    <xf numFmtId="0" fontId="0" fillId="2" borderId="82" xfId="0" applyFill="1" applyBorder="1" applyAlignment="1">
      <alignment vertical="center"/>
    </xf>
    <xf numFmtId="0" fontId="53" fillId="3" borderId="80" xfId="0" applyFont="1" applyFill="1" applyBorder="1" applyAlignment="1">
      <alignment vertical="center"/>
    </xf>
    <xf numFmtId="0" fontId="0" fillId="0" borderId="80" xfId="0" applyBorder="1"/>
    <xf numFmtId="0" fontId="53" fillId="0" borderId="81" xfId="0" applyFont="1" applyBorder="1" applyAlignment="1">
      <alignment horizontal="center" vertical="center"/>
    </xf>
    <xf numFmtId="16" fontId="45" fillId="0" borderId="81" xfId="0" applyNumberFormat="1" applyFont="1" applyBorder="1" applyAlignment="1">
      <alignment horizontal="center"/>
    </xf>
    <xf numFmtId="0" fontId="0" fillId="0" borderId="81" xfId="0" quotePrefix="1" applyBorder="1" applyAlignment="1">
      <alignment horizontal="center"/>
    </xf>
    <xf numFmtId="0" fontId="53" fillId="3" borderId="80" xfId="0" applyFont="1" applyFill="1" applyBorder="1" applyAlignment="1">
      <alignment vertical="center" wrapText="1"/>
    </xf>
    <xf numFmtId="164" fontId="23" fillId="3" borderId="81" xfId="0" applyNumberFormat="1" applyFont="1" applyFill="1" applyBorder="1" applyAlignment="1">
      <alignment vertical="center" wrapText="1"/>
    </xf>
    <xf numFmtId="4" fontId="0" fillId="3" borderId="81" xfId="0" applyNumberFormat="1" applyFill="1" applyBorder="1" applyAlignment="1">
      <alignment vertical="center" wrapText="1"/>
    </xf>
    <xf numFmtId="10" fontId="0" fillId="3" borderId="81" xfId="77" applyNumberFormat="1" applyFont="1" applyFill="1" applyBorder="1" applyAlignment="1">
      <alignment vertical="center" wrapText="1"/>
    </xf>
    <xf numFmtId="0" fontId="0" fillId="0" borderId="80" xfId="0" applyBorder="1" applyAlignment="1">
      <alignment horizontal="center"/>
    </xf>
    <xf numFmtId="0" fontId="45" fillId="0" borderId="81" xfId="0" applyFont="1" applyBorder="1" applyAlignment="1">
      <alignment horizontal="center" vertical="center"/>
    </xf>
    <xf numFmtId="0" fontId="23" fillId="4" borderId="81" xfId="0" applyFont="1" applyFill="1" applyBorder="1" applyAlignment="1">
      <alignment horizontal="center"/>
    </xf>
    <xf numFmtId="0" fontId="0" fillId="77" borderId="81" xfId="0" applyFill="1" applyBorder="1" applyAlignment="1">
      <alignment horizontal="left" vertical="center"/>
    </xf>
    <xf numFmtId="0" fontId="60" fillId="0" borderId="81" xfId="0" applyFont="1" applyBorder="1"/>
    <xf numFmtId="10" fontId="0" fillId="0" borderId="81" xfId="77" applyNumberFormat="1" applyFont="1" applyBorder="1" applyAlignment="1">
      <alignment horizontal="left"/>
    </xf>
    <xf numFmtId="0" fontId="0" fillId="105" borderId="81" xfId="0" applyFill="1" applyBorder="1" applyAlignment="1">
      <alignment horizontal="left" vertical="center"/>
    </xf>
    <xf numFmtId="0" fontId="0" fillId="4" borderId="81" xfId="0" applyFill="1" applyBorder="1" applyAlignment="1">
      <alignment horizontal="left" wrapText="1"/>
    </xf>
    <xf numFmtId="0" fontId="0" fillId="105" borderId="81" xfId="0" applyFill="1" applyBorder="1" applyAlignment="1">
      <alignment horizontal="center"/>
    </xf>
    <xf numFmtId="0" fontId="248" fillId="0" borderId="81" xfId="0" applyFont="1" applyBorder="1" applyAlignment="1">
      <alignment horizontal="center"/>
    </xf>
    <xf numFmtId="0" fontId="261" fillId="3" borderId="81" xfId="4037" applyFont="1" applyFill="1" applyBorder="1" applyAlignment="1">
      <alignment horizontal="left" vertical="center" wrapText="1"/>
    </xf>
    <xf numFmtId="8" fontId="0" fillId="3" borderId="81" xfId="0" applyNumberFormat="1" applyFill="1" applyBorder="1" applyAlignment="1">
      <alignment vertical="center"/>
    </xf>
    <xf numFmtId="0" fontId="24" fillId="3" borderId="80" xfId="0" applyFont="1" applyFill="1" applyBorder="1" applyAlignment="1">
      <alignment horizontal="left" vertical="center" wrapText="1"/>
    </xf>
    <xf numFmtId="0" fontId="29" fillId="3" borderId="81" xfId="0" applyFont="1" applyFill="1" applyBorder="1" applyAlignment="1">
      <alignment horizontal="left" vertical="center" wrapText="1"/>
    </xf>
    <xf numFmtId="0" fontId="0" fillId="0" borderId="82" xfId="0" applyBorder="1" applyAlignment="1">
      <alignment vertical="center"/>
    </xf>
    <xf numFmtId="0" fontId="265" fillId="2" borderId="81" xfId="0" applyFont="1" applyFill="1" applyBorder="1" applyAlignment="1">
      <alignment horizontal="center"/>
    </xf>
    <xf numFmtId="0" fontId="30" fillId="2" borderId="81" xfId="0" applyFont="1" applyFill="1" applyBorder="1" applyAlignment="1">
      <alignment horizontal="center"/>
    </xf>
    <xf numFmtId="0" fontId="29" fillId="0" borderId="81" xfId="0" applyFont="1" applyBorder="1" applyAlignment="1">
      <alignment horizontal="center"/>
    </xf>
    <xf numFmtId="0" fontId="252" fillId="0" borderId="81" xfId="0" applyFont="1" applyBorder="1" applyAlignment="1">
      <alignment horizontal="center"/>
    </xf>
    <xf numFmtId="0" fontId="0" fillId="74" borderId="80" xfId="0" applyFill="1" applyBorder="1" applyAlignment="1">
      <alignment horizontal="center"/>
    </xf>
    <xf numFmtId="0" fontId="0" fillId="74" borderId="81" xfId="0" applyFill="1" applyBorder="1" applyAlignment="1">
      <alignment horizontal="center"/>
    </xf>
    <xf numFmtId="16" fontId="0" fillId="74" borderId="81" xfId="0" applyNumberFormat="1" applyFill="1" applyBorder="1" applyAlignment="1">
      <alignment horizontal="center"/>
    </xf>
    <xf numFmtId="16" fontId="23" fillId="74" borderId="81" xfId="0" applyNumberFormat="1" applyFont="1" applyFill="1" applyBorder="1" applyAlignment="1">
      <alignment horizontal="center"/>
    </xf>
    <xf numFmtId="0" fontId="29" fillId="74" borderId="81" xfId="0" applyFont="1" applyFill="1" applyBorder="1" applyAlignment="1">
      <alignment horizontal="center" vertical="center"/>
    </xf>
    <xf numFmtId="0" fontId="29" fillId="74" borderId="81" xfId="0" applyFont="1" applyFill="1" applyBorder="1" applyAlignment="1">
      <alignment horizontal="center"/>
    </xf>
    <xf numFmtId="0" fontId="53" fillId="74" borderId="81" xfId="0" applyFont="1" applyFill="1" applyBorder="1" applyAlignment="1">
      <alignment horizontal="center" wrapText="1"/>
    </xf>
    <xf numFmtId="0" fontId="52" fillId="0" borderId="81" xfId="0" applyFont="1" applyBorder="1" applyAlignment="1">
      <alignment horizontal="center"/>
    </xf>
    <xf numFmtId="43" fontId="0" fillId="3" borderId="81" xfId="79" applyFont="1" applyFill="1" applyBorder="1" applyAlignment="1">
      <alignment vertical="center"/>
    </xf>
    <xf numFmtId="16" fontId="0" fillId="0" borderId="81" xfId="0" applyNumberFormat="1" applyBorder="1"/>
    <xf numFmtId="164" fontId="23" fillId="0" borderId="81" xfId="0" applyNumberFormat="1" applyFont="1" applyBorder="1" applyAlignment="1">
      <alignment vertical="center"/>
    </xf>
    <xf numFmtId="0" fontId="25" fillId="0" borderId="81" xfId="0" applyFont="1" applyBorder="1" applyAlignment="1">
      <alignment vertical="center"/>
    </xf>
    <xf numFmtId="0" fontId="0" fillId="0" borderId="81" xfId="0" applyBorder="1" applyAlignment="1">
      <alignment horizontal="right" vertical="center"/>
    </xf>
    <xf numFmtId="0" fontId="57" fillId="0" borderId="80" xfId="0" applyFont="1" applyBorder="1" applyAlignment="1">
      <alignment horizontal="left" vertical="center"/>
    </xf>
    <xf numFmtId="164" fontId="0" fillId="0" borderId="81" xfId="0" applyNumberFormat="1" applyBorder="1" applyAlignment="1">
      <alignment horizontal="left"/>
    </xf>
    <xf numFmtId="0" fontId="53" fillId="0" borderId="81" xfId="0" applyFont="1" applyBorder="1" applyAlignment="1">
      <alignment horizontal="left" wrapText="1"/>
    </xf>
    <xf numFmtId="4" fontId="0" fillId="0" borderId="81" xfId="0" applyNumberFormat="1" applyBorder="1" applyAlignment="1">
      <alignment horizontal="left"/>
    </xf>
    <xf numFmtId="0" fontId="0" fillId="0" borderId="81" xfId="77" applyNumberFormat="1" applyFont="1" applyBorder="1" applyAlignment="1">
      <alignment horizontal="left"/>
    </xf>
    <xf numFmtId="0" fontId="24" fillId="3" borderId="81" xfId="0" quotePrefix="1" applyFont="1" applyFill="1" applyBorder="1" applyAlignment="1">
      <alignment horizontal="left" vertical="center"/>
    </xf>
    <xf numFmtId="0" fontId="57" fillId="2" borderId="80" xfId="0" applyFont="1" applyFill="1" applyBorder="1" applyAlignment="1">
      <alignment horizontal="left" vertical="center"/>
    </xf>
    <xf numFmtId="164" fontId="163" fillId="2" borderId="81" xfId="0" applyNumberFormat="1" applyFont="1" applyFill="1" applyBorder="1" applyAlignment="1">
      <alignment horizontal="left" vertical="center"/>
    </xf>
    <xf numFmtId="0" fontId="53" fillId="2" borderId="81" xfId="0" applyFont="1" applyFill="1" applyBorder="1" applyAlignment="1">
      <alignment horizontal="left" wrapText="1"/>
    </xf>
    <xf numFmtId="4" fontId="0" fillId="2" borderId="81" xfId="0" applyNumberFormat="1" applyFill="1" applyBorder="1" applyAlignment="1">
      <alignment horizontal="left"/>
    </xf>
    <xf numFmtId="0" fontId="57" fillId="2" borderId="82" xfId="0" applyFont="1" applyFill="1" applyBorder="1" applyAlignment="1">
      <alignment horizontal="left"/>
    </xf>
    <xf numFmtId="164" fontId="172" fillId="2" borderId="81" xfId="0" applyNumberFormat="1" applyFont="1" applyFill="1" applyBorder="1" applyAlignment="1">
      <alignment horizontal="left" vertical="center"/>
    </xf>
    <xf numFmtId="0" fontId="53" fillId="3" borderId="80" xfId="0" applyFont="1" applyFill="1" applyBorder="1" applyAlignment="1">
      <alignment horizontal="left" vertical="center" wrapText="1"/>
    </xf>
    <xf numFmtId="16" fontId="0" fillId="3" borderId="81" xfId="0" applyNumberFormat="1" applyFill="1" applyBorder="1" applyAlignment="1">
      <alignment vertical="center"/>
    </xf>
    <xf numFmtId="16" fontId="45" fillId="2" borderId="81" xfId="0" applyNumberFormat="1" applyFont="1" applyFill="1" applyBorder="1" applyAlignment="1">
      <alignment horizontal="center" vertical="center"/>
    </xf>
    <xf numFmtId="0" fontId="0" fillId="2" borderId="81" xfId="77" applyNumberFormat="1" applyFont="1" applyFill="1" applyBorder="1" applyAlignment="1">
      <alignment horizontal="left"/>
    </xf>
    <xf numFmtId="0" fontId="252" fillId="2" borderId="81" xfId="0" applyFont="1" applyFill="1" applyBorder="1" applyAlignment="1">
      <alignment horizontal="center" vertical="center"/>
    </xf>
    <xf numFmtId="164" fontId="70" fillId="3" borderId="81" xfId="0" applyNumberFormat="1" applyFont="1" applyFill="1" applyBorder="1" applyAlignment="1">
      <alignment horizontal="left" vertical="center"/>
    </xf>
    <xf numFmtId="164" fontId="163" fillId="0" borderId="81" xfId="0" applyNumberFormat="1" applyFont="1" applyBorder="1" applyAlignment="1">
      <alignment horizontal="left" vertical="center"/>
    </xf>
    <xf numFmtId="0" fontId="57" fillId="0" borderId="81" xfId="0" applyFont="1" applyBorder="1" applyAlignment="1">
      <alignment horizontal="left" vertical="center"/>
    </xf>
    <xf numFmtId="0" fontId="0" fillId="50" borderId="81" xfId="0" applyFill="1" applyBorder="1" applyAlignment="1">
      <alignment horizontal="left" vertical="center"/>
    </xf>
    <xf numFmtId="164" fontId="163" fillId="4" borderId="81" xfId="0" applyNumberFormat="1" applyFont="1" applyFill="1" applyBorder="1" applyAlignment="1">
      <alignment horizontal="left" vertical="center"/>
    </xf>
    <xf numFmtId="0" fontId="57" fillId="42" borderId="81" xfId="0" applyFont="1" applyFill="1" applyBorder="1" applyAlignment="1">
      <alignment horizontal="left" vertical="center"/>
    </xf>
    <xf numFmtId="0" fontId="70" fillId="3" borderId="81" xfId="0" applyFont="1" applyFill="1" applyBorder="1" applyAlignment="1">
      <alignment horizontal="left" vertical="center"/>
    </xf>
    <xf numFmtId="164" fontId="70" fillId="3" borderId="81" xfId="0" applyNumberFormat="1" applyFont="1" applyFill="1" applyBorder="1" applyAlignment="1">
      <alignment horizontal="left" vertical="center" wrapText="1"/>
    </xf>
    <xf numFmtId="0" fontId="70" fillId="3" borderId="81" xfId="0" applyFont="1" applyFill="1" applyBorder="1" applyAlignment="1">
      <alignment horizontal="left" vertical="center" wrapText="1"/>
    </xf>
    <xf numFmtId="0" fontId="280" fillId="3" borderId="81" xfId="0" applyFont="1" applyFill="1" applyBorder="1" applyAlignment="1">
      <alignment horizontal="left" vertical="center"/>
    </xf>
    <xf numFmtId="4" fontId="70" fillId="3" borderId="81" xfId="0" applyNumberFormat="1" applyFont="1" applyFill="1" applyBorder="1" applyAlignment="1">
      <alignment horizontal="left" vertical="center"/>
    </xf>
    <xf numFmtId="0" fontId="53" fillId="2" borderId="81" xfId="0" applyFont="1" applyFill="1" applyBorder="1" applyAlignment="1">
      <alignment horizontal="left" vertical="center" wrapText="1"/>
    </xf>
    <xf numFmtId="0" fontId="0" fillId="78" borderId="81" xfId="0" applyFill="1" applyBorder="1" applyAlignment="1">
      <alignment horizontal="left" vertical="center"/>
    </xf>
    <xf numFmtId="0" fontId="29" fillId="3" borderId="80" xfId="0" applyFont="1" applyFill="1" applyBorder="1" applyAlignment="1">
      <alignment horizontal="left" vertical="center"/>
    </xf>
    <xf numFmtId="0" fontId="24" fillId="2" borderId="81" xfId="0" applyFont="1" applyFill="1" applyBorder="1" applyAlignment="1">
      <alignment horizontal="left" vertical="center" wrapText="1"/>
    </xf>
    <xf numFmtId="0" fontId="57" fillId="111" borderId="80" xfId="0" applyFont="1" applyFill="1" applyBorder="1" applyAlignment="1">
      <alignment horizontal="left" vertical="center"/>
    </xf>
    <xf numFmtId="0" fontId="0" fillId="111" borderId="81" xfId="0" applyFill="1" applyBorder="1" applyAlignment="1">
      <alignment horizontal="left" vertical="center"/>
    </xf>
    <xf numFmtId="16" fontId="0" fillId="111" borderId="81" xfId="0" applyNumberFormat="1" applyFill="1" applyBorder="1" applyAlignment="1">
      <alignment horizontal="left"/>
    </xf>
    <xf numFmtId="164" fontId="163" fillId="111" borderId="81" xfId="0" applyNumberFormat="1" applyFont="1" applyFill="1" applyBorder="1" applyAlignment="1">
      <alignment horizontal="left" vertical="center"/>
    </xf>
    <xf numFmtId="0" fontId="57" fillId="111" borderId="81" xfId="0" applyFont="1" applyFill="1" applyBorder="1" applyAlignment="1">
      <alignment horizontal="center" vertical="center"/>
    </xf>
    <xf numFmtId="0" fontId="0" fillId="111" borderId="81" xfId="0" applyFill="1" applyBorder="1" applyAlignment="1">
      <alignment horizontal="center" vertical="center"/>
    </xf>
    <xf numFmtId="164" fontId="0" fillId="111" borderId="81" xfId="0" applyNumberFormat="1" applyFill="1" applyBorder="1" applyAlignment="1">
      <alignment horizontal="left"/>
    </xf>
    <xf numFmtId="0" fontId="0" fillId="111" borderId="81" xfId="0" applyFill="1" applyBorder="1" applyAlignment="1">
      <alignment horizontal="left" wrapText="1"/>
    </xf>
    <xf numFmtId="0" fontId="53" fillId="111" borderId="81" xfId="0" applyFont="1" applyFill="1" applyBorder="1" applyAlignment="1">
      <alignment horizontal="left" wrapText="1"/>
    </xf>
    <xf numFmtId="0" fontId="0" fillId="111" borderId="81" xfId="0" applyFill="1" applyBorder="1" applyAlignment="1">
      <alignment horizontal="left"/>
    </xf>
    <xf numFmtId="4" fontId="0" fillId="111" borderId="81" xfId="0" applyNumberFormat="1" applyFill="1" applyBorder="1" applyAlignment="1">
      <alignment horizontal="left"/>
    </xf>
    <xf numFmtId="0" fontId="0" fillId="111" borderId="82" xfId="0" applyFill="1" applyBorder="1" applyAlignment="1">
      <alignment horizontal="left"/>
    </xf>
    <xf numFmtId="16" fontId="45" fillId="2" borderId="81" xfId="0" applyNumberFormat="1" applyFont="1" applyFill="1" applyBorder="1" applyAlignment="1">
      <alignment horizontal="left"/>
    </xf>
    <xf numFmtId="0" fontId="131" fillId="2" borderId="81" xfId="0" applyFont="1" applyFill="1" applyBorder="1"/>
    <xf numFmtId="164" fontId="29" fillId="2" borderId="81" xfId="0" applyNumberFormat="1" applyFont="1" applyFill="1" applyBorder="1" applyAlignment="1">
      <alignment horizontal="left"/>
    </xf>
    <xf numFmtId="4" fontId="29" fillId="2" borderId="81" xfId="0" applyNumberFormat="1" applyFont="1" applyFill="1" applyBorder="1" applyAlignment="1">
      <alignment horizontal="left"/>
    </xf>
    <xf numFmtId="0" fontId="29" fillId="2" borderId="82" xfId="0" applyFont="1" applyFill="1" applyBorder="1" applyAlignment="1">
      <alignment horizontal="left"/>
    </xf>
    <xf numFmtId="4" fontId="0" fillId="2" borderId="81" xfId="0" applyNumberFormat="1" applyFill="1" applyBorder="1" applyAlignment="1">
      <alignment horizontal="left" vertical="center"/>
    </xf>
    <xf numFmtId="0" fontId="252" fillId="2" borderId="81" xfId="0" applyFont="1" applyFill="1" applyBorder="1"/>
    <xf numFmtId="0" fontId="276" fillId="2" borderId="81" xfId="0" applyFont="1" applyFill="1" applyBorder="1" applyAlignment="1">
      <alignment horizontal="center"/>
    </xf>
    <xf numFmtId="0" fontId="29" fillId="0" borderId="80" xfId="0" applyFont="1" applyBorder="1" applyAlignment="1">
      <alignment horizontal="left" vertical="center"/>
    </xf>
    <xf numFmtId="164" fontId="0" fillId="106" borderId="81" xfId="0" applyNumberFormat="1" applyFill="1" applyBorder="1" applyAlignment="1">
      <alignment horizontal="left" vertical="center"/>
    </xf>
    <xf numFmtId="0" fontId="53" fillId="0" borderId="81" xfId="0" applyFont="1" applyBorder="1" applyAlignment="1">
      <alignment horizontal="left" vertical="center"/>
    </xf>
    <xf numFmtId="4" fontId="0" fillId="0" borderId="81" xfId="0" applyNumberFormat="1" applyBorder="1" applyAlignment="1">
      <alignment horizontal="left" vertical="center"/>
    </xf>
    <xf numFmtId="0" fontId="23" fillId="0" borderId="81" xfId="0" applyFont="1" applyBorder="1" applyAlignment="1">
      <alignment horizontal="left" vertical="center"/>
    </xf>
    <xf numFmtId="0" fontId="53" fillId="108" borderId="81" xfId="0" applyFont="1" applyFill="1" applyBorder="1" applyAlignment="1">
      <alignment horizontal="left" vertical="center"/>
    </xf>
    <xf numFmtId="0" fontId="0" fillId="108" borderId="81" xfId="0" applyFill="1" applyBorder="1" applyAlignment="1">
      <alignment horizontal="left" vertical="center"/>
    </xf>
    <xf numFmtId="164" fontId="0" fillId="106" borderId="81" xfId="0" applyNumberFormat="1" applyFill="1" applyBorder="1" applyAlignment="1">
      <alignment horizontal="left"/>
    </xf>
    <xf numFmtId="0" fontId="53" fillId="0" borderId="81" xfId="0" applyFont="1" applyBorder="1" applyAlignment="1">
      <alignment horizontal="left"/>
    </xf>
    <xf numFmtId="0" fontId="262" fillId="0" borderId="81" xfId="0" applyFont="1" applyBorder="1"/>
    <xf numFmtId="0" fontId="57" fillId="4" borderId="81" xfId="0" applyFont="1" applyFill="1" applyBorder="1" applyAlignment="1">
      <alignment horizontal="left" vertical="center"/>
    </xf>
    <xf numFmtId="16" fontId="0" fillId="106" borderId="81" xfId="0" applyNumberFormat="1" applyFill="1" applyBorder="1" applyAlignment="1">
      <alignment horizontal="left"/>
    </xf>
    <xf numFmtId="0" fontId="163" fillId="4" borderId="81" xfId="0" applyFont="1" applyFill="1" applyBorder="1" applyAlignment="1">
      <alignment horizontal="left" vertical="center"/>
    </xf>
    <xf numFmtId="164" fontId="45" fillId="4" borderId="81" xfId="0" applyNumberFormat="1" applyFont="1" applyFill="1" applyBorder="1" applyAlignment="1">
      <alignment horizontal="left" vertical="center"/>
    </xf>
    <xf numFmtId="0" fontId="53" fillId="0" borderId="80" xfId="0" applyFont="1" applyBorder="1" applyAlignment="1">
      <alignment horizontal="left" vertical="center"/>
    </xf>
    <xf numFmtId="164" fontId="272" fillId="0" borderId="81" xfId="0" applyNumberFormat="1" applyFont="1" applyBorder="1" applyAlignment="1">
      <alignment horizontal="left" vertical="center"/>
    </xf>
    <xf numFmtId="0" fontId="57" fillId="106" borderId="81" xfId="0" applyFont="1" applyFill="1" applyBorder="1" applyAlignment="1">
      <alignment horizontal="left" vertical="center"/>
    </xf>
    <xf numFmtId="164" fontId="271" fillId="0" borderId="81" xfId="0" applyNumberFormat="1" applyFont="1" applyBorder="1" applyAlignment="1">
      <alignment horizontal="left" vertical="center"/>
    </xf>
    <xf numFmtId="164" fontId="57" fillId="0" borderId="81" xfId="0" applyNumberFormat="1" applyFont="1" applyBorder="1" applyAlignment="1">
      <alignment horizontal="left" vertical="center"/>
    </xf>
    <xf numFmtId="0" fontId="57" fillId="0" borderId="81" xfId="0" applyFont="1" applyBorder="1" applyAlignment="1">
      <alignment horizontal="left" vertical="center" wrapText="1"/>
    </xf>
    <xf numFmtId="0" fontId="0" fillId="0" borderId="81" xfId="0" applyBorder="1" applyAlignment="1">
      <alignment wrapText="1"/>
    </xf>
    <xf numFmtId="0" fontId="0" fillId="0" borderId="81" xfId="77" applyNumberFormat="1" applyFont="1" applyFill="1" applyBorder="1" applyAlignment="1">
      <alignment horizontal="left"/>
    </xf>
    <xf numFmtId="0" fontId="17" fillId="0" borderId="81" xfId="0" applyFont="1" applyBorder="1" applyAlignment="1">
      <alignment horizontal="left" vertical="center" wrapText="1"/>
    </xf>
    <xf numFmtId="0" fontId="23" fillId="0" borderId="81" xfId="0" applyFont="1" applyBorder="1" applyAlignment="1">
      <alignment horizontal="left" vertical="center" wrapText="1"/>
    </xf>
    <xf numFmtId="164" fontId="0" fillId="0" borderId="81" xfId="0" applyNumberFormat="1" applyBorder="1" applyAlignment="1">
      <alignment horizontal="left" vertical="center" wrapText="1"/>
    </xf>
    <xf numFmtId="0" fontId="55" fillId="0" borderId="81" xfId="0" applyFont="1" applyBorder="1" applyAlignment="1">
      <alignment horizontal="left" vertical="center"/>
    </xf>
    <xf numFmtId="0" fontId="45" fillId="0" borderId="81" xfId="0" applyFont="1" applyBorder="1" applyAlignment="1">
      <alignment horizontal="left" vertical="center"/>
    </xf>
    <xf numFmtId="164" fontId="0" fillId="3" borderId="81" xfId="0" applyNumberFormat="1" applyFill="1" applyBorder="1" applyAlignment="1">
      <alignment horizontal="right" vertical="center"/>
    </xf>
    <xf numFmtId="164" fontId="45" fillId="3" borderId="81" xfId="0" applyNumberFormat="1" applyFont="1" applyFill="1" applyBorder="1" applyAlignment="1">
      <alignment horizontal="right" vertical="center"/>
    </xf>
    <xf numFmtId="164" fontId="45" fillId="3" borderId="81" xfId="0" applyNumberFormat="1" applyFont="1" applyFill="1" applyBorder="1" applyAlignment="1">
      <alignment vertical="center"/>
    </xf>
    <xf numFmtId="164" fontId="24" fillId="3" borderId="81" xfId="0" applyNumberFormat="1" applyFont="1" applyFill="1" applyBorder="1" applyAlignment="1">
      <alignment horizontal="right" vertical="center" wrapText="1"/>
    </xf>
    <xf numFmtId="0" fontId="23" fillId="3" borderId="81" xfId="0" applyFont="1" applyFill="1" applyBorder="1"/>
    <xf numFmtId="164" fontId="45" fillId="3" borderId="81" xfId="0" applyNumberFormat="1" applyFont="1" applyFill="1" applyBorder="1" applyAlignment="1">
      <alignment vertical="center" wrapText="1"/>
    </xf>
    <xf numFmtId="0" fontId="57" fillId="2" borderId="80" xfId="0" applyFont="1" applyFill="1" applyBorder="1" applyAlignment="1">
      <alignment vertical="center"/>
    </xf>
    <xf numFmtId="16" fontId="23" fillId="2" borderId="81" xfId="0" applyNumberFormat="1" applyFont="1" applyFill="1" applyBorder="1" applyAlignment="1">
      <alignment vertical="center"/>
    </xf>
    <xf numFmtId="164" fontId="57" fillId="2" borderId="81" xfId="0" applyNumberFormat="1" applyFont="1" applyFill="1" applyBorder="1" applyAlignment="1">
      <alignment vertical="center"/>
    </xf>
    <xf numFmtId="0" fontId="57" fillId="2" borderId="81" xfId="0" applyFont="1" applyFill="1" applyBorder="1" applyAlignment="1">
      <alignment vertical="center"/>
    </xf>
    <xf numFmtId="10" fontId="0" fillId="2" borderId="81" xfId="77" applyNumberFormat="1" applyFont="1" applyFill="1" applyBorder="1" applyAlignment="1">
      <alignment vertical="center"/>
    </xf>
    <xf numFmtId="164" fontId="24" fillId="2" borderId="81" xfId="0" applyNumberFormat="1" applyFont="1" applyFill="1" applyBorder="1" applyAlignment="1">
      <alignment horizontal="left" vertical="center"/>
    </xf>
    <xf numFmtId="4" fontId="0" fillId="2" borderId="81" xfId="0" applyNumberFormat="1" applyFill="1" applyBorder="1" applyAlignment="1">
      <alignment vertical="center"/>
    </xf>
    <xf numFmtId="8" fontId="0" fillId="3" borderId="81" xfId="0" applyNumberFormat="1" applyFill="1" applyBorder="1" applyAlignment="1">
      <alignment horizontal="left" vertical="center"/>
    </xf>
    <xf numFmtId="0" fontId="23" fillId="2" borderId="81" xfId="0" applyFont="1" applyFill="1" applyBorder="1" applyAlignment="1">
      <alignment horizontal="center" vertical="center" wrapText="1"/>
    </xf>
    <xf numFmtId="164" fontId="23" fillId="2" borderId="81" xfId="0" applyNumberFormat="1" applyFont="1" applyFill="1" applyBorder="1" applyAlignment="1">
      <alignment vertical="center"/>
    </xf>
    <xf numFmtId="164" fontId="0" fillId="2" borderId="81" xfId="0" applyNumberFormat="1" applyFill="1" applyBorder="1" applyAlignment="1">
      <alignment horizontal="right" vertical="center"/>
    </xf>
    <xf numFmtId="0" fontId="0" fillId="2" borderId="81" xfId="0" quotePrefix="1" applyFill="1" applyBorder="1" applyAlignment="1">
      <alignment horizontal="left" vertical="center" wrapText="1"/>
    </xf>
    <xf numFmtId="0" fontId="29" fillId="2" borderId="81" xfId="0" applyFont="1" applyFill="1" applyBorder="1" applyAlignment="1">
      <alignment vertical="center"/>
    </xf>
    <xf numFmtId="0" fontId="68" fillId="2" borderId="81" xfId="0" applyFont="1" applyFill="1" applyBorder="1" applyAlignment="1">
      <alignment horizontal="left"/>
    </xf>
    <xf numFmtId="0" fontId="53" fillId="2" borderId="81" xfId="0" applyFont="1" applyFill="1" applyBorder="1" applyAlignment="1">
      <alignment horizontal="center" vertical="center" wrapText="1"/>
    </xf>
    <xf numFmtId="0" fontId="53" fillId="2" borderId="81" xfId="0" applyFont="1" applyFill="1" applyBorder="1" applyAlignment="1">
      <alignment vertical="center"/>
    </xf>
    <xf numFmtId="16" fontId="0" fillId="0" borderId="81" xfId="0" applyNumberFormat="1" applyBorder="1" applyAlignment="1">
      <alignment vertical="center"/>
    </xf>
    <xf numFmtId="16" fontId="45" fillId="2" borderId="81" xfId="0" applyNumberFormat="1" applyFont="1" applyFill="1" applyBorder="1" applyAlignment="1">
      <alignment vertical="center"/>
    </xf>
    <xf numFmtId="0" fontId="252" fillId="2" borderId="81" xfId="0" applyFont="1" applyFill="1" applyBorder="1" applyAlignment="1">
      <alignment horizontal="left"/>
    </xf>
    <xf numFmtId="164" fontId="23" fillId="3" borderId="81" xfId="0" applyNumberFormat="1" applyFont="1" applyFill="1" applyBorder="1" applyAlignment="1">
      <alignment horizontal="right" vertical="center"/>
    </xf>
    <xf numFmtId="0" fontId="24" fillId="3" borderId="81" xfId="0" applyFont="1" applyFill="1" applyBorder="1" applyAlignment="1">
      <alignment wrapText="1"/>
    </xf>
    <xf numFmtId="164" fontId="56" fillId="2" borderId="81" xfId="0" applyNumberFormat="1" applyFont="1" applyFill="1" applyBorder="1" applyAlignment="1">
      <alignment vertical="center" wrapText="1"/>
    </xf>
    <xf numFmtId="0" fontId="53" fillId="2" borderId="81" xfId="0" applyFont="1" applyFill="1" applyBorder="1" applyAlignment="1">
      <alignment vertical="center" wrapText="1"/>
    </xf>
    <xf numFmtId="0" fontId="146" fillId="0" borderId="81" xfId="0" applyFont="1" applyBorder="1" applyAlignment="1">
      <alignment horizontal="center" vertical="center"/>
    </xf>
    <xf numFmtId="0" fontId="53" fillId="2" borderId="81" xfId="0" applyFont="1" applyFill="1" applyBorder="1"/>
    <xf numFmtId="0" fontId="279" fillId="2" borderId="81" xfId="0" applyFont="1" applyFill="1" applyBorder="1"/>
    <xf numFmtId="164" fontId="23" fillId="2" borderId="81" xfId="0" applyNumberFormat="1" applyFont="1" applyFill="1" applyBorder="1" applyAlignment="1">
      <alignment horizontal="right" vertical="center"/>
    </xf>
    <xf numFmtId="0" fontId="286" fillId="2" borderId="81" xfId="0" applyFont="1" applyFill="1" applyBorder="1" applyAlignment="1">
      <alignment horizontal="center" vertical="center" wrapText="1"/>
    </xf>
    <xf numFmtId="164" fontId="0" fillId="2" borderId="81" xfId="0" applyNumberFormat="1" applyFill="1" applyBorder="1" applyAlignment="1">
      <alignment vertical="center" wrapText="1"/>
    </xf>
    <xf numFmtId="0" fontId="23" fillId="2" borderId="81" xfId="0" applyFont="1" applyFill="1" applyBorder="1" applyAlignment="1">
      <alignment vertical="center" wrapText="1"/>
    </xf>
    <xf numFmtId="164" fontId="57" fillId="3" borderId="81" xfId="0" applyNumberFormat="1" applyFont="1" applyFill="1" applyBorder="1" applyAlignment="1">
      <alignment vertical="center"/>
    </xf>
    <xf numFmtId="11" fontId="0" fillId="2" borderId="81" xfId="0" applyNumberFormat="1" applyFill="1" applyBorder="1" applyAlignment="1">
      <alignment vertical="center" wrapText="1"/>
    </xf>
    <xf numFmtId="0" fontId="29" fillId="0" borderId="81" xfId="0" applyFont="1" applyBorder="1" applyAlignment="1">
      <alignment vertical="center"/>
    </xf>
    <xf numFmtId="0" fontId="124" fillId="2" borderId="81" xfId="0" applyFont="1" applyFill="1" applyBorder="1" applyAlignment="1">
      <alignment horizontal="left"/>
    </xf>
    <xf numFmtId="16" fontId="53" fillId="2" borderId="81" xfId="0" applyNumberFormat="1" applyFont="1" applyFill="1" applyBorder="1" applyAlignment="1">
      <alignment horizontal="left" vertical="center"/>
    </xf>
    <xf numFmtId="4" fontId="53" fillId="2" borderId="81" xfId="0" applyNumberFormat="1" applyFont="1" applyFill="1" applyBorder="1" applyAlignment="1">
      <alignment horizontal="left" vertical="center"/>
    </xf>
    <xf numFmtId="0" fontId="53" fillId="2" borderId="82" xfId="0" applyFont="1" applyFill="1" applyBorder="1" applyAlignment="1">
      <alignment horizontal="left" vertical="center"/>
    </xf>
    <xf numFmtId="0" fontId="262" fillId="2" borderId="81" xfId="0" applyFont="1" applyFill="1" applyBorder="1" applyAlignment="1">
      <alignment horizontal="left"/>
    </xf>
    <xf numFmtId="0" fontId="24" fillId="3" borderId="81" xfId="0" quotePrefix="1" applyFont="1" applyFill="1" applyBorder="1" applyAlignment="1">
      <alignment vertical="center" wrapText="1"/>
    </xf>
    <xf numFmtId="0" fontId="57" fillId="3" borderId="81" xfId="0" applyFont="1" applyFill="1" applyBorder="1" applyAlignment="1">
      <alignment vertical="center" wrapText="1"/>
    </xf>
    <xf numFmtId="0" fontId="0" fillId="0" borderId="82" xfId="0" applyBorder="1"/>
    <xf numFmtId="0" fontId="0" fillId="110" borderId="81" xfId="0" applyFill="1" applyBorder="1"/>
    <xf numFmtId="164" fontId="0" fillId="0" borderId="81" xfId="0" applyNumberFormat="1" applyBorder="1"/>
    <xf numFmtId="164" fontId="23" fillId="0" borderId="81" xfId="0" applyNumberFormat="1" applyFont="1" applyBorder="1"/>
    <xf numFmtId="1" fontId="0" fillId="2" borderId="81" xfId="0" applyNumberFormat="1" applyFill="1" applyBorder="1"/>
    <xf numFmtId="14" fontId="0" fillId="2" borderId="81" xfId="0" applyNumberFormat="1" applyFill="1" applyBorder="1"/>
    <xf numFmtId="0" fontId="0" fillId="2" borderId="81" xfId="0" applyFill="1" applyBorder="1" applyAlignment="1">
      <alignment wrapText="1"/>
    </xf>
    <xf numFmtId="0" fontId="0" fillId="77" borderId="81" xfId="0" applyFill="1" applyBorder="1"/>
    <xf numFmtId="0" fontId="0" fillId="77" borderId="81" xfId="0" applyFill="1" applyBorder="1" applyAlignment="1">
      <alignment vertical="center"/>
    </xf>
    <xf numFmtId="16" fontId="45" fillId="0" borderId="81" xfId="0" applyNumberFormat="1" applyFont="1" applyBorder="1"/>
    <xf numFmtId="164" fontId="23" fillId="2" borderId="81" xfId="0" applyNumberFormat="1" applyFont="1" applyFill="1" applyBorder="1"/>
    <xf numFmtId="164" fontId="0" fillId="4" borderId="80" xfId="0" applyNumberFormat="1" applyFill="1" applyBorder="1" applyAlignment="1">
      <alignment wrapText="1"/>
    </xf>
    <xf numFmtId="0" fontId="29" fillId="0" borderId="81" xfId="0" applyFont="1" applyBorder="1" applyAlignment="1">
      <alignment vertical="center" wrapText="1"/>
    </xf>
    <xf numFmtId="44" fontId="0" fillId="0" borderId="81" xfId="47" applyFont="1" applyBorder="1" applyAlignment="1">
      <alignment horizontal="center" vertical="center"/>
    </xf>
    <xf numFmtId="0" fontId="104" fillId="40" borderId="81" xfId="44" applyFont="1" applyFill="1" applyBorder="1"/>
    <xf numFmtId="164" fontId="53" fillId="40" borderId="81" xfId="0" applyNumberFormat="1" applyFont="1" applyFill="1" applyBorder="1" applyAlignment="1">
      <alignment horizontal="center" vertical="center"/>
    </xf>
    <xf numFmtId="0" fontId="53" fillId="40" borderId="81" xfId="0" applyFont="1" applyFill="1" applyBorder="1"/>
    <xf numFmtId="0" fontId="53" fillId="40" borderId="81" xfId="44" applyFont="1" applyFill="1" applyBorder="1"/>
    <xf numFmtId="164" fontId="53" fillId="40" borderId="82" xfId="0" applyNumberFormat="1" applyFont="1" applyFill="1" applyBorder="1" applyAlignment="1">
      <alignment horizontal="center" vertical="center"/>
    </xf>
    <xf numFmtId="0" fontId="53" fillId="40" borderId="80" xfId="44" applyFont="1" applyFill="1" applyBorder="1" applyAlignment="1">
      <alignment horizontal="center" vertical="center"/>
    </xf>
    <xf numFmtId="0" fontId="53" fillId="40" borderId="81" xfId="0" applyFont="1" applyFill="1" applyBorder="1" applyAlignment="1">
      <alignment horizontal="left" vertical="center"/>
    </xf>
    <xf numFmtId="0" fontId="53" fillId="40" borderId="81" xfId="44" applyFont="1" applyFill="1" applyBorder="1" applyAlignment="1">
      <alignment horizontal="left"/>
    </xf>
    <xf numFmtId="164" fontId="53" fillId="40" borderId="81" xfId="0" applyNumberFormat="1" applyFont="1" applyFill="1" applyBorder="1" applyAlignment="1">
      <alignment horizontal="center"/>
    </xf>
    <xf numFmtId="0" fontId="53" fillId="40" borderId="81" xfId="0" applyFont="1" applyFill="1" applyBorder="1" applyAlignment="1">
      <alignment horizontal="center" vertical="center"/>
    </xf>
    <xf numFmtId="164" fontId="53" fillId="40" borderId="80" xfId="0" applyNumberFormat="1" applyFont="1" applyFill="1" applyBorder="1" applyAlignment="1">
      <alignment horizontal="center" vertical="center"/>
    </xf>
    <xf numFmtId="0" fontId="53" fillId="40" borderId="81" xfId="44" applyFont="1" applyFill="1" applyBorder="1" applyAlignment="1">
      <alignment horizontal="center" vertical="center"/>
    </xf>
    <xf numFmtId="0" fontId="70" fillId="40" borderId="81" xfId="44" applyFont="1" applyFill="1" applyBorder="1"/>
    <xf numFmtId="0" fontId="66" fillId="40" borderId="82" xfId="0" applyFont="1" applyFill="1" applyBorder="1" applyAlignment="1">
      <alignment horizontal="center" vertical="center"/>
    </xf>
    <xf numFmtId="0" fontId="85" fillId="40" borderId="81" xfId="0" applyFont="1" applyFill="1" applyBorder="1" applyAlignment="1">
      <alignment horizontal="center"/>
    </xf>
    <xf numFmtId="0" fontId="87" fillId="40" borderId="80" xfId="0" applyFont="1" applyFill="1" applyBorder="1" applyAlignment="1">
      <alignment horizontal="left"/>
    </xf>
    <xf numFmtId="0" fontId="85" fillId="40" borderId="81" xfId="0" applyFont="1" applyFill="1" applyBorder="1"/>
    <xf numFmtId="164" fontId="88" fillId="4" borderId="82" xfId="0" applyNumberFormat="1" applyFont="1" applyFill="1" applyBorder="1" applyAlignment="1">
      <alignment horizontal="center"/>
    </xf>
    <xf numFmtId="0" fontId="95" fillId="3" borderId="80" xfId="44" applyFont="1" applyFill="1" applyBorder="1"/>
    <xf numFmtId="0" fontId="53" fillId="3" borderId="81" xfId="44" applyFont="1" applyFill="1" applyBorder="1" applyAlignment="1">
      <alignment horizontal="left"/>
    </xf>
    <xf numFmtId="0" fontId="66" fillId="40" borderId="81" xfId="50" applyFont="1" applyFill="1" applyBorder="1" applyAlignment="1">
      <alignment horizontal="center" vertical="center" wrapText="1" readingOrder="1"/>
    </xf>
    <xf numFmtId="0" fontId="0" fillId="40" borderId="81" xfId="50" applyFont="1" applyFill="1" applyBorder="1" applyAlignment="1">
      <alignment horizontal="center" vertical="center"/>
    </xf>
    <xf numFmtId="0" fontId="53" fillId="40" borderId="82" xfId="0" applyFont="1" applyFill="1" applyBorder="1" applyAlignment="1">
      <alignment horizontal="center" vertical="center"/>
    </xf>
    <xf numFmtId="0" fontId="53" fillId="40" borderId="80" xfId="0" applyFont="1" applyFill="1" applyBorder="1" applyAlignment="1">
      <alignment horizontal="center" vertical="center"/>
    </xf>
    <xf numFmtId="164" fontId="55" fillId="40" borderId="81" xfId="0" applyNumberFormat="1" applyFont="1" applyFill="1" applyBorder="1" applyAlignment="1">
      <alignment horizontal="center" vertical="center"/>
    </xf>
    <xf numFmtId="0" fontId="66" fillId="40" borderId="80" xfId="44" applyFont="1" applyFill="1" applyBorder="1" applyAlignment="1">
      <alignment horizontal="center" vertical="center"/>
    </xf>
    <xf numFmtId="0" fontId="24" fillId="38" borderId="81" xfId="0" applyFont="1" applyFill="1" applyBorder="1" applyAlignment="1">
      <alignment horizontal="center" vertical="center"/>
    </xf>
    <xf numFmtId="0" fontId="74" fillId="38" borderId="81" xfId="0" applyFont="1" applyFill="1" applyBorder="1" applyAlignment="1">
      <alignment horizontal="left" vertical="center"/>
    </xf>
    <xf numFmtId="0" fontId="53" fillId="40" borderId="81" xfId="0" applyFont="1" applyFill="1" applyBorder="1" applyAlignment="1">
      <alignment horizontal="center"/>
    </xf>
    <xf numFmtId="0" fontId="0" fillId="40" borderId="81" xfId="0" applyFill="1" applyBorder="1" applyAlignment="1">
      <alignment horizontal="left" vertical="center"/>
    </xf>
    <xf numFmtId="0" fontId="0" fillId="40" borderId="82" xfId="0" applyFill="1" applyBorder="1" applyAlignment="1">
      <alignment horizontal="center"/>
    </xf>
    <xf numFmtId="0" fontId="0" fillId="40" borderId="81" xfId="0" applyFill="1" applyBorder="1" applyAlignment="1">
      <alignment horizontal="center" vertical="center" wrapText="1"/>
    </xf>
    <xf numFmtId="164" fontId="0" fillId="40" borderId="81" xfId="0" applyNumberFormat="1" applyFill="1" applyBorder="1" applyAlignment="1">
      <alignment horizontal="center"/>
    </xf>
    <xf numFmtId="0" fontId="0" fillId="40" borderId="81" xfId="0" applyFill="1" applyBorder="1" applyAlignment="1">
      <alignment horizontal="center"/>
    </xf>
    <xf numFmtId="0" fontId="24" fillId="0" borderId="81" xfId="0" applyFont="1" applyBorder="1" applyAlignment="1">
      <alignment horizontal="center" vertical="center"/>
    </xf>
    <xf numFmtId="164" fontId="24" fillId="0" borderId="81" xfId="0" applyNumberFormat="1" applyFont="1" applyBorder="1" applyAlignment="1">
      <alignment horizontal="center" vertical="center"/>
    </xf>
    <xf numFmtId="0" fontId="56" fillId="0" borderId="81" xfId="0" applyFont="1" applyBorder="1" applyAlignment="1">
      <alignment horizontal="center" vertical="center"/>
    </xf>
    <xf numFmtId="164" fontId="23" fillId="0" borderId="81" xfId="0" applyNumberFormat="1" applyFont="1" applyBorder="1" applyAlignment="1">
      <alignment horizontal="center" vertical="top" wrapText="1"/>
    </xf>
    <xf numFmtId="0" fontId="23" fillId="0" borderId="81" xfId="0" applyFont="1" applyBorder="1" applyAlignment="1">
      <alignment horizontal="center" vertical="center"/>
    </xf>
    <xf numFmtId="164" fontId="23" fillId="0" borderId="81" xfId="0" applyNumberFormat="1" applyFont="1" applyBorder="1" applyAlignment="1">
      <alignment horizontal="center" vertical="center" wrapText="1"/>
    </xf>
    <xf numFmtId="0" fontId="73" fillId="0" borderId="81" xfId="0" applyFont="1" applyBorder="1" applyAlignment="1">
      <alignment horizontal="left" vertical="center"/>
    </xf>
    <xf numFmtId="164" fontId="45" fillId="0" borderId="81" xfId="0" applyNumberFormat="1" applyFont="1" applyBorder="1" applyAlignment="1">
      <alignment horizontal="center"/>
    </xf>
    <xf numFmtId="49" fontId="0" fillId="0" borderId="81" xfId="0" applyNumberFormat="1" applyBorder="1" applyAlignment="1">
      <alignment horizontal="center"/>
    </xf>
    <xf numFmtId="0" fontId="0" fillId="4" borderId="81" xfId="0" applyFill="1" applyBorder="1" applyAlignment="1">
      <alignment horizontal="center" vertical="center"/>
    </xf>
    <xf numFmtId="164" fontId="22" fillId="0" borderId="81" xfId="1" applyNumberFormat="1" applyBorder="1" applyAlignment="1">
      <alignment horizontal="center" vertical="center"/>
    </xf>
    <xf numFmtId="0" fontId="0" fillId="59" borderId="81" xfId="0" applyFill="1" applyBorder="1" applyAlignment="1">
      <alignment horizontal="center" vertical="center"/>
    </xf>
    <xf numFmtId="0" fontId="24" fillId="42" borderId="81" xfId="0" applyFont="1" applyFill="1" applyBorder="1" applyAlignment="1">
      <alignment horizontal="center" vertical="center"/>
    </xf>
    <xf numFmtId="16" fontId="45" fillId="0" borderId="81" xfId="0" applyNumberFormat="1" applyFont="1" applyBorder="1" applyAlignment="1">
      <alignment horizontal="left"/>
    </xf>
    <xf numFmtId="0" fontId="23" fillId="0" borderId="81" xfId="0" applyFont="1" applyBorder="1" applyAlignment="1">
      <alignment horizontal="left"/>
    </xf>
    <xf numFmtId="0" fontId="56" fillId="0" borderId="81" xfId="0" applyFont="1" applyBorder="1" applyAlignment="1">
      <alignment horizontal="left" vertical="center"/>
    </xf>
    <xf numFmtId="164" fontId="45" fillId="0" borderId="81" xfId="0" applyNumberFormat="1" applyFont="1" applyBorder="1" applyAlignment="1">
      <alignment horizontal="center" vertical="center"/>
    </xf>
    <xf numFmtId="164" fontId="0" fillId="0" borderId="82" xfId="0" applyNumberFormat="1" applyBorder="1"/>
    <xf numFmtId="0" fontId="53" fillId="61" borderId="81" xfId="0" applyFont="1" applyFill="1" applyBorder="1" applyAlignment="1">
      <alignment horizontal="left" vertical="center" wrapText="1"/>
    </xf>
    <xf numFmtId="164" fontId="0" fillId="0" borderId="82" xfId="0" applyNumberFormat="1" applyBorder="1" applyAlignment="1">
      <alignment horizontal="left" vertical="center"/>
    </xf>
    <xf numFmtId="0" fontId="53" fillId="0" borderId="82" xfId="0" applyFont="1" applyBorder="1" applyAlignment="1">
      <alignment horizontal="left" vertical="center" wrapText="1"/>
    </xf>
    <xf numFmtId="164" fontId="0" fillId="0" borderId="80" xfId="0" applyNumberFormat="1" applyBorder="1" applyAlignment="1">
      <alignment horizontal="center" vertical="center"/>
    </xf>
    <xf numFmtId="165" fontId="0" fillId="0" borderId="81" xfId="0" applyNumberFormat="1" applyBorder="1" applyAlignment="1">
      <alignment horizontal="center" vertical="center"/>
    </xf>
    <xf numFmtId="0" fontId="0" fillId="68" borderId="80" xfId="0" applyFill="1" applyBorder="1" applyAlignment="1">
      <alignment horizontal="left" vertical="center"/>
    </xf>
    <xf numFmtId="0" fontId="0" fillId="68" borderId="81" xfId="0" applyFill="1" applyBorder="1" applyAlignment="1">
      <alignment horizontal="left" vertical="center"/>
    </xf>
    <xf numFmtId="164" fontId="0" fillId="68" borderId="81" xfId="0" applyNumberFormat="1" applyFill="1" applyBorder="1" applyAlignment="1">
      <alignment horizontal="left" vertical="center"/>
    </xf>
    <xf numFmtId="0" fontId="0" fillId="68" borderId="81" xfId="0" applyFill="1" applyBorder="1" applyAlignment="1">
      <alignment horizontal="left" vertical="center" wrapText="1"/>
    </xf>
    <xf numFmtId="0" fontId="0" fillId="68" borderId="81" xfId="0" applyFill="1" applyBorder="1" applyAlignment="1">
      <alignment horizontal="center" vertical="center"/>
    </xf>
    <xf numFmtId="0" fontId="0" fillId="68" borderId="82" xfId="0" applyFill="1" applyBorder="1" applyAlignment="1">
      <alignment horizontal="left" vertical="center"/>
    </xf>
    <xf numFmtId="0" fontId="53" fillId="0" borderId="81" xfId="0" applyFont="1" applyBorder="1" applyAlignment="1">
      <alignment horizontal="center" vertical="center" wrapText="1"/>
    </xf>
    <xf numFmtId="0" fontId="56" fillId="0" borderId="81" xfId="0" applyFont="1" applyBorder="1" applyAlignment="1">
      <alignment horizontal="left" vertical="center" wrapText="1"/>
    </xf>
    <xf numFmtId="0" fontId="73" fillId="0" borderId="81" xfId="0" applyFont="1" applyBorder="1" applyAlignment="1">
      <alignment horizontal="center" vertical="center"/>
    </xf>
    <xf numFmtId="1" fontId="0" fillId="0" borderId="81" xfId="0" applyNumberFormat="1" applyBorder="1" applyAlignment="1">
      <alignment horizontal="center" vertical="center"/>
    </xf>
    <xf numFmtId="9" fontId="0" fillId="0" borderId="82" xfId="0" applyNumberFormat="1" applyBorder="1" applyAlignment="1">
      <alignment horizontal="center" vertical="center"/>
    </xf>
    <xf numFmtId="0" fontId="0" fillId="40" borderId="81" xfId="0" applyFill="1" applyBorder="1" applyAlignment="1">
      <alignment horizontal="center" vertical="center"/>
    </xf>
    <xf numFmtId="16" fontId="0" fillId="40" borderId="81" xfId="0" applyNumberFormat="1" applyFill="1" applyBorder="1" applyAlignment="1">
      <alignment horizontal="center" vertical="center"/>
    </xf>
    <xf numFmtId="0" fontId="118" fillId="40" borderId="81" xfId="0" applyFont="1" applyFill="1" applyBorder="1" applyAlignment="1">
      <alignment horizontal="center" vertical="center"/>
    </xf>
    <xf numFmtId="164" fontId="0" fillId="40" borderId="81" xfId="0" applyNumberFormat="1" applyFill="1" applyBorder="1" applyAlignment="1">
      <alignment horizontal="center" vertical="center"/>
    </xf>
    <xf numFmtId="0" fontId="73" fillId="0" borderId="82" xfId="0" applyFont="1" applyBorder="1" applyAlignment="1">
      <alignment horizontal="left" vertical="center" wrapText="1"/>
    </xf>
    <xf numFmtId="0" fontId="56" fillId="0" borderId="82" xfId="0" applyFont="1" applyBorder="1" applyAlignment="1">
      <alignment horizontal="left" vertical="center" wrapText="1"/>
    </xf>
    <xf numFmtId="0" fontId="56" fillId="0" borderId="82" xfId="0" applyFont="1" applyBorder="1" applyAlignment="1">
      <alignment horizontal="left" vertical="center"/>
    </xf>
    <xf numFmtId="0" fontId="53" fillId="0" borderId="82" xfId="0" applyFont="1" applyBorder="1" applyAlignment="1">
      <alignment horizontal="left" vertical="center"/>
    </xf>
    <xf numFmtId="0" fontId="45" fillId="0" borderId="82" xfId="0" applyFont="1" applyBorder="1" applyAlignment="1">
      <alignment horizontal="left"/>
    </xf>
    <xf numFmtId="0" fontId="45" fillId="0" borderId="82" xfId="0" applyFont="1" applyBorder="1" applyAlignment="1">
      <alignment horizontal="left" wrapText="1"/>
    </xf>
    <xf numFmtId="9" fontId="0" fillId="0" borderId="82" xfId="0" applyNumberFormat="1" applyBorder="1" applyAlignment="1">
      <alignment horizontal="left" vertical="center"/>
    </xf>
    <xf numFmtId="0" fontId="57" fillId="40" borderId="81" xfId="0" applyFont="1" applyFill="1" applyBorder="1" applyAlignment="1">
      <alignment horizontal="center" vertical="center"/>
    </xf>
    <xf numFmtId="44" fontId="0" fillId="0" borderId="81" xfId="47" applyFont="1" applyBorder="1" applyAlignment="1">
      <alignment horizontal="left" vertical="center"/>
    </xf>
    <xf numFmtId="1" fontId="0" fillId="0" borderId="82" xfId="47" applyNumberFormat="1" applyFont="1" applyBorder="1" applyAlignment="1">
      <alignment horizontal="left" vertical="center"/>
    </xf>
    <xf numFmtId="0" fontId="0" fillId="4" borderId="84" xfId="0" applyFill="1" applyBorder="1"/>
    <xf numFmtId="0" fontId="116" fillId="0" borderId="81" xfId="0" applyFont="1" applyBorder="1" applyAlignment="1">
      <alignment horizontal="center" vertical="center"/>
    </xf>
    <xf numFmtId="164" fontId="45" fillId="4" borderId="81" xfId="0" applyNumberFormat="1" applyFont="1" applyFill="1" applyBorder="1" applyAlignment="1">
      <alignment horizontal="center" vertical="center"/>
    </xf>
    <xf numFmtId="0" fontId="45" fillId="4" borderId="81" xfId="0" applyFont="1" applyFill="1" applyBorder="1" applyAlignment="1">
      <alignment horizontal="center" vertical="center"/>
    </xf>
    <xf numFmtId="0" fontId="0" fillId="0" borderId="82" xfId="0" applyBorder="1" applyAlignment="1">
      <alignment vertical="center" wrapText="1"/>
    </xf>
    <xf numFmtId="164" fontId="0" fillId="0" borderId="82" xfId="0" applyNumberFormat="1" applyBorder="1" applyAlignment="1">
      <alignment vertical="center" wrapText="1"/>
    </xf>
    <xf numFmtId="164" fontId="45" fillId="0" borderId="82" xfId="0" applyNumberFormat="1" applyFont="1" applyBorder="1" applyAlignment="1">
      <alignment vertical="center" wrapText="1"/>
    </xf>
    <xf numFmtId="0" fontId="115" fillId="0" borderId="81" xfId="0" applyFont="1" applyBorder="1" applyAlignment="1">
      <alignment horizontal="left" vertical="center"/>
    </xf>
    <xf numFmtId="0" fontId="57" fillId="0" borderId="81" xfId="0" applyFont="1" applyBorder="1" applyAlignment="1">
      <alignment vertical="center"/>
    </xf>
    <xf numFmtId="0" fontId="317" fillId="0" borderId="17" xfId="0" applyFont="1" applyBorder="1"/>
    <xf numFmtId="164" fontId="311" fillId="4" borderId="18" xfId="0" applyNumberFormat="1" applyFont="1" applyFill="1" applyBorder="1" applyAlignment="1">
      <alignment vertical="center"/>
    </xf>
    <xf numFmtId="0" fontId="0" fillId="4" borderId="18" xfId="0" applyFill="1" applyBorder="1" applyAlignment="1">
      <alignment vertical="center"/>
    </xf>
    <xf numFmtId="0" fontId="57" fillId="0" borderId="18" xfId="0" applyFont="1" applyBorder="1" applyAlignment="1">
      <alignment horizontal="left" vertical="center" wrapText="1"/>
    </xf>
    <xf numFmtId="164" fontId="45" fillId="0" borderId="17" xfId="0" applyNumberFormat="1" applyFont="1" applyBorder="1"/>
    <xf numFmtId="10" fontId="0" fillId="0" borderId="17" xfId="77" applyNumberFormat="1" applyFont="1" applyBorder="1"/>
    <xf numFmtId="0" fontId="0" fillId="114" borderId="17" xfId="0" applyFill="1" applyBorder="1" applyAlignment="1">
      <alignment vertical="center"/>
    </xf>
    <xf numFmtId="164" fontId="45" fillId="4" borderId="17" xfId="0" applyNumberFormat="1" applyFont="1" applyFill="1" applyBorder="1"/>
    <xf numFmtId="16" fontId="0" fillId="0" borderId="17" xfId="0" applyNumberFormat="1" applyBorder="1" applyAlignment="1">
      <alignment vertical="center" wrapText="1"/>
    </xf>
    <xf numFmtId="16" fontId="0" fillId="0" borderId="17" xfId="0" applyNumberFormat="1" applyBorder="1" applyAlignment="1">
      <alignment vertical="center"/>
    </xf>
    <xf numFmtId="0" fontId="0" fillId="116" borderId="18" xfId="0" applyFill="1" applyBorder="1"/>
    <xf numFmtId="164" fontId="45" fillId="0" borderId="18" xfId="0" applyNumberFormat="1" applyFont="1" applyBorder="1"/>
    <xf numFmtId="164" fontId="45" fillId="0" borderId="0" xfId="0" applyNumberFormat="1" applyFont="1"/>
    <xf numFmtId="0" fontId="57" fillId="0" borderId="0" xfId="0" applyFont="1" applyAlignment="1">
      <alignment vertical="center"/>
    </xf>
    <xf numFmtId="0" fontId="57" fillId="3" borderId="17" xfId="0" applyFont="1" applyFill="1" applyBorder="1" applyAlignment="1">
      <alignment vertical="center" wrapText="1"/>
    </xf>
    <xf numFmtId="164" fontId="57" fillId="3" borderId="17" xfId="0" applyNumberFormat="1" applyFont="1" applyFill="1" applyBorder="1" applyAlignment="1">
      <alignment vertical="center" wrapText="1"/>
    </xf>
    <xf numFmtId="0" fontId="57" fillId="3" borderId="0" xfId="0" applyFont="1" applyFill="1" applyAlignment="1">
      <alignment vertical="center" wrapText="1"/>
    </xf>
    <xf numFmtId="0" fontId="0" fillId="4" borderId="0" xfId="0" applyFill="1" applyAlignment="1">
      <alignment vertical="center"/>
    </xf>
    <xf numFmtId="0" fontId="45" fillId="3" borderId="0" xfId="0" applyFont="1" applyFill="1" applyAlignment="1">
      <alignment vertical="center"/>
    </xf>
    <xf numFmtId="10" fontId="0" fillId="3" borderId="0" xfId="77" applyNumberFormat="1" applyFont="1" applyFill="1" applyAlignment="1">
      <alignment vertical="center"/>
    </xf>
    <xf numFmtId="164" fontId="29" fillId="0" borderId="17" xfId="0" applyNumberFormat="1" applyFont="1" applyBorder="1" applyAlignment="1">
      <alignment vertical="center" wrapText="1"/>
    </xf>
    <xf numFmtId="164" fontId="29" fillId="0" borderId="0" xfId="0" applyNumberFormat="1" applyFont="1" applyAlignment="1">
      <alignment vertical="center" wrapText="1"/>
    </xf>
    <xf numFmtId="0" fontId="23" fillId="0" borderId="0" xfId="0" applyFont="1" applyAlignment="1">
      <alignment vertical="center"/>
    </xf>
    <xf numFmtId="164" fontId="0" fillId="3" borderId="0" xfId="0" applyNumberFormat="1" applyFill="1"/>
    <xf numFmtId="1" fontId="0" fillId="2" borderId="3" xfId="0" applyNumberFormat="1" applyFill="1" applyBorder="1" applyAlignment="1">
      <alignment vertical="center"/>
    </xf>
    <xf numFmtId="22" fontId="0" fillId="2" borderId="3" xfId="0" applyNumberFormat="1" applyFill="1" applyBorder="1"/>
    <xf numFmtId="164" fontId="0" fillId="2" borderId="3" xfId="0" applyNumberFormat="1" applyFill="1" applyBorder="1"/>
    <xf numFmtId="179" fontId="0" fillId="0" borderId="81" xfId="0" applyNumberFormat="1" applyBorder="1" applyAlignment="1">
      <alignment horizontal="left" vertical="center"/>
    </xf>
    <xf numFmtId="179" fontId="0" fillId="0" borderId="4" xfId="0" applyNumberFormat="1" applyBorder="1" applyAlignment="1">
      <alignment horizontal="left" vertical="center"/>
    </xf>
    <xf numFmtId="164" fontId="23" fillId="2" borderId="20" xfId="0" applyNumberFormat="1" applyFont="1" applyFill="1" applyBorder="1"/>
    <xf numFmtId="0" fontId="0" fillId="67" borderId="0" xfId="0" applyFill="1"/>
    <xf numFmtId="8" fontId="0" fillId="0" borderId="0" xfId="0" applyNumberFormat="1"/>
    <xf numFmtId="0" fontId="0" fillId="43" borderId="17" xfId="0" applyFill="1" applyBorder="1" applyAlignment="1">
      <alignment vertical="center"/>
    </xf>
    <xf numFmtId="0" fontId="0" fillId="43" borderId="18" xfId="0" applyFill="1" applyBorder="1" applyAlignment="1">
      <alignment vertical="center"/>
    </xf>
    <xf numFmtId="0" fontId="29" fillId="2" borderId="17" xfId="1" applyFont="1" applyFill="1" applyBorder="1" applyAlignment="1">
      <alignment vertical="center"/>
    </xf>
    <xf numFmtId="1" fontId="0" fillId="2" borderId="17" xfId="0" applyNumberFormat="1" applyFill="1" applyBorder="1" applyAlignment="1">
      <alignment vertical="center"/>
    </xf>
    <xf numFmtId="164" fontId="307" fillId="0" borderId="17" xfId="0" applyNumberFormat="1" applyFont="1" applyBorder="1" applyAlignment="1">
      <alignment horizontal="left"/>
    </xf>
    <xf numFmtId="164" fontId="307" fillId="2" borderId="0" xfId="0" applyNumberFormat="1" applyFont="1" applyFill="1" applyAlignment="1">
      <alignment horizontal="left" vertical="center"/>
    </xf>
    <xf numFmtId="179" fontId="0" fillId="2" borderId="0" xfId="0" applyNumberFormat="1" applyFill="1" applyAlignment="1">
      <alignment vertical="center"/>
    </xf>
    <xf numFmtId="16" fontId="0" fillId="3" borderId="17" xfId="0" applyNumberFormat="1" applyFill="1" applyBorder="1" applyAlignment="1">
      <alignment vertical="center"/>
    </xf>
    <xf numFmtId="164" fontId="23" fillId="2" borderId="3" xfId="0" applyNumberFormat="1" applyFont="1" applyFill="1" applyBorder="1"/>
    <xf numFmtId="16" fontId="0" fillId="2" borderId="3" xfId="0" applyNumberFormat="1" applyFill="1" applyBorder="1" applyAlignment="1">
      <alignment vertical="center" wrapText="1"/>
    </xf>
    <xf numFmtId="16" fontId="0" fillId="2" borderId="3" xfId="0" applyNumberFormat="1" applyFill="1" applyBorder="1" applyAlignment="1">
      <alignment vertical="center"/>
    </xf>
    <xf numFmtId="180" fontId="0" fillId="2" borderId="3" xfId="0" applyNumberFormat="1" applyFill="1" applyBorder="1"/>
    <xf numFmtId="0" fontId="29" fillId="0" borderId="4" xfId="0" applyFont="1" applyBorder="1" applyAlignment="1">
      <alignment horizontal="left" vertical="center"/>
    </xf>
    <xf numFmtId="0" fontId="24" fillId="0" borderId="4" xfId="0" applyFont="1" applyBorder="1" applyAlignment="1">
      <alignment horizontal="left" vertical="center" wrapText="1"/>
    </xf>
    <xf numFmtId="0" fontId="24" fillId="0" borderId="4" xfId="0" applyFont="1" applyBorder="1" applyAlignment="1">
      <alignment horizontal="left" vertical="center"/>
    </xf>
    <xf numFmtId="179" fontId="0" fillId="0" borderId="17" xfId="0" applyNumberFormat="1" applyBorder="1" applyAlignment="1">
      <alignment horizontal="left" vertical="center"/>
    </xf>
    <xf numFmtId="0" fontId="23" fillId="0" borderId="4" xfId="0" applyFont="1" applyBorder="1" applyAlignment="1">
      <alignment horizontal="left" vertical="center" wrapText="1"/>
    </xf>
    <xf numFmtId="0" fontId="29" fillId="0" borderId="4" xfId="0" applyFont="1" applyBorder="1" applyAlignment="1">
      <alignment horizontal="left" vertical="center" wrapText="1"/>
    </xf>
    <xf numFmtId="14" fontId="0" fillId="0" borderId="18" xfId="0" applyNumberFormat="1" applyBorder="1" applyAlignment="1">
      <alignment vertical="center"/>
    </xf>
    <xf numFmtId="164" fontId="307" fillId="0" borderId="0" xfId="0" applyNumberFormat="1" applyFont="1"/>
    <xf numFmtId="179" fontId="0" fillId="0" borderId="20" xfId="0" applyNumberFormat="1" applyBorder="1" applyAlignment="1">
      <alignment vertical="center"/>
    </xf>
    <xf numFmtId="0" fontId="0" fillId="117" borderId="81" xfId="0" applyFill="1" applyBorder="1" applyAlignment="1">
      <alignment vertical="center"/>
    </xf>
    <xf numFmtId="14" fontId="0" fillId="0" borderId="81" xfId="0" applyNumberFormat="1" applyBorder="1" applyAlignment="1">
      <alignment vertical="center"/>
    </xf>
    <xf numFmtId="164" fontId="45" fillId="0" borderId="81" xfId="0" applyNumberFormat="1" applyFont="1" applyBorder="1"/>
    <xf numFmtId="14" fontId="307" fillId="0" borderId="18" xfId="0" applyNumberFormat="1" applyFont="1" applyBorder="1" applyAlignment="1">
      <alignment vertical="center"/>
    </xf>
    <xf numFmtId="0" fontId="0" fillId="0" borderId="20" xfId="0" applyBorder="1" applyAlignment="1">
      <alignment wrapText="1"/>
    </xf>
    <xf numFmtId="0" fontId="52" fillId="0" borderId="20" xfId="0" applyFont="1" applyBorder="1" applyAlignment="1">
      <alignment vertical="center"/>
    </xf>
    <xf numFmtId="0" fontId="57" fillId="0" borderId="20" xfId="0" applyFont="1" applyBorder="1" applyAlignment="1">
      <alignment horizontal="left" vertical="center" wrapText="1"/>
    </xf>
    <xf numFmtId="0" fontId="0" fillId="2" borderId="3" xfId="0" applyFill="1" applyBorder="1" applyAlignment="1">
      <alignment wrapText="1"/>
    </xf>
    <xf numFmtId="164" fontId="307" fillId="0" borderId="18" xfId="0" applyNumberFormat="1" applyFont="1" applyBorder="1" applyAlignment="1">
      <alignment horizontal="left" vertical="center"/>
    </xf>
    <xf numFmtId="16" fontId="0" fillId="0" borderId="18" xfId="0" applyNumberFormat="1" applyBorder="1" applyAlignment="1">
      <alignment horizontal="left" vertical="center"/>
    </xf>
    <xf numFmtId="0" fontId="0" fillId="118" borderId="18" xfId="0" applyFill="1" applyBorder="1" applyAlignment="1">
      <alignment vertical="center"/>
    </xf>
    <xf numFmtId="0" fontId="0" fillId="43" borderId="81" xfId="0" applyFill="1" applyBorder="1" applyAlignment="1">
      <alignment horizontal="left" vertical="center"/>
    </xf>
    <xf numFmtId="164" fontId="23" fillId="0" borderId="4" xfId="0" applyNumberFormat="1" applyFont="1" applyBorder="1" applyAlignment="1">
      <alignment horizontal="left" vertical="center"/>
    </xf>
    <xf numFmtId="179" fontId="0" fillId="2" borderId="4" xfId="0" applyNumberFormat="1" applyFill="1" applyBorder="1" applyAlignment="1">
      <alignment horizontal="left" vertical="center"/>
    </xf>
    <xf numFmtId="164" fontId="0" fillId="0" borderId="4" xfId="0" applyNumberFormat="1" applyBorder="1" applyAlignment="1">
      <alignment horizontal="right" vertical="center"/>
    </xf>
    <xf numFmtId="0" fontId="314" fillId="0" borderId="20" xfId="0" applyFont="1" applyBorder="1" applyAlignment="1">
      <alignment vertical="center" wrapText="1"/>
    </xf>
    <xf numFmtId="0" fontId="0" fillId="106" borderId="20" xfId="0" applyFill="1" applyBorder="1" applyAlignment="1">
      <alignment horizontal="left" vertical="center"/>
    </xf>
    <xf numFmtId="164" fontId="0" fillId="0" borderId="21" xfId="0" applyNumberFormat="1" applyBorder="1" applyAlignment="1">
      <alignment vertical="center"/>
    </xf>
    <xf numFmtId="164" fontId="0" fillId="0" borderId="80" xfId="0" applyNumberFormat="1" applyBorder="1" applyAlignment="1">
      <alignment vertical="center"/>
    </xf>
    <xf numFmtId="164" fontId="0" fillId="0" borderId="27" xfId="0" applyNumberFormat="1" applyBorder="1" applyAlignment="1">
      <alignment vertical="center"/>
    </xf>
    <xf numFmtId="0" fontId="2" fillId="2" borderId="17" xfId="0" applyFont="1" applyFill="1" applyBorder="1" applyAlignment="1">
      <alignment horizontal="center" vertical="center" wrapText="1"/>
    </xf>
    <xf numFmtId="0" fontId="2" fillId="3" borderId="20" xfId="0" applyFont="1" applyFill="1" applyBorder="1" applyAlignment="1">
      <alignment vertical="center"/>
    </xf>
    <xf numFmtId="0" fontId="2" fillId="3" borderId="18" xfId="0" applyFont="1" applyFill="1" applyBorder="1" applyAlignment="1">
      <alignment vertical="center"/>
    </xf>
    <xf numFmtId="0" fontId="2" fillId="3" borderId="0" xfId="0" applyFont="1" applyFill="1" applyAlignment="1">
      <alignment vertical="center" wrapText="1"/>
    </xf>
    <xf numFmtId="0" fontId="2" fillId="40" borderId="17" xfId="0" applyFont="1" applyFill="1" applyBorder="1" applyAlignment="1">
      <alignment horizontal="center" vertical="center" wrapText="1"/>
    </xf>
    <xf numFmtId="0" fontId="2" fillId="40" borderId="17" xfId="0" applyFont="1" applyFill="1" applyBorder="1" applyAlignment="1">
      <alignment horizontal="left" vertical="center" wrapText="1"/>
    </xf>
    <xf numFmtId="0" fontId="2" fillId="3" borderId="17" xfId="0" applyFont="1" applyFill="1" applyBorder="1" applyAlignment="1">
      <alignment vertical="center" wrapText="1"/>
    </xf>
    <xf numFmtId="0" fontId="2" fillId="3" borderId="17" xfId="0" applyFont="1" applyFill="1" applyBorder="1" applyAlignment="1">
      <alignment vertical="center"/>
    </xf>
    <xf numFmtId="0" fontId="2" fillId="2" borderId="0" xfId="0" applyFont="1" applyFill="1" applyAlignment="1">
      <alignment horizontal="left" vertical="center" wrapText="1"/>
    </xf>
    <xf numFmtId="0" fontId="2" fillId="3" borderId="0" xfId="0" applyFont="1" applyFill="1" applyAlignment="1">
      <alignment horizontal="center" vertical="center" wrapText="1"/>
    </xf>
    <xf numFmtId="0" fontId="2" fillId="3" borderId="17" xfId="0" applyFont="1" applyFill="1" applyBorder="1" applyAlignment="1">
      <alignment horizontal="center" vertical="center" wrapText="1"/>
    </xf>
    <xf numFmtId="16" fontId="2" fillId="3" borderId="0" xfId="0" applyNumberFormat="1" applyFont="1" applyFill="1" applyAlignment="1">
      <alignment horizontal="center" vertical="center" wrapText="1"/>
    </xf>
    <xf numFmtId="0" fontId="2" fillId="3" borderId="18" xfId="0" applyFont="1" applyFill="1" applyBorder="1" applyAlignment="1">
      <alignment horizontal="left" vertical="center" wrapText="1"/>
    </xf>
    <xf numFmtId="0" fontId="2" fillId="3" borderId="0" xfId="0" applyFont="1" applyFill="1" applyAlignment="1">
      <alignment horizontal="center"/>
    </xf>
    <xf numFmtId="0" fontId="2" fillId="3" borderId="0" xfId="0" applyFont="1" applyFill="1" applyAlignment="1">
      <alignment vertical="center"/>
    </xf>
    <xf numFmtId="0" fontId="2" fillId="3" borderId="18" xfId="0" applyFont="1" applyFill="1" applyBorder="1" applyAlignment="1">
      <alignment vertical="center" wrapText="1"/>
    </xf>
    <xf numFmtId="0" fontId="2" fillId="2" borderId="0" xfId="0" applyFont="1" applyFill="1" applyAlignment="1">
      <alignment horizontal="center" wrapText="1"/>
    </xf>
    <xf numFmtId="0" fontId="2" fillId="2" borderId="18" xfId="0" applyFont="1" applyFill="1" applyBorder="1"/>
    <xf numFmtId="0" fontId="2" fillId="3" borderId="18" xfId="0" applyFont="1" applyFill="1" applyBorder="1" applyAlignment="1">
      <alignment horizontal="center" vertical="center" wrapText="1"/>
    </xf>
    <xf numFmtId="0" fontId="2" fillId="3" borderId="20" xfId="0" applyFont="1" applyFill="1" applyBorder="1" applyAlignment="1">
      <alignment vertical="center" wrapText="1"/>
    </xf>
    <xf numFmtId="0" fontId="2" fillId="3" borderId="0" xfId="0" applyFont="1" applyFill="1" applyAlignment="1">
      <alignment horizontal="left" vertical="center" wrapText="1"/>
    </xf>
    <xf numFmtId="0" fontId="2" fillId="3" borderId="0" xfId="0" applyFont="1" applyFill="1" applyAlignment="1">
      <alignment wrapText="1"/>
    </xf>
    <xf numFmtId="0" fontId="2" fillId="2" borderId="17" xfId="0" applyFont="1" applyFill="1" applyBorder="1" applyAlignment="1">
      <alignment horizontal="center" vertical="center"/>
    </xf>
    <xf numFmtId="0" fontId="2" fillId="3" borderId="18" xfId="0" applyFont="1" applyFill="1" applyBorder="1" applyAlignment="1">
      <alignment wrapText="1"/>
    </xf>
    <xf numFmtId="0" fontId="2" fillId="3" borderId="0" xfId="0" quotePrefix="1" applyFont="1" applyFill="1" applyAlignment="1">
      <alignment wrapText="1"/>
    </xf>
    <xf numFmtId="0" fontId="2" fillId="3" borderId="18" xfId="0" applyFont="1" applyFill="1" applyBorder="1" applyAlignment="1">
      <alignment vertical="top" wrapText="1"/>
    </xf>
    <xf numFmtId="0" fontId="2" fillId="3" borderId="17" xfId="0" applyFont="1" applyFill="1" applyBorder="1" applyAlignment="1">
      <alignment wrapText="1"/>
    </xf>
    <xf numFmtId="0" fontId="2" fillId="2" borderId="18" xfId="0" applyFont="1" applyFill="1" applyBorder="1" applyAlignment="1">
      <alignment horizontal="left" vertical="center" wrapText="1"/>
    </xf>
    <xf numFmtId="0" fontId="2" fillId="2" borderId="17" xfId="0" applyFont="1" applyFill="1" applyBorder="1" applyAlignment="1">
      <alignment horizontal="left" vertical="center" wrapText="1"/>
    </xf>
    <xf numFmtId="164" fontId="2" fillId="2" borderId="17" xfId="0" applyNumberFormat="1" applyFont="1" applyFill="1" applyBorder="1" applyAlignment="1">
      <alignment horizontal="center" vertical="center" wrapText="1"/>
    </xf>
    <xf numFmtId="0" fontId="2" fillId="3" borderId="18" xfId="0" quotePrefix="1" applyFont="1" applyFill="1" applyBorder="1" applyAlignment="1">
      <alignment wrapText="1"/>
    </xf>
    <xf numFmtId="0" fontId="2" fillId="2" borderId="18" xfId="0" applyFont="1" applyFill="1" applyBorder="1" applyAlignment="1">
      <alignment horizontal="center" vertical="center"/>
    </xf>
    <xf numFmtId="164" fontId="2" fillId="2" borderId="18" xfId="0" applyNumberFormat="1" applyFont="1" applyFill="1" applyBorder="1" applyAlignment="1">
      <alignment horizontal="center" vertical="center"/>
    </xf>
    <xf numFmtId="0" fontId="2" fillId="3" borderId="4" xfId="0" applyFont="1" applyFill="1" applyBorder="1" applyAlignment="1">
      <alignment horizontal="center" vertical="center" wrapText="1"/>
    </xf>
    <xf numFmtId="164" fontId="2" fillId="3" borderId="0" xfId="0" applyNumberFormat="1" applyFont="1" applyFill="1" applyAlignment="1">
      <alignment horizontal="center" vertical="center" wrapText="1"/>
    </xf>
    <xf numFmtId="0" fontId="2" fillId="3" borderId="4" xfId="0" applyFont="1" applyFill="1" applyBorder="1" applyAlignment="1">
      <alignment vertical="center" wrapText="1"/>
    </xf>
    <xf numFmtId="0" fontId="2" fillId="3" borderId="2" xfId="0" applyFont="1" applyFill="1" applyBorder="1" applyAlignment="1">
      <alignment vertical="center" wrapText="1"/>
    </xf>
    <xf numFmtId="164" fontId="2" fillId="3" borderId="18" xfId="0" applyNumberFormat="1" applyFont="1" applyFill="1" applyBorder="1" applyAlignment="1">
      <alignment vertical="center" wrapText="1"/>
    </xf>
    <xf numFmtId="0" fontId="2" fillId="2" borderId="0" xfId="0" applyFont="1" applyFill="1" applyAlignment="1">
      <alignment horizontal="left" vertical="center"/>
    </xf>
    <xf numFmtId="0" fontId="2" fillId="2" borderId="18" xfId="0" applyFont="1" applyFill="1" applyBorder="1" applyAlignment="1">
      <alignment horizontal="center"/>
    </xf>
    <xf numFmtId="0" fontId="2" fillId="2" borderId="18" xfId="0" applyFont="1" applyFill="1" applyBorder="1" applyAlignment="1">
      <alignment horizontal="left" vertical="center"/>
    </xf>
    <xf numFmtId="0" fontId="2" fillId="40" borderId="18" xfId="0" applyFont="1" applyFill="1" applyBorder="1" applyAlignment="1">
      <alignment horizontal="center" vertical="center"/>
    </xf>
    <xf numFmtId="16" fontId="2" fillId="3" borderId="18" xfId="0" applyNumberFormat="1" applyFont="1" applyFill="1" applyBorder="1" applyAlignment="1">
      <alignment horizontal="center" vertical="center" wrapText="1"/>
    </xf>
    <xf numFmtId="0" fontId="2" fillId="3" borderId="32" xfId="0" applyFont="1" applyFill="1" applyBorder="1" applyAlignment="1">
      <alignment horizontal="center" vertical="center" wrapText="1"/>
    </xf>
    <xf numFmtId="0" fontId="2" fillId="3" borderId="17" xfId="0" applyFont="1" applyFill="1" applyBorder="1" applyAlignment="1">
      <alignment horizontal="left" vertical="center" wrapText="1"/>
    </xf>
    <xf numFmtId="0" fontId="2" fillId="40" borderId="18" xfId="0" applyFont="1" applyFill="1" applyBorder="1" applyAlignment="1">
      <alignment horizontal="center" vertical="center" wrapText="1"/>
    </xf>
    <xf numFmtId="0" fontId="2" fillId="40" borderId="32" xfId="0" applyFont="1" applyFill="1" applyBorder="1" applyAlignment="1">
      <alignment horizontal="center" vertical="center" wrapText="1"/>
    </xf>
    <xf numFmtId="164" fontId="2" fillId="40" borderId="18" xfId="0" applyNumberFormat="1" applyFont="1" applyFill="1" applyBorder="1" applyAlignment="1">
      <alignment horizontal="center" vertical="center" wrapText="1"/>
    </xf>
    <xf numFmtId="0" fontId="2" fillId="40" borderId="18" xfId="0" applyFont="1" applyFill="1" applyBorder="1" applyAlignment="1">
      <alignment horizontal="left" vertical="center" wrapText="1"/>
    </xf>
    <xf numFmtId="0" fontId="2" fillId="3" borderId="0" xfId="0" applyFont="1" applyFill="1" applyAlignment="1">
      <alignment horizontal="center" wrapText="1"/>
    </xf>
    <xf numFmtId="0" fontId="2" fillId="3" borderId="18" xfId="0" applyFont="1" applyFill="1" applyBorder="1"/>
    <xf numFmtId="0" fontId="2" fillId="2" borderId="17" xfId="0" applyFont="1" applyFill="1" applyBorder="1" applyAlignment="1">
      <alignment wrapText="1"/>
    </xf>
    <xf numFmtId="0" fontId="2" fillId="2" borderId="18" xfId="0" applyFont="1" applyFill="1" applyBorder="1" applyAlignment="1">
      <alignment horizontal="center" vertical="center" wrapText="1"/>
    </xf>
    <xf numFmtId="0" fontId="2" fillId="2" borderId="0" xfId="0" applyFont="1" applyFill="1" applyAlignment="1">
      <alignment horizontal="center" vertical="center" wrapText="1"/>
    </xf>
    <xf numFmtId="164" fontId="2" fillId="2" borderId="18" xfId="0" applyNumberFormat="1" applyFont="1" applyFill="1" applyBorder="1" applyAlignment="1">
      <alignment horizontal="center" vertical="center" wrapText="1"/>
    </xf>
    <xf numFmtId="0" fontId="2" fillId="3" borderId="32" xfId="0" applyFont="1" applyFill="1" applyBorder="1" applyAlignment="1">
      <alignment vertical="center" wrapText="1"/>
    </xf>
    <xf numFmtId="0" fontId="2" fillId="3" borderId="17" xfId="0" applyFont="1" applyFill="1" applyBorder="1"/>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2" fillId="44" borderId="18" xfId="0" applyFont="1" applyFill="1" applyBorder="1" applyAlignment="1">
      <alignment horizontal="center" vertical="center" wrapText="1"/>
    </xf>
    <xf numFmtId="0" fontId="2" fillId="0" borderId="0" xfId="0" applyFont="1" applyAlignment="1">
      <alignment vertical="center" wrapText="1"/>
    </xf>
    <xf numFmtId="0" fontId="2" fillId="0" borderId="18" xfId="0" applyFont="1" applyBorder="1" applyAlignment="1">
      <alignment vertical="center" wrapText="1"/>
    </xf>
    <xf numFmtId="0" fontId="2" fillId="74" borderId="18" xfId="0" applyFont="1" applyFill="1" applyBorder="1" applyAlignment="1">
      <alignment horizontal="center" vertical="center"/>
    </xf>
    <xf numFmtId="0" fontId="2" fillId="74" borderId="18" xfId="0" applyFont="1" applyFill="1" applyBorder="1" applyAlignment="1">
      <alignment horizontal="left" vertical="center"/>
    </xf>
    <xf numFmtId="0" fontId="2" fillId="0" borderId="0" xfId="0" applyFont="1" applyAlignment="1">
      <alignment vertical="center"/>
    </xf>
    <xf numFmtId="0" fontId="2" fillId="2" borderId="0" xfId="0" applyFont="1" applyFill="1" applyAlignment="1">
      <alignment horizontal="center" vertical="center"/>
    </xf>
    <xf numFmtId="0" fontId="2" fillId="3" borderId="0" xfId="0" applyFont="1" applyFill="1" applyAlignment="1">
      <alignment horizontal="left" vertical="center"/>
    </xf>
    <xf numFmtId="0" fontId="2" fillId="0" borderId="0" xfId="0" applyFont="1" applyAlignment="1">
      <alignment horizontal="center" vertical="center"/>
    </xf>
    <xf numFmtId="0" fontId="2" fillId="0" borderId="0" xfId="0" applyFont="1" applyAlignment="1">
      <alignment horizontal="left" vertical="center"/>
    </xf>
    <xf numFmtId="0" fontId="2" fillId="3" borderId="18" xfId="0" applyFont="1" applyFill="1" applyBorder="1" applyAlignment="1">
      <alignment horizontal="center" vertical="center"/>
    </xf>
    <xf numFmtId="0" fontId="2" fillId="3" borderId="0" xfId="0" applyFont="1" applyFill="1" applyAlignment="1">
      <alignment horizontal="center" vertical="center"/>
    </xf>
    <xf numFmtId="164" fontId="2" fillId="3" borderId="0" xfId="0" applyNumberFormat="1" applyFont="1" applyFill="1" applyAlignment="1">
      <alignment horizontal="center" vertical="center"/>
    </xf>
    <xf numFmtId="16" fontId="2" fillId="3" borderId="0" xfId="0" applyNumberFormat="1" applyFont="1" applyFill="1" applyAlignment="1">
      <alignment horizontal="center" vertical="center"/>
    </xf>
    <xf numFmtId="0" fontId="2" fillId="71" borderId="0" xfId="0" applyFont="1" applyFill="1" applyAlignment="1">
      <alignment horizontal="center" vertical="center"/>
    </xf>
    <xf numFmtId="0" fontId="2" fillId="71" borderId="0" xfId="0" applyFont="1" applyFill="1" applyAlignment="1">
      <alignment horizontal="left" vertical="center"/>
    </xf>
    <xf numFmtId="20" fontId="2" fillId="3" borderId="0" xfId="0" applyNumberFormat="1" applyFont="1" applyFill="1" applyAlignment="1">
      <alignment horizontal="left" vertical="center"/>
    </xf>
    <xf numFmtId="16" fontId="2" fillId="3" borderId="0" xfId="0" applyNumberFormat="1" applyFont="1" applyFill="1" applyAlignment="1">
      <alignment horizontal="left" vertical="center"/>
    </xf>
    <xf numFmtId="0" fontId="2" fillId="2" borderId="0" xfId="0" applyFont="1" applyFill="1" applyAlignment="1">
      <alignment horizontal="center"/>
    </xf>
    <xf numFmtId="164" fontId="2" fillId="2" borderId="0" xfId="0" applyNumberFormat="1" applyFont="1" applyFill="1" applyAlignment="1">
      <alignment horizontal="left" vertical="center"/>
    </xf>
    <xf numFmtId="0" fontId="2" fillId="3" borderId="18" xfId="0" applyFont="1" applyFill="1" applyBorder="1" applyAlignment="1">
      <alignment horizontal="left" vertical="center"/>
    </xf>
    <xf numFmtId="0" fontId="2" fillId="3" borderId="38" xfId="0" applyFont="1" applyFill="1" applyBorder="1" applyAlignment="1">
      <alignment horizontal="left" vertical="center"/>
    </xf>
    <xf numFmtId="0" fontId="2" fillId="3" borderId="0" xfId="0" applyFont="1" applyFill="1"/>
    <xf numFmtId="0" fontId="2" fillId="3" borderId="4" xfId="0" applyFont="1" applyFill="1" applyBorder="1" applyAlignment="1">
      <alignment horizontal="left" vertical="center"/>
    </xf>
    <xf numFmtId="0" fontId="2" fillId="4" borderId="0" xfId="0" applyFont="1" applyFill="1" applyAlignment="1">
      <alignment horizontal="left" vertical="center"/>
    </xf>
    <xf numFmtId="0" fontId="2" fillId="3" borderId="0" xfId="0" applyFont="1" applyFill="1" applyAlignment="1">
      <alignment horizontal="left"/>
    </xf>
    <xf numFmtId="0" fontId="2" fillId="3" borderId="4" xfId="0" applyFont="1" applyFill="1" applyBorder="1" applyAlignment="1">
      <alignment horizontal="center" vertical="center"/>
    </xf>
    <xf numFmtId="20" fontId="2" fillId="3" borderId="0" xfId="0" applyNumberFormat="1" applyFont="1" applyFill="1" applyAlignment="1">
      <alignment horizontal="center" vertical="center"/>
    </xf>
    <xf numFmtId="16" fontId="2" fillId="2" borderId="0" xfId="0" applyNumberFormat="1" applyFont="1" applyFill="1" applyAlignment="1">
      <alignment horizontal="center"/>
    </xf>
    <xf numFmtId="0" fontId="2" fillId="2" borderId="0" xfId="0" applyFont="1" applyFill="1" applyAlignment="1">
      <alignment horizontal="center" vertical="top"/>
    </xf>
    <xf numFmtId="164" fontId="2" fillId="3" borderId="0" xfId="0" applyNumberFormat="1" applyFont="1" applyFill="1" applyAlignment="1">
      <alignment horizontal="left" vertical="center"/>
    </xf>
    <xf numFmtId="0" fontId="2" fillId="2" borderId="38" xfId="0" applyFont="1" applyFill="1" applyBorder="1" applyAlignment="1">
      <alignment horizontal="center" vertical="center"/>
    </xf>
    <xf numFmtId="0" fontId="2" fillId="67" borderId="0" xfId="0" applyFont="1" applyFill="1" applyAlignment="1">
      <alignment horizontal="left" vertical="center"/>
    </xf>
    <xf numFmtId="0" fontId="2" fillId="0" borderId="0" xfId="0" applyFont="1" applyAlignment="1">
      <alignment horizontal="center" vertical="top"/>
    </xf>
    <xf numFmtId="0" fontId="2" fillId="2" borderId="0" xfId="0" applyFont="1" applyFill="1"/>
    <xf numFmtId="164" fontId="2" fillId="2" borderId="0" xfId="0" applyNumberFormat="1" applyFont="1" applyFill="1" applyAlignment="1">
      <alignment horizontal="center" vertical="center"/>
    </xf>
    <xf numFmtId="164" fontId="2" fillId="3" borderId="0" xfId="0" quotePrefix="1" applyNumberFormat="1" applyFont="1" applyFill="1" applyAlignment="1">
      <alignment horizontal="left" vertical="center"/>
    </xf>
    <xf numFmtId="0" fontId="2" fillId="0" borderId="0" xfId="0" applyFont="1" applyAlignment="1">
      <alignment horizontal="left"/>
    </xf>
    <xf numFmtId="0" fontId="2" fillId="72" borderId="0" xfId="0" applyFont="1" applyFill="1" applyAlignment="1">
      <alignment horizontal="left" vertical="center"/>
    </xf>
    <xf numFmtId="0" fontId="2" fillId="3" borderId="0" xfId="0" applyFont="1" applyFill="1" applyAlignment="1">
      <alignment horizontal="center" vertical="top"/>
    </xf>
    <xf numFmtId="0" fontId="2" fillId="3" borderId="81" xfId="0" applyFont="1" applyFill="1" applyBorder="1" applyAlignment="1">
      <alignment horizontal="center" vertical="center"/>
    </xf>
    <xf numFmtId="0" fontId="2" fillId="3" borderId="80" xfId="0" applyFont="1" applyFill="1" applyBorder="1" applyAlignment="1">
      <alignment horizontal="center" vertical="center"/>
    </xf>
    <xf numFmtId="164" fontId="2" fillId="3" borderId="18" xfId="0" applyNumberFormat="1" applyFont="1" applyFill="1" applyBorder="1" applyAlignment="1">
      <alignment horizontal="center" vertical="center"/>
    </xf>
    <xf numFmtId="0" fontId="2" fillId="72" borderId="18" xfId="0" applyFont="1" applyFill="1" applyBorder="1" applyAlignment="1">
      <alignment horizontal="left" vertical="center"/>
    </xf>
    <xf numFmtId="0" fontId="2" fillId="2" borderId="4" xfId="0" applyFont="1" applyFill="1" applyBorder="1" applyAlignment="1">
      <alignment horizontal="center" vertical="center"/>
    </xf>
    <xf numFmtId="0" fontId="2" fillId="2" borderId="2" xfId="0" applyFont="1" applyFill="1" applyBorder="1" applyAlignment="1">
      <alignment horizontal="center" vertical="center"/>
    </xf>
    <xf numFmtId="164" fontId="2" fillId="2" borderId="17" xfId="0" applyNumberFormat="1" applyFont="1" applyFill="1" applyBorder="1" applyAlignment="1">
      <alignment horizontal="center" vertical="center"/>
    </xf>
    <xf numFmtId="0" fontId="2" fillId="2" borderId="80" xfId="0" applyFont="1" applyFill="1" applyBorder="1" applyAlignment="1">
      <alignment horizontal="center" vertical="center"/>
    </xf>
    <xf numFmtId="0" fontId="2" fillId="3" borderId="17" xfId="0" applyFont="1" applyFill="1" applyBorder="1" applyAlignment="1">
      <alignment horizontal="center" vertical="center"/>
    </xf>
    <xf numFmtId="164" fontId="2" fillId="3" borderId="17" xfId="0" applyNumberFormat="1" applyFont="1" applyFill="1" applyBorder="1" applyAlignment="1">
      <alignment horizontal="center" vertical="center" wrapText="1"/>
    </xf>
    <xf numFmtId="0" fontId="2" fillId="3" borderId="17" xfId="0" applyFont="1" applyFill="1" applyBorder="1" applyAlignment="1">
      <alignment horizontal="left" vertical="center"/>
    </xf>
    <xf numFmtId="0" fontId="2" fillId="2" borderId="17" xfId="0" applyFont="1" applyFill="1" applyBorder="1" applyAlignment="1">
      <alignment horizontal="left" vertical="center"/>
    </xf>
    <xf numFmtId="0" fontId="2" fillId="2" borderId="19" xfId="0" applyFont="1" applyFill="1" applyBorder="1" applyAlignment="1">
      <alignment horizontal="center" vertical="center"/>
    </xf>
    <xf numFmtId="164" fontId="2" fillId="2" borderId="19" xfId="0" applyNumberFormat="1" applyFont="1" applyFill="1" applyBorder="1" applyAlignment="1">
      <alignment horizontal="center" vertical="center"/>
    </xf>
    <xf numFmtId="0" fontId="2" fillId="2" borderId="34" xfId="0" applyFont="1" applyFill="1" applyBorder="1" applyAlignment="1">
      <alignment horizontal="center" vertical="center"/>
    </xf>
    <xf numFmtId="0" fontId="2" fillId="2" borderId="21" xfId="0" applyFont="1" applyFill="1" applyBorder="1" applyAlignment="1">
      <alignment horizontal="center" vertical="center"/>
    </xf>
    <xf numFmtId="164" fontId="2" fillId="3" borderId="17" xfId="0" applyNumberFormat="1" applyFont="1" applyFill="1" applyBorder="1" applyAlignment="1">
      <alignment horizontal="center" vertical="center"/>
    </xf>
    <xf numFmtId="0" fontId="2" fillId="3" borderId="21" xfId="0" applyFont="1" applyFill="1" applyBorder="1" applyAlignment="1">
      <alignment horizontal="center" vertical="center"/>
    </xf>
    <xf numFmtId="0" fontId="2" fillId="3" borderId="34" xfId="0" applyFont="1" applyFill="1" applyBorder="1" applyAlignment="1">
      <alignment horizontal="center" vertical="center"/>
    </xf>
    <xf numFmtId="0" fontId="2" fillId="4" borderId="0" xfId="0" applyFont="1" applyFill="1" applyAlignment="1">
      <alignment horizontal="center" vertical="center"/>
    </xf>
    <xf numFmtId="164" fontId="2" fillId="2" borderId="2" xfId="0" applyNumberFormat="1" applyFont="1" applyFill="1" applyBorder="1" applyAlignment="1">
      <alignment horizontal="center" vertical="center"/>
    </xf>
    <xf numFmtId="0" fontId="2" fillId="3" borderId="2" xfId="0" applyFont="1" applyFill="1" applyBorder="1" applyAlignment="1">
      <alignment horizontal="center" vertical="center"/>
    </xf>
    <xf numFmtId="0" fontId="2" fillId="67" borderId="0" xfId="0" applyFont="1" applyFill="1" applyAlignment="1">
      <alignment horizontal="left" vertical="center" wrapText="1"/>
    </xf>
    <xf numFmtId="164" fontId="2" fillId="3" borderId="18" xfId="0" applyNumberFormat="1" applyFont="1" applyFill="1" applyBorder="1" applyAlignment="1">
      <alignment horizontal="center" vertical="center" wrapText="1"/>
    </xf>
    <xf numFmtId="0" fontId="2" fillId="74" borderId="0" xfId="0" applyFont="1" applyFill="1" applyAlignment="1">
      <alignment horizontal="center" vertical="center"/>
    </xf>
    <xf numFmtId="164" fontId="2" fillId="74" borderId="0" xfId="0" applyNumberFormat="1" applyFont="1" applyFill="1" applyAlignment="1">
      <alignment horizontal="center" vertical="center"/>
    </xf>
    <xf numFmtId="0" fontId="2" fillId="74" borderId="0" xfId="0" applyFont="1" applyFill="1" applyAlignment="1">
      <alignment horizontal="left" vertical="center"/>
    </xf>
    <xf numFmtId="0" fontId="2" fillId="74" borderId="0" xfId="0" applyFont="1" applyFill="1" applyAlignment="1">
      <alignment horizontal="center" vertical="center" wrapText="1"/>
    </xf>
    <xf numFmtId="0" fontId="2" fillId="74" borderId="0" xfId="0" applyFont="1" applyFill="1" applyAlignment="1">
      <alignment horizontal="left" vertical="center" wrapText="1"/>
    </xf>
    <xf numFmtId="164" fontId="2" fillId="0" borderId="0" xfId="0" applyNumberFormat="1" applyFont="1" applyAlignment="1">
      <alignment horizontal="center" vertical="center"/>
    </xf>
    <xf numFmtId="0" fontId="2" fillId="0" borderId="81" xfId="0" applyFont="1" applyBorder="1" applyAlignment="1">
      <alignment horizontal="center" vertical="center"/>
    </xf>
    <xf numFmtId="0" fontId="2" fillId="0" borderId="80" xfId="0" applyFont="1" applyBorder="1" applyAlignment="1">
      <alignment horizontal="center" vertical="center"/>
    </xf>
    <xf numFmtId="164" fontId="2" fillId="0" borderId="80" xfId="0" applyNumberFormat="1" applyFont="1" applyBorder="1" applyAlignment="1">
      <alignment horizontal="center" vertical="center"/>
    </xf>
    <xf numFmtId="164" fontId="2" fillId="0" borderId="81" xfId="0" applyNumberFormat="1" applyFont="1" applyBorder="1" applyAlignment="1">
      <alignment horizontal="center" vertical="center"/>
    </xf>
    <xf numFmtId="0" fontId="2" fillId="0" borderId="81" xfId="0" applyFont="1" applyBorder="1" applyAlignment="1">
      <alignment horizontal="left" vertical="center"/>
    </xf>
    <xf numFmtId="0" fontId="2" fillId="75" borderId="0" xfId="0" applyFont="1" applyFill="1" applyAlignment="1">
      <alignment horizontal="left" vertical="center"/>
    </xf>
    <xf numFmtId="0" fontId="2" fillId="0" borderId="0" xfId="0" applyFont="1" applyAlignment="1">
      <alignment horizontal="left" wrapText="1"/>
    </xf>
    <xf numFmtId="0" fontId="2" fillId="75" borderId="0" xfId="0" applyFont="1" applyFill="1" applyAlignment="1">
      <alignment horizontal="left"/>
    </xf>
    <xf numFmtId="0" fontId="2" fillId="2" borderId="81" xfId="0" applyFont="1" applyFill="1" applyBorder="1" applyAlignment="1">
      <alignment horizontal="center" vertical="center"/>
    </xf>
    <xf numFmtId="0" fontId="2" fillId="2" borderId="0" xfId="0" applyFont="1" applyFill="1" applyAlignment="1">
      <alignment vertical="center"/>
    </xf>
    <xf numFmtId="0" fontId="2" fillId="74" borderId="0" xfId="0" applyFont="1" applyFill="1" applyAlignment="1">
      <alignment horizontal="center"/>
    </xf>
    <xf numFmtId="0" fontId="2" fillId="3" borderId="18" xfId="0" applyFont="1" applyFill="1" applyBorder="1" applyAlignment="1">
      <alignment horizontal="left"/>
    </xf>
    <xf numFmtId="0" fontId="2" fillId="2" borderId="17" xfId="0" applyFont="1" applyFill="1" applyBorder="1" applyAlignment="1">
      <alignment horizontal="left"/>
    </xf>
    <xf numFmtId="164" fontId="2" fillId="3" borderId="18" xfId="0" applyNumberFormat="1" applyFont="1" applyFill="1" applyBorder="1" applyAlignment="1">
      <alignment horizontal="left" vertical="center"/>
    </xf>
    <xf numFmtId="164" fontId="2" fillId="3" borderId="17" xfId="0" applyNumberFormat="1" applyFont="1" applyFill="1" applyBorder="1" applyAlignment="1">
      <alignment horizontal="left" vertical="center"/>
    </xf>
    <xf numFmtId="164" fontId="2" fillId="2" borderId="17" xfId="0" applyNumberFormat="1" applyFont="1" applyFill="1" applyBorder="1" applyAlignment="1">
      <alignment horizontal="left" vertical="center"/>
    </xf>
    <xf numFmtId="164" fontId="2" fillId="2" borderId="17" xfId="0" applyNumberFormat="1" applyFont="1" applyFill="1" applyBorder="1" applyAlignment="1">
      <alignment horizontal="left" vertical="center" wrapText="1"/>
    </xf>
    <xf numFmtId="164" fontId="2" fillId="2" borderId="0" xfId="0" applyNumberFormat="1" applyFont="1" applyFill="1" applyAlignment="1">
      <alignment horizontal="left" vertical="center" wrapText="1"/>
    </xf>
    <xf numFmtId="164" fontId="2" fillId="3" borderId="17" xfId="0" applyNumberFormat="1" applyFont="1" applyFill="1" applyBorder="1" applyAlignment="1">
      <alignment horizontal="left" vertical="center" wrapText="1"/>
    </xf>
    <xf numFmtId="0" fontId="2" fillId="3" borderId="20" xfId="0" applyFont="1" applyFill="1" applyBorder="1" applyAlignment="1">
      <alignment horizontal="left" vertical="center"/>
    </xf>
    <xf numFmtId="164" fontId="2" fillId="3" borderId="0" xfId="0" applyNumberFormat="1" applyFont="1" applyFill="1" applyAlignment="1">
      <alignment horizontal="left" vertical="center" wrapText="1"/>
    </xf>
    <xf numFmtId="43" fontId="2" fillId="3" borderId="0" xfId="79" applyFont="1" applyFill="1" applyAlignment="1">
      <alignment horizontal="left" vertical="center"/>
    </xf>
    <xf numFmtId="164" fontId="2" fillId="2" borderId="18" xfId="0" applyNumberFormat="1" applyFont="1" applyFill="1" applyBorder="1" applyAlignment="1">
      <alignment horizontal="left" vertical="center"/>
    </xf>
    <xf numFmtId="164" fontId="2" fillId="2" borderId="18" xfId="0" applyNumberFormat="1" applyFont="1" applyFill="1" applyBorder="1" applyAlignment="1">
      <alignment horizontal="left" vertical="center" wrapText="1"/>
    </xf>
    <xf numFmtId="0" fontId="2" fillId="3" borderId="0" xfId="0" applyFont="1" applyFill="1" applyAlignment="1">
      <alignment horizontal="left" wrapText="1"/>
    </xf>
    <xf numFmtId="0" fontId="2" fillId="2" borderId="0" xfId="0" applyFont="1" applyFill="1" applyAlignment="1">
      <alignment horizontal="left"/>
    </xf>
    <xf numFmtId="0" fontId="2" fillId="2" borderId="0" xfId="0" applyFont="1" applyFill="1" applyAlignment="1">
      <alignment horizontal="left" wrapText="1"/>
    </xf>
    <xf numFmtId="164" fontId="2" fillId="3" borderId="0" xfId="0" applyNumberFormat="1" applyFont="1" applyFill="1" applyAlignment="1">
      <alignment horizontal="left"/>
    </xf>
    <xf numFmtId="164" fontId="2" fillId="3" borderId="81" xfId="0" applyNumberFormat="1" applyFont="1" applyFill="1" applyBorder="1" applyAlignment="1">
      <alignment horizontal="left" vertical="center"/>
    </xf>
    <xf numFmtId="0" fontId="2" fillId="3" borderId="81" xfId="0" applyFont="1" applyFill="1" applyBorder="1" applyAlignment="1">
      <alignment horizontal="left" vertical="center"/>
    </xf>
    <xf numFmtId="4" fontId="2" fillId="3" borderId="0" xfId="0" applyNumberFormat="1" applyFont="1" applyFill="1" applyAlignment="1">
      <alignment horizontal="left" vertical="center" wrapText="1"/>
    </xf>
    <xf numFmtId="0" fontId="2" fillId="3" borderId="0" xfId="0" quotePrefix="1" applyFont="1" applyFill="1" applyAlignment="1">
      <alignment horizontal="left" vertical="center"/>
    </xf>
    <xf numFmtId="164" fontId="2" fillId="4" borderId="0" xfId="0" applyNumberFormat="1" applyFont="1" applyFill="1" applyAlignment="1">
      <alignment horizontal="left"/>
    </xf>
    <xf numFmtId="0" fontId="2" fillId="3" borderId="81" xfId="0" applyFont="1" applyFill="1" applyBorder="1" applyAlignment="1">
      <alignment horizontal="left" vertical="center" wrapText="1"/>
    </xf>
    <xf numFmtId="4" fontId="2" fillId="3" borderId="81" xfId="0" applyNumberFormat="1" applyFont="1" applyFill="1" applyBorder="1" applyAlignment="1">
      <alignment horizontal="left" vertical="center" wrapText="1"/>
    </xf>
    <xf numFmtId="0" fontId="2" fillId="0" borderId="18" xfId="0" applyFont="1" applyBorder="1" applyAlignment="1">
      <alignment horizontal="left" vertical="center"/>
    </xf>
    <xf numFmtId="0" fontId="2" fillId="2" borderId="81" xfId="0" applyFont="1" applyFill="1" applyBorder="1" applyAlignment="1">
      <alignment horizontal="center"/>
    </xf>
    <xf numFmtId="20" fontId="2" fillId="3" borderId="0" xfId="0" applyNumberFormat="1" applyFont="1" applyFill="1" applyAlignment="1">
      <alignment horizontal="left" vertical="center" wrapText="1"/>
    </xf>
    <xf numFmtId="164" fontId="2" fillId="0" borderId="0" xfId="0" applyNumberFormat="1" applyFont="1" applyAlignment="1">
      <alignment horizontal="left" vertical="center" wrapText="1"/>
    </xf>
    <xf numFmtId="0" fontId="2" fillId="2" borderId="17" xfId="0" applyFont="1" applyFill="1" applyBorder="1" applyAlignment="1">
      <alignment horizontal="center"/>
    </xf>
    <xf numFmtId="0" fontId="2" fillId="6" borderId="0" xfId="0" applyFont="1" applyFill="1" applyAlignment="1">
      <alignment horizontal="left" vertical="center"/>
    </xf>
    <xf numFmtId="164" fontId="2" fillId="0" borderId="0" xfId="0" applyNumberFormat="1" applyFont="1" applyAlignment="1">
      <alignment horizontal="left" vertical="center"/>
    </xf>
    <xf numFmtId="164" fontId="2" fillId="4" borderId="0" xfId="0" applyNumberFormat="1" applyFont="1" applyFill="1" applyAlignment="1">
      <alignment horizontal="left" vertical="center"/>
    </xf>
    <xf numFmtId="0" fontId="2" fillId="0" borderId="17" xfId="0" applyFont="1" applyBorder="1" applyAlignment="1">
      <alignment horizontal="left" vertical="center"/>
    </xf>
    <xf numFmtId="43" fontId="2" fillId="0" borderId="0" xfId="79" applyFont="1" applyAlignment="1">
      <alignment horizontal="left" vertical="center" wrapText="1"/>
    </xf>
    <xf numFmtId="0" fontId="2" fillId="78" borderId="0" xfId="0" applyFont="1" applyFill="1" applyAlignment="1">
      <alignment horizontal="left" vertical="center"/>
    </xf>
    <xf numFmtId="0" fontId="2" fillId="76" borderId="0" xfId="0" applyFont="1" applyFill="1" applyAlignment="1">
      <alignment horizontal="left" vertical="center"/>
    </xf>
    <xf numFmtId="0" fontId="2" fillId="2" borderId="19" xfId="0" applyFont="1" applyFill="1" applyBorder="1" applyAlignment="1">
      <alignment horizontal="center"/>
    </xf>
    <xf numFmtId="0" fontId="2" fillId="3" borderId="81" xfId="0" applyFont="1" applyFill="1" applyBorder="1" applyAlignment="1">
      <alignment horizontal="center" vertical="center" wrapText="1"/>
    </xf>
    <xf numFmtId="170" fontId="2" fillId="3" borderId="80" xfId="0" applyNumberFormat="1" applyFont="1" applyFill="1" applyBorder="1" applyAlignment="1">
      <alignment horizontal="left" vertical="center" wrapText="1"/>
    </xf>
    <xf numFmtId="164" fontId="2" fillId="3" borderId="81" xfId="0" applyNumberFormat="1" applyFont="1" applyFill="1" applyBorder="1" applyAlignment="1">
      <alignment horizontal="left" vertical="center" wrapText="1"/>
    </xf>
    <xf numFmtId="0" fontId="2" fillId="3" borderId="3" xfId="0" applyFont="1" applyFill="1" applyBorder="1" applyAlignment="1">
      <alignment horizontal="left"/>
    </xf>
    <xf numFmtId="0" fontId="2" fillId="3" borderId="3" xfId="0" applyFont="1" applyFill="1" applyBorder="1" applyAlignment="1">
      <alignment horizontal="left" vertical="center" wrapText="1"/>
    </xf>
    <xf numFmtId="0" fontId="2" fillId="3" borderId="4" xfId="0" applyFont="1" applyFill="1" applyBorder="1" applyAlignment="1">
      <alignment horizontal="left" vertical="center" wrapText="1"/>
    </xf>
    <xf numFmtId="0" fontId="2" fillId="3" borderId="82" xfId="0" applyFont="1" applyFill="1" applyBorder="1" applyAlignment="1">
      <alignment vertical="center" wrapText="1"/>
    </xf>
    <xf numFmtId="164" fontId="2" fillId="3" borderId="4" xfId="0" applyNumberFormat="1" applyFont="1" applyFill="1" applyBorder="1" applyAlignment="1">
      <alignment vertical="center" wrapText="1"/>
    </xf>
    <xf numFmtId="0" fontId="2" fillId="3" borderId="33" xfId="0" applyFont="1" applyFill="1" applyBorder="1" applyAlignment="1">
      <alignment vertical="center" wrapText="1"/>
    </xf>
    <xf numFmtId="8" fontId="2" fillId="3" borderId="33" xfId="0" applyNumberFormat="1" applyFont="1" applyFill="1" applyBorder="1" applyAlignment="1">
      <alignment vertical="center" wrapText="1"/>
    </xf>
    <xf numFmtId="0" fontId="2" fillId="0" borderId="18" xfId="0" applyFont="1" applyBorder="1"/>
    <xf numFmtId="164" fontId="2" fillId="3" borderId="17" xfId="0" quotePrefix="1" applyNumberFormat="1" applyFont="1" applyFill="1" applyBorder="1" applyAlignment="1">
      <alignment horizontal="left" vertical="center" wrapText="1"/>
    </xf>
    <xf numFmtId="0" fontId="2" fillId="3" borderId="33" xfId="0" applyFont="1" applyFill="1" applyBorder="1" applyAlignment="1">
      <alignment horizontal="left" vertical="center" wrapText="1"/>
    </xf>
    <xf numFmtId="0" fontId="2" fillId="3" borderId="82" xfId="0" applyFont="1" applyFill="1" applyBorder="1" applyAlignment="1">
      <alignment horizontal="left" vertical="center" wrapText="1"/>
    </xf>
    <xf numFmtId="0" fontId="2" fillId="2" borderId="33" xfId="0" applyFont="1" applyFill="1" applyBorder="1" applyAlignment="1">
      <alignment horizontal="left" vertical="center" wrapText="1"/>
    </xf>
    <xf numFmtId="0" fontId="2" fillId="2" borderId="82" xfId="0" applyFont="1" applyFill="1" applyBorder="1" applyAlignment="1">
      <alignment horizontal="left" vertical="center" wrapText="1"/>
    </xf>
    <xf numFmtId="0" fontId="2" fillId="3" borderId="81" xfId="0" applyFont="1" applyFill="1" applyBorder="1"/>
    <xf numFmtId="0" fontId="2" fillId="3" borderId="4" xfId="0" applyFont="1" applyFill="1" applyBorder="1" applyAlignment="1">
      <alignment horizontal="left"/>
    </xf>
    <xf numFmtId="0" fontId="2" fillId="4" borderId="81" xfId="0" applyFont="1" applyFill="1" applyBorder="1" applyAlignment="1">
      <alignment horizontal="left" vertical="center" wrapText="1"/>
    </xf>
    <xf numFmtId="0" fontId="2" fillId="0" borderId="81" xfId="0" applyFont="1" applyBorder="1" applyAlignment="1">
      <alignment horizontal="left" vertical="center" wrapText="1"/>
    </xf>
    <xf numFmtId="0" fontId="2" fillId="3" borderId="4" xfId="0" applyFont="1" applyFill="1" applyBorder="1" applyAlignment="1">
      <alignment vertical="center"/>
    </xf>
    <xf numFmtId="16" fontId="2" fillId="2" borderId="4" xfId="0" applyNumberFormat="1" applyFont="1" applyFill="1" applyBorder="1" applyAlignment="1">
      <alignment horizontal="center" vertical="center"/>
    </xf>
    <xf numFmtId="8" fontId="2" fillId="3" borderId="33" xfId="0" applyNumberFormat="1" applyFont="1" applyFill="1" applyBorder="1" applyAlignment="1">
      <alignment horizontal="left" vertical="center" wrapText="1"/>
    </xf>
    <xf numFmtId="8" fontId="2" fillId="3" borderId="82" xfId="0" applyNumberFormat="1" applyFont="1" applyFill="1" applyBorder="1" applyAlignment="1">
      <alignment horizontal="left" vertical="center" wrapText="1"/>
    </xf>
    <xf numFmtId="0" fontId="2" fillId="2" borderId="4" xfId="0" applyFont="1" applyFill="1" applyBorder="1" applyAlignment="1">
      <alignment horizontal="left" vertical="center" wrapText="1"/>
    </xf>
    <xf numFmtId="0" fontId="2" fillId="3" borderId="82" xfId="0" applyFont="1" applyFill="1" applyBorder="1" applyAlignment="1">
      <alignment wrapText="1"/>
    </xf>
    <xf numFmtId="4" fontId="2" fillId="3" borderId="82" xfId="0" applyNumberFormat="1" applyFont="1" applyFill="1" applyBorder="1" applyAlignment="1">
      <alignment horizontal="left" vertical="center" wrapText="1"/>
    </xf>
    <xf numFmtId="164" fontId="2" fillId="3" borderId="17" xfId="0" applyNumberFormat="1" applyFont="1" applyFill="1" applyBorder="1" applyAlignment="1">
      <alignment vertical="center" wrapText="1"/>
    </xf>
    <xf numFmtId="0" fontId="2" fillId="3" borderId="20" xfId="0" applyFont="1" applyFill="1" applyBorder="1" applyAlignment="1">
      <alignment horizontal="left" vertical="center" wrapText="1"/>
    </xf>
    <xf numFmtId="164" fontId="2" fillId="3" borderId="20" xfId="0" applyNumberFormat="1" applyFont="1" applyFill="1" applyBorder="1" applyAlignment="1">
      <alignment vertical="center" wrapText="1"/>
    </xf>
    <xf numFmtId="0" fontId="2" fillId="3" borderId="3" xfId="0" applyFont="1" applyFill="1" applyBorder="1" applyAlignment="1">
      <alignment horizontal="left" vertical="center"/>
    </xf>
    <xf numFmtId="0" fontId="2" fillId="74" borderId="17" xfId="0" applyFont="1" applyFill="1" applyBorder="1" applyAlignment="1">
      <alignment horizontal="left" vertical="center" wrapText="1"/>
    </xf>
    <xf numFmtId="164" fontId="2" fillId="74" borderId="17" xfId="0" applyNumberFormat="1" applyFont="1" applyFill="1" applyBorder="1" applyAlignment="1">
      <alignment horizontal="left" vertical="center" wrapText="1"/>
    </xf>
    <xf numFmtId="0" fontId="2" fillId="74" borderId="17" xfId="0" applyFont="1" applyFill="1" applyBorder="1" applyAlignment="1">
      <alignment vertical="center" wrapText="1"/>
    </xf>
    <xf numFmtId="0" fontId="2" fillId="74" borderId="18" xfId="0" applyFont="1" applyFill="1" applyBorder="1" applyAlignment="1">
      <alignment horizontal="left" vertical="center" wrapText="1"/>
    </xf>
    <xf numFmtId="0" fontId="2" fillId="2" borderId="17" xfId="0" applyFont="1" applyFill="1" applyBorder="1" applyAlignment="1">
      <alignment vertical="top"/>
    </xf>
    <xf numFmtId="0" fontId="2" fillId="4" borderId="17" xfId="0" applyFont="1" applyFill="1" applyBorder="1" applyAlignment="1">
      <alignment horizontal="left" vertical="center"/>
    </xf>
    <xf numFmtId="0" fontId="2" fillId="0" borderId="17" xfId="0" applyFont="1" applyBorder="1" applyAlignment="1">
      <alignment horizontal="left" vertical="center" wrapText="1"/>
    </xf>
    <xf numFmtId="0" fontId="2" fillId="3" borderId="81" xfId="0" applyFont="1" applyFill="1" applyBorder="1" applyAlignment="1">
      <alignment wrapText="1"/>
    </xf>
    <xf numFmtId="0" fontId="2" fillId="3" borderId="3" xfId="0" applyFont="1" applyFill="1" applyBorder="1" applyAlignment="1">
      <alignment horizontal="center" vertical="center"/>
    </xf>
    <xf numFmtId="0" fontId="2" fillId="3" borderId="3" xfId="0" applyFont="1" applyFill="1" applyBorder="1"/>
    <xf numFmtId="0" fontId="2" fillId="2" borderId="81" xfId="0" applyFont="1" applyFill="1" applyBorder="1" applyAlignment="1">
      <alignment horizontal="left" vertical="top" wrapText="1"/>
    </xf>
    <xf numFmtId="164" fontId="2" fillId="3" borderId="4" xfId="0" applyNumberFormat="1" applyFont="1" applyFill="1" applyBorder="1" applyAlignment="1">
      <alignment horizontal="left" vertical="center" wrapText="1"/>
    </xf>
    <xf numFmtId="0" fontId="2" fillId="74" borderId="17" xfId="0" applyFont="1" applyFill="1" applyBorder="1" applyAlignment="1">
      <alignment horizontal="left"/>
    </xf>
    <xf numFmtId="49" fontId="2" fillId="3" borderId="0" xfId="0" applyNumberFormat="1" applyFont="1" applyFill="1" applyAlignment="1">
      <alignment horizontal="center" vertical="center"/>
    </xf>
    <xf numFmtId="0" fontId="2" fillId="3" borderId="81" xfId="0" applyFont="1" applyFill="1" applyBorder="1" applyAlignment="1">
      <alignment horizontal="left" vertical="top" wrapText="1"/>
    </xf>
    <xf numFmtId="0" fontId="2" fillId="3" borderId="81" xfId="0" applyFont="1" applyFill="1" applyBorder="1" applyAlignment="1">
      <alignment vertical="center"/>
    </xf>
    <xf numFmtId="49" fontId="2" fillId="3" borderId="81" xfId="0" applyNumberFormat="1" applyFont="1" applyFill="1" applyBorder="1" applyAlignment="1">
      <alignment horizontal="center" vertical="center"/>
    </xf>
    <xf numFmtId="49" fontId="2" fillId="3" borderId="17" xfId="0" applyNumberFormat="1" applyFont="1" applyFill="1" applyBorder="1" applyAlignment="1">
      <alignment horizontal="left" vertical="center"/>
    </xf>
    <xf numFmtId="4" fontId="2" fillId="3" borderId="17" xfId="0" applyNumberFormat="1" applyFont="1" applyFill="1" applyBorder="1" applyAlignment="1">
      <alignment horizontal="left" vertical="center" wrapText="1"/>
    </xf>
    <xf numFmtId="49" fontId="2" fillId="3" borderId="4" xfId="0" applyNumberFormat="1" applyFont="1" applyFill="1" applyBorder="1" applyAlignment="1">
      <alignment horizontal="left" vertical="center"/>
    </xf>
    <xf numFmtId="0" fontId="2" fillId="3" borderId="4" xfId="0" applyFont="1" applyFill="1" applyBorder="1" applyAlignment="1">
      <alignment wrapText="1"/>
    </xf>
    <xf numFmtId="49" fontId="2" fillId="3" borderId="17" xfId="0" applyNumberFormat="1" applyFont="1" applyFill="1" applyBorder="1" applyAlignment="1">
      <alignment horizontal="center" vertical="center"/>
    </xf>
    <xf numFmtId="0" fontId="2" fillId="2" borderId="81" xfId="0" applyFont="1" applyFill="1" applyBorder="1" applyAlignment="1">
      <alignment horizontal="center" vertical="center" wrapText="1"/>
    </xf>
    <xf numFmtId="0" fontId="2" fillId="3" borderId="80" xfId="0" applyFont="1" applyFill="1" applyBorder="1"/>
    <xf numFmtId="0" fontId="2" fillId="3" borderId="3" xfId="0" applyFont="1" applyFill="1" applyBorder="1" applyAlignment="1">
      <alignment horizontal="left" vertical="top" wrapText="1"/>
    </xf>
    <xf numFmtId="0" fontId="2" fillId="3" borderId="19" xfId="0" applyFont="1" applyFill="1" applyBorder="1" applyAlignment="1">
      <alignment horizontal="center" vertical="center"/>
    </xf>
    <xf numFmtId="0" fontId="2" fillId="3" borderId="20" xfId="0" applyFont="1" applyFill="1" applyBorder="1" applyAlignment="1">
      <alignment horizontal="center" vertical="center"/>
    </xf>
    <xf numFmtId="0" fontId="2" fillId="3" borderId="80" xfId="0" applyFont="1" applyFill="1" applyBorder="1" applyAlignment="1">
      <alignment horizontal="left" vertical="center"/>
    </xf>
    <xf numFmtId="49" fontId="2" fillId="3" borderId="81" xfId="0" quotePrefix="1" applyNumberFormat="1" applyFont="1" applyFill="1" applyBorder="1" applyAlignment="1">
      <alignment horizontal="left" vertical="center"/>
    </xf>
    <xf numFmtId="0" fontId="2" fillId="3" borderId="81" xfId="0" applyFont="1" applyFill="1" applyBorder="1" applyAlignment="1">
      <alignment vertical="center" wrapText="1"/>
    </xf>
    <xf numFmtId="0" fontId="2" fillId="0" borderId="81" xfId="0" applyFont="1" applyBorder="1" applyAlignment="1">
      <alignment horizontal="center" vertical="center" wrapText="1"/>
    </xf>
    <xf numFmtId="0" fontId="2" fillId="0" borderId="81" xfId="0" applyFont="1" applyBorder="1" applyAlignment="1">
      <alignment vertical="center" wrapText="1"/>
    </xf>
    <xf numFmtId="0" fontId="2" fillId="2" borderId="81" xfId="0" applyFont="1" applyFill="1" applyBorder="1" applyAlignment="1">
      <alignment vertical="center" wrapText="1"/>
    </xf>
    <xf numFmtId="0" fontId="2" fillId="3" borderId="80" xfId="0" applyFont="1" applyFill="1" applyBorder="1" applyAlignment="1">
      <alignment horizontal="center" vertical="top"/>
    </xf>
    <xf numFmtId="0" fontId="2" fillId="3" borderId="17" xfId="0" applyFont="1" applyFill="1" applyBorder="1" applyAlignment="1">
      <alignment horizontal="left" wrapText="1"/>
    </xf>
    <xf numFmtId="0" fontId="2" fillId="3" borderId="81" xfId="0" applyFont="1" applyFill="1" applyBorder="1" applyAlignment="1">
      <alignment horizontal="left" wrapText="1"/>
    </xf>
    <xf numFmtId="0" fontId="2" fillId="0" borderId="81" xfId="0" applyFont="1" applyBorder="1" applyAlignment="1">
      <alignment horizontal="left" wrapText="1"/>
    </xf>
    <xf numFmtId="0" fontId="2" fillId="3" borderId="27" xfId="0" applyFont="1" applyFill="1" applyBorder="1" applyAlignment="1">
      <alignment horizontal="left" vertical="center" wrapText="1"/>
    </xf>
    <xf numFmtId="0" fontId="2" fillId="3" borderId="80" xfId="0" applyFont="1" applyFill="1" applyBorder="1" applyAlignment="1">
      <alignment horizontal="left" vertical="top"/>
    </xf>
    <xf numFmtId="0" fontId="2" fillId="2" borderId="81" xfId="0" applyFont="1" applyFill="1" applyBorder="1" applyAlignment="1">
      <alignment horizontal="left" vertical="center"/>
    </xf>
    <xf numFmtId="0" fontId="2" fillId="2" borderId="80" xfId="0" applyFont="1" applyFill="1" applyBorder="1" applyAlignment="1">
      <alignment horizontal="left" vertical="top"/>
    </xf>
    <xf numFmtId="0" fontId="2" fillId="2" borderId="81" xfId="0" applyFont="1" applyFill="1" applyBorder="1" applyAlignment="1">
      <alignment horizontal="right" vertical="center"/>
    </xf>
    <xf numFmtId="0" fontId="2" fillId="2" borderId="81" xfId="0" applyFont="1" applyFill="1" applyBorder="1" applyAlignment="1">
      <alignment horizontal="left" wrapText="1"/>
    </xf>
    <xf numFmtId="0" fontId="2" fillId="2" borderId="0" xfId="0" applyFont="1" applyFill="1" applyAlignment="1">
      <alignment horizontal="right" vertical="center"/>
    </xf>
    <xf numFmtId="0" fontId="2" fillId="2" borderId="0" xfId="0" applyFont="1" applyFill="1" applyAlignment="1">
      <alignment horizontal="right"/>
    </xf>
    <xf numFmtId="0" fontId="2" fillId="3" borderId="0" xfId="0" applyFont="1" applyFill="1" applyAlignment="1">
      <alignment horizontal="right" vertical="center"/>
    </xf>
    <xf numFmtId="0" fontId="2" fillId="3" borderId="81" xfId="0" applyFont="1" applyFill="1" applyBorder="1" applyAlignment="1">
      <alignment horizontal="right" vertical="center"/>
    </xf>
    <xf numFmtId="0" fontId="2" fillId="3" borderId="27" xfId="0" applyFont="1" applyFill="1" applyBorder="1" applyAlignment="1">
      <alignment horizontal="left" vertical="center"/>
    </xf>
    <xf numFmtId="8" fontId="2" fillId="3" borderId="0" xfId="0" applyNumberFormat="1" applyFont="1" applyFill="1" applyAlignment="1">
      <alignment horizontal="left" vertical="center" wrapText="1"/>
    </xf>
    <xf numFmtId="0" fontId="2" fillId="74" borderId="0" xfId="0" applyFont="1" applyFill="1" applyAlignment="1">
      <alignment horizontal="right" vertical="center"/>
    </xf>
    <xf numFmtId="16" fontId="2" fillId="74" borderId="0" xfId="0" applyNumberFormat="1" applyFont="1" applyFill="1" applyAlignment="1">
      <alignment horizontal="left" vertical="center"/>
    </xf>
    <xf numFmtId="164" fontId="2" fillId="74" borderId="0" xfId="0" applyNumberFormat="1" applyFont="1" applyFill="1" applyAlignment="1">
      <alignment horizontal="left" vertical="center"/>
    </xf>
    <xf numFmtId="10" fontId="2" fillId="74" borderId="0" xfId="77" applyNumberFormat="1" applyFont="1" applyFill="1" applyBorder="1" applyAlignment="1">
      <alignment horizontal="left" vertical="center"/>
    </xf>
    <xf numFmtId="0" fontId="2" fillId="67" borderId="0" xfId="0" applyFont="1" applyFill="1" applyAlignment="1">
      <alignment wrapText="1"/>
    </xf>
    <xf numFmtId="0" fontId="2" fillId="67" borderId="0" xfId="0" applyFont="1" applyFill="1" applyAlignment="1">
      <alignment horizontal="right" vertical="center"/>
    </xf>
    <xf numFmtId="0" fontId="2" fillId="0" borderId="0" xfId="0" applyFont="1" applyAlignment="1">
      <alignment horizontal="right" vertical="center"/>
    </xf>
    <xf numFmtId="0" fontId="2" fillId="67" borderId="17" xfId="0" applyFont="1" applyFill="1" applyBorder="1" applyAlignment="1">
      <alignment horizontal="left" vertical="center" wrapText="1"/>
    </xf>
    <xf numFmtId="43" fontId="2" fillId="3" borderId="17" xfId="79" applyFont="1" applyFill="1" applyBorder="1" applyAlignment="1">
      <alignment horizontal="left" vertical="center" wrapText="1"/>
    </xf>
    <xf numFmtId="16" fontId="2" fillId="2" borderId="17" xfId="0" applyNumberFormat="1" applyFont="1" applyFill="1" applyBorder="1" applyAlignment="1">
      <alignment horizontal="left" vertical="center"/>
    </xf>
    <xf numFmtId="16" fontId="2" fillId="2" borderId="18" xfId="0" applyNumberFormat="1" applyFont="1" applyFill="1" applyBorder="1" applyAlignment="1">
      <alignment horizontal="left" vertical="center"/>
    </xf>
    <xf numFmtId="0" fontId="2" fillId="3" borderId="23" xfId="0" applyFont="1" applyFill="1" applyBorder="1" applyAlignment="1">
      <alignment horizontal="left" vertical="center"/>
    </xf>
    <xf numFmtId="0" fontId="2" fillId="3" borderId="19" xfId="0" applyFont="1" applyFill="1" applyBorder="1" applyAlignment="1">
      <alignment horizontal="left" vertical="center" wrapText="1"/>
    </xf>
    <xf numFmtId="0" fontId="2" fillId="3" borderId="24" xfId="0" applyFont="1" applyFill="1" applyBorder="1" applyAlignment="1">
      <alignment horizontal="left" vertical="center"/>
    </xf>
    <xf numFmtId="164" fontId="2" fillId="3" borderId="28" xfId="0" applyNumberFormat="1" applyFont="1" applyFill="1" applyBorder="1" applyAlignment="1">
      <alignment horizontal="left" vertical="center"/>
    </xf>
    <xf numFmtId="0" fontId="2" fillId="3" borderId="19" xfId="0" applyFont="1" applyFill="1" applyBorder="1" applyAlignment="1">
      <alignment horizontal="left" vertical="center"/>
    </xf>
    <xf numFmtId="164" fontId="2" fillId="3" borderId="19" xfId="0" applyNumberFormat="1" applyFont="1" applyFill="1" applyBorder="1" applyAlignment="1">
      <alignment horizontal="left" vertical="center"/>
    </xf>
    <xf numFmtId="0" fontId="2" fillId="2" borderId="20" xfId="0" applyFont="1" applyFill="1" applyBorder="1" applyAlignment="1">
      <alignment horizontal="left" vertical="center" wrapText="1"/>
    </xf>
    <xf numFmtId="0" fontId="2" fillId="2" borderId="20" xfId="0" applyFont="1" applyFill="1" applyBorder="1" applyAlignment="1">
      <alignment horizontal="left" vertical="center"/>
    </xf>
    <xf numFmtId="164" fontId="2" fillId="2" borderId="18" xfId="0" applyNumberFormat="1" applyFont="1" applyFill="1" applyBorder="1" applyAlignment="1">
      <alignment horizontal="left"/>
    </xf>
    <xf numFmtId="0" fontId="2" fillId="2" borderId="19" xfId="0" applyFont="1" applyFill="1" applyBorder="1" applyAlignment="1">
      <alignment horizontal="left"/>
    </xf>
    <xf numFmtId="0" fontId="2" fillId="3" borderId="26" xfId="0" applyFont="1" applyFill="1" applyBorder="1" applyAlignment="1">
      <alignment horizontal="left" vertical="center" wrapText="1"/>
    </xf>
    <xf numFmtId="49" fontId="2" fillId="3" borderId="18" xfId="0" applyNumberFormat="1" applyFont="1" applyFill="1" applyBorder="1" applyAlignment="1">
      <alignment horizontal="left" vertical="center"/>
    </xf>
    <xf numFmtId="164" fontId="2" fillId="3" borderId="18" xfId="0" quotePrefix="1" applyNumberFormat="1" applyFont="1" applyFill="1" applyBorder="1" applyAlignment="1">
      <alignment horizontal="left" vertical="center"/>
    </xf>
    <xf numFmtId="164" fontId="2" fillId="3" borderId="27" xfId="0" applyNumberFormat="1" applyFont="1" applyFill="1" applyBorder="1" applyAlignment="1">
      <alignment horizontal="left" vertical="center"/>
    </xf>
    <xf numFmtId="0" fontId="2" fillId="3" borderId="24" xfId="0" applyFont="1" applyFill="1" applyBorder="1" applyAlignment="1">
      <alignment horizontal="left" vertical="center" wrapText="1"/>
    </xf>
    <xf numFmtId="16" fontId="2" fillId="3" borderId="22" xfId="0" applyNumberFormat="1" applyFont="1" applyFill="1" applyBorder="1" applyAlignment="1">
      <alignment horizontal="left" vertical="center"/>
    </xf>
    <xf numFmtId="0" fontId="2" fillId="4" borderId="17" xfId="0" applyFont="1" applyFill="1" applyBorder="1" applyAlignment="1">
      <alignment horizontal="left" vertical="center" wrapText="1"/>
    </xf>
    <xf numFmtId="0" fontId="2" fillId="4" borderId="21" xfId="0" applyFont="1" applyFill="1" applyBorder="1" applyAlignment="1">
      <alignment horizontal="left" vertical="center" wrapText="1"/>
    </xf>
    <xf numFmtId="0" fontId="2" fillId="0" borderId="20" xfId="0" applyFont="1" applyBorder="1" applyAlignment="1">
      <alignment horizontal="left" vertical="center"/>
    </xf>
    <xf numFmtId="164" fontId="2" fillId="2" borderId="0" xfId="0" applyNumberFormat="1" applyFont="1" applyFill="1" applyAlignment="1">
      <alignment horizontal="center"/>
    </xf>
    <xf numFmtId="0" fontId="2" fillId="67" borderId="81" xfId="0" applyFont="1" applyFill="1" applyBorder="1" applyAlignment="1">
      <alignment horizontal="left" vertical="center" wrapText="1"/>
    </xf>
    <xf numFmtId="0" fontId="2" fillId="2" borderId="80" xfId="0" applyFont="1" applyFill="1" applyBorder="1" applyAlignment="1">
      <alignment vertical="center"/>
    </xf>
    <xf numFmtId="0" fontId="2" fillId="4" borderId="81" xfId="0" applyFont="1" applyFill="1" applyBorder="1" applyAlignment="1">
      <alignment horizontal="center"/>
    </xf>
    <xf numFmtId="0" fontId="2" fillId="4" borderId="81" xfId="0" applyFont="1" applyFill="1" applyBorder="1" applyAlignment="1">
      <alignment horizontal="center" vertical="center"/>
    </xf>
    <xf numFmtId="0" fontId="2" fillId="0" borderId="81" xfId="0" applyFont="1" applyBorder="1" applyAlignment="1">
      <alignment horizontal="center"/>
    </xf>
    <xf numFmtId="0" fontId="2" fillId="0" borderId="81" xfId="0" applyFont="1" applyBorder="1" applyAlignment="1">
      <alignment vertical="center"/>
    </xf>
    <xf numFmtId="164" fontId="2" fillId="3" borderId="81" xfId="0" applyNumberFormat="1" applyFont="1" applyFill="1" applyBorder="1" applyAlignment="1">
      <alignment vertical="center"/>
    </xf>
    <xf numFmtId="164" fontId="2" fillId="3" borderId="81" xfId="0" applyNumberFormat="1" applyFont="1" applyFill="1" applyBorder="1" applyAlignment="1">
      <alignment vertical="center" wrapText="1"/>
    </xf>
    <xf numFmtId="0" fontId="2" fillId="67" borderId="81" xfId="0" applyFont="1" applyFill="1" applyBorder="1" applyAlignment="1">
      <alignment vertical="center" wrapText="1"/>
    </xf>
    <xf numFmtId="20" fontId="2" fillId="3" borderId="81" xfId="0" applyNumberFormat="1" applyFont="1" applyFill="1" applyBorder="1" applyAlignment="1">
      <alignment vertical="center" wrapText="1"/>
    </xf>
    <xf numFmtId="0" fontId="2" fillId="105" borderId="81" xfId="0" applyFont="1" applyFill="1" applyBorder="1" applyAlignment="1">
      <alignment horizontal="center" vertical="center"/>
    </xf>
    <xf numFmtId="164" fontId="2" fillId="0" borderId="81" xfId="0" applyNumberFormat="1" applyFont="1" applyBorder="1" applyAlignment="1">
      <alignment horizontal="center"/>
    </xf>
    <xf numFmtId="0" fontId="2" fillId="77" borderId="81" xfId="0" applyFont="1" applyFill="1" applyBorder="1" applyAlignment="1">
      <alignment horizontal="center" vertical="center"/>
    </xf>
    <xf numFmtId="0" fontId="2" fillId="3" borderId="80" xfId="0" applyFont="1" applyFill="1" applyBorder="1" applyAlignment="1">
      <alignment vertical="center"/>
    </xf>
    <xf numFmtId="0" fontId="2" fillId="0" borderId="80" xfId="0" applyFont="1" applyBorder="1" applyAlignment="1">
      <alignment vertical="center"/>
    </xf>
    <xf numFmtId="164" fontId="2" fillId="0" borderId="81" xfId="0" applyNumberFormat="1" applyFont="1" applyBorder="1" applyAlignment="1">
      <alignment vertical="center"/>
    </xf>
    <xf numFmtId="16" fontId="2" fillId="2" borderId="81" xfId="0" applyNumberFormat="1" applyFont="1" applyFill="1" applyBorder="1" applyAlignment="1">
      <alignment horizontal="center"/>
    </xf>
    <xf numFmtId="0" fontId="2" fillId="4" borderId="0" xfId="0" applyFont="1" applyFill="1" applyAlignment="1">
      <alignment horizontal="center"/>
    </xf>
    <xf numFmtId="0" fontId="2" fillId="0" borderId="81" xfId="0" applyFont="1" applyBorder="1" applyAlignment="1">
      <alignment horizontal="left"/>
    </xf>
    <xf numFmtId="0" fontId="2" fillId="3" borderId="81" xfId="0" quotePrefix="1" applyFont="1" applyFill="1" applyBorder="1" applyAlignment="1">
      <alignment horizontal="left" vertical="center"/>
    </xf>
    <xf numFmtId="0" fontId="2" fillId="3" borderId="46" xfId="0" applyFont="1" applyFill="1" applyBorder="1" applyAlignment="1">
      <alignment horizontal="left" vertical="center"/>
    </xf>
    <xf numFmtId="0" fontId="2" fillId="3" borderId="46" xfId="0" applyFont="1" applyFill="1" applyBorder="1" applyAlignment="1">
      <alignment horizontal="left" vertical="center" wrapText="1"/>
    </xf>
    <xf numFmtId="16" fontId="2" fillId="2" borderId="3" xfId="0" applyNumberFormat="1" applyFont="1" applyFill="1" applyBorder="1" applyAlignment="1">
      <alignment horizontal="left"/>
    </xf>
    <xf numFmtId="164" fontId="2" fillId="3" borderId="46" xfId="0" applyNumberFormat="1" applyFont="1" applyFill="1" applyBorder="1" applyAlignment="1">
      <alignment horizontal="left" vertical="center"/>
    </xf>
    <xf numFmtId="0" fontId="2" fillId="3" borderId="46" xfId="0" applyFont="1" applyFill="1" applyBorder="1" applyAlignment="1">
      <alignment wrapText="1"/>
    </xf>
    <xf numFmtId="0" fontId="2" fillId="3" borderId="46" xfId="0" applyFont="1" applyFill="1" applyBorder="1" applyAlignment="1">
      <alignment horizontal="left"/>
    </xf>
    <xf numFmtId="0" fontId="2" fillId="67" borderId="0" xfId="0" applyFont="1" applyFill="1" applyAlignment="1">
      <alignment vertical="center" wrapText="1"/>
    </xf>
    <xf numFmtId="0" fontId="2" fillId="0" borderId="46" xfId="0" applyFont="1" applyBorder="1" applyAlignment="1">
      <alignment horizontal="left" vertical="center"/>
    </xf>
    <xf numFmtId="0" fontId="2" fillId="3" borderId="47" xfId="0" applyFont="1" applyFill="1" applyBorder="1" applyAlignment="1">
      <alignment horizontal="left" vertical="center"/>
    </xf>
    <xf numFmtId="0" fontId="2" fillId="3" borderId="47" xfId="0" applyFont="1" applyFill="1" applyBorder="1" applyAlignment="1">
      <alignment horizontal="left" vertical="center" wrapText="1"/>
    </xf>
    <xf numFmtId="0" fontId="2" fillId="3" borderId="46" xfId="0" applyFont="1" applyFill="1" applyBorder="1" applyAlignment="1">
      <alignment vertical="center"/>
    </xf>
    <xf numFmtId="164" fontId="2" fillId="3" borderId="46" xfId="0" applyNumberFormat="1" applyFont="1" applyFill="1" applyBorder="1" applyAlignment="1">
      <alignment horizontal="left" vertical="center" wrapText="1"/>
    </xf>
    <xf numFmtId="164" fontId="2" fillId="3" borderId="47" xfId="0" applyNumberFormat="1" applyFont="1" applyFill="1" applyBorder="1" applyAlignment="1">
      <alignment horizontal="left" vertical="center"/>
    </xf>
    <xf numFmtId="0" fontId="2" fillId="0" borderId="47" xfId="0" applyFont="1" applyBorder="1" applyAlignment="1">
      <alignment horizontal="left" vertical="center" wrapText="1"/>
    </xf>
    <xf numFmtId="0" fontId="2" fillId="2" borderId="3" xfId="0" applyFont="1" applyFill="1" applyBorder="1" applyAlignment="1">
      <alignment horizontal="left" vertical="center"/>
    </xf>
    <xf numFmtId="0" fontId="2" fillId="0" borderId="81" xfId="0" applyFont="1" applyBorder="1"/>
    <xf numFmtId="0" fontId="2" fillId="2" borderId="81" xfId="0" applyFont="1" applyFill="1" applyBorder="1" applyAlignment="1">
      <alignment horizontal="left" vertical="center" wrapText="1"/>
    </xf>
    <xf numFmtId="164" fontId="2" fillId="0" borderId="81" xfId="0" applyNumberFormat="1" applyFont="1" applyBorder="1" applyAlignment="1">
      <alignment horizontal="left" vertical="center"/>
    </xf>
    <xf numFmtId="0" fontId="2" fillId="0" borderId="81" xfId="0" applyFont="1" applyBorder="1" applyAlignment="1">
      <alignment wrapText="1"/>
    </xf>
    <xf numFmtId="0" fontId="2" fillId="3" borderId="81" xfId="0" quotePrefix="1" applyFont="1" applyFill="1" applyBorder="1" applyAlignment="1">
      <alignment horizontal="left" vertical="center" wrapText="1"/>
    </xf>
    <xf numFmtId="0" fontId="2" fillId="3" borderId="0" xfId="0" quotePrefix="1" applyFont="1" applyFill="1" applyAlignment="1">
      <alignment horizontal="left" vertical="center" wrapText="1"/>
    </xf>
    <xf numFmtId="164" fontId="2" fillId="3" borderId="81" xfId="0" applyNumberFormat="1" applyFont="1" applyFill="1" applyBorder="1" applyAlignment="1">
      <alignment horizontal="right" vertical="center"/>
    </xf>
    <xf numFmtId="164" fontId="2" fillId="2" borderId="81" xfId="0" applyNumberFormat="1" applyFont="1" applyFill="1" applyBorder="1" applyAlignment="1">
      <alignment horizontal="left" vertical="center"/>
    </xf>
    <xf numFmtId="164" fontId="2" fillId="2" borderId="81" xfId="0" applyNumberFormat="1" applyFont="1" applyFill="1" applyBorder="1" applyAlignment="1">
      <alignment horizontal="left" vertical="center" wrapText="1"/>
    </xf>
    <xf numFmtId="164" fontId="2" fillId="3" borderId="0" xfId="0" applyNumberFormat="1" applyFont="1" applyFill="1" applyAlignment="1">
      <alignment vertical="center" wrapText="1"/>
    </xf>
    <xf numFmtId="0" fontId="2" fillId="2" borderId="81" xfId="0" applyFont="1" applyFill="1" applyBorder="1" applyAlignment="1">
      <alignment vertical="center"/>
    </xf>
    <xf numFmtId="0" fontId="2" fillId="3" borderId="81" xfId="0" applyFont="1" applyFill="1" applyBorder="1" applyAlignment="1">
      <alignment vertical="top" wrapText="1"/>
    </xf>
    <xf numFmtId="10" fontId="2" fillId="0" borderId="0" xfId="77" applyNumberFormat="1" applyFont="1" applyFill="1" applyBorder="1" applyAlignment="1">
      <alignment horizontal="left" vertical="center"/>
    </xf>
    <xf numFmtId="0" fontId="2" fillId="2" borderId="0" xfId="0" applyFont="1" applyFill="1" applyAlignment="1">
      <alignment vertical="center" wrapText="1"/>
    </xf>
    <xf numFmtId="0" fontId="2" fillId="0" borderId="4" xfId="0" applyFont="1" applyBorder="1" applyAlignment="1">
      <alignment vertical="center" wrapText="1"/>
    </xf>
    <xf numFmtId="0" fontId="2" fillId="2" borderId="17" xfId="0" applyFont="1" applyFill="1" applyBorder="1" applyAlignment="1">
      <alignment vertical="center"/>
    </xf>
    <xf numFmtId="164" fontId="2" fillId="2" borderId="17" xfId="0" applyNumberFormat="1" applyFont="1" applyFill="1" applyBorder="1" applyAlignment="1">
      <alignment vertical="center"/>
    </xf>
    <xf numFmtId="16" fontId="2" fillId="2" borderId="17" xfId="0" applyNumberFormat="1" applyFont="1" applyFill="1" applyBorder="1" applyAlignment="1">
      <alignment vertical="center"/>
    </xf>
    <xf numFmtId="0" fontId="2" fillId="2" borderId="17" xfId="0" applyFont="1" applyFill="1" applyBorder="1" applyAlignment="1">
      <alignment vertical="center" wrapText="1"/>
    </xf>
    <xf numFmtId="14" fontId="2" fillId="3" borderId="17" xfId="0" applyNumberFormat="1" applyFont="1" applyFill="1" applyBorder="1" applyAlignment="1">
      <alignment vertical="center"/>
    </xf>
    <xf numFmtId="16" fontId="2" fillId="2" borderId="0" xfId="0" applyNumberFormat="1" applyFont="1" applyFill="1" applyAlignment="1">
      <alignment horizontal="center" vertical="center"/>
    </xf>
    <xf numFmtId="0" fontId="2" fillId="0" borderId="0" xfId="0" applyFont="1"/>
    <xf numFmtId="0" fontId="2" fillId="0" borderId="19" xfId="0" applyFont="1" applyBorder="1" applyAlignment="1">
      <alignment vertical="center"/>
    </xf>
    <xf numFmtId="0" fontId="2" fillId="0" borderId="3" xfId="0" applyFont="1" applyBorder="1" applyAlignment="1">
      <alignment vertical="center"/>
    </xf>
    <xf numFmtId="164" fontId="2" fillId="0" borderId="19" xfId="0" applyNumberFormat="1" applyFont="1" applyBorder="1" applyAlignment="1">
      <alignment vertical="center"/>
    </xf>
    <xf numFmtId="0" fontId="2" fillId="0" borderId="19" xfId="0" applyFont="1" applyBorder="1" applyAlignment="1">
      <alignment vertical="top"/>
    </xf>
    <xf numFmtId="0" fontId="2" fillId="0" borderId="17" xfId="0" applyFont="1" applyBorder="1" applyAlignment="1">
      <alignment vertical="center"/>
    </xf>
    <xf numFmtId="164" fontId="2" fillId="0" borderId="17" xfId="0" applyNumberFormat="1" applyFont="1" applyBorder="1" applyAlignment="1">
      <alignment vertical="center"/>
    </xf>
    <xf numFmtId="0" fontId="2" fillId="0" borderId="17" xfId="0" applyFont="1" applyBorder="1" applyAlignment="1">
      <alignment vertical="center" wrapText="1"/>
    </xf>
    <xf numFmtId="0" fontId="2" fillId="0" borderId="17" xfId="0" applyFont="1" applyBorder="1" applyAlignment="1">
      <alignment vertical="top"/>
    </xf>
    <xf numFmtId="0" fontId="2" fillId="0" borderId="18" xfId="0" applyFont="1" applyBorder="1" applyAlignment="1">
      <alignment vertical="center"/>
    </xf>
    <xf numFmtId="164" fontId="2" fillId="0" borderId="18" xfId="0" applyNumberFormat="1" applyFont="1" applyBorder="1" applyAlignment="1">
      <alignment vertical="center"/>
    </xf>
    <xf numFmtId="164" fontId="2" fillId="0" borderId="18" xfId="0" applyNumberFormat="1" applyFont="1" applyBorder="1" applyAlignment="1">
      <alignment vertical="center" wrapText="1"/>
    </xf>
    <xf numFmtId="0" fontId="2" fillId="0" borderId="18" xfId="0" applyFont="1" applyBorder="1" applyAlignment="1">
      <alignment vertical="top"/>
    </xf>
    <xf numFmtId="10" fontId="2" fillId="0" borderId="18" xfId="77" applyNumberFormat="1" applyFont="1" applyFill="1" applyBorder="1" applyAlignment="1">
      <alignment vertical="center"/>
    </xf>
    <xf numFmtId="10" fontId="2" fillId="0" borderId="17" xfId="77" applyNumberFormat="1" applyFont="1" applyBorder="1" applyAlignment="1">
      <alignment vertical="center"/>
    </xf>
    <xf numFmtId="14" fontId="2" fillId="0" borderId="0" xfId="0" applyNumberFormat="1" applyFont="1" applyAlignment="1">
      <alignment vertical="center"/>
    </xf>
    <xf numFmtId="0" fontId="2" fillId="0" borderId="0" xfId="0" applyFont="1" applyAlignment="1">
      <alignment vertical="top" wrapText="1"/>
    </xf>
    <xf numFmtId="10" fontId="2" fillId="0" borderId="0" xfId="77" applyNumberFormat="1" applyFont="1" applyBorder="1" applyAlignment="1">
      <alignment vertical="center"/>
    </xf>
    <xf numFmtId="0" fontId="2" fillId="0" borderId="0" xfId="0" applyFont="1" applyAlignment="1">
      <alignment vertical="top"/>
    </xf>
    <xf numFmtId="10" fontId="2" fillId="2" borderId="17" xfId="77" applyNumberFormat="1" applyFont="1" applyFill="1" applyBorder="1" applyAlignment="1">
      <alignment vertical="center"/>
    </xf>
    <xf numFmtId="16" fontId="2" fillId="2" borderId="81" xfId="0" applyNumberFormat="1" applyFont="1" applyFill="1" applyBorder="1" applyAlignment="1">
      <alignment vertical="center"/>
    </xf>
    <xf numFmtId="18" fontId="2" fillId="2" borderId="81" xfId="0" applyNumberFormat="1" applyFont="1" applyFill="1" applyBorder="1" applyAlignment="1">
      <alignment vertical="center"/>
    </xf>
    <xf numFmtId="4" fontId="2" fillId="2" borderId="81" xfId="0" applyNumberFormat="1" applyFont="1" applyFill="1" applyBorder="1" applyAlignment="1">
      <alignment vertical="center"/>
    </xf>
    <xf numFmtId="4" fontId="2" fillId="2" borderId="82" xfId="0" applyNumberFormat="1" applyFont="1" applyFill="1" applyBorder="1" applyAlignment="1">
      <alignment vertical="center"/>
    </xf>
    <xf numFmtId="164" fontId="2" fillId="3" borderId="17" xfId="0" applyNumberFormat="1" applyFont="1" applyFill="1" applyBorder="1" applyAlignment="1">
      <alignment vertical="center"/>
    </xf>
    <xf numFmtId="0" fontId="2" fillId="3" borderId="22" xfId="0" applyFont="1" applyFill="1" applyBorder="1" applyAlignment="1">
      <alignment vertical="center"/>
    </xf>
    <xf numFmtId="10" fontId="2" fillId="3" borderId="17" xfId="77" applyNumberFormat="1" applyFont="1" applyFill="1" applyBorder="1" applyAlignment="1">
      <alignment vertical="center"/>
    </xf>
    <xf numFmtId="16" fontId="2" fillId="3" borderId="3" xfId="0" applyNumberFormat="1" applyFont="1" applyFill="1" applyBorder="1" applyAlignment="1">
      <alignment vertical="center" wrapText="1"/>
    </xf>
    <xf numFmtId="0" fontId="2" fillId="3" borderId="3" xfId="0" applyFont="1" applyFill="1" applyBorder="1" applyAlignment="1">
      <alignment vertical="center" wrapText="1"/>
    </xf>
    <xf numFmtId="0" fontId="2" fillId="3" borderId="3" xfId="0" applyFont="1" applyFill="1" applyBorder="1" applyAlignment="1">
      <alignment vertical="center"/>
    </xf>
    <xf numFmtId="4" fontId="2" fillId="3" borderId="3" xfId="0" applyNumberFormat="1" applyFont="1" applyFill="1" applyBorder="1" applyAlignment="1">
      <alignment vertical="center"/>
    </xf>
    <xf numFmtId="4" fontId="2" fillId="3" borderId="33" xfId="0" applyNumberFormat="1" applyFont="1" applyFill="1" applyBorder="1" applyAlignment="1">
      <alignment vertical="center"/>
    </xf>
    <xf numFmtId="4" fontId="2" fillId="3" borderId="17" xfId="0" applyNumberFormat="1" applyFont="1" applyFill="1" applyBorder="1" applyAlignment="1">
      <alignment vertical="center"/>
    </xf>
    <xf numFmtId="0" fontId="2" fillId="2" borderId="18" xfId="0" applyFont="1" applyFill="1" applyBorder="1" applyAlignment="1">
      <alignment vertical="center"/>
    </xf>
    <xf numFmtId="14" fontId="2" fillId="2" borderId="18" xfId="0" applyNumberFormat="1" applyFont="1" applyFill="1" applyBorder="1" applyAlignment="1">
      <alignment vertical="center"/>
    </xf>
    <xf numFmtId="0" fontId="2" fillId="2" borderId="18" xfId="0" applyFont="1" applyFill="1" applyBorder="1" applyAlignment="1">
      <alignment vertical="center" wrapText="1"/>
    </xf>
    <xf numFmtId="18" fontId="2" fillId="2" borderId="17" xfId="0" applyNumberFormat="1" applyFont="1" applyFill="1" applyBorder="1" applyAlignment="1">
      <alignment vertical="center"/>
    </xf>
    <xf numFmtId="0" fontId="2" fillId="2" borderId="22" xfId="0" applyFont="1" applyFill="1" applyBorder="1" applyAlignment="1">
      <alignment vertical="center"/>
    </xf>
    <xf numFmtId="16" fontId="2" fillId="2" borderId="81" xfId="0" applyNumberFormat="1" applyFont="1" applyFill="1" applyBorder="1" applyAlignment="1">
      <alignment vertical="center" wrapText="1"/>
    </xf>
    <xf numFmtId="0" fontId="2" fillId="2" borderId="82" xfId="0" applyFont="1" applyFill="1" applyBorder="1" applyAlignment="1">
      <alignment vertical="center"/>
    </xf>
    <xf numFmtId="164" fontId="2" fillId="2" borderId="18" xfId="0" applyNumberFormat="1" applyFont="1" applyFill="1" applyBorder="1" applyAlignment="1">
      <alignment vertical="center"/>
    </xf>
    <xf numFmtId="0" fontId="2" fillId="2" borderId="23" xfId="0" applyFont="1" applyFill="1" applyBorder="1" applyAlignment="1">
      <alignment vertical="center"/>
    </xf>
    <xf numFmtId="10" fontId="2" fillId="2" borderId="18" xfId="77" applyNumberFormat="1" applyFont="1" applyFill="1" applyBorder="1" applyAlignment="1">
      <alignment vertical="center"/>
    </xf>
    <xf numFmtId="0" fontId="2" fillId="2" borderId="4" xfId="0" applyFont="1" applyFill="1" applyBorder="1" applyAlignment="1">
      <alignment vertical="center"/>
    </xf>
    <xf numFmtId="164" fontId="2" fillId="2" borderId="0" xfId="0" applyNumberFormat="1" applyFont="1" applyFill="1" applyAlignment="1">
      <alignment vertical="center"/>
    </xf>
    <xf numFmtId="0" fontId="2" fillId="2" borderId="2" xfId="0" applyFont="1" applyFill="1" applyBorder="1" applyAlignment="1">
      <alignment vertical="center"/>
    </xf>
    <xf numFmtId="164" fontId="2" fillId="2" borderId="4" xfId="0" applyNumberFormat="1" applyFont="1" applyFill="1" applyBorder="1" applyAlignment="1">
      <alignment vertical="center"/>
    </xf>
    <xf numFmtId="0" fontId="2" fillId="2" borderId="4" xfId="0" applyFont="1" applyFill="1" applyBorder="1" applyAlignment="1">
      <alignment vertical="center" wrapText="1"/>
    </xf>
    <xf numFmtId="0" fontId="2" fillId="2" borderId="1" xfId="0" applyFont="1" applyFill="1" applyBorder="1" applyAlignment="1">
      <alignment vertical="center"/>
    </xf>
    <xf numFmtId="9" fontId="2" fillId="2" borderId="17" xfId="0" applyNumberFormat="1" applyFont="1" applyFill="1" applyBorder="1" applyAlignment="1">
      <alignment vertical="center"/>
    </xf>
    <xf numFmtId="0" fontId="2" fillId="2" borderId="32" xfId="0" applyFont="1" applyFill="1" applyBorder="1" applyAlignment="1">
      <alignment vertical="center"/>
    </xf>
    <xf numFmtId="0" fontId="2" fillId="2" borderId="3" xfId="0" applyFont="1" applyFill="1" applyBorder="1" applyAlignment="1">
      <alignment vertical="center"/>
    </xf>
    <xf numFmtId="0" fontId="2" fillId="2" borderId="33" xfId="0" applyFont="1" applyFill="1" applyBorder="1" applyAlignment="1">
      <alignment vertical="center"/>
    </xf>
    <xf numFmtId="4" fontId="2" fillId="3" borderId="4" xfId="0" applyNumberFormat="1" applyFont="1" applyFill="1" applyBorder="1" applyAlignment="1">
      <alignment vertical="center"/>
    </xf>
    <xf numFmtId="10" fontId="2" fillId="3" borderId="4" xfId="77" applyNumberFormat="1" applyFont="1" applyFill="1" applyBorder="1" applyAlignment="1">
      <alignment vertical="center"/>
    </xf>
    <xf numFmtId="164" fontId="2" fillId="3" borderId="0" xfId="0" applyNumberFormat="1" applyFont="1" applyFill="1" applyAlignment="1">
      <alignment vertical="center"/>
    </xf>
    <xf numFmtId="0" fontId="2" fillId="2" borderId="81" xfId="0" applyFont="1" applyFill="1" applyBorder="1"/>
    <xf numFmtId="164" fontId="2" fillId="2" borderId="81" xfId="0" applyNumberFormat="1" applyFont="1" applyFill="1" applyBorder="1"/>
    <xf numFmtId="16" fontId="2" fillId="2" borderId="81" xfId="0" applyNumberFormat="1" applyFont="1" applyFill="1" applyBorder="1"/>
    <xf numFmtId="0" fontId="2" fillId="0" borderId="4" xfId="0" applyFont="1" applyBorder="1" applyAlignment="1">
      <alignment vertical="center"/>
    </xf>
    <xf numFmtId="164" fontId="2" fillId="3" borderId="18" xfId="0" applyNumberFormat="1" applyFont="1" applyFill="1" applyBorder="1" applyAlignment="1">
      <alignment vertical="center"/>
    </xf>
    <xf numFmtId="0" fontId="2" fillId="2" borderId="32" xfId="0" applyFont="1" applyFill="1" applyBorder="1" applyAlignment="1">
      <alignment vertical="center" wrapText="1"/>
    </xf>
    <xf numFmtId="0" fontId="2" fillId="2" borderId="20" xfId="0" applyFont="1" applyFill="1" applyBorder="1" applyAlignment="1">
      <alignment vertical="center"/>
    </xf>
    <xf numFmtId="164" fontId="2" fillId="2" borderId="20" xfId="0" applyNumberFormat="1" applyFont="1" applyFill="1" applyBorder="1" applyAlignment="1">
      <alignment vertical="center"/>
    </xf>
    <xf numFmtId="16" fontId="2" fillId="2" borderId="20" xfId="0" applyNumberFormat="1" applyFont="1" applyFill="1" applyBorder="1" applyAlignment="1">
      <alignment vertical="center"/>
    </xf>
    <xf numFmtId="18" fontId="2" fillId="2" borderId="20" xfId="0" applyNumberFormat="1" applyFont="1" applyFill="1" applyBorder="1" applyAlignment="1">
      <alignment vertical="center"/>
    </xf>
    <xf numFmtId="0" fontId="2" fillId="2" borderId="20" xfId="0" applyFont="1" applyFill="1" applyBorder="1" applyAlignment="1">
      <alignment vertical="center" wrapText="1"/>
    </xf>
    <xf numFmtId="16" fontId="2" fillId="2" borderId="20" xfId="0" applyNumberFormat="1" applyFont="1" applyFill="1" applyBorder="1" applyAlignment="1">
      <alignment vertical="center" wrapText="1"/>
    </xf>
    <xf numFmtId="8" fontId="2" fillId="2" borderId="20" xfId="0" applyNumberFormat="1" applyFont="1" applyFill="1" applyBorder="1" applyAlignment="1">
      <alignment vertical="center"/>
    </xf>
    <xf numFmtId="0" fontId="2" fillId="2" borderId="4" xfId="0" applyFont="1" applyFill="1" applyBorder="1"/>
    <xf numFmtId="164" fontId="2" fillId="2" borderId="17" xfId="0" applyNumberFormat="1" applyFont="1" applyFill="1" applyBorder="1" applyAlignment="1">
      <alignment vertical="center" wrapText="1"/>
    </xf>
    <xf numFmtId="0" fontId="2" fillId="2" borderId="28" xfId="0" applyFont="1" applyFill="1" applyBorder="1" applyAlignment="1">
      <alignment vertical="center"/>
    </xf>
    <xf numFmtId="0" fontId="2" fillId="2" borderId="19" xfId="0" applyFont="1" applyFill="1" applyBorder="1" applyAlignment="1">
      <alignment vertical="center"/>
    </xf>
    <xf numFmtId="0" fontId="2" fillId="2" borderId="17" xfId="0" applyFont="1" applyFill="1" applyBorder="1"/>
    <xf numFmtId="164" fontId="2" fillId="2" borderId="17" xfId="0" applyNumberFormat="1" applyFont="1" applyFill="1" applyBorder="1"/>
    <xf numFmtId="16" fontId="2" fillId="2" borderId="17" xfId="0" applyNumberFormat="1" applyFont="1" applyFill="1" applyBorder="1"/>
    <xf numFmtId="18" fontId="2" fillId="2" borderId="17" xfId="0" applyNumberFormat="1" applyFont="1" applyFill="1" applyBorder="1"/>
    <xf numFmtId="0" fontId="2" fillId="2" borderId="31" xfId="0" applyFont="1" applyFill="1" applyBorder="1"/>
    <xf numFmtId="0" fontId="2" fillId="2" borderId="27" xfId="0" applyFont="1" applyFill="1" applyBorder="1"/>
    <xf numFmtId="4" fontId="2" fillId="2" borderId="18" xfId="0" applyNumberFormat="1" applyFont="1" applyFill="1" applyBorder="1"/>
    <xf numFmtId="0" fontId="2" fillId="0" borderId="17" xfId="0" applyFont="1" applyBorder="1"/>
    <xf numFmtId="4" fontId="2" fillId="2" borderId="17" xfId="0" applyNumberFormat="1" applyFont="1" applyFill="1" applyBorder="1" applyAlignment="1">
      <alignment vertical="center"/>
    </xf>
    <xf numFmtId="164" fontId="2" fillId="2" borderId="4" xfId="0" applyNumberFormat="1" applyFont="1" applyFill="1" applyBorder="1"/>
    <xf numFmtId="16" fontId="2" fillId="2" borderId="17" xfId="0" applyNumberFormat="1" applyFont="1" applyFill="1" applyBorder="1" applyAlignment="1">
      <alignment vertical="center" wrapText="1"/>
    </xf>
    <xf numFmtId="6" fontId="2" fillId="2" borderId="17" xfId="0" applyNumberFormat="1" applyFont="1" applyFill="1" applyBorder="1" applyAlignment="1">
      <alignment vertical="center"/>
    </xf>
    <xf numFmtId="8" fontId="2" fillId="2" borderId="17" xfId="0" applyNumberFormat="1" applyFont="1" applyFill="1" applyBorder="1" applyAlignment="1">
      <alignment vertical="center"/>
    </xf>
    <xf numFmtId="0" fontId="2" fillId="4" borderId="17" xfId="0" applyFont="1" applyFill="1" applyBorder="1" applyAlignment="1">
      <alignment vertical="center" wrapText="1"/>
    </xf>
    <xf numFmtId="16" fontId="2" fillId="2" borderId="4" xfId="0" applyNumberFormat="1" applyFont="1" applyFill="1" applyBorder="1" applyAlignment="1">
      <alignment vertical="center"/>
    </xf>
    <xf numFmtId="16" fontId="2" fillId="2" borderId="4" xfId="0" applyNumberFormat="1" applyFont="1" applyFill="1" applyBorder="1" applyAlignment="1">
      <alignment vertical="center" wrapText="1"/>
    </xf>
    <xf numFmtId="8" fontId="2" fillId="2" borderId="4" xfId="0" applyNumberFormat="1" applyFont="1" applyFill="1" applyBorder="1" applyAlignment="1">
      <alignment vertical="center"/>
    </xf>
    <xf numFmtId="0" fontId="2" fillId="4" borderId="17" xfId="0" applyFont="1" applyFill="1" applyBorder="1"/>
    <xf numFmtId="0" fontId="2" fillId="0" borderId="17" xfId="0" applyFont="1" applyBorder="1" applyAlignment="1">
      <alignment wrapText="1"/>
    </xf>
    <xf numFmtId="0" fontId="2" fillId="2" borderId="3" xfId="0" applyFont="1" applyFill="1" applyBorder="1"/>
    <xf numFmtId="164" fontId="2" fillId="2" borderId="3" xfId="0" applyNumberFormat="1" applyFont="1" applyFill="1" applyBorder="1"/>
    <xf numFmtId="10" fontId="2" fillId="2" borderId="4" xfId="77" applyNumberFormat="1" applyFont="1" applyFill="1" applyBorder="1" applyAlignment="1"/>
    <xf numFmtId="0" fontId="2" fillId="115" borderId="17" xfId="0" applyFont="1" applyFill="1" applyBorder="1"/>
    <xf numFmtId="164" fontId="2" fillId="0" borderId="17" xfId="0" applyNumberFormat="1" applyFont="1" applyBorder="1"/>
    <xf numFmtId="16" fontId="2" fillId="0" borderId="17" xfId="0" applyNumberFormat="1" applyFont="1" applyBorder="1"/>
    <xf numFmtId="10" fontId="2" fillId="0" borderId="17" xfId="77" applyNumberFormat="1" applyFont="1" applyBorder="1" applyAlignment="1"/>
    <xf numFmtId="164" fontId="2" fillId="2" borderId="20" xfId="0" applyNumberFormat="1" applyFont="1" applyFill="1" applyBorder="1" applyAlignment="1">
      <alignment vertical="center" wrapText="1"/>
    </xf>
    <xf numFmtId="10" fontId="2" fillId="2" borderId="20" xfId="77" applyNumberFormat="1" applyFont="1" applyFill="1" applyBorder="1" applyAlignment="1">
      <alignment vertical="center"/>
    </xf>
    <xf numFmtId="164" fontId="2" fillId="2" borderId="18" xfId="0" applyNumberFormat="1" applyFont="1" applyFill="1" applyBorder="1" applyAlignment="1">
      <alignment vertical="center" wrapText="1"/>
    </xf>
    <xf numFmtId="14" fontId="2" fillId="2" borderId="17" xfId="0" applyNumberFormat="1" applyFont="1" applyFill="1" applyBorder="1" applyAlignment="1">
      <alignment vertical="center" wrapText="1"/>
    </xf>
    <xf numFmtId="14" fontId="2" fillId="2" borderId="17" xfId="0" applyNumberFormat="1" applyFont="1" applyFill="1" applyBorder="1" applyAlignment="1">
      <alignment vertical="center"/>
    </xf>
    <xf numFmtId="0" fontId="2" fillId="2" borderId="20" xfId="0" applyFont="1" applyFill="1" applyBorder="1"/>
    <xf numFmtId="1" fontId="2" fillId="2" borderId="17" xfId="0" applyNumberFormat="1" applyFont="1" applyFill="1" applyBorder="1" applyAlignment="1">
      <alignment vertical="center" wrapText="1"/>
    </xf>
    <xf numFmtId="20" fontId="2" fillId="2" borderId="17" xfId="0" applyNumberFormat="1" applyFont="1" applyFill="1" applyBorder="1" applyAlignment="1">
      <alignment vertical="center"/>
    </xf>
    <xf numFmtId="164" fontId="2" fillId="0" borderId="18" xfId="0" applyNumberFormat="1" applyFont="1" applyBorder="1"/>
    <xf numFmtId="16" fontId="2" fillId="0" borderId="18" xfId="0" applyNumberFormat="1" applyFont="1" applyBorder="1"/>
    <xf numFmtId="10" fontId="2" fillId="0" borderId="18" xfId="77" applyNumberFormat="1" applyFont="1" applyFill="1" applyBorder="1" applyAlignment="1"/>
    <xf numFmtId="164" fontId="2" fillId="0" borderId="0" xfId="0" applyNumberFormat="1" applyFont="1"/>
    <xf numFmtId="16" fontId="2" fillId="0" borderId="0" xfId="0" applyNumberFormat="1" applyFont="1"/>
    <xf numFmtId="10" fontId="2" fillId="0" borderId="0" xfId="77" applyNumberFormat="1" applyFont="1" applyFill="1" applyBorder="1" applyAlignment="1"/>
    <xf numFmtId="10" fontId="2" fillId="0" borderId="17" xfId="77" applyNumberFormat="1" applyFont="1" applyFill="1" applyBorder="1" applyAlignment="1">
      <alignment vertical="center"/>
    </xf>
    <xf numFmtId="0" fontId="2" fillId="0" borderId="22" xfId="0" applyFont="1" applyBorder="1" applyAlignment="1">
      <alignment vertical="center"/>
    </xf>
    <xf numFmtId="0" fontId="2" fillId="0" borderId="0" xfId="0" applyFont="1" applyAlignment="1">
      <alignment wrapText="1"/>
    </xf>
    <xf numFmtId="10" fontId="2" fillId="0" borderId="0" xfId="77" applyNumberFormat="1" applyFont="1" applyFill="1" applyBorder="1" applyAlignment="1">
      <alignment vertical="center"/>
    </xf>
    <xf numFmtId="0" fontId="2" fillId="0" borderId="4" xfId="0" applyFont="1" applyBorder="1" applyAlignment="1">
      <alignment horizontal="left" vertical="center"/>
    </xf>
    <xf numFmtId="0" fontId="2" fillId="2" borderId="4" xfId="1" applyFont="1" applyFill="1" applyBorder="1" applyAlignment="1">
      <alignment horizontal="left" vertical="center" wrapText="1"/>
    </xf>
    <xf numFmtId="164" fontId="2" fillId="0" borderId="4" xfId="0" applyNumberFormat="1" applyFont="1" applyBorder="1" applyAlignment="1">
      <alignment horizontal="left" vertical="center"/>
    </xf>
    <xf numFmtId="179" fontId="2" fillId="0" borderId="4" xfId="0" applyNumberFormat="1" applyFont="1" applyBorder="1" applyAlignment="1">
      <alignment horizontal="left" vertical="center"/>
    </xf>
    <xf numFmtId="0" fontId="2" fillId="0" borderId="81" xfId="0" quotePrefix="1" applyFont="1" applyBorder="1" applyAlignment="1">
      <alignment horizontal="left" vertical="center"/>
    </xf>
    <xf numFmtId="0" fontId="2" fillId="0" borderId="4" xfId="0" applyFont="1" applyBorder="1" applyAlignment="1">
      <alignment horizontal="left" vertical="center" wrapText="1"/>
    </xf>
    <xf numFmtId="0" fontId="2" fillId="0" borderId="20" xfId="0" applyFont="1" applyBorder="1" applyAlignment="1">
      <alignment vertical="center"/>
    </xf>
    <xf numFmtId="0" fontId="2" fillId="0" borderId="0" xfId="0" applyFont="1" applyAlignment="1">
      <alignment horizontal="center" vertical="center" wrapText="1"/>
    </xf>
    <xf numFmtId="164" fontId="2" fillId="0" borderId="0" xfId="0" applyNumberFormat="1" applyFont="1" applyAlignment="1">
      <alignment horizontal="center" vertical="center" wrapText="1"/>
    </xf>
    <xf numFmtId="44" fontId="2" fillId="0" borderId="0" xfId="47" applyFont="1" applyAlignment="1">
      <alignment horizontal="center" vertical="center" wrapText="1"/>
    </xf>
    <xf numFmtId="0" fontId="2" fillId="54" borderId="0" xfId="0" applyFont="1" applyFill="1" applyAlignment="1">
      <alignment horizontal="center" vertical="center"/>
    </xf>
    <xf numFmtId="0" fontId="2" fillId="47" borderId="0" xfId="0" applyFont="1" applyFill="1" applyAlignment="1">
      <alignment horizontal="center" vertical="center"/>
    </xf>
    <xf numFmtId="14" fontId="2" fillId="0" borderId="0" xfId="0" applyNumberFormat="1" applyFont="1" applyAlignment="1">
      <alignment horizontal="center" vertical="center"/>
    </xf>
    <xf numFmtId="2" fontId="2" fillId="0" borderId="0" xfId="0" applyNumberFormat="1" applyFont="1" applyAlignment="1">
      <alignment horizontal="center" vertical="center" wrapText="1"/>
    </xf>
    <xf numFmtId="0" fontId="2" fillId="0" borderId="0" xfId="0" applyFont="1" applyAlignment="1">
      <alignment horizontal="center"/>
    </xf>
    <xf numFmtId="0" fontId="2" fillId="5" borderId="5" xfId="0" applyFont="1" applyFill="1" applyBorder="1"/>
    <xf numFmtId="0" fontId="2" fillId="39" borderId="5" xfId="0" applyFont="1" applyFill="1" applyBorder="1" applyAlignment="1">
      <alignment horizontal="center"/>
    </xf>
    <xf numFmtId="49" fontId="2" fillId="0" borderId="0" xfId="0" applyNumberFormat="1" applyFont="1" applyAlignment="1">
      <alignment horizontal="center" vertical="center"/>
    </xf>
    <xf numFmtId="0" fontId="2" fillId="0" borderId="17" xfId="0" applyFont="1" applyBorder="1" applyAlignment="1">
      <alignment horizontal="center" vertical="center"/>
    </xf>
    <xf numFmtId="49" fontId="2" fillId="0" borderId="0" xfId="0" applyNumberFormat="1" applyFont="1"/>
    <xf numFmtId="0" fontId="2" fillId="0" borderId="83" xfId="0" applyFont="1" applyBorder="1" applyAlignment="1">
      <alignment horizontal="center" vertical="center"/>
    </xf>
    <xf numFmtId="164" fontId="2" fillId="0" borderId="18" xfId="0" applyNumberFormat="1" applyFont="1" applyBorder="1" applyAlignment="1">
      <alignment horizontal="center" vertical="center"/>
    </xf>
    <xf numFmtId="0" fontId="2" fillId="0" borderId="18" xfId="0" applyFont="1" applyBorder="1" applyAlignment="1">
      <alignment horizontal="center" vertical="center"/>
    </xf>
    <xf numFmtId="0" fontId="2" fillId="0" borderId="3" xfId="0" applyFont="1" applyBorder="1" applyAlignment="1">
      <alignment horizontal="center" vertical="center"/>
    </xf>
    <xf numFmtId="164" fontId="2" fillId="0" borderId="3" xfId="0" applyNumberFormat="1" applyFont="1" applyBorder="1" applyAlignment="1">
      <alignment horizontal="center" vertical="center"/>
    </xf>
    <xf numFmtId="0" fontId="2" fillId="0" borderId="36" xfId="0" applyFont="1" applyBorder="1" applyAlignment="1">
      <alignment horizontal="center" vertical="center"/>
    </xf>
    <xf numFmtId="164" fontId="2" fillId="0" borderId="17" xfId="0" applyNumberFormat="1" applyFont="1" applyBorder="1" applyAlignment="1">
      <alignment horizontal="center" vertical="center"/>
    </xf>
    <xf numFmtId="0" fontId="2" fillId="0" borderId="17" xfId="0" applyFont="1" applyBorder="1" applyAlignment="1">
      <alignment horizontal="center"/>
    </xf>
    <xf numFmtId="0" fontId="2" fillId="0" borderId="4" xfId="0" applyFont="1" applyBorder="1" applyAlignment="1">
      <alignment horizontal="center" vertical="center"/>
    </xf>
    <xf numFmtId="0" fontId="2" fillId="0" borderId="47" xfId="0" applyFont="1" applyBorder="1" applyAlignment="1">
      <alignment horizontal="center" vertical="center"/>
    </xf>
    <xf numFmtId="0" fontId="2" fillId="56" borderId="0" xfId="0" applyFont="1" applyFill="1"/>
    <xf numFmtId="0" fontId="2" fillId="56" borderId="0" xfId="0" applyFont="1" applyFill="1" applyAlignment="1">
      <alignment horizontal="left" vertical="center"/>
    </xf>
    <xf numFmtId="0" fontId="2" fillId="0" borderId="82" xfId="0" applyFont="1" applyBorder="1" applyAlignment="1">
      <alignment vertical="center" wrapText="1"/>
    </xf>
    <xf numFmtId="0" fontId="2" fillId="0" borderId="3" xfId="0" applyFont="1" applyBorder="1" applyAlignment="1">
      <alignment horizontal="left" vertical="center" wrapText="1"/>
    </xf>
    <xf numFmtId="0" fontId="2" fillId="0" borderId="3" xfId="0" applyFont="1" applyBorder="1" applyAlignment="1">
      <alignment horizontal="left" vertical="center"/>
    </xf>
    <xf numFmtId="0" fontId="22" fillId="0" borderId="17" xfId="1" applyBorder="1" applyAlignment="1">
      <alignment vertical="center"/>
    </xf>
    <xf numFmtId="164" fontId="24" fillId="0" borderId="4" xfId="0" applyNumberFormat="1" applyFont="1" applyBorder="1" applyAlignment="1">
      <alignment horizontal="left" vertical="center"/>
    </xf>
    <xf numFmtId="0" fontId="53" fillId="0" borderId="4" xfId="0" applyFont="1" applyBorder="1" applyAlignment="1">
      <alignment horizontal="left" vertical="center"/>
    </xf>
    <xf numFmtId="164" fontId="298" fillId="0" borderId="4" xfId="0" applyNumberFormat="1" applyFont="1" applyBorder="1" applyAlignment="1">
      <alignment horizontal="left" vertical="center"/>
    </xf>
    <xf numFmtId="164" fontId="0" fillId="0" borderId="4" xfId="0" applyNumberFormat="1" applyBorder="1" applyAlignment="1">
      <alignment horizontal="left" vertical="center" wrapText="1"/>
    </xf>
    <xf numFmtId="164" fontId="2" fillId="3" borderId="17" xfId="0" applyNumberFormat="1" applyFont="1" applyFill="1" applyBorder="1"/>
    <xf numFmtId="16" fontId="0" fillId="3" borderId="0" xfId="0" applyNumberFormat="1" applyFill="1"/>
    <xf numFmtId="164" fontId="0" fillId="2" borderId="85" xfId="0" applyNumberFormat="1" applyFill="1" applyBorder="1" applyAlignment="1">
      <alignment horizontal="center" vertical="center" wrapText="1"/>
    </xf>
    <xf numFmtId="0" fontId="0" fillId="3" borderId="85" xfId="0" applyFill="1" applyBorder="1" applyAlignment="1">
      <alignment horizontal="center" vertical="center" wrapText="1"/>
    </xf>
    <xf numFmtId="0" fontId="0" fillId="2" borderId="85" xfId="0" applyFill="1" applyBorder="1" applyAlignment="1">
      <alignment horizontal="center" vertical="center" wrapText="1"/>
    </xf>
    <xf numFmtId="0" fontId="147" fillId="2" borderId="85" xfId="0" applyFont="1" applyFill="1" applyBorder="1" applyAlignment="1">
      <alignment horizontal="center" vertical="center" wrapText="1"/>
    </xf>
    <xf numFmtId="0" fontId="0" fillId="0" borderId="85" xfId="0" applyBorder="1" applyAlignment="1">
      <alignment horizontal="center" vertical="center"/>
    </xf>
    <xf numFmtId="164" fontId="29" fillId="0" borderId="85" xfId="0" applyNumberFormat="1" applyFont="1" applyBorder="1" applyAlignment="1">
      <alignment horizontal="center" vertical="center"/>
    </xf>
    <xf numFmtId="164" fontId="45" fillId="0" borderId="85" xfId="0" applyNumberFormat="1" applyFont="1" applyBorder="1" applyAlignment="1">
      <alignment horizontal="center" vertical="center"/>
    </xf>
    <xf numFmtId="0" fontId="0" fillId="38" borderId="85" xfId="0" applyFill="1" applyBorder="1" applyAlignment="1">
      <alignment horizontal="center" vertical="center"/>
    </xf>
    <xf numFmtId="0" fontId="56" fillId="0" borderId="85" xfId="0" applyFont="1" applyBorder="1" applyAlignment="1">
      <alignment horizontal="center" vertical="center"/>
    </xf>
    <xf numFmtId="16" fontId="0" fillId="0" borderId="85" xfId="0" applyNumberFormat="1" applyBorder="1" applyAlignment="1">
      <alignment horizontal="center" vertical="center"/>
    </xf>
    <xf numFmtId="164" fontId="0" fillId="0" borderId="85" xfId="0" applyNumberFormat="1" applyBorder="1" applyAlignment="1">
      <alignment horizontal="center" vertical="center"/>
    </xf>
    <xf numFmtId="0" fontId="0" fillId="0" borderId="85" xfId="0" applyBorder="1" applyAlignment="1">
      <alignment horizontal="center" vertical="center" wrapText="1"/>
    </xf>
    <xf numFmtId="0" fontId="0" fillId="2" borderId="85" xfId="0" applyFill="1" applyBorder="1" applyAlignment="1">
      <alignment horizontal="center" vertical="center"/>
    </xf>
    <xf numFmtId="0" fontId="53" fillId="2" borderId="85" xfId="0" applyFont="1" applyFill="1" applyBorder="1" applyAlignment="1">
      <alignment horizontal="center" vertical="center"/>
    </xf>
    <xf numFmtId="0" fontId="2" fillId="2" borderId="85" xfId="0" applyFont="1" applyFill="1" applyBorder="1" applyAlignment="1">
      <alignment horizontal="center" vertical="center"/>
    </xf>
    <xf numFmtId="0" fontId="111" fillId="3" borderId="85" xfId="0" applyFont="1" applyFill="1" applyBorder="1" applyAlignment="1">
      <alignment horizontal="center" vertical="center"/>
    </xf>
    <xf numFmtId="0" fontId="0" fillId="3" borderId="85" xfId="0" applyFill="1" applyBorder="1" applyAlignment="1">
      <alignment horizontal="center" vertical="center"/>
    </xf>
    <xf numFmtId="164" fontId="0" fillId="3" borderId="85" xfId="0" applyNumberFormat="1" applyFill="1" applyBorder="1" applyAlignment="1">
      <alignment horizontal="center" vertical="center"/>
    </xf>
    <xf numFmtId="164" fontId="0" fillId="3" borderId="85" xfId="0" applyNumberFormat="1" applyFill="1" applyBorder="1" applyAlignment="1">
      <alignment horizontal="left" vertical="center"/>
    </xf>
    <xf numFmtId="164" fontId="23" fillId="3" borderId="85" xfId="0" applyNumberFormat="1" applyFont="1" applyFill="1" applyBorder="1" applyAlignment="1">
      <alignment horizontal="left" vertical="center"/>
    </xf>
    <xf numFmtId="0" fontId="0" fillId="3" borderId="85" xfId="0" applyFill="1" applyBorder="1" applyAlignment="1">
      <alignment horizontal="left" vertical="center"/>
    </xf>
    <xf numFmtId="164" fontId="0" fillId="2" borderId="85" xfId="0" applyNumberFormat="1" applyFill="1" applyBorder="1" applyAlignment="1">
      <alignment horizontal="center" vertical="center"/>
    </xf>
    <xf numFmtId="164" fontId="23" fillId="2" borderId="85" xfId="0" applyNumberFormat="1" applyFont="1" applyFill="1" applyBorder="1" applyAlignment="1">
      <alignment horizontal="center" vertical="center"/>
    </xf>
    <xf numFmtId="0" fontId="2" fillId="3" borderId="85" xfId="0" applyFont="1" applyFill="1" applyBorder="1" applyAlignment="1">
      <alignment horizontal="center" vertical="center"/>
    </xf>
    <xf numFmtId="164" fontId="0" fillId="3" borderId="85" xfId="0" applyNumberFormat="1" applyFill="1" applyBorder="1" applyAlignment="1">
      <alignment vertical="center"/>
    </xf>
    <xf numFmtId="0" fontId="0" fillId="3" borderId="85" xfId="0" applyFill="1" applyBorder="1" applyAlignment="1">
      <alignment horizontal="center"/>
    </xf>
    <xf numFmtId="0" fontId="2" fillId="3" borderId="86" xfId="0" applyFont="1" applyFill="1" applyBorder="1" applyAlignment="1">
      <alignment horizontal="center" vertical="center"/>
    </xf>
    <xf numFmtId="0" fontId="111" fillId="2" borderId="85" xfId="0" applyFont="1" applyFill="1" applyBorder="1" applyAlignment="1">
      <alignment horizontal="center" vertical="center"/>
    </xf>
    <xf numFmtId="164" fontId="0" fillId="2" borderId="85" xfId="0" applyNumberFormat="1" applyFill="1" applyBorder="1" applyAlignment="1">
      <alignment vertical="center"/>
    </xf>
    <xf numFmtId="164" fontId="2" fillId="2" borderId="85" xfId="0" applyNumberFormat="1" applyFont="1" applyFill="1" applyBorder="1" applyAlignment="1">
      <alignment horizontal="center" vertical="center"/>
    </xf>
    <xf numFmtId="164" fontId="55" fillId="2" borderId="85" xfId="0" applyNumberFormat="1" applyFont="1" applyFill="1" applyBorder="1" applyAlignment="1">
      <alignment horizontal="center" vertical="center"/>
    </xf>
    <xf numFmtId="164" fontId="2" fillId="3" borderId="85" xfId="0" applyNumberFormat="1" applyFont="1" applyFill="1" applyBorder="1" applyAlignment="1">
      <alignment horizontal="center" vertical="center"/>
    </xf>
    <xf numFmtId="164" fontId="23" fillId="3" borderId="85" xfId="0" applyNumberFormat="1" applyFont="1" applyFill="1" applyBorder="1" applyAlignment="1">
      <alignment horizontal="center" vertical="center"/>
    </xf>
    <xf numFmtId="0" fontId="45" fillId="3" borderId="85" xfId="0" applyFont="1" applyFill="1" applyBorder="1" applyAlignment="1">
      <alignment horizontal="center" vertical="center" wrapText="1"/>
    </xf>
    <xf numFmtId="0" fontId="53" fillId="3" borderId="85" xfId="0" applyFont="1" applyFill="1" applyBorder="1" applyAlignment="1">
      <alignment horizontal="center" vertical="center"/>
    </xf>
    <xf numFmtId="0" fontId="0" fillId="74" borderId="85" xfId="0" applyFill="1" applyBorder="1" applyAlignment="1">
      <alignment horizontal="center" vertical="center"/>
    </xf>
    <xf numFmtId="0" fontId="2" fillId="74" borderId="85" xfId="0" applyFont="1" applyFill="1" applyBorder="1" applyAlignment="1">
      <alignment horizontal="center" vertical="center"/>
    </xf>
    <xf numFmtId="0" fontId="57" fillId="2" borderId="85" xfId="0" applyFont="1" applyFill="1" applyBorder="1" applyAlignment="1">
      <alignment horizontal="center" vertical="center"/>
    </xf>
    <xf numFmtId="16" fontId="57" fillId="2" borderId="85" xfId="0" applyNumberFormat="1" applyFont="1" applyFill="1" applyBorder="1" applyAlignment="1">
      <alignment horizontal="center" vertical="center"/>
    </xf>
    <xf numFmtId="16" fontId="0" fillId="2" borderId="85" xfId="0" applyNumberFormat="1" applyFill="1" applyBorder="1" applyAlignment="1">
      <alignment horizontal="center" vertical="center"/>
    </xf>
    <xf numFmtId="164" fontId="29" fillId="2" borderId="85" xfId="0" applyNumberFormat="1" applyFont="1" applyFill="1" applyBorder="1" applyAlignment="1">
      <alignment horizontal="center" vertical="center" wrapText="1"/>
    </xf>
    <xf numFmtId="170" fontId="0" fillId="3" borderId="85" xfId="0" applyNumberFormat="1" applyFill="1" applyBorder="1" applyAlignment="1">
      <alignment horizontal="left" vertical="center" wrapText="1"/>
    </xf>
    <xf numFmtId="164" fontId="2" fillId="3" borderId="85" xfId="0" applyNumberFormat="1" applyFont="1" applyFill="1" applyBorder="1" applyAlignment="1">
      <alignment horizontal="left" vertical="center" wrapText="1"/>
    </xf>
    <xf numFmtId="164" fontId="0" fillId="3" borderId="85" xfId="0" applyNumberFormat="1" applyFill="1" applyBorder="1" applyAlignment="1">
      <alignment vertical="center" wrapText="1"/>
    </xf>
    <xf numFmtId="164" fontId="56" fillId="3" borderId="85" xfId="0" applyNumberFormat="1" applyFont="1" applyFill="1" applyBorder="1" applyAlignment="1">
      <alignment vertical="center" wrapText="1"/>
    </xf>
    <xf numFmtId="16" fontId="0" fillId="2" borderId="85" xfId="0" applyNumberFormat="1" applyFill="1" applyBorder="1" applyAlignment="1">
      <alignment horizontal="center" vertical="center" wrapText="1"/>
    </xf>
    <xf numFmtId="164" fontId="0" fillId="3" borderId="85" xfId="0" applyNumberFormat="1" applyFill="1" applyBorder="1" applyAlignment="1">
      <alignment horizontal="left" vertical="center" wrapText="1"/>
    </xf>
    <xf numFmtId="164" fontId="0" fillId="2" borderId="85" xfId="0" applyNumberFormat="1" applyFill="1" applyBorder="1" applyAlignment="1">
      <alignment vertical="center" wrapText="1"/>
    </xf>
    <xf numFmtId="170" fontId="0" fillId="3" borderId="85" xfId="0" applyNumberFormat="1" applyFill="1" applyBorder="1" applyAlignment="1">
      <alignment vertical="center" wrapText="1"/>
    </xf>
    <xf numFmtId="14" fontId="0" fillId="2" borderId="85" xfId="0" applyNumberFormat="1" applyFill="1" applyBorder="1" applyAlignment="1">
      <alignment horizontal="center" vertical="center"/>
    </xf>
    <xf numFmtId="164" fontId="24" fillId="3" borderId="85" xfId="0" applyNumberFormat="1" applyFont="1" applyFill="1" applyBorder="1" applyAlignment="1">
      <alignment vertical="center"/>
    </xf>
    <xf numFmtId="0" fontId="0" fillId="2" borderId="85" xfId="0" applyFill="1" applyBorder="1" applyAlignment="1">
      <alignment horizontal="left" vertical="top" wrapText="1"/>
    </xf>
    <xf numFmtId="0" fontId="0" fillId="2" borderId="85" xfId="0" applyFill="1" applyBorder="1" applyAlignment="1">
      <alignment vertical="top" wrapText="1"/>
    </xf>
    <xf numFmtId="0" fontId="0" fillId="3" borderId="85" xfId="0" applyFill="1" applyBorder="1" applyAlignment="1">
      <alignment horizontal="left" vertical="top" wrapText="1"/>
    </xf>
    <xf numFmtId="0" fontId="0" fillId="3" borderId="85" xfId="0" applyFill="1" applyBorder="1" applyAlignment="1">
      <alignment vertical="center"/>
    </xf>
    <xf numFmtId="0" fontId="2" fillId="3" borderId="85" xfId="0" applyFont="1" applyFill="1" applyBorder="1" applyAlignment="1">
      <alignment vertical="center"/>
    </xf>
    <xf numFmtId="0" fontId="17" fillId="3" borderId="85" xfId="0" applyFont="1" applyFill="1" applyBorder="1" applyAlignment="1">
      <alignment horizontal="left" vertical="center"/>
    </xf>
    <xf numFmtId="0" fontId="0" fillId="3" borderId="85" xfId="0" applyFill="1" applyBorder="1" applyAlignment="1">
      <alignment horizontal="center" vertical="top"/>
    </xf>
    <xf numFmtId="0" fontId="0" fillId="3" borderId="85" xfId="0" applyFill="1" applyBorder="1" applyAlignment="1">
      <alignment horizontal="left" vertical="top"/>
    </xf>
    <xf numFmtId="0" fontId="0" fillId="2" borderId="85" xfId="0" applyFill="1" applyBorder="1" applyAlignment="1">
      <alignment horizontal="left" vertical="center"/>
    </xf>
    <xf numFmtId="0" fontId="29" fillId="2" borderId="85" xfId="0" applyFont="1" applyFill="1" applyBorder="1" applyAlignment="1">
      <alignment horizontal="left" vertical="center"/>
    </xf>
    <xf numFmtId="0" fontId="2" fillId="2" borderId="85" xfId="0" applyFont="1" applyFill="1" applyBorder="1" applyAlignment="1">
      <alignment horizontal="left" vertical="top"/>
    </xf>
    <xf numFmtId="0" fontId="2" fillId="3" borderId="85" xfId="0" applyFont="1" applyFill="1" applyBorder="1" applyAlignment="1">
      <alignment horizontal="left" vertical="center" wrapText="1"/>
    </xf>
    <xf numFmtId="0" fontId="0" fillId="2" borderId="85" xfId="0" applyFill="1" applyBorder="1" applyAlignment="1">
      <alignment horizontal="left"/>
    </xf>
    <xf numFmtId="164" fontId="0" fillId="2" borderId="85" xfId="0" applyNumberFormat="1" applyFill="1" applyBorder="1" applyAlignment="1">
      <alignment horizontal="left" vertical="center"/>
    </xf>
    <xf numFmtId="0" fontId="17" fillId="2" borderId="85" xfId="0" applyFont="1" applyFill="1" applyBorder="1" applyAlignment="1">
      <alignment horizontal="left" vertical="center"/>
    </xf>
    <xf numFmtId="164" fontId="0" fillId="74" borderId="85" xfId="0" applyNumberFormat="1" applyFill="1" applyBorder="1" applyAlignment="1">
      <alignment horizontal="left"/>
    </xf>
    <xf numFmtId="0" fontId="0" fillId="74" borderId="85" xfId="0" applyFill="1" applyBorder="1" applyAlignment="1">
      <alignment horizontal="left"/>
    </xf>
    <xf numFmtId="0" fontId="29" fillId="0" borderId="85" xfId="0" applyFont="1" applyBorder="1"/>
    <xf numFmtId="0" fontId="0" fillId="2" borderId="85" xfId="0" applyFill="1" applyBorder="1" applyAlignment="1">
      <alignment vertical="center"/>
    </xf>
    <xf numFmtId="0" fontId="0" fillId="2" borderId="85" xfId="0" applyFill="1" applyBorder="1"/>
    <xf numFmtId="0" fontId="2" fillId="2" borderId="85" xfId="0" applyFont="1" applyFill="1" applyBorder="1" applyAlignment="1">
      <alignment vertical="center"/>
    </xf>
    <xf numFmtId="0" fontId="57" fillId="0" borderId="85" xfId="0" applyFont="1" applyBorder="1"/>
    <xf numFmtId="0" fontId="2" fillId="2" borderId="85" xfId="0" applyFont="1" applyFill="1" applyBorder="1" applyAlignment="1">
      <alignment horizontal="center"/>
    </xf>
    <xf numFmtId="0" fontId="0" fillId="0" borderId="85" xfId="0" applyBorder="1" applyAlignment="1">
      <alignment vertical="center"/>
    </xf>
    <xf numFmtId="0" fontId="2" fillId="3" borderId="85" xfId="0" applyFont="1" applyFill="1" applyBorder="1" applyAlignment="1">
      <alignment horizontal="left" vertical="center"/>
    </xf>
    <xf numFmtId="0" fontId="0" fillId="2" borderId="85" xfId="0" applyFill="1" applyBorder="1" applyAlignment="1">
      <alignment horizontal="center"/>
    </xf>
    <xf numFmtId="0" fontId="57" fillId="3" borderId="85" xfId="0" applyFont="1" applyFill="1" applyBorder="1" applyAlignment="1">
      <alignment horizontal="left" vertical="center"/>
    </xf>
    <xf numFmtId="0" fontId="2" fillId="0" borderId="85" xfId="0" applyFont="1" applyBorder="1" applyAlignment="1">
      <alignment vertical="center"/>
    </xf>
    <xf numFmtId="0" fontId="0" fillId="0" borderId="85" xfId="0" applyBorder="1" applyAlignment="1">
      <alignment horizontal="center"/>
    </xf>
    <xf numFmtId="0" fontId="57" fillId="0" borderId="85" xfId="0" applyFont="1" applyBorder="1" applyAlignment="1">
      <alignment horizontal="left" vertical="center"/>
    </xf>
    <xf numFmtId="0" fontId="57" fillId="2" borderId="85" xfId="0" applyFont="1" applyFill="1" applyBorder="1" applyAlignment="1">
      <alignment horizontal="left" vertical="center"/>
    </xf>
    <xf numFmtId="0" fontId="57" fillId="2" borderId="85" xfId="0" applyFont="1" applyFill="1" applyBorder="1" applyAlignment="1">
      <alignment vertical="center"/>
    </xf>
    <xf numFmtId="0" fontId="29" fillId="2" borderId="85" xfId="0" applyFont="1" applyFill="1" applyBorder="1" applyAlignment="1">
      <alignment vertical="center"/>
    </xf>
    <xf numFmtId="0" fontId="57" fillId="3" borderId="85" xfId="0" applyFont="1" applyFill="1" applyBorder="1" applyAlignment="1">
      <alignment vertical="center"/>
    </xf>
    <xf numFmtId="0" fontId="57" fillId="0" borderId="85" xfId="0" applyFont="1" applyBorder="1" applyAlignment="1">
      <alignment vertical="center"/>
    </xf>
    <xf numFmtId="0" fontId="29" fillId="0" borderId="85" xfId="0" applyFont="1" applyBorder="1" applyAlignment="1">
      <alignment vertical="center" wrapText="1"/>
    </xf>
    <xf numFmtId="4" fontId="0" fillId="2" borderId="85" xfId="0" applyNumberFormat="1" applyFill="1" applyBorder="1"/>
    <xf numFmtId="0" fontId="2" fillId="0" borderId="85" xfId="0" applyFont="1" applyBorder="1" applyAlignment="1">
      <alignment vertical="center" wrapText="1"/>
    </xf>
    <xf numFmtId="0" fontId="0" fillId="0" borderId="85" xfId="0" applyBorder="1"/>
    <xf numFmtId="0" fontId="2" fillId="2" borderId="85" xfId="0" applyFont="1" applyFill="1" applyBorder="1"/>
    <xf numFmtId="0" fontId="2" fillId="3" borderId="85" xfId="0" applyFont="1" applyFill="1" applyBorder="1" applyAlignment="1">
      <alignment vertical="center" wrapText="1"/>
    </xf>
    <xf numFmtId="16" fontId="0" fillId="0" borderId="85" xfId="0" applyNumberFormat="1" applyBorder="1"/>
    <xf numFmtId="8" fontId="2" fillId="2" borderId="85" xfId="0" applyNumberFormat="1" applyFont="1" applyFill="1" applyBorder="1" applyAlignment="1">
      <alignment vertical="center"/>
    </xf>
    <xf numFmtId="0" fontId="44" fillId="63" borderId="85" xfId="0" applyFont="1" applyFill="1" applyBorder="1" applyAlignment="1">
      <alignment vertical="center"/>
    </xf>
    <xf numFmtId="0" fontId="53" fillId="0" borderId="85" xfId="0" applyFont="1" applyBorder="1" applyAlignment="1">
      <alignment horizontal="left" vertical="center" wrapText="1"/>
    </xf>
    <xf numFmtId="164" fontId="0" fillId="0" borderId="85" xfId="0" applyNumberFormat="1" applyBorder="1" applyAlignment="1">
      <alignment vertical="center"/>
    </xf>
    <xf numFmtId="0" fontId="53" fillId="40" borderId="85" xfId="44" applyFont="1" applyFill="1" applyBorder="1"/>
    <xf numFmtId="0" fontId="66" fillId="40" borderId="85" xfId="44" applyFont="1" applyFill="1" applyBorder="1"/>
    <xf numFmtId="0" fontId="53" fillId="40" borderId="85" xfId="0" applyFont="1" applyFill="1" applyBorder="1"/>
    <xf numFmtId="0" fontId="53" fillId="40" borderId="85" xfId="44" applyFont="1" applyFill="1" applyBorder="1" applyAlignment="1">
      <alignment horizontal="center" vertical="center"/>
    </xf>
    <xf numFmtId="0" fontId="53" fillId="40" borderId="85" xfId="0" applyFont="1" applyFill="1" applyBorder="1" applyAlignment="1">
      <alignment horizontal="center"/>
    </xf>
    <xf numFmtId="0" fontId="53" fillId="40" borderId="85" xfId="0" applyFont="1" applyFill="1" applyBorder="1" applyAlignment="1">
      <alignment horizontal="center" vertical="top"/>
    </xf>
    <xf numFmtId="0" fontId="53" fillId="40" borderId="85" xfId="0" applyFont="1" applyFill="1" applyBorder="1" applyAlignment="1">
      <alignment horizontal="center" vertical="center"/>
    </xf>
    <xf numFmtId="0" fontId="66" fillId="40" borderId="85" xfId="0" applyFont="1" applyFill="1" applyBorder="1" applyAlignment="1">
      <alignment horizontal="center"/>
    </xf>
    <xf numFmtId="0" fontId="70" fillId="40" borderId="85" xfId="44" applyFont="1" applyFill="1" applyBorder="1" applyAlignment="1">
      <alignment horizontal="center" vertical="center"/>
    </xf>
    <xf numFmtId="0" fontId="29" fillId="40" borderId="85" xfId="0" applyFont="1" applyFill="1" applyBorder="1" applyAlignment="1">
      <alignment horizontal="center" vertical="top"/>
    </xf>
    <xf numFmtId="164" fontId="53" fillId="40" borderId="85" xfId="0" applyNumberFormat="1" applyFont="1" applyFill="1" applyBorder="1" applyAlignment="1">
      <alignment horizontal="center"/>
    </xf>
    <xf numFmtId="0" fontId="57" fillId="40" borderId="85" xfId="0" applyFont="1" applyFill="1" applyBorder="1" applyAlignment="1">
      <alignment horizontal="center"/>
    </xf>
    <xf numFmtId="0" fontId="0" fillId="40" borderId="85" xfId="0" applyFill="1" applyBorder="1" applyAlignment="1">
      <alignment horizontal="center" vertical="top"/>
    </xf>
    <xf numFmtId="164" fontId="53" fillId="40" borderId="85" xfId="0" applyNumberFormat="1" applyFont="1" applyFill="1" applyBorder="1" applyAlignment="1">
      <alignment horizontal="center" vertical="center"/>
    </xf>
    <xf numFmtId="164" fontId="53" fillId="0" borderId="85" xfId="0" applyNumberFormat="1" applyFont="1" applyBorder="1" applyAlignment="1">
      <alignment horizontal="center" vertical="center"/>
    </xf>
    <xf numFmtId="164" fontId="70" fillId="40" borderId="85" xfId="0" applyNumberFormat="1" applyFont="1" applyFill="1" applyBorder="1" applyAlignment="1">
      <alignment horizontal="center" vertical="center"/>
    </xf>
    <xf numFmtId="0" fontId="104" fillId="40" borderId="85" xfId="44" applyFont="1" applyFill="1" applyBorder="1"/>
    <xf numFmtId="0" fontId="95" fillId="40" borderId="85" xfId="44" applyFont="1" applyFill="1" applyBorder="1"/>
    <xf numFmtId="0" fontId="104" fillId="40" borderId="87" xfId="44" applyFont="1" applyFill="1" applyBorder="1"/>
    <xf numFmtId="0" fontId="88" fillId="40" borderId="85" xfId="0" applyFont="1" applyFill="1" applyBorder="1" applyAlignment="1">
      <alignment horizontal="center" vertical="center"/>
    </xf>
    <xf numFmtId="0" fontId="95" fillId="40" borderId="87" xfId="44" applyFont="1" applyFill="1" applyBorder="1"/>
    <xf numFmtId="0" fontId="85" fillId="40" borderId="85" xfId="0" applyFont="1" applyFill="1" applyBorder="1" applyAlignment="1">
      <alignment horizontal="left"/>
    </xf>
    <xf numFmtId="0" fontId="87" fillId="40" borderId="85" xfId="0" applyFont="1" applyFill="1" applyBorder="1" applyAlignment="1">
      <alignment horizontal="left"/>
    </xf>
    <xf numFmtId="0" fontId="95" fillId="40" borderId="85" xfId="0" applyFont="1" applyFill="1" applyBorder="1"/>
    <xf numFmtId="0" fontId="95" fillId="40" borderId="85" xfId="0" applyFont="1" applyFill="1" applyBorder="1" applyAlignment="1">
      <alignment wrapText="1"/>
    </xf>
    <xf numFmtId="0" fontId="95" fillId="3" borderId="85" xfId="44" applyFont="1" applyFill="1" applyBorder="1"/>
    <xf numFmtId="0" fontId="66" fillId="40" borderId="85" xfId="44" applyFont="1" applyFill="1" applyBorder="1" applyAlignment="1">
      <alignment horizontal="center" vertical="center"/>
    </xf>
    <xf numFmtId="0" fontId="2" fillId="39" borderId="88" xfId="0" applyFont="1" applyFill="1" applyBorder="1"/>
    <xf numFmtId="0" fontId="85" fillId="38" borderId="85" xfId="0" applyFont="1" applyFill="1" applyBorder="1" applyAlignment="1">
      <alignment horizontal="center" vertical="center"/>
    </xf>
    <xf numFmtId="0" fontId="53" fillId="38" borderId="85" xfId="0" applyFont="1" applyFill="1" applyBorder="1" applyAlignment="1">
      <alignment horizontal="center"/>
    </xf>
    <xf numFmtId="16" fontId="53" fillId="38" borderId="85" xfId="0" applyNumberFormat="1" applyFont="1" applyFill="1" applyBorder="1" applyAlignment="1">
      <alignment horizontal="center"/>
    </xf>
    <xf numFmtId="0" fontId="53" fillId="0" borderId="85" xfId="0" applyFont="1" applyBorder="1" applyAlignment="1">
      <alignment horizontal="center"/>
    </xf>
    <xf numFmtId="0" fontId="53" fillId="0" borderId="85" xfId="0" applyFont="1" applyBorder="1"/>
    <xf numFmtId="0" fontId="53" fillId="38" borderId="85" xfId="0" applyFont="1" applyFill="1" applyBorder="1"/>
    <xf numFmtId="0" fontId="95" fillId="58" borderId="85" xfId="0" applyFont="1" applyFill="1" applyBorder="1"/>
    <xf numFmtId="0" fontId="53" fillId="0" borderId="85" xfId="0" applyFont="1" applyBorder="1" applyAlignment="1">
      <alignment horizontal="center" vertical="center"/>
    </xf>
    <xf numFmtId="0" fontId="0" fillId="0" borderId="85" xfId="0" applyBorder="1" applyAlignment="1">
      <alignment horizontal="left" vertical="center"/>
    </xf>
    <xf numFmtId="0" fontId="53" fillId="0" borderId="85" xfId="0" applyFont="1" applyBorder="1" applyAlignment="1">
      <alignment vertical="center" wrapText="1"/>
    </xf>
    <xf numFmtId="0" fontId="0" fillId="117" borderId="0" xfId="0" applyFill="1" applyAlignment="1">
      <alignment vertical="center"/>
    </xf>
    <xf numFmtId="179" fontId="0" fillId="2" borderId="18" xfId="0" applyNumberFormat="1" applyFill="1" applyBorder="1" applyAlignment="1">
      <alignment vertical="center"/>
    </xf>
    <xf numFmtId="0" fontId="0" fillId="118" borderId="0" xfId="0" applyFill="1" applyAlignment="1">
      <alignment vertical="center"/>
    </xf>
    <xf numFmtId="14" fontId="307" fillId="0" borderId="0" xfId="0" applyNumberFormat="1" applyFont="1" applyAlignment="1">
      <alignment vertical="center"/>
    </xf>
    <xf numFmtId="0" fontId="0" fillId="114" borderId="0" xfId="0" applyFill="1"/>
    <xf numFmtId="164" fontId="45" fillId="4" borderId="0" xfId="0" applyNumberFormat="1" applyFont="1" applyFill="1"/>
    <xf numFmtId="0" fontId="0" fillId="2" borderId="4" xfId="0" applyFill="1" applyBorder="1" applyAlignment="1">
      <alignment vertical="center"/>
    </xf>
    <xf numFmtId="164" fontId="307" fillId="2" borderId="4" xfId="0" applyNumberFormat="1" applyFont="1" applyFill="1" applyBorder="1" applyAlignment="1">
      <alignment horizontal="left" vertical="center"/>
    </xf>
    <xf numFmtId="179" fontId="0" fillId="2" borderId="4" xfId="0" applyNumberFormat="1" applyFill="1" applyBorder="1" applyAlignment="1">
      <alignment vertical="center"/>
    </xf>
    <xf numFmtId="0" fontId="0" fillId="43" borderId="20" xfId="0" applyFill="1" applyBorder="1" applyAlignment="1">
      <alignment vertical="center"/>
    </xf>
    <xf numFmtId="164" fontId="307" fillId="0" borderId="17" xfId="0" applyNumberFormat="1" applyFont="1" applyBorder="1" applyAlignment="1">
      <alignment horizontal="left" vertical="center"/>
    </xf>
    <xf numFmtId="164" fontId="0" fillId="4" borderId="17" xfId="0" applyNumberFormat="1" applyFill="1" applyBorder="1" applyAlignment="1">
      <alignment vertical="center"/>
    </xf>
    <xf numFmtId="14" fontId="45" fillId="0" borderId="81" xfId="0" applyNumberFormat="1" applyFont="1" applyBorder="1" applyAlignment="1">
      <alignment vertical="center"/>
    </xf>
    <xf numFmtId="0" fontId="316" fillId="0" borderId="4" xfId="0" applyFont="1" applyBorder="1" applyAlignment="1">
      <alignment vertical="center"/>
    </xf>
    <xf numFmtId="179" fontId="0" fillId="0" borderId="4" xfId="0" applyNumberFormat="1" applyBorder="1" applyAlignment="1">
      <alignment vertical="center"/>
    </xf>
    <xf numFmtId="179" fontId="0" fillId="2" borderId="20" xfId="0" applyNumberFormat="1" applyFill="1" applyBorder="1" applyAlignment="1">
      <alignment vertical="center"/>
    </xf>
    <xf numFmtId="164" fontId="0" fillId="0" borderId="26" xfId="0" applyNumberFormat="1" applyBorder="1" applyAlignment="1">
      <alignment vertical="center"/>
    </xf>
    <xf numFmtId="16" fontId="0" fillId="0" borderId="17" xfId="0" applyNumberFormat="1" applyBorder="1" applyAlignment="1">
      <alignment horizontal="left" vertical="center"/>
    </xf>
    <xf numFmtId="0" fontId="85" fillId="40" borderId="89" xfId="0" applyFont="1" applyFill="1" applyBorder="1"/>
    <xf numFmtId="0" fontId="26" fillId="6" borderId="90" xfId="0" applyFont="1" applyFill="1" applyBorder="1"/>
    <xf numFmtId="0" fontId="21" fillId="6" borderId="91" xfId="0" applyFont="1" applyFill="1" applyBorder="1" applyAlignment="1">
      <alignment horizontal="center" vertical="center"/>
    </xf>
    <xf numFmtId="0" fontId="25" fillId="0" borderId="90" xfId="0" applyFont="1" applyBorder="1"/>
    <xf numFmtId="0" fontId="2" fillId="0" borderId="90" xfId="0" applyFont="1" applyBorder="1"/>
    <xf numFmtId="0" fontId="0" fillId="0" borderId="91" xfId="0" applyBorder="1" applyAlignment="1">
      <alignment horizontal="center" vertical="center"/>
    </xf>
    <xf numFmtId="0" fontId="2" fillId="0" borderId="92" xfId="0" applyFont="1" applyBorder="1"/>
    <xf numFmtId="0" fontId="0" fillId="0" borderId="93" xfId="0" applyBorder="1" applyAlignment="1">
      <alignment horizontal="center" vertical="center"/>
    </xf>
    <xf numFmtId="0" fontId="2" fillId="39" borderId="92" xfId="0" applyFont="1" applyFill="1" applyBorder="1" applyAlignment="1">
      <alignment horizontal="center"/>
    </xf>
    <xf numFmtId="0" fontId="51" fillId="0" borderId="93" xfId="1" applyFont="1" applyBorder="1" applyAlignment="1">
      <alignment horizontal="center" vertical="center"/>
    </xf>
    <xf numFmtId="0" fontId="2" fillId="39" borderId="90" xfId="0" applyFont="1" applyFill="1" applyBorder="1"/>
    <xf numFmtId="0" fontId="2" fillId="39" borderId="92" xfId="0" applyFont="1" applyFill="1" applyBorder="1"/>
    <xf numFmtId="0" fontId="0" fillId="4" borderId="93" xfId="0" applyFill="1" applyBorder="1" applyAlignment="1">
      <alignment horizontal="center" vertical="center"/>
    </xf>
    <xf numFmtId="16" fontId="56" fillId="0" borderId="94" xfId="0" applyNumberFormat="1" applyFont="1" applyBorder="1" applyAlignment="1">
      <alignment horizontal="center" vertical="center"/>
    </xf>
    <xf numFmtId="0" fontId="56" fillId="0" borderId="95" xfId="0" applyFont="1" applyBorder="1" applyAlignment="1">
      <alignment horizontal="center" vertical="center"/>
    </xf>
    <xf numFmtId="16" fontId="56" fillId="0" borderId="96" xfId="0" applyNumberFormat="1" applyFont="1" applyBorder="1" applyAlignment="1">
      <alignment horizontal="center" vertical="center"/>
    </xf>
    <xf numFmtId="0" fontId="0" fillId="0" borderId="97" xfId="0" applyBorder="1" applyAlignment="1">
      <alignment horizontal="center" vertical="center"/>
    </xf>
    <xf numFmtId="0" fontId="251" fillId="2" borderId="91" xfId="89" applyFont="1" applyFill="1" applyBorder="1" applyAlignment="1">
      <alignment vertical="top" wrapText="1"/>
    </xf>
    <xf numFmtId="0" fontId="0" fillId="2" borderId="98" xfId="0" applyFill="1" applyBorder="1" applyAlignment="1">
      <alignment vertical="center"/>
    </xf>
    <xf numFmtId="0" fontId="2" fillId="2" borderId="98" xfId="0" applyFont="1" applyFill="1" applyBorder="1" applyAlignment="1">
      <alignment vertical="center"/>
    </xf>
    <xf numFmtId="0" fontId="2" fillId="3" borderId="98" xfId="0" applyFont="1" applyFill="1" applyBorder="1" applyAlignment="1">
      <alignment vertical="center"/>
    </xf>
    <xf numFmtId="0" fontId="0" fillId="2" borderId="98" xfId="0" applyFill="1" applyBorder="1" applyAlignment="1">
      <alignment horizontal="left" vertical="center" wrapText="1"/>
    </xf>
    <xf numFmtId="0" fontId="2" fillId="2" borderId="82" xfId="0" applyFont="1" applyFill="1" applyBorder="1" applyAlignment="1">
      <alignment horizontal="center" vertical="center" wrapText="1"/>
    </xf>
    <xf numFmtId="0" fontId="0" fillId="2" borderId="82" xfId="0" applyFill="1" applyBorder="1" applyAlignment="1">
      <alignment vertical="center" wrapText="1"/>
    </xf>
    <xf numFmtId="0" fontId="0" fillId="0" borderId="98" xfId="0" applyBorder="1" applyAlignment="1">
      <alignment vertical="center"/>
    </xf>
    <xf numFmtId="0" fontId="0" fillId="3" borderId="98" xfId="0" applyFill="1" applyBorder="1" applyAlignment="1">
      <alignment vertical="center"/>
    </xf>
    <xf numFmtId="164" fontId="0" fillId="2" borderId="98" xfId="0" applyNumberFormat="1" applyFill="1" applyBorder="1" applyAlignment="1">
      <alignment horizontal="center" vertical="center"/>
    </xf>
    <xf numFmtId="0" fontId="0" fillId="2" borderId="98" xfId="0" applyFill="1" applyBorder="1" applyAlignment="1">
      <alignment horizontal="center" vertical="center"/>
    </xf>
    <xf numFmtId="0" fontId="0" fillId="2" borderId="98" xfId="0" applyFill="1" applyBorder="1" applyAlignment="1">
      <alignment vertical="center" wrapText="1"/>
    </xf>
    <xf numFmtId="0" fontId="2" fillId="3" borderId="82" xfId="0" applyFont="1" applyFill="1" applyBorder="1" applyAlignment="1">
      <alignment horizontal="left" vertical="center"/>
    </xf>
    <xf numFmtId="0" fontId="2" fillId="3" borderId="82" xfId="0" applyFont="1" applyFill="1" applyBorder="1" applyAlignment="1">
      <alignment vertical="center"/>
    </xf>
    <xf numFmtId="0" fontId="2" fillId="2" borderId="82" xfId="0" applyFont="1" applyFill="1" applyBorder="1" applyAlignment="1">
      <alignment horizontal="left" vertical="center"/>
    </xf>
    <xf numFmtId="0" fontId="2" fillId="2" borderId="82" xfId="0" applyFont="1" applyFill="1" applyBorder="1" applyAlignment="1">
      <alignment horizontal="center" vertical="center"/>
    </xf>
    <xf numFmtId="0" fontId="56" fillId="3" borderId="98" xfId="0" applyFont="1" applyFill="1" applyBorder="1" applyAlignment="1">
      <alignment vertical="center"/>
    </xf>
    <xf numFmtId="0" fontId="0" fillId="3" borderId="2" xfId="0" applyFill="1" applyBorder="1" applyAlignment="1">
      <alignment vertical="center"/>
    </xf>
    <xf numFmtId="0" fontId="23" fillId="2" borderId="85" xfId="0" applyFont="1" applyFill="1" applyBorder="1" applyAlignment="1">
      <alignment vertical="center"/>
    </xf>
    <xf numFmtId="18" fontId="0" fillId="2" borderId="85" xfId="0" applyNumberFormat="1" applyFill="1" applyBorder="1" applyAlignment="1">
      <alignment vertical="center"/>
    </xf>
    <xf numFmtId="18" fontId="57" fillId="2" borderId="85" xfId="0" applyNumberFormat="1" applyFont="1" applyFill="1" applyBorder="1" applyAlignment="1">
      <alignment vertical="center"/>
    </xf>
    <xf numFmtId="164" fontId="24" fillId="3" borderId="80" xfId="0" applyNumberFormat="1" applyFont="1" applyFill="1" applyBorder="1" applyAlignment="1">
      <alignment vertical="center"/>
    </xf>
    <xf numFmtId="164" fontId="24" fillId="3" borderId="80" xfId="0" applyNumberFormat="1" applyFont="1" applyFill="1" applyBorder="1" applyAlignment="1">
      <alignment horizontal="left" vertical="center"/>
    </xf>
    <xf numFmtId="164" fontId="24" fillId="3" borderId="80" xfId="0" applyNumberFormat="1" applyFont="1" applyFill="1" applyBorder="1" applyAlignment="1">
      <alignment horizontal="center" vertical="center"/>
    </xf>
    <xf numFmtId="18" fontId="0" fillId="2" borderId="85" xfId="0" applyNumberFormat="1" applyFill="1" applyBorder="1" applyAlignment="1">
      <alignment horizontal="left" vertical="center"/>
    </xf>
    <xf numFmtId="0" fontId="24" fillId="2" borderId="80" xfId="0" applyFont="1" applyFill="1" applyBorder="1" applyAlignment="1">
      <alignment horizontal="center" vertical="center"/>
    </xf>
    <xf numFmtId="0" fontId="56" fillId="3" borderId="80" xfId="0" applyFont="1" applyFill="1" applyBorder="1" applyAlignment="1">
      <alignment horizontal="left" vertical="center" wrapText="1"/>
    </xf>
    <xf numFmtId="18" fontId="0" fillId="2" borderId="80" xfId="0" applyNumberFormat="1" applyFill="1" applyBorder="1" applyAlignment="1">
      <alignment horizontal="left" vertical="center"/>
    </xf>
    <xf numFmtId="18" fontId="0" fillId="2" borderId="80" xfId="0" applyNumberFormat="1" applyFill="1" applyBorder="1" applyAlignment="1">
      <alignment horizontal="center" vertical="center"/>
    </xf>
    <xf numFmtId="0" fontId="2" fillId="2" borderId="80" xfId="0" applyFont="1" applyFill="1" applyBorder="1" applyAlignment="1">
      <alignment horizontal="left" vertical="center"/>
    </xf>
    <xf numFmtId="0" fontId="24" fillId="3" borderId="85" xfId="0" applyFont="1" applyFill="1" applyBorder="1" applyAlignment="1">
      <alignment vertical="center"/>
    </xf>
    <xf numFmtId="164" fontId="57" fillId="3" borderId="85" xfId="0" applyNumberFormat="1" applyFont="1" applyFill="1" applyBorder="1" applyAlignment="1">
      <alignment vertical="center"/>
    </xf>
    <xf numFmtId="18" fontId="53" fillId="2" borderId="85" xfId="0" applyNumberFormat="1" applyFont="1" applyFill="1" applyBorder="1" applyAlignment="1">
      <alignment horizontal="center" vertical="center"/>
    </xf>
    <xf numFmtId="18" fontId="0" fillId="2" borderId="85" xfId="0" applyNumberFormat="1" applyFill="1" applyBorder="1" applyAlignment="1">
      <alignment horizontal="center" vertical="center"/>
    </xf>
    <xf numFmtId="0" fontId="2" fillId="2" borderId="85" xfId="0" applyFont="1" applyFill="1" applyBorder="1" applyAlignment="1">
      <alignment horizontal="left" vertical="center"/>
    </xf>
    <xf numFmtId="0" fontId="23" fillId="3" borderId="80" xfId="0" applyFont="1" applyFill="1" applyBorder="1" applyAlignment="1">
      <alignment horizontal="left" vertical="center"/>
    </xf>
    <xf numFmtId="0" fontId="24" fillId="3" borderId="80" xfId="0" applyFont="1" applyFill="1" applyBorder="1" applyAlignment="1">
      <alignment horizontal="left" vertical="center"/>
    </xf>
    <xf numFmtId="164" fontId="24" fillId="3" borderId="80" xfId="0" applyNumberFormat="1" applyFont="1" applyFill="1" applyBorder="1" applyAlignment="1">
      <alignment vertical="center" wrapText="1"/>
    </xf>
    <xf numFmtId="164" fontId="56" fillId="2" borderId="80" xfId="0" applyNumberFormat="1" applyFont="1" applyFill="1" applyBorder="1" applyAlignment="1">
      <alignment vertical="center" wrapText="1"/>
    </xf>
    <xf numFmtId="0" fontId="24" fillId="3" borderId="80" xfId="0" applyFont="1" applyFill="1" applyBorder="1" applyAlignment="1">
      <alignment vertical="center"/>
    </xf>
    <xf numFmtId="164" fontId="56" fillId="3" borderId="80" xfId="0" applyNumberFormat="1" applyFont="1" applyFill="1" applyBorder="1" applyAlignment="1">
      <alignment horizontal="left" vertical="center"/>
    </xf>
    <xf numFmtId="164" fontId="56" fillId="3" borderId="85" xfId="0" applyNumberFormat="1" applyFont="1" applyFill="1" applyBorder="1" applyAlignment="1">
      <alignment horizontal="left" vertical="center"/>
    </xf>
    <xf numFmtId="0" fontId="2" fillId="2" borderId="80" xfId="0" applyFont="1" applyFill="1" applyBorder="1" applyAlignment="1">
      <alignment horizontal="left" vertical="center" wrapText="1"/>
    </xf>
    <xf numFmtId="164" fontId="57" fillId="2" borderId="80" xfId="0" applyNumberFormat="1" applyFont="1" applyFill="1" applyBorder="1" applyAlignment="1">
      <alignment vertical="center"/>
    </xf>
    <xf numFmtId="164" fontId="57" fillId="2" borderId="85" xfId="0" applyNumberFormat="1" applyFont="1" applyFill="1" applyBorder="1" applyAlignment="1">
      <alignment vertical="center"/>
    </xf>
    <xf numFmtId="164" fontId="57" fillId="3" borderId="80" xfId="0" applyNumberFormat="1" applyFont="1" applyFill="1" applyBorder="1" applyAlignment="1">
      <alignment vertical="center"/>
    </xf>
    <xf numFmtId="164" fontId="2" fillId="3" borderId="85" xfId="0" applyNumberFormat="1" applyFont="1" applyFill="1" applyBorder="1" applyAlignment="1">
      <alignment vertical="center"/>
    </xf>
    <xf numFmtId="0" fontId="56" fillId="3" borderId="80" xfId="4046" quotePrefix="1" applyFont="1" applyFill="1" applyBorder="1" applyAlignment="1">
      <alignment vertical="center" wrapText="1"/>
    </xf>
    <xf numFmtId="164" fontId="44" fillId="63" borderId="17" xfId="0" applyNumberFormat="1" applyFont="1" applyFill="1" applyBorder="1" applyAlignment="1">
      <alignment horizontal="center" vertical="center" wrapText="1"/>
    </xf>
    <xf numFmtId="164" fontId="56" fillId="3" borderId="17" xfId="0" applyNumberFormat="1" applyFont="1" applyFill="1" applyBorder="1" applyAlignment="1">
      <alignment vertical="center"/>
    </xf>
    <xf numFmtId="164" fontId="163" fillId="2" borderId="17" xfId="0" applyNumberFormat="1" applyFont="1" applyFill="1" applyBorder="1" applyAlignment="1">
      <alignment vertical="center"/>
    </xf>
    <xf numFmtId="16" fontId="163" fillId="2" borderId="17" xfId="0" applyNumberFormat="1" applyFont="1" applyFill="1" applyBorder="1" applyAlignment="1">
      <alignment vertical="center"/>
    </xf>
    <xf numFmtId="164" fontId="57" fillId="2" borderId="17" xfId="0" applyNumberFormat="1" applyFont="1" applyFill="1" applyBorder="1" applyAlignment="1">
      <alignment vertical="center"/>
    </xf>
    <xf numFmtId="164" fontId="24" fillId="2" borderId="17" xfId="0" applyNumberFormat="1" applyFont="1" applyFill="1" applyBorder="1" applyAlignment="1">
      <alignment horizontal="center" vertical="center"/>
    </xf>
    <xf numFmtId="164" fontId="163" fillId="2" borderId="17" xfId="0" applyNumberFormat="1" applyFont="1" applyFill="1" applyBorder="1" applyAlignment="1">
      <alignment horizontal="center" vertical="center"/>
    </xf>
    <xf numFmtId="164" fontId="56" fillId="2" borderId="17" xfId="0" applyNumberFormat="1" applyFont="1" applyFill="1" applyBorder="1" applyAlignment="1">
      <alignment horizontal="center" vertical="center"/>
    </xf>
    <xf numFmtId="0" fontId="163" fillId="2" borderId="17" xfId="0" applyFont="1" applyFill="1" applyBorder="1" applyAlignment="1">
      <alignment horizontal="center" vertical="center"/>
    </xf>
    <xf numFmtId="0" fontId="163" fillId="0" borderId="17" xfId="0" applyFont="1" applyBorder="1" applyAlignment="1">
      <alignment vertical="center"/>
    </xf>
    <xf numFmtId="164" fontId="57" fillId="3" borderId="17" xfId="0" applyNumberFormat="1" applyFont="1" applyFill="1" applyBorder="1" applyAlignment="1">
      <alignment vertical="center"/>
    </xf>
    <xf numFmtId="14" fontId="56" fillId="2" borderId="17" xfId="0" applyNumberFormat="1" applyFont="1" applyFill="1" applyBorder="1" applyAlignment="1">
      <alignment horizontal="center" vertical="center"/>
    </xf>
    <xf numFmtId="0" fontId="163" fillId="2" borderId="17" xfId="0" applyFont="1" applyFill="1" applyBorder="1" applyAlignment="1">
      <alignment vertical="center"/>
    </xf>
    <xf numFmtId="164" fontId="163" fillId="0" borderId="17" xfId="0" applyNumberFormat="1" applyFont="1" applyBorder="1" applyAlignment="1">
      <alignment horizontal="center" vertical="center"/>
    </xf>
    <xf numFmtId="164" fontId="163" fillId="0" borderId="17" xfId="0" applyNumberFormat="1" applyFont="1" applyBorder="1" applyAlignment="1">
      <alignment vertical="center"/>
    </xf>
    <xf numFmtId="0" fontId="57" fillId="3" borderId="17" xfId="0" applyFont="1" applyFill="1" applyBorder="1" applyAlignment="1">
      <alignment horizontal="left" vertical="center"/>
    </xf>
    <xf numFmtId="164" fontId="56" fillId="2" borderId="17" xfId="0" applyNumberFormat="1" applyFont="1" applyFill="1" applyBorder="1" applyAlignment="1">
      <alignment vertical="center" wrapText="1"/>
    </xf>
    <xf numFmtId="164" fontId="163" fillId="3" borderId="17" xfId="0" applyNumberFormat="1" applyFont="1" applyFill="1" applyBorder="1" applyAlignment="1">
      <alignment vertical="center"/>
    </xf>
    <xf numFmtId="0" fontId="277" fillId="2" borderId="17" xfId="0" applyFont="1" applyFill="1" applyBorder="1" applyAlignment="1">
      <alignment horizontal="left" vertical="center" wrapText="1"/>
    </xf>
    <xf numFmtId="14" fontId="299" fillId="0" borderId="17" xfId="0" applyNumberFormat="1" applyFont="1" applyBorder="1" applyAlignment="1">
      <alignment horizontal="left" vertical="center"/>
    </xf>
    <xf numFmtId="164" fontId="44" fillId="63" borderId="98" xfId="0" applyNumberFormat="1" applyFont="1" applyFill="1" applyBorder="1" applyAlignment="1">
      <alignment horizontal="center" vertical="center" wrapText="1"/>
    </xf>
    <xf numFmtId="0" fontId="299" fillId="0" borderId="98" xfId="0" applyFont="1" applyBorder="1" applyAlignment="1">
      <alignment horizontal="left" vertical="center"/>
    </xf>
    <xf numFmtId="164" fontId="44" fillId="63" borderId="85" xfId="0" applyNumberFormat="1" applyFont="1" applyFill="1" applyBorder="1" applyAlignment="1">
      <alignment horizontal="center" vertical="center" wrapText="1"/>
    </xf>
    <xf numFmtId="20" fontId="299" fillId="0" borderId="85" xfId="0" applyNumberFormat="1" applyFont="1" applyBorder="1" applyAlignment="1">
      <alignment horizontal="left" vertical="center"/>
    </xf>
    <xf numFmtId="0" fontId="2" fillId="3" borderId="99" xfId="0" applyFont="1" applyFill="1" applyBorder="1" applyAlignment="1">
      <alignment vertical="center" wrapText="1"/>
    </xf>
    <xf numFmtId="0" fontId="0" fillId="40" borderId="99" xfId="0" applyFill="1" applyBorder="1" applyAlignment="1">
      <alignment horizontal="left" vertical="center" wrapText="1"/>
    </xf>
    <xf numFmtId="164" fontId="53" fillId="40" borderId="99" xfId="0" applyNumberFormat="1" applyFont="1" applyFill="1" applyBorder="1" applyAlignment="1">
      <alignment horizontal="center" vertical="center" wrapText="1" indent="1"/>
    </xf>
    <xf numFmtId="164" fontId="29" fillId="40" borderId="99" xfId="0" applyNumberFormat="1" applyFont="1" applyFill="1" applyBorder="1" applyAlignment="1">
      <alignment horizontal="center" vertical="center" wrapText="1"/>
    </xf>
    <xf numFmtId="164" fontId="0" fillId="2" borderId="99" xfId="0" applyNumberFormat="1" applyFill="1" applyBorder="1" applyAlignment="1">
      <alignment horizontal="center" vertical="center" wrapText="1"/>
    </xf>
    <xf numFmtId="0" fontId="0" fillId="2" borderId="99" xfId="0" applyFill="1" applyBorder="1" applyAlignment="1">
      <alignment horizontal="center" vertical="center" wrapText="1"/>
    </xf>
    <xf numFmtId="0" fontId="2" fillId="3" borderId="99" xfId="0" applyFont="1" applyFill="1" applyBorder="1" applyAlignment="1">
      <alignment horizontal="center" vertical="center" wrapText="1"/>
    </xf>
    <xf numFmtId="164" fontId="0" fillId="3" borderId="99" xfId="0" applyNumberFormat="1" applyFill="1" applyBorder="1" applyAlignment="1">
      <alignment horizontal="center" vertical="center" wrapText="1"/>
    </xf>
    <xf numFmtId="0" fontId="0" fillId="3" borderId="99" xfId="0" applyFill="1" applyBorder="1"/>
    <xf numFmtId="0" fontId="0" fillId="3" borderId="99" xfId="0" applyFill="1" applyBorder="1" applyAlignment="1">
      <alignment vertical="center" wrapText="1"/>
    </xf>
    <xf numFmtId="0" fontId="0" fillId="2" borderId="99" xfId="0" applyFill="1" applyBorder="1" applyAlignment="1">
      <alignment horizontal="center" vertical="center"/>
    </xf>
    <xf numFmtId="0" fontId="0" fillId="3" borderId="99" xfId="0" applyFill="1" applyBorder="1" applyAlignment="1">
      <alignment horizontal="center" vertical="center" wrapText="1"/>
    </xf>
    <xf numFmtId="0" fontId="29" fillId="2" borderId="99" xfId="0" applyFont="1" applyFill="1" applyBorder="1" applyAlignment="1">
      <alignment horizontal="center" vertical="center"/>
    </xf>
    <xf numFmtId="0" fontId="2" fillId="0" borderId="99" xfId="0" applyFont="1" applyBorder="1" applyAlignment="1">
      <alignment horizontal="center" vertical="center"/>
    </xf>
    <xf numFmtId="0" fontId="53" fillId="2" borderId="99" xfId="0" applyFont="1" applyFill="1" applyBorder="1"/>
    <xf numFmtId="164" fontId="56" fillId="3" borderId="99" xfId="0" applyNumberFormat="1" applyFont="1" applyFill="1" applyBorder="1" applyAlignment="1">
      <alignment horizontal="left" vertical="center"/>
    </xf>
    <xf numFmtId="0" fontId="0" fillId="3" borderId="99" xfId="0" applyFill="1" applyBorder="1" applyAlignment="1">
      <alignment horizontal="left" vertical="center"/>
    </xf>
    <xf numFmtId="0" fontId="23" fillId="3" borderId="99" xfId="0" applyFont="1" applyFill="1" applyBorder="1" applyAlignment="1">
      <alignment horizontal="left"/>
    </xf>
    <xf numFmtId="164" fontId="23" fillId="3" borderId="99" xfId="0" applyNumberFormat="1" applyFont="1" applyFill="1" applyBorder="1" applyAlignment="1">
      <alignment horizontal="left"/>
    </xf>
    <xf numFmtId="0" fontId="0" fillId="3" borderId="99" xfId="0" applyFill="1" applyBorder="1" applyAlignment="1">
      <alignment horizontal="center" vertical="center"/>
    </xf>
    <xf numFmtId="0" fontId="111" fillId="3" borderId="99" xfId="0" applyFont="1" applyFill="1" applyBorder="1" applyAlignment="1">
      <alignment horizontal="center" vertical="center"/>
    </xf>
    <xf numFmtId="0" fontId="2" fillId="3" borderId="99" xfId="0" applyFont="1" applyFill="1" applyBorder="1" applyAlignment="1">
      <alignment horizontal="center" vertical="center"/>
    </xf>
    <xf numFmtId="0" fontId="53" fillId="2" borderId="99" xfId="0" applyFont="1" applyFill="1" applyBorder="1" applyAlignment="1">
      <alignment horizontal="center"/>
    </xf>
    <xf numFmtId="0" fontId="2" fillId="2" borderId="99" xfId="0" applyFont="1" applyFill="1" applyBorder="1" applyAlignment="1">
      <alignment horizontal="center" vertical="center"/>
    </xf>
    <xf numFmtId="164" fontId="0" fillId="3" borderId="99" xfId="0" applyNumberFormat="1" applyFill="1" applyBorder="1" applyAlignment="1">
      <alignment horizontal="center" vertical="center"/>
    </xf>
    <xf numFmtId="0" fontId="53" fillId="2" borderId="99" xfId="0" applyFont="1" applyFill="1" applyBorder="1" applyAlignment="1">
      <alignment horizontal="center" vertical="center"/>
    </xf>
    <xf numFmtId="164" fontId="29" fillId="2" borderId="99" xfId="0" applyNumberFormat="1" applyFont="1" applyFill="1" applyBorder="1" applyAlignment="1">
      <alignment horizontal="center" vertical="center"/>
    </xf>
    <xf numFmtId="0" fontId="24" fillId="3" borderId="99" xfId="0" applyFont="1" applyFill="1" applyBorder="1" applyAlignment="1">
      <alignment horizontal="center" vertical="center" wrapText="1"/>
    </xf>
    <xf numFmtId="0" fontId="24" fillId="3" borderId="99" xfId="0" applyFont="1" applyFill="1" applyBorder="1" applyAlignment="1">
      <alignment horizontal="center" vertical="center"/>
    </xf>
    <xf numFmtId="0" fontId="111" fillId="2" borderId="99" xfId="0" applyFont="1" applyFill="1" applyBorder="1" applyAlignment="1">
      <alignment horizontal="center" vertical="center"/>
    </xf>
    <xf numFmtId="164" fontId="0" fillId="2" borderId="99" xfId="0" applyNumberFormat="1" applyFill="1" applyBorder="1" applyAlignment="1">
      <alignment horizontal="center" vertical="center"/>
    </xf>
    <xf numFmtId="164" fontId="45" fillId="2" borderId="99" xfId="0" applyNumberFormat="1" applyFont="1" applyFill="1" applyBorder="1" applyAlignment="1">
      <alignment horizontal="center" vertical="center"/>
    </xf>
    <xf numFmtId="0" fontId="0" fillId="2" borderId="99" xfId="0" applyFill="1" applyBorder="1" applyAlignment="1">
      <alignment horizontal="left" vertical="center"/>
    </xf>
    <xf numFmtId="0" fontId="114" fillId="2" borderId="99" xfId="0" applyFont="1" applyFill="1" applyBorder="1"/>
    <xf numFmtId="16" fontId="0" fillId="2" borderId="99" xfId="0" applyNumberFormat="1" applyFill="1" applyBorder="1" applyAlignment="1">
      <alignment horizontal="left" vertical="center"/>
    </xf>
    <xf numFmtId="0" fontId="0" fillId="2" borderId="99" xfId="0" applyFill="1" applyBorder="1" applyAlignment="1">
      <alignment horizontal="left" vertical="center" wrapText="1"/>
    </xf>
    <xf numFmtId="10" fontId="0" fillId="2" borderId="99" xfId="0" applyNumberFormat="1" applyFill="1" applyBorder="1" applyAlignment="1">
      <alignment horizontal="left" vertical="center"/>
    </xf>
    <xf numFmtId="0" fontId="25" fillId="2" borderId="99" xfId="0" applyFont="1" applyFill="1" applyBorder="1" applyAlignment="1">
      <alignment horizontal="center" vertical="center"/>
    </xf>
    <xf numFmtId="164" fontId="23" fillId="2" borderId="99" xfId="0" applyNumberFormat="1" applyFont="1" applyFill="1" applyBorder="1" applyAlignment="1">
      <alignment horizontal="center" vertical="center"/>
    </xf>
    <xf numFmtId="0" fontId="159" fillId="0" borderId="99" xfId="0" applyFont="1" applyBorder="1" applyAlignment="1">
      <alignment horizontal="center"/>
    </xf>
    <xf numFmtId="0" fontId="29" fillId="2" borderId="99" xfId="0" applyFont="1" applyFill="1" applyBorder="1" applyAlignment="1">
      <alignment horizontal="center"/>
    </xf>
    <xf numFmtId="0" fontId="0" fillId="2" borderId="99" xfId="0" applyFill="1" applyBorder="1" applyAlignment="1">
      <alignment horizontal="center"/>
    </xf>
    <xf numFmtId="0" fontId="0" fillId="2" borderId="99" xfId="0" applyFill="1" applyBorder="1" applyAlignment="1">
      <alignment horizontal="left" wrapText="1"/>
    </xf>
    <xf numFmtId="0" fontId="0" fillId="0" borderId="99" xfId="0" applyBorder="1" applyAlignment="1">
      <alignment horizontal="center"/>
    </xf>
    <xf numFmtId="0" fontId="0" fillId="0" borderId="99" xfId="0" applyBorder="1" applyAlignment="1">
      <alignment horizontal="left"/>
    </xf>
    <xf numFmtId="0" fontId="0" fillId="0" borderId="99" xfId="0" applyBorder="1" applyAlignment="1">
      <alignment horizontal="left" vertical="center"/>
    </xf>
    <xf numFmtId="10" fontId="0" fillId="0" borderId="99" xfId="0" applyNumberFormat="1" applyBorder="1" applyAlignment="1">
      <alignment horizontal="left" vertical="center"/>
    </xf>
    <xf numFmtId="164" fontId="57" fillId="2" borderId="99" xfId="0" applyNumberFormat="1" applyFont="1" applyFill="1" applyBorder="1" applyAlignment="1">
      <alignment horizontal="center" vertical="center"/>
    </xf>
    <xf numFmtId="164" fontId="0" fillId="2" borderId="99" xfId="0" applyNumberFormat="1" applyFill="1" applyBorder="1" applyAlignment="1">
      <alignment horizontal="center"/>
    </xf>
    <xf numFmtId="164" fontId="23" fillId="2" borderId="99" xfId="0" applyNumberFormat="1" applyFont="1" applyFill="1" applyBorder="1" applyAlignment="1">
      <alignment horizontal="center"/>
    </xf>
    <xf numFmtId="164" fontId="29" fillId="2" borderId="99" xfId="0" applyNumberFormat="1" applyFont="1" applyFill="1" applyBorder="1" applyAlignment="1">
      <alignment horizontal="center"/>
    </xf>
    <xf numFmtId="0" fontId="2" fillId="2" borderId="99" xfId="0" applyFont="1" applyFill="1" applyBorder="1" applyAlignment="1">
      <alignment horizontal="center"/>
    </xf>
    <xf numFmtId="164" fontId="57" fillId="2" borderId="99" xfId="0" applyNumberFormat="1" applyFont="1" applyFill="1" applyBorder="1" applyAlignment="1">
      <alignment horizontal="center"/>
    </xf>
    <xf numFmtId="0" fontId="0" fillId="2" borderId="99" xfId="0" applyFill="1" applyBorder="1" applyAlignment="1">
      <alignment horizontal="left"/>
    </xf>
    <xf numFmtId="0" fontId="17" fillId="2" borderId="99" xfId="0" applyFont="1" applyFill="1" applyBorder="1" applyAlignment="1">
      <alignment horizontal="center"/>
    </xf>
    <xf numFmtId="164" fontId="0" fillId="2" borderId="99" xfId="0" applyNumberFormat="1" applyFill="1" applyBorder="1" applyAlignment="1">
      <alignment horizontal="left" vertical="center" wrapText="1"/>
    </xf>
    <xf numFmtId="164" fontId="23" fillId="2" borderId="99" xfId="0" applyNumberFormat="1" applyFont="1" applyFill="1" applyBorder="1" applyAlignment="1">
      <alignment horizontal="left" vertical="center"/>
    </xf>
    <xf numFmtId="0" fontId="2" fillId="2" borderId="99" xfId="0" applyFont="1" applyFill="1" applyBorder="1" applyAlignment="1">
      <alignment horizontal="left" vertical="center"/>
    </xf>
    <xf numFmtId="0" fontId="0" fillId="2" borderId="99" xfId="0" quotePrefix="1" applyFill="1" applyBorder="1" applyAlignment="1">
      <alignment vertical="center"/>
    </xf>
    <xf numFmtId="164" fontId="24" fillId="2" borderId="99" xfId="0" applyNumberFormat="1" applyFont="1" applyFill="1" applyBorder="1" applyAlignment="1">
      <alignment horizontal="left" vertical="center"/>
    </xf>
    <xf numFmtId="164" fontId="2" fillId="2" borderId="99" xfId="0" applyNumberFormat="1" applyFont="1" applyFill="1" applyBorder="1" applyAlignment="1">
      <alignment horizontal="left" vertical="center" wrapText="1"/>
    </xf>
    <xf numFmtId="0" fontId="2" fillId="2" borderId="99" xfId="0" applyFont="1" applyFill="1" applyBorder="1" applyAlignment="1">
      <alignment horizontal="left" vertical="center" wrapText="1"/>
    </xf>
    <xf numFmtId="0" fontId="0" fillId="2" borderId="99" xfId="0" applyFill="1" applyBorder="1" applyAlignment="1">
      <alignment wrapText="1"/>
    </xf>
    <xf numFmtId="0" fontId="0" fillId="0" borderId="99" xfId="0" applyBorder="1"/>
    <xf numFmtId="0" fontId="2" fillId="2" borderId="99" xfId="0" applyFont="1" applyFill="1" applyBorder="1" applyAlignment="1">
      <alignment wrapText="1"/>
    </xf>
    <xf numFmtId="0" fontId="52" fillId="2" borderId="99" xfId="0" applyFont="1" applyFill="1" applyBorder="1" applyAlignment="1">
      <alignment horizontal="center" vertical="center"/>
    </xf>
    <xf numFmtId="0" fontId="0" fillId="0" borderId="99" xfId="0" applyBorder="1" applyAlignment="1">
      <alignment horizontal="center" vertical="center"/>
    </xf>
    <xf numFmtId="0" fontId="0" fillId="2" borderId="99" xfId="0" applyFill="1" applyBorder="1" applyAlignment="1">
      <alignment horizontal="center" vertical="center" indent="1"/>
    </xf>
    <xf numFmtId="16" fontId="0" fillId="2" borderId="99" xfId="0" applyNumberFormat="1" applyFill="1" applyBorder="1" applyAlignment="1">
      <alignment horizontal="center"/>
    </xf>
    <xf numFmtId="0" fontId="61" fillId="2" borderId="99" xfId="0" applyFont="1" applyFill="1" applyBorder="1" applyAlignment="1">
      <alignment horizontal="center" vertical="center"/>
    </xf>
    <xf numFmtId="0" fontId="146" fillId="2" borderId="99" xfId="0" applyFont="1" applyFill="1" applyBorder="1" applyAlignment="1">
      <alignment horizontal="center" vertical="center"/>
    </xf>
    <xf numFmtId="164" fontId="23" fillId="2" borderId="99" xfId="0" applyNumberFormat="1" applyFont="1" applyFill="1" applyBorder="1" applyAlignment="1">
      <alignment horizontal="center" vertical="center" wrapText="1"/>
    </xf>
    <xf numFmtId="0" fontId="57" fillId="2" borderId="99" xfId="0" applyFont="1" applyFill="1" applyBorder="1" applyAlignment="1">
      <alignment horizontal="center" vertical="center"/>
    </xf>
    <xf numFmtId="0" fontId="29" fillId="2" borderId="99" xfId="0" applyFont="1" applyFill="1" applyBorder="1" applyAlignment="1">
      <alignment horizontal="left" vertical="center"/>
    </xf>
    <xf numFmtId="164" fontId="0" fillId="2" borderId="99" xfId="0" applyNumberFormat="1" applyFill="1" applyBorder="1" applyAlignment="1">
      <alignment horizontal="left"/>
    </xf>
    <xf numFmtId="164" fontId="57" fillId="0" borderId="99" xfId="0" applyNumberFormat="1" applyFont="1" applyBorder="1" applyAlignment="1">
      <alignment horizontal="center"/>
    </xf>
    <xf numFmtId="0" fontId="2" fillId="74" borderId="99" xfId="0" applyFont="1" applyFill="1" applyBorder="1" applyAlignment="1">
      <alignment horizontal="left" vertical="center"/>
    </xf>
    <xf numFmtId="164" fontId="0" fillId="3" borderId="99" xfId="0" applyNumberFormat="1" applyFill="1" applyBorder="1" applyAlignment="1">
      <alignment horizontal="left" vertical="center"/>
    </xf>
    <xf numFmtId="164" fontId="23" fillId="3" borderId="99" xfId="0" applyNumberFormat="1" applyFont="1" applyFill="1" applyBorder="1" applyAlignment="1">
      <alignment horizontal="center" vertical="center"/>
    </xf>
    <xf numFmtId="0" fontId="2" fillId="3" borderId="99" xfId="0" applyFont="1" applyFill="1" applyBorder="1" applyAlignment="1">
      <alignment horizontal="left" vertical="center"/>
    </xf>
    <xf numFmtId="0" fontId="2" fillId="3" borderId="99" xfId="0" applyFont="1" applyFill="1" applyBorder="1" applyAlignment="1">
      <alignment horizontal="left" vertical="center" wrapText="1"/>
    </xf>
    <xf numFmtId="0" fontId="2" fillId="74" borderId="99" xfId="0" applyFont="1" applyFill="1" applyBorder="1" applyAlignment="1">
      <alignment horizontal="left" vertical="center" wrapText="1"/>
    </xf>
    <xf numFmtId="0" fontId="0" fillId="74" borderId="99" xfId="0" applyFill="1" applyBorder="1" applyAlignment="1">
      <alignment horizontal="left" vertical="center"/>
    </xf>
    <xf numFmtId="16" fontId="23" fillId="2" borderId="99" xfId="0" applyNumberFormat="1" applyFont="1" applyFill="1" applyBorder="1" applyAlignment="1">
      <alignment horizontal="center"/>
    </xf>
    <xf numFmtId="0" fontId="0" fillId="2" borderId="99" xfId="0" applyFill="1" applyBorder="1"/>
    <xf numFmtId="16" fontId="0" fillId="2" borderId="99" xfId="0" applyNumberFormat="1" applyFill="1" applyBorder="1"/>
    <xf numFmtId="0" fontId="53" fillId="3" borderId="99" xfId="0" applyFont="1" applyFill="1" applyBorder="1" applyAlignment="1">
      <alignment horizontal="left" vertical="center"/>
    </xf>
    <xf numFmtId="164" fontId="23" fillId="3" borderId="99" xfId="0" applyNumberFormat="1" applyFont="1" applyFill="1" applyBorder="1" applyAlignment="1">
      <alignment horizontal="left" vertical="center"/>
    </xf>
    <xf numFmtId="164" fontId="45" fillId="3" borderId="99" xfId="0" applyNumberFormat="1" applyFont="1" applyFill="1" applyBorder="1" applyAlignment="1">
      <alignment horizontal="left" vertical="center"/>
    </xf>
    <xf numFmtId="164" fontId="24" fillId="3" borderId="99" xfId="0" applyNumberFormat="1" applyFont="1" applyFill="1" applyBorder="1" applyAlignment="1">
      <alignment horizontal="left" vertical="center"/>
    </xf>
    <xf numFmtId="10" fontId="0" fillId="3" borderId="99" xfId="0" applyNumberFormat="1" applyFill="1" applyBorder="1" applyAlignment="1">
      <alignment horizontal="left" vertical="center"/>
    </xf>
    <xf numFmtId="0" fontId="17" fillId="3" borderId="99" xfId="0" applyFont="1" applyFill="1" applyBorder="1" applyAlignment="1">
      <alignment vertical="center"/>
    </xf>
    <xf numFmtId="0" fontId="0" fillId="3" borderId="99" xfId="0" applyFill="1" applyBorder="1" applyAlignment="1">
      <alignment vertical="center"/>
    </xf>
    <xf numFmtId="8" fontId="0" fillId="3" borderId="99" xfId="0" applyNumberFormat="1" applyFill="1" applyBorder="1" applyAlignment="1">
      <alignment horizontal="left" vertical="center"/>
    </xf>
    <xf numFmtId="0" fontId="52" fillId="2" borderId="99" xfId="0" applyFont="1" applyFill="1" applyBorder="1" applyAlignment="1">
      <alignment horizontal="center" vertical="center" wrapText="1"/>
    </xf>
    <xf numFmtId="0" fontId="23" fillId="2" borderId="99" xfId="0" applyFont="1" applyFill="1" applyBorder="1" applyAlignment="1">
      <alignment horizontal="center"/>
    </xf>
    <xf numFmtId="49" fontId="0" fillId="2" borderId="99" xfId="0" applyNumberFormat="1" applyFill="1" applyBorder="1" applyAlignment="1">
      <alignment horizontal="center" vertical="center" wrapText="1"/>
    </xf>
    <xf numFmtId="0" fontId="0" fillId="2" borderId="99" xfId="0" applyFill="1" applyBorder="1" applyAlignment="1">
      <alignment horizontal="left" vertical="top"/>
    </xf>
    <xf numFmtId="0" fontId="24" fillId="3" borderId="99" xfId="0" applyFont="1" applyFill="1" applyBorder="1"/>
    <xf numFmtId="0" fontId="25" fillId="3" borderId="99" xfId="0" applyFont="1" applyFill="1" applyBorder="1" applyAlignment="1">
      <alignment horizontal="left" vertical="center"/>
    </xf>
    <xf numFmtId="0" fontId="24" fillId="3" borderId="99" xfId="0" applyFont="1" applyFill="1" applyBorder="1" applyAlignment="1">
      <alignment horizontal="left" vertical="center"/>
    </xf>
    <xf numFmtId="0" fontId="2" fillId="3" borderId="99" xfId="0" applyFont="1" applyFill="1" applyBorder="1" applyAlignment="1">
      <alignment horizontal="left"/>
    </xf>
    <xf numFmtId="164" fontId="56" fillId="3" borderId="99" xfId="0" applyNumberFormat="1" applyFont="1" applyFill="1" applyBorder="1" applyAlignment="1">
      <alignment horizontal="left" vertical="center" wrapText="1"/>
    </xf>
    <xf numFmtId="0" fontId="2" fillId="3" borderId="99" xfId="0" applyFont="1" applyFill="1" applyBorder="1" applyAlignment="1">
      <alignment horizontal="left" wrapText="1"/>
    </xf>
    <xf numFmtId="0" fontId="17" fillId="3" borderId="99" xfId="0" applyFont="1" applyFill="1" applyBorder="1" applyAlignment="1">
      <alignment horizontal="left"/>
    </xf>
    <xf numFmtId="0" fontId="0" fillId="3" borderId="99" xfId="0" applyFill="1" applyBorder="1" applyAlignment="1">
      <alignment horizontal="left"/>
    </xf>
    <xf numFmtId="164" fontId="23" fillId="3" borderId="99" xfId="0" applyNumberFormat="1" applyFont="1" applyFill="1" applyBorder="1" applyAlignment="1">
      <alignment horizontal="center" vertical="center" wrapText="1"/>
    </xf>
    <xf numFmtId="164" fontId="24" fillId="3" borderId="99" xfId="0" applyNumberFormat="1" applyFont="1" applyFill="1" applyBorder="1" applyAlignment="1">
      <alignment horizontal="left" vertical="center" wrapText="1"/>
    </xf>
    <xf numFmtId="0" fontId="0" fillId="3" borderId="99" xfId="0" applyFill="1" applyBorder="1" applyAlignment="1">
      <alignment horizontal="left" wrapText="1"/>
    </xf>
    <xf numFmtId="0" fontId="17" fillId="3" borderId="99" xfId="0" applyFont="1" applyFill="1" applyBorder="1" applyAlignment="1">
      <alignment horizontal="left" vertical="center"/>
    </xf>
    <xf numFmtId="8" fontId="0" fillId="0" borderId="99" xfId="0" applyNumberFormat="1" applyBorder="1" applyAlignment="1">
      <alignment horizontal="left" vertical="center"/>
    </xf>
    <xf numFmtId="16" fontId="0" fillId="2" borderId="99" xfId="0" applyNumberFormat="1" applyFill="1" applyBorder="1" applyAlignment="1">
      <alignment horizontal="left"/>
    </xf>
    <xf numFmtId="164" fontId="23" fillId="2" borderId="99" xfId="0" applyNumberFormat="1" applyFont="1" applyFill="1" applyBorder="1" applyAlignment="1">
      <alignment horizontal="left"/>
    </xf>
    <xf numFmtId="11" fontId="29" fillId="2" borderId="99" xfId="0" applyNumberFormat="1" applyFont="1" applyFill="1" applyBorder="1" applyAlignment="1">
      <alignment horizontal="center" vertical="center"/>
    </xf>
    <xf numFmtId="0" fontId="0" fillId="2" borderId="99" xfId="0" quotePrefix="1" applyFill="1" applyBorder="1" applyAlignment="1">
      <alignment horizontal="center"/>
    </xf>
    <xf numFmtId="0" fontId="0" fillId="3" borderId="99" xfId="0" applyFill="1" applyBorder="1" applyAlignment="1">
      <alignment horizontal="center"/>
    </xf>
    <xf numFmtId="164" fontId="45" fillId="3" borderId="99" xfId="0" applyNumberFormat="1" applyFont="1" applyFill="1" applyBorder="1" applyAlignment="1">
      <alignment horizontal="center" vertical="center"/>
    </xf>
    <xf numFmtId="18" fontId="0" fillId="3" borderId="99" xfId="0" applyNumberFormat="1" applyFill="1" applyBorder="1" applyAlignment="1">
      <alignment horizontal="left" vertical="center"/>
    </xf>
    <xf numFmtId="0" fontId="0" fillId="3" borderId="99" xfId="0" applyFill="1" applyBorder="1" applyAlignment="1">
      <alignment horizontal="left" vertical="center" wrapText="1"/>
    </xf>
    <xf numFmtId="0" fontId="0" fillId="3" borderId="99" xfId="0" quotePrefix="1" applyFill="1" applyBorder="1" applyAlignment="1">
      <alignment horizontal="center"/>
    </xf>
    <xf numFmtId="164" fontId="0" fillId="3" borderId="99" xfId="0" applyNumberFormat="1" applyFill="1" applyBorder="1" applyAlignment="1">
      <alignment horizontal="center"/>
    </xf>
    <xf numFmtId="0" fontId="68" fillId="2" borderId="99" xfId="0" applyFont="1" applyFill="1" applyBorder="1" applyAlignment="1">
      <alignment horizontal="left"/>
    </xf>
    <xf numFmtId="0" fontId="24" fillId="3" borderId="99" xfId="0" applyFont="1" applyFill="1" applyBorder="1" applyAlignment="1">
      <alignment horizontal="left" vertical="center" wrapText="1"/>
    </xf>
    <xf numFmtId="0" fontId="17" fillId="3" borderId="99" xfId="0" applyFont="1" applyFill="1" applyBorder="1"/>
    <xf numFmtId="164" fontId="0" fillId="2" borderId="99" xfId="0" applyNumberFormat="1" applyFill="1" applyBorder="1" applyAlignment="1">
      <alignment horizontal="left" vertical="center"/>
    </xf>
    <xf numFmtId="0" fontId="111" fillId="2" borderId="99" xfId="0" applyFont="1" applyFill="1" applyBorder="1" applyAlignment="1">
      <alignment horizontal="center"/>
    </xf>
    <xf numFmtId="22" fontId="0" fillId="3" borderId="99" xfId="0" applyNumberFormat="1" applyFill="1" applyBorder="1" applyAlignment="1">
      <alignment horizontal="center"/>
    </xf>
    <xf numFmtId="0" fontId="57" fillId="2" borderId="99" xfId="0" applyFont="1" applyFill="1" applyBorder="1" applyAlignment="1">
      <alignment horizontal="center"/>
    </xf>
    <xf numFmtId="16" fontId="0" fillId="2" borderId="99" xfId="0" applyNumberFormat="1" applyFill="1" applyBorder="1" applyAlignment="1">
      <alignment horizontal="center" vertical="center"/>
    </xf>
    <xf numFmtId="20" fontId="0" fillId="2" borderId="99" xfId="0" applyNumberFormat="1" applyFill="1" applyBorder="1" applyAlignment="1">
      <alignment horizontal="center" vertical="center"/>
    </xf>
    <xf numFmtId="0" fontId="0" fillId="2" borderId="99" xfId="0" quotePrefix="1" applyFill="1" applyBorder="1" applyAlignment="1">
      <alignment wrapText="1"/>
    </xf>
    <xf numFmtId="16" fontId="0" fillId="3" borderId="99" xfId="0" applyNumberFormat="1" applyFill="1" applyBorder="1" applyAlignment="1">
      <alignment horizontal="left" vertical="center"/>
    </xf>
    <xf numFmtId="164" fontId="2" fillId="3" borderId="99" xfId="0" applyNumberFormat="1" applyFont="1" applyFill="1" applyBorder="1" applyAlignment="1">
      <alignment horizontal="left" vertical="center"/>
    </xf>
    <xf numFmtId="0" fontId="2" fillId="2" borderId="99" xfId="0" applyFont="1" applyFill="1" applyBorder="1" applyAlignment="1">
      <alignment horizontal="left"/>
    </xf>
    <xf numFmtId="20" fontId="0" fillId="3" borderId="99" xfId="0" applyNumberFormat="1" applyFill="1" applyBorder="1" applyAlignment="1">
      <alignment horizontal="left" vertical="center"/>
    </xf>
    <xf numFmtId="0" fontId="17" fillId="3" borderId="99" xfId="0" applyFont="1" applyFill="1" applyBorder="1" applyAlignment="1">
      <alignment horizontal="left" vertical="center" wrapText="1"/>
    </xf>
    <xf numFmtId="0" fontId="2" fillId="67" borderId="99" xfId="0" applyFont="1" applyFill="1" applyBorder="1" applyAlignment="1">
      <alignment horizontal="left" vertical="center"/>
    </xf>
    <xf numFmtId="0" fontId="0" fillId="67" borderId="99" xfId="0" applyFill="1" applyBorder="1" applyAlignment="1">
      <alignment horizontal="left" wrapText="1"/>
    </xf>
    <xf numFmtId="16" fontId="29" fillId="2" borderId="99" xfId="0" applyNumberFormat="1" applyFont="1" applyFill="1" applyBorder="1" applyAlignment="1">
      <alignment horizontal="center" wrapText="1"/>
    </xf>
    <xf numFmtId="0" fontId="0" fillId="2" borderId="99" xfId="0" applyFill="1" applyBorder="1" applyAlignment="1">
      <alignment horizontal="left" vertical="top" wrapText="1"/>
    </xf>
    <xf numFmtId="20" fontId="29" fillId="2" borderId="99" xfId="0" applyNumberFormat="1" applyFont="1" applyFill="1" applyBorder="1" applyAlignment="1">
      <alignment horizontal="center" vertical="center"/>
    </xf>
    <xf numFmtId="0" fontId="2" fillId="3" borderId="99" xfId="0" applyFont="1" applyFill="1" applyBorder="1" applyAlignment="1">
      <alignment vertical="center"/>
    </xf>
    <xf numFmtId="0" fontId="2" fillId="0" borderId="99" xfId="0" applyFont="1" applyBorder="1" applyAlignment="1">
      <alignment horizontal="left" vertical="center"/>
    </xf>
    <xf numFmtId="164" fontId="24" fillId="0" borderId="99" xfId="0" applyNumberFormat="1" applyFont="1" applyBorder="1" applyAlignment="1">
      <alignment horizontal="left" vertical="center"/>
    </xf>
    <xf numFmtId="0" fontId="24" fillId="0" borderId="99" xfId="0" applyFont="1" applyBorder="1" applyAlignment="1">
      <alignment vertical="center"/>
    </xf>
    <xf numFmtId="0" fontId="23" fillId="0" borderId="99" xfId="0" applyFont="1" applyBorder="1" applyAlignment="1">
      <alignment horizontal="left" vertical="center" wrapText="1"/>
    </xf>
    <xf numFmtId="164" fontId="0" fillId="0" borderId="99" xfId="0" applyNumberFormat="1" applyBorder="1" applyAlignment="1">
      <alignment horizontal="left" vertical="center"/>
    </xf>
    <xf numFmtId="0" fontId="24" fillId="3" borderId="99" xfId="0" applyFont="1" applyFill="1" applyBorder="1" applyAlignment="1">
      <alignment vertical="center"/>
    </xf>
    <xf numFmtId="0" fontId="23" fillId="3" borderId="99" xfId="0" applyFont="1" applyFill="1" applyBorder="1" applyAlignment="1">
      <alignment horizontal="left" vertical="center" wrapText="1"/>
    </xf>
    <xf numFmtId="0" fontId="17" fillId="67" borderId="99" xfId="0" applyFont="1" applyFill="1" applyBorder="1" applyAlignment="1">
      <alignment horizontal="left" vertical="center" wrapText="1"/>
    </xf>
    <xf numFmtId="0" fontId="17" fillId="3" borderId="99" xfId="0" applyFont="1" applyFill="1" applyBorder="1" applyAlignment="1">
      <alignment horizontal="center" vertical="center"/>
    </xf>
    <xf numFmtId="164" fontId="24" fillId="3" borderId="99" xfId="0" applyNumberFormat="1" applyFont="1" applyFill="1" applyBorder="1" applyAlignment="1">
      <alignment horizontal="left" vertical="top" wrapText="1"/>
    </xf>
    <xf numFmtId="0" fontId="24" fillId="3" borderId="99" xfId="0" applyFont="1" applyFill="1" applyBorder="1" applyAlignment="1">
      <alignment horizontal="left" vertical="top" wrapText="1"/>
    </xf>
    <xf numFmtId="164" fontId="0" fillId="3" borderId="99" xfId="0" applyNumberFormat="1" applyFill="1" applyBorder="1" applyAlignment="1">
      <alignment horizontal="left"/>
    </xf>
    <xf numFmtId="164" fontId="45" fillId="3" borderId="99" xfId="0" applyNumberFormat="1" applyFont="1" applyFill="1" applyBorder="1" applyAlignment="1">
      <alignment horizontal="left"/>
    </xf>
    <xf numFmtId="16" fontId="2" fillId="3" borderId="99" xfId="0" applyNumberFormat="1" applyFont="1" applyFill="1" applyBorder="1" applyAlignment="1">
      <alignment horizontal="left"/>
    </xf>
    <xf numFmtId="16" fontId="0" fillId="3" borderId="99" xfId="0" applyNumberFormat="1" applyFill="1" applyBorder="1" applyAlignment="1">
      <alignment horizontal="left"/>
    </xf>
    <xf numFmtId="0" fontId="0" fillId="3" borderId="99" xfId="0" applyFill="1" applyBorder="1" applyAlignment="1">
      <alignment wrapText="1"/>
    </xf>
    <xf numFmtId="0" fontId="17" fillId="3" borderId="99" xfId="0" applyFont="1" applyFill="1" applyBorder="1" applyAlignment="1">
      <alignment wrapText="1"/>
    </xf>
    <xf numFmtId="164" fontId="2" fillId="3" borderId="99" xfId="0" applyNumberFormat="1" applyFont="1" applyFill="1" applyBorder="1" applyAlignment="1">
      <alignment horizontal="left" vertical="center" wrapText="1"/>
    </xf>
    <xf numFmtId="0" fontId="2" fillId="3" borderId="99" xfId="0" applyFont="1" applyFill="1" applyBorder="1" applyAlignment="1">
      <alignment wrapText="1"/>
    </xf>
    <xf numFmtId="16" fontId="29" fillId="2" borderId="99" xfId="0" applyNumberFormat="1" applyFont="1" applyFill="1" applyBorder="1" applyAlignment="1">
      <alignment horizontal="center" vertical="center"/>
    </xf>
    <xf numFmtId="16" fontId="29" fillId="2" borderId="99" xfId="0" applyNumberFormat="1" applyFont="1" applyFill="1" applyBorder="1" applyAlignment="1">
      <alignment horizontal="left" vertical="center"/>
    </xf>
    <xf numFmtId="0" fontId="29" fillId="2" borderId="99" xfId="0" quotePrefix="1" applyFont="1" applyFill="1" applyBorder="1" applyAlignment="1">
      <alignment horizontal="left" vertical="center" wrapText="1"/>
    </xf>
    <xf numFmtId="10" fontId="29" fillId="2" borderId="99" xfId="0" applyNumberFormat="1" applyFont="1" applyFill="1" applyBorder="1" applyAlignment="1">
      <alignment horizontal="left" vertical="center"/>
    </xf>
    <xf numFmtId="0" fontId="2" fillId="43" borderId="99" xfId="0" applyFont="1" applyFill="1" applyBorder="1" applyAlignment="1">
      <alignment horizontal="left" vertical="center"/>
    </xf>
    <xf numFmtId="0" fontId="23" fillId="3" borderId="99" xfId="0" applyFont="1" applyFill="1" applyBorder="1" applyAlignment="1">
      <alignment horizontal="left" vertical="top" wrapText="1"/>
    </xf>
    <xf numFmtId="0" fontId="0" fillId="74" borderId="99" xfId="0" applyFill="1" applyBorder="1" applyAlignment="1">
      <alignment horizontal="center" vertical="center"/>
    </xf>
    <xf numFmtId="164" fontId="0" fillId="74" borderId="99" xfId="0" applyNumberFormat="1" applyFill="1" applyBorder="1" applyAlignment="1">
      <alignment horizontal="left" vertical="center"/>
    </xf>
    <xf numFmtId="164" fontId="23" fillId="74" borderId="99" xfId="0" applyNumberFormat="1" applyFont="1" applyFill="1" applyBorder="1" applyAlignment="1">
      <alignment horizontal="center" vertical="center"/>
    </xf>
    <xf numFmtId="164" fontId="57" fillId="74" borderId="99" xfId="0" applyNumberFormat="1" applyFont="1" applyFill="1" applyBorder="1" applyAlignment="1">
      <alignment horizontal="center"/>
    </xf>
    <xf numFmtId="0" fontId="24" fillId="74" borderId="99" xfId="0" applyFont="1" applyFill="1" applyBorder="1" applyAlignment="1">
      <alignment horizontal="left" wrapText="1"/>
    </xf>
    <xf numFmtId="0" fontId="17" fillId="74" borderId="99" xfId="0" applyFont="1" applyFill="1" applyBorder="1" applyAlignment="1">
      <alignment horizontal="left" vertical="center"/>
    </xf>
    <xf numFmtId="10" fontId="0" fillId="74" borderId="99" xfId="0" applyNumberFormat="1" applyFill="1" applyBorder="1" applyAlignment="1">
      <alignment horizontal="left" vertical="center"/>
    </xf>
    <xf numFmtId="0" fontId="0" fillId="74" borderId="99" xfId="0" applyFill="1" applyBorder="1" applyAlignment="1">
      <alignment vertical="center"/>
    </xf>
    <xf numFmtId="16" fontId="0" fillId="74" borderId="99" xfId="0" applyNumberFormat="1" applyFill="1" applyBorder="1" applyAlignment="1">
      <alignment horizontal="left" vertical="center"/>
    </xf>
    <xf numFmtId="0" fontId="135" fillId="2" borderId="99" xfId="0" applyFont="1" applyFill="1" applyBorder="1"/>
    <xf numFmtId="164" fontId="0" fillId="74" borderId="99" xfId="0" applyNumberFormat="1" applyFill="1" applyBorder="1" applyAlignment="1">
      <alignment horizontal="center" vertical="center"/>
    </xf>
    <xf numFmtId="0" fontId="0" fillId="74" borderId="99" xfId="0" applyFill="1" applyBorder="1" applyAlignment="1">
      <alignment horizontal="left"/>
    </xf>
    <xf numFmtId="0" fontId="53" fillId="74" borderId="99" xfId="0" applyFont="1" applyFill="1" applyBorder="1" applyAlignment="1">
      <alignment wrapText="1"/>
    </xf>
    <xf numFmtId="16" fontId="0" fillId="74" borderId="99" xfId="0" applyNumberFormat="1" applyFill="1" applyBorder="1" applyAlignment="1">
      <alignment horizontal="left"/>
    </xf>
    <xf numFmtId="16" fontId="23" fillId="74" borderId="99" xfId="0" applyNumberFormat="1" applyFont="1" applyFill="1" applyBorder="1" applyAlignment="1">
      <alignment horizontal="center"/>
    </xf>
    <xf numFmtId="0" fontId="60" fillId="74" borderId="99" xfId="0" applyFont="1" applyFill="1" applyBorder="1" applyAlignment="1">
      <alignment horizontal="left"/>
    </xf>
    <xf numFmtId="164" fontId="0" fillId="74" borderId="99" xfId="0" applyNumberFormat="1" applyFill="1" applyBorder="1" applyAlignment="1">
      <alignment horizontal="left"/>
    </xf>
    <xf numFmtId="0" fontId="0" fillId="74" borderId="99" xfId="0" applyFill="1" applyBorder="1" applyAlignment="1">
      <alignment horizontal="left" wrapText="1"/>
    </xf>
    <xf numFmtId="0" fontId="0" fillId="74" borderId="99" xfId="0" applyFill="1" applyBorder="1"/>
    <xf numFmtId="0" fontId="136" fillId="2" borderId="99" xfId="0" applyFont="1" applyFill="1" applyBorder="1"/>
    <xf numFmtId="0" fontId="0" fillId="74" borderId="99" xfId="0" applyFill="1" applyBorder="1" applyAlignment="1">
      <alignment wrapText="1"/>
    </xf>
    <xf numFmtId="0" fontId="2" fillId="74" borderId="99" xfId="0" applyFont="1" applyFill="1" applyBorder="1" applyAlignment="1">
      <alignment horizontal="center" vertical="center"/>
    </xf>
    <xf numFmtId="0" fontId="0" fillId="74" borderId="99" xfId="0" applyFill="1" applyBorder="1" applyAlignment="1">
      <alignment horizontal="left" vertical="center" wrapText="1"/>
    </xf>
    <xf numFmtId="0" fontId="25" fillId="74" borderId="99" xfId="0" applyFont="1" applyFill="1" applyBorder="1" applyAlignment="1">
      <alignment horizontal="left" vertical="center"/>
    </xf>
    <xf numFmtId="0" fontId="17" fillId="74" borderId="99" xfId="0" applyFont="1" applyFill="1" applyBorder="1" applyAlignment="1">
      <alignment horizontal="left" vertical="center" wrapText="1"/>
    </xf>
    <xf numFmtId="16" fontId="23" fillId="74" borderId="99" xfId="0" applyNumberFormat="1" applyFont="1" applyFill="1" applyBorder="1" applyAlignment="1">
      <alignment horizontal="left" vertical="center" wrapText="1"/>
    </xf>
    <xf numFmtId="0" fontId="17" fillId="74" borderId="99" xfId="0" applyFont="1" applyFill="1" applyBorder="1" applyAlignment="1">
      <alignment wrapText="1"/>
    </xf>
    <xf numFmtId="0" fontId="2" fillId="74" borderId="99" xfId="0" applyFont="1" applyFill="1" applyBorder="1" applyAlignment="1">
      <alignment horizontal="left" wrapText="1"/>
    </xf>
    <xf numFmtId="164" fontId="0" fillId="0" borderId="99" xfId="0" applyNumberFormat="1" applyBorder="1" applyAlignment="1">
      <alignment horizontal="left"/>
    </xf>
    <xf numFmtId="164" fontId="23" fillId="0" borderId="99" xfId="0" applyNumberFormat="1" applyFont="1" applyBorder="1" applyAlignment="1">
      <alignment horizontal="center"/>
    </xf>
    <xf numFmtId="0" fontId="2" fillId="0" borderId="99" xfId="0" applyFont="1" applyBorder="1" applyAlignment="1">
      <alignment horizontal="left"/>
    </xf>
    <xf numFmtId="0" fontId="2" fillId="0" borderId="99" xfId="0" applyFont="1" applyBorder="1" applyAlignment="1">
      <alignment horizontal="left" wrapText="1"/>
    </xf>
    <xf numFmtId="16" fontId="29" fillId="2" borderId="99" xfId="0" applyNumberFormat="1" applyFont="1" applyFill="1" applyBorder="1" applyAlignment="1">
      <alignment horizontal="center"/>
    </xf>
    <xf numFmtId="164" fontId="57" fillId="74" borderId="99" xfId="0" applyNumberFormat="1" applyFont="1" applyFill="1" applyBorder="1" applyAlignment="1">
      <alignment horizontal="center" vertical="center"/>
    </xf>
    <xf numFmtId="0" fontId="153" fillId="74" borderId="99" xfId="0" applyFont="1" applyFill="1" applyBorder="1"/>
    <xf numFmtId="0" fontId="0" fillId="74" borderId="99" xfId="0" applyFill="1" applyBorder="1" applyAlignment="1">
      <alignment horizontal="center"/>
    </xf>
    <xf numFmtId="164" fontId="23" fillId="74" borderId="99" xfId="0" applyNumberFormat="1" applyFont="1" applyFill="1" applyBorder="1" applyAlignment="1">
      <alignment horizontal="center"/>
    </xf>
    <xf numFmtId="0" fontId="60" fillId="74" borderId="99" xfId="0" applyFont="1" applyFill="1" applyBorder="1" applyAlignment="1">
      <alignment horizontal="left" wrapText="1"/>
    </xf>
    <xf numFmtId="11" fontId="0" fillId="74" borderId="99" xfId="0" applyNumberFormat="1" applyFill="1" applyBorder="1" applyAlignment="1">
      <alignment horizontal="left"/>
    </xf>
    <xf numFmtId="164" fontId="29" fillId="2" borderId="99" xfId="0" applyNumberFormat="1" applyFont="1" applyFill="1" applyBorder="1" applyAlignment="1">
      <alignment horizontal="left" vertical="center"/>
    </xf>
    <xf numFmtId="0" fontId="70" fillId="2" borderId="99" xfId="0" applyFont="1" applyFill="1" applyBorder="1" applyAlignment="1">
      <alignment horizontal="center" vertical="center"/>
    </xf>
    <xf numFmtId="164" fontId="24" fillId="3" borderId="99" xfId="0" applyNumberFormat="1" applyFont="1" applyFill="1" applyBorder="1" applyAlignment="1">
      <alignment horizontal="center" vertical="center"/>
    </xf>
    <xf numFmtId="0" fontId="70" fillId="3" borderId="99" xfId="0" applyFont="1" applyFill="1" applyBorder="1" applyAlignment="1">
      <alignment horizontal="center" vertical="center"/>
    </xf>
    <xf numFmtId="0" fontId="23" fillId="4" borderId="99" xfId="0" applyFont="1" applyFill="1" applyBorder="1" applyAlignment="1">
      <alignment horizontal="left" vertical="center"/>
    </xf>
    <xf numFmtId="164" fontId="23" fillId="0" borderId="99" xfId="0" applyNumberFormat="1" applyFont="1" applyBorder="1" applyAlignment="1">
      <alignment horizontal="left" vertical="center"/>
    </xf>
    <xf numFmtId="164" fontId="24" fillId="0" borderId="99" xfId="0" applyNumberFormat="1" applyFont="1" applyBorder="1" applyAlignment="1">
      <alignment horizontal="center" vertical="center"/>
    </xf>
    <xf numFmtId="0" fontId="70" fillId="0" borderId="99" xfId="0" applyFont="1" applyBorder="1" applyAlignment="1">
      <alignment horizontal="center" vertical="center"/>
    </xf>
    <xf numFmtId="0" fontId="24" fillId="0" borderId="99" xfId="0" applyFont="1" applyBorder="1" applyAlignment="1">
      <alignment horizontal="left" vertical="center"/>
    </xf>
    <xf numFmtId="164" fontId="56" fillId="4" borderId="99" xfId="0" applyNumberFormat="1" applyFont="1" applyFill="1" applyBorder="1" applyAlignment="1">
      <alignment horizontal="left" vertical="center"/>
    </xf>
    <xf numFmtId="0" fontId="2" fillId="67" borderId="99" xfId="0" applyFont="1" applyFill="1" applyBorder="1" applyAlignment="1">
      <alignment horizontal="left" vertical="center" wrapText="1"/>
    </xf>
    <xf numFmtId="8" fontId="0" fillId="0" borderId="99" xfId="0" applyNumberFormat="1" applyBorder="1" applyAlignment="1">
      <alignment horizontal="left"/>
    </xf>
    <xf numFmtId="11" fontId="0" fillId="2" borderId="99" xfId="0" quotePrefix="1" applyNumberFormat="1" applyFill="1" applyBorder="1" applyAlignment="1">
      <alignment horizontal="center" vertical="center"/>
    </xf>
    <xf numFmtId="0" fontId="60" fillId="2" borderId="99" xfId="0" applyFont="1" applyFill="1" applyBorder="1"/>
    <xf numFmtId="0" fontId="2" fillId="0" borderId="99" xfId="0" applyFont="1" applyBorder="1" applyAlignment="1">
      <alignment horizontal="left" vertical="center" wrapText="1"/>
    </xf>
    <xf numFmtId="0" fontId="45" fillId="0" borderId="99" xfId="0" applyFont="1" applyBorder="1" applyAlignment="1">
      <alignment horizontal="left" vertical="center" wrapText="1"/>
    </xf>
    <xf numFmtId="164" fontId="57" fillId="2" borderId="99" xfId="0" applyNumberFormat="1" applyFont="1" applyFill="1" applyBorder="1" applyAlignment="1">
      <alignment horizontal="left"/>
    </xf>
    <xf numFmtId="16" fontId="23" fillId="2" borderId="99" xfId="0" applyNumberFormat="1" applyFont="1" applyFill="1" applyBorder="1" applyAlignment="1">
      <alignment horizontal="left"/>
    </xf>
    <xf numFmtId="164" fontId="2" fillId="2" borderId="99" xfId="0" applyNumberFormat="1" applyFont="1" applyFill="1" applyBorder="1" applyAlignment="1">
      <alignment horizontal="left" vertical="center"/>
    </xf>
    <xf numFmtId="0" fontId="24" fillId="2" borderId="99" xfId="0" applyFont="1" applyFill="1" applyBorder="1" applyAlignment="1">
      <alignment horizontal="left" vertical="center"/>
    </xf>
    <xf numFmtId="0" fontId="0" fillId="2" borderId="98" xfId="0" applyFill="1" applyBorder="1" applyAlignment="1">
      <alignment horizontal="left"/>
    </xf>
    <xf numFmtId="0" fontId="0" fillId="3" borderId="98" xfId="0" applyFill="1" applyBorder="1" applyAlignment="1">
      <alignment horizontal="left" vertical="center"/>
    </xf>
    <xf numFmtId="0" fontId="52" fillId="2" borderId="99" xfId="0" applyFont="1" applyFill="1" applyBorder="1" applyAlignment="1">
      <alignment horizontal="center"/>
    </xf>
    <xf numFmtId="0" fontId="0" fillId="0" borderId="98" xfId="0" applyBorder="1" applyAlignment="1">
      <alignment horizontal="left" vertical="center"/>
    </xf>
    <xf numFmtId="0" fontId="56" fillId="3" borderId="99" xfId="0" applyFont="1" applyFill="1" applyBorder="1" applyAlignment="1">
      <alignment horizontal="left" vertical="center"/>
    </xf>
    <xf numFmtId="10" fontId="0" fillId="3" borderId="99" xfId="77" applyNumberFormat="1" applyFont="1" applyFill="1" applyBorder="1" applyAlignment="1">
      <alignment horizontal="left" vertical="center"/>
    </xf>
    <xf numFmtId="0" fontId="32" fillId="2" borderId="99" xfId="0" applyFont="1" applyFill="1" applyBorder="1"/>
    <xf numFmtId="0" fontId="70" fillId="3" borderId="99" xfId="0" applyFont="1" applyFill="1" applyBorder="1" applyAlignment="1">
      <alignment horizontal="left" vertical="center"/>
    </xf>
    <xf numFmtId="164" fontId="53" fillId="3" borderId="99" xfId="0" applyNumberFormat="1" applyFont="1" applyFill="1" applyBorder="1" applyAlignment="1">
      <alignment horizontal="left" vertical="center"/>
    </xf>
    <xf numFmtId="164" fontId="55" fillId="3" borderId="99" xfId="0" applyNumberFormat="1" applyFont="1" applyFill="1" applyBorder="1" applyAlignment="1">
      <alignment horizontal="left" vertical="center"/>
    </xf>
    <xf numFmtId="0" fontId="53" fillId="3" borderId="99" xfId="0" applyFont="1" applyFill="1" applyBorder="1" applyAlignment="1">
      <alignment horizontal="left" vertical="center" wrapText="1"/>
    </xf>
    <xf numFmtId="164" fontId="23" fillId="3" borderId="99" xfId="0" quotePrefix="1" applyNumberFormat="1" applyFont="1" applyFill="1" applyBorder="1" applyAlignment="1">
      <alignment horizontal="left" vertical="center"/>
    </xf>
    <xf numFmtId="0" fontId="2" fillId="4" borderId="99" xfId="0" applyFont="1" applyFill="1" applyBorder="1" applyAlignment="1">
      <alignment horizontal="left" vertical="center"/>
    </xf>
    <xf numFmtId="164" fontId="2" fillId="4" borderId="99" xfId="0" applyNumberFormat="1" applyFont="1" applyFill="1" applyBorder="1" applyAlignment="1">
      <alignment horizontal="left" wrapText="1"/>
    </xf>
    <xf numFmtId="164" fontId="0" fillId="3" borderId="99" xfId="0" applyNumberFormat="1" applyFill="1" applyBorder="1" applyAlignment="1">
      <alignment horizontal="left" vertical="center" wrapText="1"/>
    </xf>
    <xf numFmtId="164" fontId="23" fillId="3" borderId="99" xfId="0" applyNumberFormat="1" applyFont="1" applyFill="1" applyBorder="1" applyAlignment="1">
      <alignment horizontal="left" vertical="center" wrapText="1"/>
    </xf>
    <xf numFmtId="16" fontId="23" fillId="2" borderId="99" xfId="0" applyNumberFormat="1" applyFont="1" applyFill="1" applyBorder="1" applyAlignment="1">
      <alignment horizontal="center" vertical="center"/>
    </xf>
    <xf numFmtId="9" fontId="0" fillId="2" borderId="99" xfId="77" applyFont="1" applyFill="1" applyBorder="1" applyAlignment="1">
      <alignment horizontal="left" vertical="center"/>
    </xf>
    <xf numFmtId="0" fontId="0" fillId="2" borderId="98" xfId="0" applyFill="1" applyBorder="1" applyAlignment="1">
      <alignment horizontal="left" vertical="center"/>
    </xf>
    <xf numFmtId="0" fontId="0" fillId="0" borderId="98" xfId="0" applyBorder="1" applyAlignment="1">
      <alignment horizontal="left"/>
    </xf>
    <xf numFmtId="20" fontId="0" fillId="2" borderId="99" xfId="0" applyNumberFormat="1" applyFill="1" applyBorder="1" applyAlignment="1">
      <alignment horizontal="left"/>
    </xf>
    <xf numFmtId="164" fontId="45" fillId="2" borderId="99" xfId="0" applyNumberFormat="1" applyFont="1" applyFill="1" applyBorder="1" applyAlignment="1">
      <alignment horizontal="center"/>
    </xf>
    <xf numFmtId="0" fontId="57" fillId="2" borderId="99" xfId="0" applyFont="1" applyFill="1" applyBorder="1" applyAlignment="1">
      <alignment horizontal="left"/>
    </xf>
    <xf numFmtId="16" fontId="57" fillId="2" borderId="99" xfId="0" applyNumberFormat="1" applyFont="1" applyFill="1" applyBorder="1" applyAlignment="1">
      <alignment horizontal="center" vertical="center"/>
    </xf>
    <xf numFmtId="16" fontId="23" fillId="74" borderId="99" xfId="0" applyNumberFormat="1" applyFont="1" applyFill="1" applyBorder="1" applyAlignment="1">
      <alignment horizontal="left"/>
    </xf>
    <xf numFmtId="0" fontId="158" fillId="74" borderId="99" xfId="0" applyFont="1" applyFill="1" applyBorder="1" applyAlignment="1">
      <alignment horizontal="left"/>
    </xf>
    <xf numFmtId="14" fontId="0" fillId="2" borderId="99" xfId="0" applyNumberFormat="1" applyFill="1" applyBorder="1" applyAlignment="1">
      <alignment horizontal="left"/>
    </xf>
    <xf numFmtId="0" fontId="29" fillId="4" borderId="99" xfId="0" applyFont="1" applyFill="1" applyBorder="1" applyAlignment="1">
      <alignment horizontal="left" vertical="center"/>
    </xf>
    <xf numFmtId="164" fontId="2" fillId="4" borderId="99" xfId="0" applyNumberFormat="1" applyFont="1" applyFill="1" applyBorder="1" applyAlignment="1">
      <alignment horizontal="left" vertical="center"/>
    </xf>
    <xf numFmtId="0" fontId="60" fillId="74" borderId="99" xfId="0" applyFont="1" applyFill="1" applyBorder="1"/>
    <xf numFmtId="0" fontId="2" fillId="77" borderId="99" xfId="0" applyFont="1" applyFill="1" applyBorder="1" applyAlignment="1">
      <alignment horizontal="left" vertical="center"/>
    </xf>
    <xf numFmtId="164" fontId="2" fillId="0" borderId="99" xfId="0" applyNumberFormat="1" applyFont="1" applyBorder="1" applyAlignment="1">
      <alignment horizontal="left" vertical="center"/>
    </xf>
    <xf numFmtId="0" fontId="0" fillId="0" borderId="99" xfId="0" applyBorder="1" applyAlignment="1">
      <alignment horizontal="left" wrapText="1"/>
    </xf>
    <xf numFmtId="164" fontId="29" fillId="0" borderId="99" xfId="0" applyNumberFormat="1" applyFont="1" applyBorder="1" applyAlignment="1">
      <alignment horizontal="center"/>
    </xf>
    <xf numFmtId="9" fontId="0" fillId="2" borderId="99" xfId="0" applyNumberFormat="1" applyFill="1" applyBorder="1" applyAlignment="1">
      <alignment horizontal="left" vertical="center"/>
    </xf>
    <xf numFmtId="164" fontId="44" fillId="63" borderId="99" xfId="0" applyNumberFormat="1" applyFont="1" applyFill="1" applyBorder="1" applyAlignment="1">
      <alignment vertical="center"/>
    </xf>
    <xf numFmtId="164" fontId="50" fillId="63" borderId="99" xfId="0" applyNumberFormat="1" applyFont="1" applyFill="1" applyBorder="1" applyAlignment="1">
      <alignment vertical="center"/>
    </xf>
    <xf numFmtId="49" fontId="69" fillId="63" borderId="99" xfId="0" applyNumberFormat="1" applyFont="1" applyFill="1" applyBorder="1" applyAlignment="1">
      <alignment vertical="center"/>
    </xf>
    <xf numFmtId="49" fontId="48" fillId="63" borderId="99" xfId="0" applyNumberFormat="1" applyFont="1" applyFill="1" applyBorder="1" applyAlignment="1">
      <alignment vertical="center"/>
    </xf>
    <xf numFmtId="170" fontId="44" fillId="63" borderId="99" xfId="0" applyNumberFormat="1" applyFont="1" applyFill="1" applyBorder="1" applyAlignment="1">
      <alignment vertical="center"/>
    </xf>
    <xf numFmtId="0" fontId="44" fillId="63" borderId="99" xfId="0" applyFont="1" applyFill="1" applyBorder="1" applyAlignment="1">
      <alignment vertical="center"/>
    </xf>
    <xf numFmtId="1" fontId="44" fillId="63" borderId="99" xfId="0" applyNumberFormat="1" applyFont="1" applyFill="1" applyBorder="1" applyAlignment="1">
      <alignment vertical="center"/>
    </xf>
    <xf numFmtId="10" fontId="44" fillId="63" borderId="99" xfId="77" applyNumberFormat="1" applyFont="1" applyFill="1" applyBorder="1" applyAlignment="1">
      <alignment vertical="center"/>
    </xf>
    <xf numFmtId="16" fontId="0" fillId="2" borderId="99" xfId="0" applyNumberFormat="1" applyFill="1" applyBorder="1" applyAlignment="1">
      <alignment horizontal="center" vertical="center" wrapText="1"/>
    </xf>
    <xf numFmtId="0" fontId="0" fillId="2" borderId="99" xfId="0" quotePrefix="1" applyFill="1" applyBorder="1" applyAlignment="1">
      <alignment horizontal="center" vertical="center"/>
    </xf>
    <xf numFmtId="16" fontId="29" fillId="2" borderId="99" xfId="0" applyNumberFormat="1" applyFont="1" applyFill="1" applyBorder="1" applyAlignment="1">
      <alignment horizontal="center" vertical="center" wrapText="1"/>
    </xf>
    <xf numFmtId="0" fontId="29" fillId="2" borderId="99" xfId="0" applyFont="1" applyFill="1" applyBorder="1" applyAlignment="1">
      <alignment horizontal="center" vertical="center" wrapText="1"/>
    </xf>
    <xf numFmtId="164" fontId="29" fillId="2" borderId="99" xfId="0" applyNumberFormat="1" applyFont="1" applyFill="1" applyBorder="1" applyAlignment="1">
      <alignment horizontal="center" vertical="center" wrapText="1"/>
    </xf>
    <xf numFmtId="0" fontId="0" fillId="0" borderId="99" xfId="77" applyNumberFormat="1" applyFont="1" applyBorder="1" applyAlignment="1">
      <alignment horizontal="left" vertical="center"/>
    </xf>
    <xf numFmtId="16" fontId="23" fillId="2" borderId="99" xfId="0" applyNumberFormat="1" applyFont="1" applyFill="1" applyBorder="1" applyAlignment="1">
      <alignment horizontal="center" vertical="center" wrapText="1"/>
    </xf>
    <xf numFmtId="0" fontId="0" fillId="0" borderId="99" xfId="0" applyBorder="1" applyAlignment="1">
      <alignment vertical="center" wrapText="1"/>
    </xf>
    <xf numFmtId="0" fontId="0" fillId="0" borderId="99" xfId="77" applyNumberFormat="1" applyFont="1" applyBorder="1" applyAlignment="1">
      <alignment vertical="center" wrapText="1"/>
    </xf>
    <xf numFmtId="164" fontId="45" fillId="3" borderId="99" xfId="0" applyNumberFormat="1" applyFont="1" applyFill="1" applyBorder="1" applyAlignment="1">
      <alignment horizontal="center" vertical="center" wrapText="1"/>
    </xf>
    <xf numFmtId="164" fontId="0" fillId="3" borderId="99" xfId="0" applyNumberFormat="1" applyFill="1" applyBorder="1" applyAlignment="1">
      <alignment vertical="center" wrapText="1"/>
    </xf>
    <xf numFmtId="8" fontId="0" fillId="3" borderId="99" xfId="0" applyNumberFormat="1" applyFill="1" applyBorder="1" applyAlignment="1">
      <alignment horizontal="left" vertical="center" wrapText="1"/>
    </xf>
    <xf numFmtId="4" fontId="0" fillId="3" borderId="99" xfId="0" applyNumberFormat="1" applyFill="1" applyBorder="1" applyAlignment="1">
      <alignment horizontal="left" vertical="center" wrapText="1"/>
    </xf>
    <xf numFmtId="10" fontId="0" fillId="3" borderId="99" xfId="77" applyNumberFormat="1" applyFont="1" applyFill="1" applyBorder="1" applyAlignment="1">
      <alignment horizontal="left" vertical="center" wrapText="1"/>
    </xf>
    <xf numFmtId="0" fontId="170" fillId="3" borderId="99" xfId="0" applyFont="1" applyFill="1" applyBorder="1" applyAlignment="1">
      <alignment vertical="center"/>
    </xf>
    <xf numFmtId="0" fontId="115" fillId="3" borderId="99" xfId="0" applyFont="1" applyFill="1" applyBorder="1" applyAlignment="1">
      <alignment horizontal="left" vertical="center" wrapText="1"/>
    </xf>
    <xf numFmtId="20" fontId="0" fillId="3" borderId="99" xfId="0" applyNumberFormat="1" applyFill="1" applyBorder="1" applyAlignment="1">
      <alignment horizontal="left" vertical="center" wrapText="1"/>
    </xf>
    <xf numFmtId="164" fontId="56" fillId="3" borderId="99" xfId="0" applyNumberFormat="1" applyFont="1" applyFill="1" applyBorder="1" applyAlignment="1">
      <alignment vertical="center" wrapText="1"/>
    </xf>
    <xf numFmtId="0" fontId="0" fillId="0" borderId="99" xfId="0" applyBorder="1" applyAlignment="1">
      <alignment wrapText="1"/>
    </xf>
    <xf numFmtId="0" fontId="109" fillId="2" borderId="99" xfId="0" applyFont="1" applyFill="1" applyBorder="1"/>
    <xf numFmtId="0" fontId="0" fillId="2" borderId="99" xfId="0" applyFill="1" applyBorder="1" applyAlignment="1">
      <alignment vertical="center" wrapText="1"/>
    </xf>
    <xf numFmtId="0" fontId="23" fillId="2" borderId="99" xfId="0" applyFont="1" applyFill="1" applyBorder="1" applyAlignment="1">
      <alignment horizontal="center" vertical="center" wrapText="1"/>
    </xf>
    <xf numFmtId="0" fontId="0" fillId="0" borderId="99" xfId="0" applyBorder="1" applyAlignment="1">
      <alignment horizontal="left" vertical="center" wrapText="1"/>
    </xf>
    <xf numFmtId="0" fontId="0" fillId="0" borderId="99" xfId="77" applyNumberFormat="1" applyFont="1" applyBorder="1" applyAlignment="1">
      <alignment horizontal="left" vertical="center" wrapText="1"/>
    </xf>
    <xf numFmtId="0" fontId="0" fillId="0" borderId="99" xfId="0" applyBorder="1" applyAlignment="1">
      <alignment horizontal="center" vertical="center" wrapText="1"/>
    </xf>
    <xf numFmtId="0" fontId="0" fillId="3" borderId="99" xfId="77" applyNumberFormat="1" applyFont="1" applyFill="1" applyBorder="1" applyAlignment="1">
      <alignment horizontal="left" vertical="center" wrapText="1"/>
    </xf>
    <xf numFmtId="164" fontId="0" fillId="2" borderId="99" xfId="0" applyNumberFormat="1" applyFill="1" applyBorder="1" applyAlignment="1">
      <alignment vertical="center" wrapText="1"/>
    </xf>
    <xf numFmtId="164" fontId="45" fillId="2" borderId="99" xfId="0" applyNumberFormat="1" applyFont="1" applyFill="1" applyBorder="1" applyAlignment="1">
      <alignment vertical="center" wrapText="1"/>
    </xf>
    <xf numFmtId="0" fontId="0" fillId="2" borderId="99" xfId="0" applyFill="1" applyBorder="1" applyAlignment="1">
      <alignment horizontal="center" wrapText="1"/>
    </xf>
    <xf numFmtId="164" fontId="45" fillId="2" borderId="99" xfId="0" applyNumberFormat="1" applyFont="1" applyFill="1" applyBorder="1" applyAlignment="1">
      <alignment horizontal="center" vertical="center" wrapText="1"/>
    </xf>
    <xf numFmtId="0" fontId="53" fillId="2" borderId="99" xfId="0" applyFont="1" applyFill="1" applyBorder="1" applyAlignment="1">
      <alignment horizontal="center" wrapText="1"/>
    </xf>
    <xf numFmtId="16" fontId="0" fillId="2" borderId="99" xfId="0" applyNumberFormat="1" applyFill="1" applyBorder="1" applyAlignment="1">
      <alignment horizontal="left" wrapText="1"/>
    </xf>
    <xf numFmtId="0" fontId="2" fillId="4" borderId="99" xfId="0" applyFont="1" applyFill="1" applyBorder="1" applyAlignment="1">
      <alignment vertical="center"/>
    </xf>
    <xf numFmtId="0" fontId="68" fillId="2" borderId="99" xfId="0" applyFont="1" applyFill="1" applyBorder="1"/>
    <xf numFmtId="0" fontId="56" fillId="3" borderId="99" xfId="0" applyFont="1" applyFill="1" applyBorder="1" applyAlignment="1">
      <alignment horizontal="center" vertical="center" wrapText="1"/>
    </xf>
    <xf numFmtId="0" fontId="56" fillId="3" borderId="99" xfId="0" applyFont="1" applyFill="1" applyBorder="1" applyAlignment="1">
      <alignment horizontal="left" vertical="center" wrapText="1"/>
    </xf>
    <xf numFmtId="0" fontId="56" fillId="3" borderId="99" xfId="0" applyFont="1" applyFill="1" applyBorder="1" applyAlignment="1">
      <alignment vertical="center" wrapText="1"/>
    </xf>
    <xf numFmtId="4" fontId="2" fillId="3" borderId="99" xfId="0" applyNumberFormat="1" applyFont="1" applyFill="1" applyBorder="1" applyAlignment="1">
      <alignment horizontal="left" vertical="center" wrapText="1"/>
    </xf>
    <xf numFmtId="0" fontId="45" fillId="2" borderId="99" xfId="0" applyFont="1" applyFill="1" applyBorder="1" applyAlignment="1">
      <alignment horizontal="center" vertical="center"/>
    </xf>
    <xf numFmtId="0" fontId="116" fillId="2" borderId="99" xfId="0" applyFont="1" applyFill="1" applyBorder="1" applyAlignment="1">
      <alignment horizontal="center" vertical="center" wrapText="1"/>
    </xf>
    <xf numFmtId="0" fontId="24" fillId="3" borderId="99" xfId="0" applyFont="1" applyFill="1" applyBorder="1" applyAlignment="1">
      <alignment vertical="center" wrapText="1"/>
    </xf>
    <xf numFmtId="164" fontId="24" fillId="3" borderId="99" xfId="0" applyNumberFormat="1" applyFont="1" applyFill="1" applyBorder="1" applyAlignment="1">
      <alignment horizontal="center" vertical="center" wrapText="1"/>
    </xf>
    <xf numFmtId="164" fontId="70" fillId="3" borderId="99" xfId="0" applyNumberFormat="1" applyFont="1" applyFill="1" applyBorder="1" applyAlignment="1">
      <alignment horizontal="center" vertical="center"/>
    </xf>
    <xf numFmtId="0" fontId="0" fillId="3" borderId="99" xfId="0" quotePrefix="1" applyFill="1" applyBorder="1" applyAlignment="1">
      <alignment vertical="center"/>
    </xf>
    <xf numFmtId="0" fontId="70" fillId="3" borderId="99" xfId="0" applyFont="1" applyFill="1" applyBorder="1" applyAlignment="1">
      <alignment vertical="center"/>
    </xf>
    <xf numFmtId="10" fontId="0" fillId="3" borderId="99" xfId="77" applyNumberFormat="1" applyFont="1" applyFill="1" applyBorder="1" applyAlignment="1">
      <alignment vertical="center" wrapText="1"/>
    </xf>
    <xf numFmtId="0" fontId="29" fillId="3" borderId="99" xfId="0" applyFont="1" applyFill="1" applyBorder="1" applyAlignment="1">
      <alignment horizontal="left" vertical="center" wrapText="1"/>
    </xf>
    <xf numFmtId="164" fontId="29" fillId="3" borderId="99" xfId="0" applyNumberFormat="1" applyFont="1" applyFill="1" applyBorder="1" applyAlignment="1">
      <alignment horizontal="center" vertical="center" wrapText="1"/>
    </xf>
    <xf numFmtId="164" fontId="57" fillId="3" borderId="99" xfId="0" applyNumberFormat="1" applyFont="1" applyFill="1" applyBorder="1" applyAlignment="1">
      <alignment horizontal="center" vertical="center" wrapText="1"/>
    </xf>
    <xf numFmtId="164" fontId="2" fillId="3" borderId="99" xfId="0" applyNumberFormat="1" applyFont="1" applyFill="1" applyBorder="1" applyAlignment="1">
      <alignment vertical="center" wrapText="1"/>
    </xf>
    <xf numFmtId="0" fontId="2" fillId="3" borderId="99" xfId="0" applyFont="1" applyFill="1" applyBorder="1"/>
    <xf numFmtId="164" fontId="57" fillId="2" borderId="99" xfId="0" applyNumberFormat="1" applyFont="1" applyFill="1" applyBorder="1" applyAlignment="1">
      <alignment horizontal="center" vertical="center" wrapText="1"/>
    </xf>
    <xf numFmtId="0" fontId="0" fillId="0" borderId="99" xfId="77" applyNumberFormat="1" applyFont="1" applyBorder="1" applyAlignment="1">
      <alignment horizontal="center" vertical="center" wrapText="1"/>
    </xf>
    <xf numFmtId="20" fontId="0" fillId="3" borderId="99" xfId="0" applyNumberFormat="1" applyFill="1" applyBorder="1" applyAlignment="1">
      <alignment horizontal="center" vertical="center" wrapText="1"/>
    </xf>
    <xf numFmtId="16" fontId="45" fillId="2" borderId="99" xfId="0" applyNumberFormat="1" applyFont="1" applyFill="1" applyBorder="1" applyAlignment="1">
      <alignment horizontal="center" vertical="center"/>
    </xf>
    <xf numFmtId="11" fontId="57" fillId="2" borderId="99" xfId="0" applyNumberFormat="1" applyFont="1" applyFill="1" applyBorder="1" applyAlignment="1">
      <alignment horizontal="center" vertical="center"/>
    </xf>
    <xf numFmtId="0" fontId="2" fillId="3" borderId="99" xfId="0" quotePrefix="1" applyFont="1" applyFill="1" applyBorder="1" applyAlignment="1">
      <alignment horizontal="left" vertical="center" wrapText="1"/>
    </xf>
    <xf numFmtId="0" fontId="55" fillId="2" borderId="99" xfId="0" applyFont="1" applyFill="1" applyBorder="1"/>
    <xf numFmtId="164" fontId="23" fillId="3" borderId="99" xfId="0" applyNumberFormat="1" applyFont="1" applyFill="1" applyBorder="1" applyAlignment="1">
      <alignment vertical="center" wrapText="1"/>
    </xf>
    <xf numFmtId="170" fontId="2" fillId="3" borderId="99" xfId="0" applyNumberFormat="1" applyFont="1" applyFill="1" applyBorder="1" applyAlignment="1">
      <alignment vertical="center" wrapText="1"/>
    </xf>
    <xf numFmtId="0" fontId="29" fillId="74" borderId="99" xfId="0" applyFont="1" applyFill="1" applyBorder="1" applyAlignment="1">
      <alignment horizontal="left" vertical="center" wrapText="1"/>
    </xf>
    <xf numFmtId="164" fontId="29" fillId="74" borderId="99" xfId="0" applyNumberFormat="1" applyFont="1" applyFill="1" applyBorder="1" applyAlignment="1">
      <alignment horizontal="center" vertical="center" wrapText="1"/>
    </xf>
    <xf numFmtId="164" fontId="23" fillId="74" borderId="99" xfId="0" applyNumberFormat="1" applyFont="1" applyFill="1" applyBorder="1" applyAlignment="1">
      <alignment horizontal="center" vertical="center" wrapText="1"/>
    </xf>
    <xf numFmtId="0" fontId="29" fillId="74" borderId="99" xfId="0" applyFont="1" applyFill="1" applyBorder="1" applyAlignment="1">
      <alignment horizontal="center" vertical="center" wrapText="1"/>
    </xf>
    <xf numFmtId="164" fontId="29" fillId="74" borderId="99" xfId="0" applyNumberFormat="1" applyFont="1" applyFill="1" applyBorder="1" applyAlignment="1">
      <alignment horizontal="left" vertical="center" wrapText="1"/>
    </xf>
    <xf numFmtId="164" fontId="29" fillId="74" borderId="98" xfId="0" applyNumberFormat="1" applyFont="1" applyFill="1" applyBorder="1" applyAlignment="1">
      <alignment horizontal="center" vertical="center" wrapText="1"/>
    </xf>
    <xf numFmtId="16" fontId="0" fillId="2" borderId="99" xfId="0" applyNumberFormat="1" applyFill="1" applyBorder="1" applyAlignment="1">
      <alignment horizontal="left" vertical="center" wrapText="1"/>
    </xf>
    <xf numFmtId="14" fontId="0" fillId="2" borderId="98" xfId="0" applyNumberFormat="1" applyFill="1" applyBorder="1" applyAlignment="1">
      <alignment horizontal="center" vertical="center" wrapText="1"/>
    </xf>
    <xf numFmtId="0" fontId="165" fillId="2" borderId="99" xfId="0" applyFont="1" applyFill="1" applyBorder="1" applyAlignment="1">
      <alignment wrapText="1"/>
    </xf>
    <xf numFmtId="14" fontId="0" fillId="2" borderId="99" xfId="0" applyNumberFormat="1" applyFill="1" applyBorder="1" applyAlignment="1">
      <alignment horizontal="center" vertical="center" wrapText="1"/>
    </xf>
    <xf numFmtId="0" fontId="0" fillId="4" borderId="99" xfId="0" applyFill="1" applyBorder="1" applyAlignment="1">
      <alignment horizontal="center" vertical="center"/>
    </xf>
    <xf numFmtId="164" fontId="0" fillId="0" borderId="99" xfId="0" applyNumberFormat="1" applyBorder="1" applyAlignment="1">
      <alignment horizontal="center" vertical="center"/>
    </xf>
    <xf numFmtId="0" fontId="163" fillId="0" borderId="99" xfId="0" applyFont="1" applyBorder="1" applyAlignment="1">
      <alignment horizontal="center" vertical="center"/>
    </xf>
    <xf numFmtId="0" fontId="57" fillId="0" borderId="99" xfId="0" applyFont="1" applyBorder="1" applyAlignment="1">
      <alignment horizontal="center" vertical="center"/>
    </xf>
    <xf numFmtId="164" fontId="0" fillId="4" borderId="99" xfId="0" applyNumberFormat="1" applyFill="1" applyBorder="1" applyAlignment="1">
      <alignment horizontal="left" vertical="center" wrapText="1"/>
    </xf>
    <xf numFmtId="0" fontId="57" fillId="0" borderId="99" xfId="0" applyFont="1" applyBorder="1" applyAlignment="1">
      <alignment vertical="center"/>
    </xf>
    <xf numFmtId="4" fontId="0" fillId="3" borderId="99" xfId="0" applyNumberFormat="1" applyFill="1" applyBorder="1" applyAlignment="1">
      <alignment vertical="center"/>
    </xf>
    <xf numFmtId="164" fontId="0" fillId="74" borderId="99" xfId="0" applyNumberFormat="1" applyFill="1" applyBorder="1" applyAlignment="1">
      <alignment horizontal="center" vertical="center" wrapText="1"/>
    </xf>
    <xf numFmtId="0" fontId="0" fillId="74" borderId="99" xfId="0" applyFill="1" applyBorder="1" applyAlignment="1">
      <alignment horizontal="center" vertical="center" wrapText="1"/>
    </xf>
    <xf numFmtId="16" fontId="0" fillId="74" borderId="99" xfId="0" applyNumberFormat="1" applyFill="1" applyBorder="1" applyAlignment="1">
      <alignment horizontal="center" vertical="center" wrapText="1"/>
    </xf>
    <xf numFmtId="0" fontId="0" fillId="74" borderId="99" xfId="0" applyFill="1" applyBorder="1" applyAlignment="1">
      <alignment horizontal="center" wrapText="1"/>
    </xf>
    <xf numFmtId="14" fontId="0" fillId="2" borderId="99" xfId="0" applyNumberFormat="1" applyFill="1" applyBorder="1" applyAlignment="1">
      <alignment horizontal="center" vertical="center"/>
    </xf>
    <xf numFmtId="14" fontId="29" fillId="2" borderId="99" xfId="0" applyNumberFormat="1" applyFont="1" applyFill="1" applyBorder="1" applyAlignment="1">
      <alignment horizontal="center" vertical="center"/>
    </xf>
    <xf numFmtId="0" fontId="66" fillId="2" borderId="99" xfId="0" applyFont="1" applyFill="1" applyBorder="1" applyAlignment="1">
      <alignment vertical="top"/>
    </xf>
    <xf numFmtId="0" fontId="172" fillId="0" borderId="99" xfId="0" applyFont="1" applyBorder="1" applyAlignment="1">
      <alignment horizontal="center" vertical="center"/>
    </xf>
    <xf numFmtId="0" fontId="24" fillId="4" borderId="99" xfId="0" applyFont="1" applyFill="1" applyBorder="1" applyAlignment="1">
      <alignment horizontal="left" vertical="center"/>
    </xf>
    <xf numFmtId="10" fontId="0" fillId="0" borderId="99" xfId="77" applyNumberFormat="1" applyFont="1" applyBorder="1" applyAlignment="1">
      <alignment horizontal="left" vertical="center"/>
    </xf>
    <xf numFmtId="14" fontId="0" fillId="74" borderId="99" xfId="0" applyNumberFormat="1" applyFill="1" applyBorder="1" applyAlignment="1">
      <alignment horizontal="center" vertical="center"/>
    </xf>
    <xf numFmtId="14" fontId="23" fillId="74" borderId="99" xfId="0" applyNumberFormat="1" applyFont="1" applyFill="1" applyBorder="1" applyAlignment="1">
      <alignment horizontal="center" vertical="center"/>
    </xf>
    <xf numFmtId="0" fontId="24" fillId="74" borderId="99" xfId="0" applyFont="1" applyFill="1" applyBorder="1" applyAlignment="1">
      <alignment horizontal="center" vertical="center"/>
    </xf>
    <xf numFmtId="14" fontId="24" fillId="74" borderId="99" xfId="0" applyNumberFormat="1" applyFont="1" applyFill="1" applyBorder="1" applyAlignment="1">
      <alignment horizontal="center" vertical="center"/>
    </xf>
    <xf numFmtId="0" fontId="2" fillId="74" borderId="99" xfId="0" applyFont="1" applyFill="1" applyBorder="1" applyAlignment="1">
      <alignment horizontal="left" vertical="top" wrapText="1"/>
    </xf>
    <xf numFmtId="4" fontId="0" fillId="3" borderId="99" xfId="0" applyNumberFormat="1" applyFill="1" applyBorder="1" applyAlignment="1">
      <alignment horizontal="left" vertical="center"/>
    </xf>
    <xf numFmtId="14" fontId="0" fillId="3" borderId="99" xfId="0" applyNumberFormat="1" applyFill="1" applyBorder="1" applyAlignment="1">
      <alignment horizontal="left" vertical="center"/>
    </xf>
    <xf numFmtId="14" fontId="45" fillId="3" borderId="99" xfId="0" applyNumberFormat="1" applyFont="1" applyFill="1" applyBorder="1" applyAlignment="1">
      <alignment horizontal="left" vertical="center"/>
    </xf>
    <xf numFmtId="14" fontId="24" fillId="3" borderId="99" xfId="0" applyNumberFormat="1" applyFont="1" applyFill="1" applyBorder="1" applyAlignment="1">
      <alignment horizontal="center" vertical="center"/>
    </xf>
    <xf numFmtId="0" fontId="0" fillId="3" borderId="99" xfId="0" applyFill="1" applyBorder="1" applyAlignment="1">
      <alignment horizontal="left" vertical="top" wrapText="1"/>
    </xf>
    <xf numFmtId="8" fontId="2" fillId="3" borderId="99" xfId="0" applyNumberFormat="1" applyFont="1" applyFill="1" applyBorder="1" applyAlignment="1">
      <alignment horizontal="left" vertical="center" wrapText="1"/>
    </xf>
    <xf numFmtId="14" fontId="45" fillId="2" borderId="99" xfId="0" applyNumberFormat="1" applyFont="1" applyFill="1" applyBorder="1" applyAlignment="1">
      <alignment horizontal="center" vertical="center"/>
    </xf>
    <xf numFmtId="0" fontId="60" fillId="2" borderId="99" xfId="0" applyFont="1" applyFill="1" applyBorder="1" applyAlignment="1">
      <alignment horizontal="center" vertical="center"/>
    </xf>
    <xf numFmtId="170" fontId="0" fillId="2" borderId="99" xfId="0" applyNumberFormat="1" applyFill="1" applyBorder="1" applyAlignment="1">
      <alignment horizontal="center" vertical="center"/>
    </xf>
    <xf numFmtId="0" fontId="0" fillId="2" borderId="99" xfId="0" applyFill="1" applyBorder="1" applyAlignment="1">
      <alignment vertical="top" wrapText="1"/>
    </xf>
    <xf numFmtId="16" fontId="0" fillId="3" borderId="99" xfId="0" applyNumberFormat="1" applyFill="1" applyBorder="1" applyAlignment="1">
      <alignment horizontal="center" vertical="center"/>
    </xf>
    <xf numFmtId="14" fontId="45" fillId="3" borderId="99" xfId="0" applyNumberFormat="1" applyFont="1" applyFill="1" applyBorder="1" applyAlignment="1">
      <alignment horizontal="center" vertical="center"/>
    </xf>
    <xf numFmtId="0" fontId="23" fillId="3" borderId="99" xfId="0" applyFont="1" applyFill="1" applyBorder="1" applyAlignment="1">
      <alignment horizontal="center" vertical="center"/>
    </xf>
    <xf numFmtId="14" fontId="23" fillId="3" borderId="99" xfId="0" applyNumberFormat="1" applyFont="1" applyFill="1" applyBorder="1" applyAlignment="1">
      <alignment horizontal="center" vertical="center"/>
    </xf>
    <xf numFmtId="14" fontId="0" fillId="3" borderId="99" xfId="0" applyNumberFormat="1" applyFill="1" applyBorder="1" applyAlignment="1">
      <alignment horizontal="center" vertical="center"/>
    </xf>
    <xf numFmtId="18" fontId="0" fillId="2" borderId="99" xfId="0" applyNumberFormat="1" applyFill="1" applyBorder="1" applyAlignment="1">
      <alignment horizontal="center" vertical="center"/>
    </xf>
    <xf numFmtId="0" fontId="60" fillId="2" borderId="99" xfId="0" applyFont="1" applyFill="1" applyBorder="1" applyAlignment="1">
      <alignment horizontal="center"/>
    </xf>
    <xf numFmtId="164" fontId="0" fillId="3" borderId="99" xfId="0" applyNumberFormat="1" applyFill="1" applyBorder="1" applyAlignment="1">
      <alignment vertical="center"/>
    </xf>
    <xf numFmtId="164" fontId="23" fillId="3" borderId="99" xfId="0" applyNumberFormat="1" applyFont="1" applyFill="1" applyBorder="1" applyAlignment="1">
      <alignment vertical="center"/>
    </xf>
    <xf numFmtId="164" fontId="56" fillId="3" borderId="99" xfId="0" applyNumberFormat="1" applyFont="1" applyFill="1" applyBorder="1" applyAlignment="1">
      <alignment vertical="center"/>
    </xf>
    <xf numFmtId="164" fontId="24" fillId="3" borderId="99" xfId="0" applyNumberFormat="1" applyFont="1" applyFill="1" applyBorder="1" applyAlignment="1">
      <alignment vertical="center"/>
    </xf>
    <xf numFmtId="164" fontId="24" fillId="3" borderId="99" xfId="0" applyNumberFormat="1" applyFont="1" applyFill="1" applyBorder="1" applyAlignment="1">
      <alignment vertical="center" wrapText="1"/>
    </xf>
    <xf numFmtId="8" fontId="0" fillId="3" borderId="99" xfId="0" applyNumberFormat="1" applyFill="1" applyBorder="1" applyAlignment="1">
      <alignment vertical="center"/>
    </xf>
    <xf numFmtId="10" fontId="0" fillId="3" borderId="99" xfId="77" applyNumberFormat="1" applyFont="1" applyFill="1" applyBorder="1" applyAlignment="1">
      <alignment vertical="center"/>
    </xf>
    <xf numFmtId="0" fontId="60" fillId="3" borderId="99" xfId="0" applyFont="1" applyFill="1" applyBorder="1" applyAlignment="1">
      <alignment horizontal="center"/>
    </xf>
    <xf numFmtId="0" fontId="2" fillId="3" borderId="98" xfId="0" applyFont="1" applyFill="1" applyBorder="1" applyAlignment="1">
      <alignment horizontal="left" vertical="center"/>
    </xf>
    <xf numFmtId="20" fontId="0" fillId="2" borderId="99" xfId="0" applyNumberFormat="1" applyFill="1" applyBorder="1" applyAlignment="1">
      <alignment horizontal="center" vertical="center" wrapText="1"/>
    </xf>
    <xf numFmtId="0" fontId="0" fillId="3" borderId="98" xfId="0" applyFill="1" applyBorder="1" applyAlignment="1">
      <alignment horizontal="center" vertical="center"/>
    </xf>
    <xf numFmtId="49" fontId="0" fillId="3" borderId="99" xfId="0" applyNumberFormat="1" applyFill="1" applyBorder="1" applyAlignment="1">
      <alignment horizontal="center"/>
    </xf>
    <xf numFmtId="14" fontId="23" fillId="2" borderId="99" xfId="0" applyNumberFormat="1" applyFont="1" applyFill="1" applyBorder="1" applyAlignment="1">
      <alignment horizontal="center" vertical="center"/>
    </xf>
    <xf numFmtId="9" fontId="0" fillId="3" borderId="99" xfId="0" applyNumberFormat="1" applyFill="1" applyBorder="1" applyAlignment="1">
      <alignment horizontal="center" vertical="center"/>
    </xf>
    <xf numFmtId="10" fontId="0" fillId="2" borderId="99" xfId="77" applyNumberFormat="1" applyFont="1" applyFill="1" applyBorder="1" applyAlignment="1">
      <alignment horizontal="center" vertical="center"/>
    </xf>
    <xf numFmtId="170" fontId="0" fillId="3" borderId="99" xfId="0" applyNumberFormat="1" applyFill="1" applyBorder="1" applyAlignment="1">
      <alignment horizontal="left" vertical="center"/>
    </xf>
    <xf numFmtId="170" fontId="0" fillId="3" borderId="99" xfId="0" applyNumberFormat="1" applyFill="1" applyBorder="1" applyAlignment="1">
      <alignment horizontal="center" vertical="center"/>
    </xf>
    <xf numFmtId="164" fontId="29" fillId="3" borderId="99" xfId="0" applyNumberFormat="1" applyFont="1" applyFill="1" applyBorder="1" applyAlignment="1">
      <alignment horizontal="center" vertical="center"/>
    </xf>
    <xf numFmtId="0" fontId="29" fillId="3" borderId="99" xfId="0" applyFont="1" applyFill="1" applyBorder="1" applyAlignment="1">
      <alignment horizontal="center" vertical="center"/>
    </xf>
    <xf numFmtId="11" fontId="56" fillId="3" borderId="99" xfId="0" quotePrefix="1" applyNumberFormat="1" applyFont="1" applyFill="1" applyBorder="1" applyAlignment="1">
      <alignment horizontal="left" vertical="center"/>
    </xf>
    <xf numFmtId="6" fontId="0" fillId="3" borderId="99" xfId="0" applyNumberFormat="1" applyFill="1" applyBorder="1" applyAlignment="1">
      <alignment horizontal="left" vertical="center"/>
    </xf>
    <xf numFmtId="14" fontId="0" fillId="74" borderId="99" xfId="0" applyNumberFormat="1" applyFill="1" applyBorder="1" applyAlignment="1">
      <alignment horizontal="left" vertical="center"/>
    </xf>
    <xf numFmtId="0" fontId="23" fillId="74" borderId="99" xfId="0" applyFont="1" applyFill="1" applyBorder="1" applyAlignment="1">
      <alignment horizontal="center" vertical="center"/>
    </xf>
    <xf numFmtId="164" fontId="24" fillId="74" borderId="99" xfId="0" applyNumberFormat="1" applyFont="1" applyFill="1" applyBorder="1" applyAlignment="1">
      <alignment horizontal="left" vertical="center" wrapText="1"/>
    </xf>
    <xf numFmtId="0" fontId="24" fillId="74" borderId="99" xfId="0" applyFont="1" applyFill="1" applyBorder="1" applyAlignment="1">
      <alignment horizontal="left" vertical="center" wrapText="1"/>
    </xf>
    <xf numFmtId="0" fontId="0" fillId="74" borderId="99" xfId="0" applyFill="1" applyBorder="1" applyAlignment="1">
      <alignment horizontal="left" vertical="top" wrapText="1"/>
    </xf>
    <xf numFmtId="20" fontId="0" fillId="3" borderId="99" xfId="0" applyNumberFormat="1" applyFill="1" applyBorder="1" applyAlignment="1">
      <alignment horizontal="center" vertical="center"/>
    </xf>
    <xf numFmtId="0" fontId="23" fillId="3" borderId="99" xfId="0" applyFont="1" applyFill="1" applyBorder="1" applyAlignment="1">
      <alignment vertical="center"/>
    </xf>
    <xf numFmtId="164" fontId="29" fillId="3" borderId="99" xfId="0" applyNumberFormat="1" applyFont="1" applyFill="1" applyBorder="1" applyAlignment="1">
      <alignment vertical="center"/>
    </xf>
    <xf numFmtId="164" fontId="29" fillId="3" borderId="99" xfId="0" applyNumberFormat="1" applyFont="1" applyFill="1" applyBorder="1" applyAlignment="1">
      <alignment horizontal="left" vertical="center"/>
    </xf>
    <xf numFmtId="164" fontId="57" fillId="3" borderId="99" xfId="0" applyNumberFormat="1" applyFont="1" applyFill="1" applyBorder="1" applyAlignment="1">
      <alignment horizontal="left" vertical="center"/>
    </xf>
    <xf numFmtId="170" fontId="57" fillId="2" borderId="99" xfId="0" applyNumberFormat="1" applyFont="1" applyFill="1" applyBorder="1" applyAlignment="1">
      <alignment horizontal="center" vertical="center"/>
    </xf>
    <xf numFmtId="16" fontId="24" fillId="3" borderId="99" xfId="0" applyNumberFormat="1" applyFont="1" applyFill="1" applyBorder="1" applyAlignment="1">
      <alignment vertical="center"/>
    </xf>
    <xf numFmtId="0" fontId="134" fillId="3" borderId="99" xfId="0" applyFont="1" applyFill="1" applyBorder="1" applyAlignment="1">
      <alignment vertical="center"/>
    </xf>
    <xf numFmtId="4" fontId="0" fillId="3" borderId="99" xfId="0" applyNumberFormat="1" applyFill="1" applyBorder="1" applyAlignment="1">
      <alignment vertical="center" wrapText="1"/>
    </xf>
    <xf numFmtId="0" fontId="23" fillId="3" borderId="99" xfId="0" applyFont="1" applyFill="1" applyBorder="1" applyAlignment="1">
      <alignment horizontal="left" vertical="center"/>
    </xf>
    <xf numFmtId="0" fontId="29" fillId="3" borderId="99" xfId="0" applyFont="1" applyFill="1" applyBorder="1" applyAlignment="1">
      <alignment horizontal="left" vertical="center"/>
    </xf>
    <xf numFmtId="14" fontId="23" fillId="74" borderId="99" xfId="0" applyNumberFormat="1" applyFont="1" applyFill="1" applyBorder="1" applyAlignment="1">
      <alignment horizontal="left" vertical="center"/>
    </xf>
    <xf numFmtId="170" fontId="0" fillId="74" borderId="99" xfId="0" applyNumberFormat="1" applyFill="1" applyBorder="1" applyAlignment="1">
      <alignment horizontal="left" vertical="center"/>
    </xf>
    <xf numFmtId="170" fontId="0" fillId="74" borderId="99" xfId="0" applyNumberFormat="1" applyFill="1" applyBorder="1" applyAlignment="1">
      <alignment horizontal="center" vertical="center"/>
    </xf>
    <xf numFmtId="164" fontId="23" fillId="74" borderId="99" xfId="0" applyNumberFormat="1" applyFont="1" applyFill="1" applyBorder="1" applyAlignment="1">
      <alignment horizontal="left" vertical="center" wrapText="1"/>
    </xf>
    <xf numFmtId="11" fontId="60" fillId="3" borderId="99" xfId="0" applyNumberFormat="1" applyFont="1" applyFill="1" applyBorder="1" applyAlignment="1">
      <alignment horizontal="center"/>
    </xf>
    <xf numFmtId="0" fontId="132" fillId="3" borderId="99" xfId="0" applyFont="1" applyFill="1" applyBorder="1" applyAlignment="1">
      <alignment horizontal="left" wrapText="1"/>
    </xf>
    <xf numFmtId="10" fontId="0" fillId="3" borderId="99" xfId="77" applyNumberFormat="1" applyFont="1" applyFill="1" applyBorder="1" applyAlignment="1">
      <alignment horizontal="center" vertical="center"/>
    </xf>
    <xf numFmtId="0" fontId="29" fillId="3" borderId="99" xfId="0" applyFont="1" applyFill="1" applyBorder="1" applyAlignment="1">
      <alignment vertical="center"/>
    </xf>
    <xf numFmtId="164" fontId="45" fillId="3" borderId="99" xfId="0" applyNumberFormat="1" applyFont="1" applyFill="1" applyBorder="1" applyAlignment="1">
      <alignment vertical="center"/>
    </xf>
    <xf numFmtId="49" fontId="0" fillId="3" borderId="99" xfId="0" applyNumberFormat="1" applyFill="1" applyBorder="1" applyAlignment="1">
      <alignment horizontal="left" vertical="center"/>
    </xf>
    <xf numFmtId="0" fontId="60" fillId="2" borderId="99" xfId="0" applyFont="1" applyFill="1" applyBorder="1" applyAlignment="1">
      <alignment vertical="top" wrapText="1"/>
    </xf>
    <xf numFmtId="10" fontId="0" fillId="0" borderId="99" xfId="77" applyNumberFormat="1" applyFont="1" applyBorder="1" applyAlignment="1">
      <alignment horizontal="center" vertical="center"/>
    </xf>
    <xf numFmtId="49" fontId="0" fillId="2" borderId="99" xfId="0" applyNumberFormat="1" applyFill="1" applyBorder="1" applyAlignment="1">
      <alignment horizontal="center" vertical="center"/>
    </xf>
    <xf numFmtId="49" fontId="29" fillId="2" borderId="99" xfId="0" applyNumberFormat="1" applyFont="1" applyFill="1" applyBorder="1" applyAlignment="1">
      <alignment horizontal="center" vertical="center"/>
    </xf>
    <xf numFmtId="14" fontId="0" fillId="3" borderId="99" xfId="0" applyNumberFormat="1" applyFill="1" applyBorder="1" applyAlignment="1">
      <alignment horizontal="right" vertical="center"/>
    </xf>
    <xf numFmtId="14" fontId="45" fillId="3" borderId="99" xfId="0" applyNumberFormat="1" applyFont="1" applyFill="1" applyBorder="1" applyAlignment="1">
      <alignment vertical="center"/>
    </xf>
    <xf numFmtId="49" fontId="2" fillId="3" borderId="99" xfId="0" applyNumberFormat="1" applyFont="1" applyFill="1" applyBorder="1" applyAlignment="1">
      <alignment horizontal="center" vertical="center"/>
    </xf>
    <xf numFmtId="49" fontId="0" fillId="3" borderId="99" xfId="0" applyNumberFormat="1" applyFill="1" applyBorder="1" applyAlignment="1">
      <alignment horizontal="center" vertical="center"/>
    </xf>
    <xf numFmtId="14" fontId="45" fillId="74" borderId="99" xfId="0" applyNumberFormat="1" applyFont="1" applyFill="1" applyBorder="1" applyAlignment="1">
      <alignment horizontal="center" vertical="center"/>
    </xf>
    <xf numFmtId="49" fontId="0" fillId="74" borderId="99" xfId="0" applyNumberFormat="1" applyFill="1" applyBorder="1" applyAlignment="1">
      <alignment horizontal="center" vertical="center"/>
    </xf>
    <xf numFmtId="10" fontId="0" fillId="74" borderId="99" xfId="77" applyNumberFormat="1" applyFont="1" applyFill="1" applyBorder="1" applyAlignment="1">
      <alignment horizontal="center" vertical="center"/>
    </xf>
    <xf numFmtId="0" fontId="2" fillId="2" borderId="99" xfId="0" applyFont="1" applyFill="1" applyBorder="1"/>
    <xf numFmtId="0" fontId="173" fillId="3" borderId="99" xfId="0" applyFont="1" applyFill="1" applyBorder="1" applyAlignment="1">
      <alignment horizontal="left" vertical="center"/>
    </xf>
    <xf numFmtId="49" fontId="0" fillId="3" borderId="99" xfId="0" quotePrefix="1" applyNumberFormat="1" applyFill="1" applyBorder="1" applyAlignment="1">
      <alignment horizontal="center" vertical="center"/>
    </xf>
    <xf numFmtId="49" fontId="2" fillId="74" borderId="99" xfId="0" applyNumberFormat="1" applyFont="1" applyFill="1" applyBorder="1" applyAlignment="1">
      <alignment horizontal="center" vertical="center"/>
    </xf>
    <xf numFmtId="0" fontId="52" fillId="3" borderId="99" xfId="0" applyFont="1" applyFill="1" applyBorder="1" applyAlignment="1">
      <alignment horizontal="center" vertical="center"/>
    </xf>
    <xf numFmtId="0" fontId="0" fillId="0" borderId="98" xfId="0" applyBorder="1" applyAlignment="1">
      <alignment horizontal="center" vertical="center"/>
    </xf>
    <xf numFmtId="170" fontId="0" fillId="0" borderId="99" xfId="0" applyNumberFormat="1" applyBorder="1" applyAlignment="1">
      <alignment horizontal="center" vertical="center"/>
    </xf>
    <xf numFmtId="0" fontId="2" fillId="4" borderId="99" xfId="0" applyFont="1" applyFill="1" applyBorder="1" applyAlignment="1">
      <alignment horizontal="center" vertical="center"/>
    </xf>
    <xf numFmtId="49" fontId="0" fillId="0" borderId="99" xfId="0" applyNumberFormat="1" applyBorder="1" applyAlignment="1">
      <alignment horizontal="center" vertical="center"/>
    </xf>
    <xf numFmtId="4" fontId="0" fillId="3" borderId="99" xfId="0" applyNumberFormat="1" applyFill="1" applyBorder="1" applyAlignment="1">
      <alignment horizontal="center" vertical="center"/>
    </xf>
    <xf numFmtId="10" fontId="44" fillId="63" borderId="99" xfId="0" applyNumberFormat="1" applyFont="1" applyFill="1" applyBorder="1" applyAlignment="1">
      <alignment horizontal="center" vertical="center"/>
    </xf>
    <xf numFmtId="0" fontId="23" fillId="2" borderId="99" xfId="0" applyFont="1" applyFill="1" applyBorder="1" applyAlignment="1">
      <alignment horizontal="center" vertical="center"/>
    </xf>
    <xf numFmtId="0" fontId="0" fillId="2" borderId="99" xfId="0" applyFill="1" applyBorder="1" applyAlignment="1">
      <alignment vertical="center"/>
    </xf>
    <xf numFmtId="0" fontId="186" fillId="2" borderId="99" xfId="1" applyFont="1" applyFill="1" applyBorder="1" applyAlignment="1">
      <alignment horizontal="center" vertical="center"/>
    </xf>
    <xf numFmtId="164" fontId="45" fillId="3" borderId="99" xfId="0" applyNumberFormat="1" applyFont="1" applyFill="1" applyBorder="1" applyAlignment="1">
      <alignment horizontal="left" vertical="center" wrapText="1"/>
    </xf>
    <xf numFmtId="20" fontId="17" fillId="3" borderId="99" xfId="0" applyNumberFormat="1" applyFont="1" applyFill="1" applyBorder="1" applyAlignment="1">
      <alignment horizontal="left" vertical="center"/>
    </xf>
    <xf numFmtId="49" fontId="45" fillId="2" borderId="99" xfId="0" applyNumberFormat="1" applyFont="1" applyFill="1" applyBorder="1" applyAlignment="1">
      <alignment horizontal="center" vertical="center"/>
    </xf>
    <xf numFmtId="164" fontId="17" fillId="3" borderId="99" xfId="0" applyNumberFormat="1" applyFont="1" applyFill="1" applyBorder="1" applyAlignment="1">
      <alignment horizontal="left" vertical="center" wrapText="1"/>
    </xf>
    <xf numFmtId="0" fontId="0" fillId="0" borderId="99" xfId="0" applyBorder="1" applyAlignment="1">
      <alignment vertical="center"/>
    </xf>
    <xf numFmtId="49" fontId="17" fillId="3" borderId="99" xfId="0" applyNumberFormat="1" applyFont="1" applyFill="1" applyBorder="1" applyAlignment="1">
      <alignment horizontal="left" vertical="center"/>
    </xf>
    <xf numFmtId="0" fontId="182" fillId="3" borderId="99" xfId="0" applyFont="1" applyFill="1" applyBorder="1" applyAlignment="1">
      <alignment vertical="center"/>
    </xf>
    <xf numFmtId="0" fontId="17" fillId="3" borderId="99" xfId="0" applyFont="1" applyFill="1" applyBorder="1" applyAlignment="1">
      <alignment vertical="center" wrapText="1"/>
    </xf>
    <xf numFmtId="0" fontId="124" fillId="3" borderId="99" xfId="0" applyFont="1" applyFill="1" applyBorder="1" applyAlignment="1">
      <alignment vertical="center"/>
    </xf>
    <xf numFmtId="0" fontId="17" fillId="0" borderId="99" xfId="0" applyFont="1" applyBorder="1" applyAlignment="1">
      <alignment horizontal="center" vertical="center" wrapText="1"/>
    </xf>
    <xf numFmtId="0" fontId="17" fillId="0" borderId="99" xfId="0" applyFont="1" applyBorder="1" applyAlignment="1">
      <alignment horizontal="center" vertical="center"/>
    </xf>
    <xf numFmtId="0" fontId="2" fillId="0" borderId="99" xfId="0" applyFont="1" applyBorder="1" applyAlignment="1">
      <alignment horizontal="center" vertical="center" wrapText="1"/>
    </xf>
    <xf numFmtId="164" fontId="0" fillId="0" borderId="99" xfId="0" applyNumberFormat="1" applyBorder="1" applyAlignment="1">
      <alignment horizontal="center" vertical="center" wrapText="1"/>
    </xf>
    <xf numFmtId="0" fontId="17" fillId="0" borderId="99" xfId="0" applyFont="1" applyBorder="1" applyAlignment="1">
      <alignment vertical="center" wrapText="1"/>
    </xf>
    <xf numFmtId="0" fontId="17" fillId="0" borderId="99" xfId="0" applyFont="1" applyBorder="1" applyAlignment="1">
      <alignment vertical="center"/>
    </xf>
    <xf numFmtId="0" fontId="52" fillId="3" borderId="99" xfId="0" applyFont="1" applyFill="1" applyBorder="1" applyAlignment="1">
      <alignment horizontal="left" vertical="center"/>
    </xf>
    <xf numFmtId="0" fontId="17" fillId="2" borderId="99" xfId="0" applyFont="1" applyFill="1" applyBorder="1" applyAlignment="1">
      <alignment horizontal="center" vertical="center"/>
    </xf>
    <xf numFmtId="165" fontId="0" fillId="2" borderId="99" xfId="0" applyNumberFormat="1" applyFill="1" applyBorder="1" applyAlignment="1">
      <alignment horizontal="center" vertical="center"/>
    </xf>
    <xf numFmtId="0" fontId="0" fillId="3" borderId="99" xfId="0" quotePrefix="1" applyFill="1" applyBorder="1" applyAlignment="1">
      <alignment horizontal="left" vertical="center"/>
    </xf>
    <xf numFmtId="164" fontId="17" fillId="3" borderId="99" xfId="0" applyNumberFormat="1" applyFont="1" applyFill="1" applyBorder="1" applyAlignment="1">
      <alignment horizontal="center" vertical="center" wrapText="1"/>
    </xf>
    <xf numFmtId="0" fontId="60" fillId="3" borderId="99" xfId="0" applyFont="1" applyFill="1" applyBorder="1" applyAlignment="1">
      <alignment horizontal="left" vertical="center"/>
    </xf>
    <xf numFmtId="164" fontId="17" fillId="3" borderId="99" xfId="0" applyNumberFormat="1" applyFont="1" applyFill="1" applyBorder="1" applyAlignment="1">
      <alignment vertical="center" wrapText="1"/>
    </xf>
    <xf numFmtId="0" fontId="56" fillId="3" borderId="99" xfId="0" applyFont="1" applyFill="1" applyBorder="1" applyAlignment="1">
      <alignment vertical="center"/>
    </xf>
    <xf numFmtId="49" fontId="17" fillId="3" borderId="99" xfId="0" applyNumberFormat="1" applyFont="1" applyFill="1" applyBorder="1" applyAlignment="1">
      <alignment vertical="center"/>
    </xf>
    <xf numFmtId="0" fontId="29" fillId="2" borderId="99" xfId="0" applyFont="1" applyFill="1" applyBorder="1" applyAlignment="1">
      <alignment vertical="center" wrapText="1"/>
    </xf>
    <xf numFmtId="0" fontId="2" fillId="3" borderId="99" xfId="0" applyFont="1" applyFill="1" applyBorder="1" applyAlignment="1">
      <alignment horizontal="left" vertical="top" wrapText="1"/>
    </xf>
    <xf numFmtId="0" fontId="17" fillId="3" borderId="99" xfId="0" quotePrefix="1" applyFont="1" applyFill="1" applyBorder="1" applyAlignment="1">
      <alignment horizontal="left" vertical="center" wrapText="1"/>
    </xf>
    <xf numFmtId="0" fontId="17" fillId="3" borderId="99" xfId="0" applyFont="1" applyFill="1" applyBorder="1" applyAlignment="1">
      <alignment horizontal="left" vertical="top" wrapText="1"/>
    </xf>
    <xf numFmtId="164" fontId="0" fillId="3" borderId="99" xfId="0" applyNumberFormat="1" applyFill="1" applyBorder="1" applyAlignment="1">
      <alignment vertical="top"/>
    </xf>
    <xf numFmtId="0" fontId="0" fillId="3" borderId="99" xfId="0" applyFill="1" applyBorder="1" applyAlignment="1">
      <alignment horizontal="center" vertical="top"/>
    </xf>
    <xf numFmtId="16" fontId="53" fillId="2" borderId="99" xfId="0" applyNumberFormat="1" applyFont="1" applyFill="1" applyBorder="1" applyAlignment="1">
      <alignment horizontal="center" vertical="center"/>
    </xf>
    <xf numFmtId="16" fontId="55" fillId="2" borderId="99" xfId="0" applyNumberFormat="1" applyFont="1" applyFill="1" applyBorder="1" applyAlignment="1">
      <alignment horizontal="center" vertical="center"/>
    </xf>
    <xf numFmtId="0" fontId="57" fillId="3" borderId="99" xfId="0" applyFont="1" applyFill="1" applyBorder="1" applyAlignment="1">
      <alignment horizontal="center" vertical="center"/>
    </xf>
    <xf numFmtId="164" fontId="23" fillId="0" borderId="99" xfId="0" applyNumberFormat="1" applyFont="1" applyBorder="1" applyAlignment="1">
      <alignment horizontal="center" vertical="center"/>
    </xf>
    <xf numFmtId="0" fontId="0" fillId="3" borderId="99" xfId="0" applyFill="1" applyBorder="1" applyAlignment="1">
      <alignment vertical="top"/>
    </xf>
    <xf numFmtId="164" fontId="0" fillId="3" borderId="99" xfId="0" applyNumberFormat="1" applyFill="1" applyBorder="1" applyAlignment="1">
      <alignment horizontal="center" vertical="top"/>
    </xf>
    <xf numFmtId="164" fontId="23" fillId="3" borderId="99" xfId="0" applyNumberFormat="1" applyFont="1" applyFill="1" applyBorder="1" applyAlignment="1">
      <alignment horizontal="center" vertical="top"/>
    </xf>
    <xf numFmtId="0" fontId="57" fillId="3" borderId="99" xfId="0" applyFont="1" applyFill="1" applyBorder="1" applyAlignment="1">
      <alignment horizontal="center" vertical="top"/>
    </xf>
    <xf numFmtId="0" fontId="0" fillId="3" borderId="99" xfId="0" applyFill="1" applyBorder="1" applyAlignment="1">
      <alignment vertical="top" wrapText="1"/>
    </xf>
    <xf numFmtId="164" fontId="17" fillId="3" borderId="99" xfId="0" applyNumberFormat="1" applyFont="1" applyFill="1" applyBorder="1" applyAlignment="1">
      <alignment horizontal="left" vertical="center"/>
    </xf>
    <xf numFmtId="0" fontId="17" fillId="3" borderId="99" xfId="0" applyFont="1" applyFill="1" applyBorder="1" applyAlignment="1">
      <alignment horizontal="left" vertical="top"/>
    </xf>
    <xf numFmtId="164" fontId="0" fillId="3" borderId="99" xfId="0" applyNumberFormat="1" applyFill="1" applyBorder="1" applyAlignment="1">
      <alignment horizontal="left" vertical="top"/>
    </xf>
    <xf numFmtId="0" fontId="0" fillId="3" borderId="99" xfId="0" applyFill="1" applyBorder="1" applyAlignment="1">
      <alignment horizontal="left" vertical="top"/>
    </xf>
    <xf numFmtId="164" fontId="17" fillId="3" borderId="99" xfId="0" applyNumberFormat="1" applyFont="1" applyFill="1" applyBorder="1" applyAlignment="1">
      <alignment horizontal="left" vertical="top"/>
    </xf>
    <xf numFmtId="0" fontId="0" fillId="2" borderId="99" xfId="0" applyFill="1" applyBorder="1" applyAlignment="1">
      <alignment horizontal="right" vertical="center"/>
    </xf>
    <xf numFmtId="0" fontId="57" fillId="2" borderId="99" xfId="0" applyFont="1" applyFill="1" applyBorder="1" applyAlignment="1">
      <alignment horizontal="left" vertical="center" wrapText="1"/>
    </xf>
    <xf numFmtId="0" fontId="53" fillId="2" borderId="99" xfId="0" applyFont="1" applyFill="1" applyBorder="1" applyAlignment="1">
      <alignment horizontal="left" vertical="center"/>
    </xf>
    <xf numFmtId="0" fontId="57" fillId="2" borderId="99" xfId="0" applyFont="1" applyFill="1" applyBorder="1" applyAlignment="1">
      <alignment horizontal="left" vertical="center"/>
    </xf>
    <xf numFmtId="0" fontId="52" fillId="2" borderId="99" xfId="0" applyFont="1" applyFill="1" applyBorder="1" applyAlignment="1">
      <alignment horizontal="left" vertical="center"/>
    </xf>
    <xf numFmtId="0" fontId="0" fillId="3" borderId="99" xfId="0" applyFill="1" applyBorder="1" applyAlignment="1">
      <alignment horizontal="right" vertical="center"/>
    </xf>
    <xf numFmtId="164" fontId="57" fillId="2" borderId="99" xfId="0" applyNumberFormat="1" applyFont="1" applyFill="1" applyBorder="1" applyAlignment="1">
      <alignment horizontal="left" vertical="center"/>
    </xf>
    <xf numFmtId="0" fontId="60" fillId="3" borderId="99" xfId="0" applyFont="1" applyFill="1" applyBorder="1" applyAlignment="1">
      <alignment horizontal="left"/>
    </xf>
    <xf numFmtId="0" fontId="17" fillId="3" borderId="99" xfId="0" applyFont="1" applyFill="1" applyBorder="1" applyAlignment="1">
      <alignment horizontal="right" vertical="center"/>
    </xf>
    <xf numFmtId="20" fontId="0" fillId="2" borderId="99" xfId="0" applyNumberFormat="1" applyFill="1" applyBorder="1" applyAlignment="1">
      <alignment horizontal="left" vertical="center"/>
    </xf>
    <xf numFmtId="164" fontId="45" fillId="2" borderId="99" xfId="0" applyNumberFormat="1" applyFont="1" applyFill="1" applyBorder="1" applyAlignment="1">
      <alignment horizontal="left" vertical="center"/>
    </xf>
    <xf numFmtId="0" fontId="29" fillId="2" borderId="99" xfId="0" applyFont="1" applyFill="1" applyBorder="1" applyAlignment="1">
      <alignment horizontal="right" vertical="center"/>
    </xf>
    <xf numFmtId="0" fontId="67" fillId="2" borderId="99" xfId="0" applyFont="1" applyFill="1" applyBorder="1" applyAlignment="1">
      <alignment horizontal="left"/>
    </xf>
    <xf numFmtId="20" fontId="56" fillId="3" borderId="99" xfId="0" applyNumberFormat="1" applyFont="1" applyFill="1" applyBorder="1" applyAlignment="1">
      <alignment horizontal="left" vertical="center" wrapText="1"/>
    </xf>
    <xf numFmtId="16" fontId="29" fillId="3" borderId="99" xfId="0" applyNumberFormat="1" applyFont="1" applyFill="1" applyBorder="1" applyAlignment="1">
      <alignment horizontal="left" vertical="center"/>
    </xf>
    <xf numFmtId="0" fontId="29" fillId="3" borderId="99" xfId="0" applyFont="1" applyFill="1" applyBorder="1" applyAlignment="1">
      <alignment horizontal="right" vertical="top"/>
    </xf>
    <xf numFmtId="0" fontId="57" fillId="3" borderId="99" xfId="0" applyFont="1" applyFill="1" applyBorder="1" applyAlignment="1">
      <alignment horizontal="left" vertical="top" wrapText="1"/>
    </xf>
    <xf numFmtId="0" fontId="29" fillId="2" borderId="99" xfId="0" applyFont="1" applyFill="1" applyBorder="1" applyAlignment="1">
      <alignment horizontal="right" vertical="top"/>
    </xf>
    <xf numFmtId="0" fontId="29" fillId="2" borderId="99" xfId="0" applyFont="1" applyFill="1" applyBorder="1" applyAlignment="1">
      <alignment horizontal="left" vertical="top"/>
    </xf>
    <xf numFmtId="0" fontId="189" fillId="2" borderId="99" xfId="0" applyFont="1" applyFill="1" applyBorder="1" applyAlignment="1">
      <alignment horizontal="left" vertical="top"/>
    </xf>
    <xf numFmtId="0" fontId="191" fillId="2" borderId="99" xfId="0" applyFont="1" applyFill="1" applyBorder="1" applyAlignment="1">
      <alignment horizontal="left" vertical="top"/>
    </xf>
    <xf numFmtId="0" fontId="60" fillId="2" borderId="99" xfId="0" applyFont="1" applyFill="1" applyBorder="1" applyAlignment="1">
      <alignment horizontal="left"/>
    </xf>
    <xf numFmtId="16" fontId="189" fillId="2" borderId="99" xfId="0" applyNumberFormat="1" applyFont="1" applyFill="1" applyBorder="1" applyAlignment="1">
      <alignment horizontal="left" vertical="center"/>
    </xf>
    <xf numFmtId="0" fontId="189" fillId="2" borderId="99" xfId="0" applyFont="1" applyFill="1" applyBorder="1" applyAlignment="1">
      <alignment horizontal="left" wrapText="1"/>
    </xf>
    <xf numFmtId="0" fontId="189" fillId="2" borderId="99" xfId="0" applyFont="1" applyFill="1" applyBorder="1" applyAlignment="1">
      <alignment horizontal="left" vertical="center"/>
    </xf>
    <xf numFmtId="0" fontId="57" fillId="2" borderId="99" xfId="0" applyFont="1" applyFill="1" applyBorder="1" applyAlignment="1">
      <alignment horizontal="left" vertical="top"/>
    </xf>
    <xf numFmtId="20" fontId="57" fillId="2" borderId="99" xfId="0" applyNumberFormat="1" applyFont="1" applyFill="1" applyBorder="1" applyAlignment="1">
      <alignment horizontal="left" vertical="center"/>
    </xf>
    <xf numFmtId="0" fontId="24" fillId="3" borderId="99" xfId="0" applyFont="1" applyFill="1" applyBorder="1" applyAlignment="1">
      <alignment horizontal="left" wrapText="1"/>
    </xf>
    <xf numFmtId="0" fontId="0" fillId="2" borderId="99" xfId="0" applyFill="1" applyBorder="1" applyAlignment="1">
      <alignment horizontal="right"/>
    </xf>
    <xf numFmtId="0" fontId="23" fillId="2" borderId="99" xfId="0" applyFont="1" applyFill="1" applyBorder="1" applyAlignment="1">
      <alignment horizontal="left" vertical="center"/>
    </xf>
    <xf numFmtId="16" fontId="57" fillId="2" borderId="99" xfId="0" applyNumberFormat="1" applyFont="1" applyFill="1" applyBorder="1" applyAlignment="1">
      <alignment horizontal="left" vertical="center"/>
    </xf>
    <xf numFmtId="0" fontId="2" fillId="3" borderId="99" xfId="0" applyFont="1" applyFill="1" applyBorder="1" applyAlignment="1">
      <alignment horizontal="right" vertical="center"/>
    </xf>
    <xf numFmtId="0" fontId="17" fillId="3" borderId="99" xfId="0" applyFont="1" applyFill="1" applyBorder="1" applyAlignment="1">
      <alignment horizontal="left" wrapText="1"/>
    </xf>
    <xf numFmtId="0" fontId="0" fillId="2" borderId="99" xfId="0" applyFill="1" applyBorder="1" applyAlignment="1">
      <alignment horizontal="right" vertical="top"/>
    </xf>
    <xf numFmtId="0" fontId="17" fillId="2" borderId="99" xfId="0" applyFont="1" applyFill="1" applyBorder="1" applyAlignment="1">
      <alignment horizontal="left" vertical="top"/>
    </xf>
    <xf numFmtId="0" fontId="17" fillId="2" borderId="99" xfId="0" applyFont="1" applyFill="1" applyBorder="1" applyAlignment="1">
      <alignment horizontal="left" wrapText="1"/>
    </xf>
    <xf numFmtId="0" fontId="17" fillId="2" borderId="99" xfId="0" applyFont="1" applyFill="1" applyBorder="1" applyAlignment="1">
      <alignment horizontal="left" vertical="center"/>
    </xf>
    <xf numFmtId="0" fontId="199" fillId="3" borderId="99" xfId="90" applyFill="1" applyBorder="1" applyAlignment="1">
      <alignment horizontal="left" vertical="center" wrapText="1"/>
    </xf>
    <xf numFmtId="0" fontId="0" fillId="3" borderId="99" xfId="0" applyFill="1" applyBorder="1" applyAlignment="1">
      <alignment horizontal="right" vertical="top"/>
    </xf>
    <xf numFmtId="0" fontId="57" fillId="3" borderId="99" xfId="0" applyFont="1" applyFill="1" applyBorder="1" applyAlignment="1">
      <alignment horizontal="left" vertical="top"/>
    </xf>
    <xf numFmtId="0" fontId="198" fillId="3" borderId="99" xfId="0" applyFont="1" applyFill="1" applyBorder="1" applyAlignment="1">
      <alignment horizontal="left"/>
    </xf>
    <xf numFmtId="16" fontId="57" fillId="3" borderId="99" xfId="0" applyNumberFormat="1" applyFont="1" applyFill="1" applyBorder="1" applyAlignment="1">
      <alignment horizontal="left" vertical="center"/>
    </xf>
    <xf numFmtId="0" fontId="109" fillId="3" borderId="99" xfId="0" applyFont="1" applyFill="1" applyBorder="1" applyAlignment="1">
      <alignment horizontal="left"/>
    </xf>
    <xf numFmtId="0" fontId="29" fillId="3" borderId="99" xfId="0" applyFont="1" applyFill="1" applyBorder="1" applyAlignment="1">
      <alignment horizontal="left" vertical="top"/>
    </xf>
    <xf numFmtId="0" fontId="29" fillId="2" borderId="99" xfId="0" applyFont="1" applyFill="1" applyBorder="1" applyAlignment="1">
      <alignment horizontal="left"/>
    </xf>
    <xf numFmtId="16" fontId="53" fillId="2" borderId="99" xfId="0" applyNumberFormat="1" applyFont="1" applyFill="1" applyBorder="1" applyAlignment="1">
      <alignment horizontal="left"/>
    </xf>
    <xf numFmtId="164" fontId="189" fillId="2" borderId="99" xfId="0" applyNumberFormat="1" applyFont="1" applyFill="1" applyBorder="1" applyAlignment="1">
      <alignment horizontal="left" vertical="center"/>
    </xf>
    <xf numFmtId="0" fontId="29" fillId="0" borderId="99" xfId="0" applyFont="1" applyBorder="1" applyAlignment="1">
      <alignment horizontal="left" vertical="center"/>
    </xf>
    <xf numFmtId="0" fontId="57" fillId="0" borderId="99" xfId="0" applyFont="1" applyBorder="1" applyAlignment="1">
      <alignment horizontal="left"/>
    </xf>
    <xf numFmtId="0" fontId="45" fillId="3" borderId="99" xfId="0" applyFont="1" applyFill="1" applyBorder="1" applyAlignment="1">
      <alignment horizontal="center" vertical="center"/>
    </xf>
    <xf numFmtId="0" fontId="25" fillId="3" borderId="99" xfId="0" applyFont="1" applyFill="1" applyBorder="1" applyAlignment="1">
      <alignment horizontal="right" vertical="center"/>
    </xf>
    <xf numFmtId="16" fontId="17" fillId="3" borderId="99" xfId="0" applyNumberFormat="1" applyFont="1" applyFill="1" applyBorder="1" applyAlignment="1">
      <alignment horizontal="left" vertical="center"/>
    </xf>
    <xf numFmtId="0" fontId="57" fillId="3" borderId="99" xfId="0" applyFont="1" applyFill="1" applyBorder="1" applyAlignment="1">
      <alignment horizontal="left" vertical="center"/>
    </xf>
    <xf numFmtId="164" fontId="45" fillId="0" borderId="99" xfId="0" applyNumberFormat="1" applyFont="1" applyBorder="1" applyAlignment="1">
      <alignment horizontal="left" vertical="center"/>
    </xf>
    <xf numFmtId="0" fontId="2" fillId="2" borderId="99" xfId="0" applyFont="1" applyFill="1" applyBorder="1" applyAlignment="1">
      <alignment horizontal="right" vertical="center"/>
    </xf>
    <xf numFmtId="10" fontId="0" fillId="2" borderId="99" xfId="77" applyNumberFormat="1" applyFont="1" applyFill="1" applyBorder="1" applyAlignment="1">
      <alignment horizontal="left" vertical="center"/>
    </xf>
    <xf numFmtId="16" fontId="45" fillId="2" borderId="99" xfId="0" applyNumberFormat="1" applyFont="1" applyFill="1" applyBorder="1" applyAlignment="1">
      <alignment horizontal="left" vertical="center"/>
    </xf>
    <xf numFmtId="16" fontId="2" fillId="2" borderId="99" xfId="0" applyNumberFormat="1" applyFont="1" applyFill="1" applyBorder="1" applyAlignment="1">
      <alignment horizontal="center" vertical="center"/>
    </xf>
    <xf numFmtId="10" fontId="0" fillId="0" borderId="99" xfId="77" applyNumberFormat="1" applyFont="1" applyBorder="1"/>
    <xf numFmtId="164" fontId="45" fillId="2" borderId="99" xfId="0" applyNumberFormat="1" applyFont="1" applyFill="1" applyBorder="1" applyAlignment="1">
      <alignment vertical="center"/>
    </xf>
    <xf numFmtId="0" fontId="45" fillId="2" borderId="99" xfId="0" applyFont="1" applyFill="1" applyBorder="1" applyAlignment="1">
      <alignment horizontal="left" vertical="center"/>
    </xf>
    <xf numFmtId="10" fontId="0" fillId="2" borderId="99" xfId="77" applyNumberFormat="1" applyFont="1" applyFill="1" applyBorder="1" applyAlignment="1">
      <alignment horizontal="left"/>
    </xf>
    <xf numFmtId="16" fontId="57" fillId="2" borderId="99" xfId="0" applyNumberFormat="1" applyFont="1" applyFill="1" applyBorder="1" applyAlignment="1">
      <alignment horizontal="center"/>
    </xf>
    <xf numFmtId="0" fontId="17" fillId="3" borderId="99" xfId="0" applyFont="1" applyFill="1" applyBorder="1" applyAlignment="1">
      <alignment horizontal="center" vertical="center" wrapText="1"/>
    </xf>
    <xf numFmtId="0" fontId="0" fillId="2" borderId="98" xfId="0" applyFill="1" applyBorder="1" applyAlignment="1">
      <alignment horizontal="center"/>
    </xf>
    <xf numFmtId="164" fontId="45" fillId="0" borderId="99" xfId="0" applyNumberFormat="1" applyFont="1" applyBorder="1" applyAlignment="1">
      <alignment vertical="center"/>
    </xf>
    <xf numFmtId="49" fontId="23" fillId="2" borderId="99" xfId="0" applyNumberFormat="1" applyFont="1" applyFill="1" applyBorder="1" applyAlignment="1">
      <alignment horizontal="center"/>
    </xf>
    <xf numFmtId="164" fontId="0" fillId="0" borderId="99" xfId="0" applyNumberFormat="1" applyBorder="1" applyAlignment="1">
      <alignment vertical="center"/>
    </xf>
    <xf numFmtId="0" fontId="175" fillId="2" borderId="99" xfId="89" applyFont="1" applyFill="1" applyBorder="1" applyAlignment="1">
      <alignment vertical="top" wrapText="1"/>
    </xf>
    <xf numFmtId="0" fontId="57" fillId="2" borderId="99" xfId="0" applyFont="1" applyFill="1" applyBorder="1"/>
    <xf numFmtId="0" fontId="2" fillId="2" borderId="99" xfId="0" applyFont="1" applyFill="1" applyBorder="1" applyAlignment="1">
      <alignment horizontal="right"/>
    </xf>
    <xf numFmtId="16" fontId="2" fillId="2" borderId="99" xfId="0" applyNumberFormat="1" applyFont="1" applyFill="1" applyBorder="1" applyAlignment="1">
      <alignment horizontal="center"/>
    </xf>
    <xf numFmtId="0" fontId="29" fillId="2" borderId="99" xfId="0" applyFont="1" applyFill="1" applyBorder="1"/>
    <xf numFmtId="3" fontId="0" fillId="3" borderId="99" xfId="0" applyNumberFormat="1" applyFill="1" applyBorder="1" applyAlignment="1">
      <alignment horizontal="left" vertical="center"/>
    </xf>
    <xf numFmtId="0" fontId="24" fillId="3" borderId="99" xfId="0" applyFont="1" applyFill="1" applyBorder="1" applyAlignment="1">
      <alignment horizontal="right" vertical="center" wrapText="1"/>
    </xf>
    <xf numFmtId="16" fontId="2" fillId="3" borderId="99" xfId="0" applyNumberFormat="1" applyFont="1" applyFill="1" applyBorder="1" applyAlignment="1">
      <alignment horizontal="left" vertical="center"/>
    </xf>
    <xf numFmtId="10" fontId="29" fillId="2" borderId="99" xfId="77" applyNumberFormat="1" applyFont="1" applyFill="1" applyBorder="1" applyAlignment="1">
      <alignment horizontal="left" vertical="center"/>
    </xf>
    <xf numFmtId="0" fontId="2" fillId="2" borderId="99" xfId="0" applyFont="1" applyFill="1" applyBorder="1" applyAlignment="1">
      <alignment horizontal="right" vertical="center" wrapText="1"/>
    </xf>
    <xf numFmtId="0" fontId="45" fillId="2" borderId="99" xfId="0" applyFont="1" applyFill="1" applyBorder="1"/>
    <xf numFmtId="0" fontId="17" fillId="2" borderId="99" xfId="0" applyFont="1" applyFill="1" applyBorder="1" applyAlignment="1">
      <alignment vertical="center"/>
    </xf>
    <xf numFmtId="16" fontId="0" fillId="2" borderId="99" xfId="0" applyNumberFormat="1" applyFill="1" applyBorder="1" applyAlignment="1">
      <alignment vertical="center"/>
    </xf>
    <xf numFmtId="0" fontId="2" fillId="2" borderId="99" xfId="0" applyFont="1" applyFill="1" applyBorder="1" applyAlignment="1">
      <alignment vertical="center"/>
    </xf>
    <xf numFmtId="0" fontId="2" fillId="2" borderId="99" xfId="0" applyFont="1" applyFill="1" applyBorder="1" applyAlignment="1">
      <alignment vertical="center" wrapText="1"/>
    </xf>
    <xf numFmtId="164" fontId="0" fillId="2" borderId="99" xfId="0" applyNumberFormat="1" applyFill="1" applyBorder="1" applyAlignment="1">
      <alignment vertical="center"/>
    </xf>
    <xf numFmtId="43" fontId="0" fillId="2" borderId="99" xfId="79" applyFont="1" applyFill="1" applyBorder="1" applyAlignment="1">
      <alignment vertical="center"/>
    </xf>
    <xf numFmtId="0" fontId="0" fillId="2" borderId="99" xfId="79" applyNumberFormat="1" applyFont="1" applyFill="1" applyBorder="1" applyAlignment="1">
      <alignment vertical="center"/>
    </xf>
    <xf numFmtId="10" fontId="0" fillId="2" borderId="99" xfId="77" applyNumberFormat="1" applyFont="1" applyFill="1" applyBorder="1" applyAlignment="1">
      <alignment vertical="center"/>
    </xf>
    <xf numFmtId="0" fontId="2" fillId="3" borderId="99" xfId="0" applyFont="1" applyFill="1" applyBorder="1" applyAlignment="1">
      <alignment horizontal="right" vertical="center" wrapText="1"/>
    </xf>
    <xf numFmtId="49" fontId="24" fillId="3" borderId="99" xfId="0" applyNumberFormat="1" applyFont="1" applyFill="1" applyBorder="1" applyAlignment="1">
      <alignment horizontal="center" vertical="center"/>
    </xf>
    <xf numFmtId="0" fontId="252" fillId="2" borderId="99" xfId="0" applyFont="1" applyFill="1" applyBorder="1" applyAlignment="1">
      <alignment horizontal="center"/>
    </xf>
    <xf numFmtId="0" fontId="17" fillId="3" borderId="99" xfId="0" applyFont="1" applyFill="1" applyBorder="1" applyAlignment="1">
      <alignment horizontal="right" vertical="center" wrapText="1"/>
    </xf>
    <xf numFmtId="164" fontId="24" fillId="3" borderId="99" xfId="0" quotePrefix="1" applyNumberFormat="1" applyFont="1" applyFill="1" applyBorder="1" applyAlignment="1">
      <alignment horizontal="center" vertical="center" wrapText="1"/>
    </xf>
    <xf numFmtId="4" fontId="2" fillId="0" borderId="99" xfId="0" applyNumberFormat="1" applyFont="1" applyBorder="1" applyAlignment="1">
      <alignment horizontal="left" vertical="center" wrapText="1"/>
    </xf>
    <xf numFmtId="49" fontId="56" fillId="3" borderId="99" xfId="0" applyNumberFormat="1" applyFont="1" applyFill="1" applyBorder="1" applyAlignment="1">
      <alignment horizontal="center" vertical="center" wrapText="1"/>
    </xf>
    <xf numFmtId="43" fontId="0" fillId="3" borderId="99" xfId="79" applyFont="1" applyFill="1" applyBorder="1" applyAlignment="1">
      <alignment horizontal="left" vertical="center"/>
    </xf>
    <xf numFmtId="10" fontId="0" fillId="2" borderId="99" xfId="77" applyNumberFormat="1" applyFont="1" applyFill="1" applyBorder="1" applyAlignment="1">
      <alignment horizontal="center"/>
    </xf>
    <xf numFmtId="164" fontId="0" fillId="74" borderId="99" xfId="0" applyNumberFormat="1" applyFill="1" applyBorder="1" applyAlignment="1">
      <alignment vertical="center"/>
    </xf>
    <xf numFmtId="10" fontId="0" fillId="0" borderId="99" xfId="77" applyNumberFormat="1" applyFont="1" applyBorder="1" applyAlignment="1">
      <alignment vertical="center"/>
    </xf>
    <xf numFmtId="164" fontId="45" fillId="74" borderId="99" xfId="0" applyNumberFormat="1" applyFont="1" applyFill="1" applyBorder="1" applyAlignment="1">
      <alignment vertical="center"/>
    </xf>
    <xf numFmtId="16" fontId="0" fillId="74" borderId="99" xfId="0" applyNumberFormat="1" applyFill="1" applyBorder="1" applyAlignment="1">
      <alignment horizontal="center" vertical="center"/>
    </xf>
    <xf numFmtId="16" fontId="23" fillId="74" borderId="99" xfId="0" applyNumberFormat="1" applyFont="1" applyFill="1" applyBorder="1" applyAlignment="1">
      <alignment horizontal="center" vertical="center"/>
    </xf>
    <xf numFmtId="0" fontId="53" fillId="0" borderId="99" xfId="0" applyFont="1" applyBorder="1" applyAlignment="1">
      <alignment horizontal="center"/>
    </xf>
    <xf numFmtId="0" fontId="53" fillId="2" borderId="99" xfId="0" applyFont="1" applyFill="1" applyBorder="1" applyAlignment="1">
      <alignment horizontal="left"/>
    </xf>
    <xf numFmtId="11" fontId="0" fillId="3" borderId="99" xfId="0" applyNumberFormat="1" applyFill="1" applyBorder="1" applyAlignment="1">
      <alignment horizontal="left" vertical="center" wrapText="1"/>
    </xf>
    <xf numFmtId="3" fontId="0" fillId="3" borderId="99" xfId="0" applyNumberFormat="1" applyFill="1" applyBorder="1" applyAlignment="1">
      <alignment horizontal="left" vertical="center" wrapText="1"/>
    </xf>
    <xf numFmtId="0" fontId="24" fillId="0" borderId="99" xfId="0" applyFont="1" applyBorder="1" applyAlignment="1">
      <alignment horizontal="left" vertical="center" wrapText="1"/>
    </xf>
    <xf numFmtId="0" fontId="111" fillId="2" borderId="99" xfId="0" applyFont="1" applyFill="1" applyBorder="1" applyAlignment="1">
      <alignment horizontal="left" vertical="center"/>
    </xf>
    <xf numFmtId="164" fontId="0" fillId="0" borderId="99" xfId="0" applyNumberFormat="1" applyBorder="1" applyAlignment="1">
      <alignment horizontal="left" vertical="center" wrapText="1"/>
    </xf>
    <xf numFmtId="0" fontId="111" fillId="71" borderId="99" xfId="0" applyFont="1" applyFill="1" applyBorder="1" applyAlignment="1">
      <alignment horizontal="left" vertical="center" wrapText="1"/>
    </xf>
    <xf numFmtId="0" fontId="29" fillId="2" borderId="99" xfId="0" applyFont="1" applyFill="1" applyBorder="1" applyAlignment="1">
      <alignment horizontal="left" vertical="center" wrapText="1"/>
    </xf>
    <xf numFmtId="0" fontId="53" fillId="0" borderId="99" xfId="0" applyFont="1" applyBorder="1" applyAlignment="1">
      <alignment horizontal="left" vertical="center"/>
    </xf>
    <xf numFmtId="16" fontId="0" fillId="0" borderId="99" xfId="0" applyNumberFormat="1" applyBorder="1" applyAlignment="1">
      <alignment horizontal="left" vertical="center" wrapText="1"/>
    </xf>
    <xf numFmtId="0" fontId="0" fillId="0" borderId="99" xfId="0" applyBorder="1" applyAlignment="1">
      <alignment horizontal="left" vertical="top"/>
    </xf>
    <xf numFmtId="0" fontId="111" fillId="71" borderId="99" xfId="0" applyFont="1" applyFill="1" applyBorder="1" applyAlignment="1">
      <alignment horizontal="left" vertical="center"/>
    </xf>
    <xf numFmtId="164" fontId="29" fillId="2" borderId="99" xfId="0" applyNumberFormat="1" applyFont="1" applyFill="1" applyBorder="1" applyAlignment="1">
      <alignment horizontal="left" vertical="center" wrapText="1"/>
    </xf>
    <xf numFmtId="16" fontId="29" fillId="2" borderId="99" xfId="0" applyNumberFormat="1" applyFont="1" applyFill="1" applyBorder="1" applyAlignment="1">
      <alignment horizontal="left" vertical="center" wrapText="1"/>
    </xf>
    <xf numFmtId="164" fontId="29" fillId="0" borderId="99" xfId="0" applyNumberFormat="1" applyFont="1" applyBorder="1" applyAlignment="1">
      <alignment horizontal="left" vertical="center"/>
    </xf>
    <xf numFmtId="16" fontId="52" fillId="0" borderId="99" xfId="0" applyNumberFormat="1" applyFont="1" applyBorder="1" applyAlignment="1">
      <alignment horizontal="left" vertical="center" wrapText="1"/>
    </xf>
    <xf numFmtId="49" fontId="23" fillId="4" borderId="99" xfId="0" applyNumberFormat="1" applyFont="1" applyFill="1" applyBorder="1" applyAlignment="1">
      <alignment horizontal="left" vertical="center"/>
    </xf>
    <xf numFmtId="16" fontId="23" fillId="4" borderId="99" xfId="0" applyNumberFormat="1" applyFont="1" applyFill="1" applyBorder="1" applyAlignment="1">
      <alignment horizontal="left" vertical="center"/>
    </xf>
    <xf numFmtId="164" fontId="23" fillId="4" borderId="99" xfId="0" applyNumberFormat="1" applyFont="1" applyFill="1" applyBorder="1" applyAlignment="1">
      <alignment horizontal="left" vertical="center"/>
    </xf>
    <xf numFmtId="164" fontId="0" fillId="2" borderId="98" xfId="0" applyNumberFormat="1" applyFill="1" applyBorder="1" applyAlignment="1">
      <alignment horizontal="left" vertical="center"/>
    </xf>
    <xf numFmtId="0" fontId="66" fillId="2" borderId="99" xfId="0" applyFont="1" applyFill="1" applyBorder="1" applyAlignment="1">
      <alignment horizontal="left" vertical="center"/>
    </xf>
    <xf numFmtId="0" fontId="45" fillId="74" borderId="99" xfId="0" applyFont="1" applyFill="1" applyBorder="1" applyAlignment="1">
      <alignment horizontal="left" vertical="center"/>
    </xf>
    <xf numFmtId="164" fontId="45" fillId="74" borderId="99" xfId="0" applyNumberFormat="1" applyFont="1" applyFill="1" applyBorder="1" applyAlignment="1">
      <alignment horizontal="left" vertical="center" wrapText="1"/>
    </xf>
    <xf numFmtId="0" fontId="248" fillId="3" borderId="99" xfId="0" applyFont="1" applyFill="1" applyBorder="1" applyAlignment="1">
      <alignment horizontal="left"/>
    </xf>
    <xf numFmtId="164" fontId="23" fillId="2" borderId="99" xfId="0" applyNumberFormat="1" applyFont="1" applyFill="1" applyBorder="1" applyAlignment="1">
      <alignment horizontal="left" vertical="center" wrapText="1"/>
    </xf>
    <xf numFmtId="164" fontId="45" fillId="2" borderId="99" xfId="0" applyNumberFormat="1" applyFont="1" applyFill="1" applyBorder="1" applyAlignment="1">
      <alignment horizontal="left" vertical="center" wrapText="1"/>
    </xf>
    <xf numFmtId="0" fontId="25" fillId="4" borderId="99" xfId="0" applyFont="1" applyFill="1" applyBorder="1" applyAlignment="1">
      <alignment horizontal="left" vertical="center"/>
    </xf>
    <xf numFmtId="0" fontId="29" fillId="3" borderId="99" xfId="0" applyFont="1" applyFill="1" applyBorder="1" applyAlignment="1">
      <alignment horizontal="left"/>
    </xf>
    <xf numFmtId="0" fontId="29" fillId="74" borderId="99" xfId="0" applyFont="1" applyFill="1" applyBorder="1" applyAlignment="1">
      <alignment horizontal="left" vertical="center"/>
    </xf>
    <xf numFmtId="0" fontId="29" fillId="74" borderId="99" xfId="0" applyFont="1" applyFill="1" applyBorder="1" applyAlignment="1">
      <alignment horizontal="left"/>
    </xf>
    <xf numFmtId="0" fontId="57" fillId="74" borderId="99" xfId="0" applyFont="1" applyFill="1" applyBorder="1" applyAlignment="1">
      <alignment horizontal="left" vertical="center"/>
    </xf>
    <xf numFmtId="0" fontId="17" fillId="2" borderId="99" xfId="0" applyFont="1" applyFill="1" applyBorder="1" applyAlignment="1">
      <alignment horizontal="left"/>
    </xf>
    <xf numFmtId="16" fontId="2" fillId="2" borderId="99" xfId="0" applyNumberFormat="1" applyFont="1" applyFill="1" applyBorder="1" applyAlignment="1">
      <alignment horizontal="left" vertical="center"/>
    </xf>
    <xf numFmtId="0" fontId="0" fillId="74" borderId="98" xfId="0" applyFill="1" applyBorder="1" applyAlignment="1">
      <alignment horizontal="left"/>
    </xf>
    <xf numFmtId="164" fontId="45" fillId="74" borderId="99" xfId="0" applyNumberFormat="1" applyFont="1" applyFill="1" applyBorder="1" applyAlignment="1">
      <alignment horizontal="left"/>
    </xf>
    <xf numFmtId="0" fontId="196" fillId="74" borderId="99" xfId="0" applyFont="1" applyFill="1" applyBorder="1" applyAlignment="1">
      <alignment horizontal="left"/>
    </xf>
    <xf numFmtId="164" fontId="23" fillId="74" borderId="99" xfId="0" applyNumberFormat="1" applyFont="1" applyFill="1" applyBorder="1" applyAlignment="1">
      <alignment horizontal="left"/>
    </xf>
    <xf numFmtId="0" fontId="57" fillId="74" borderId="99" xfId="0" applyFont="1" applyFill="1" applyBorder="1" applyAlignment="1">
      <alignment horizontal="left"/>
    </xf>
    <xf numFmtId="11" fontId="52" fillId="2" borderId="99" xfId="0" quotePrefix="1" applyNumberFormat="1" applyFont="1" applyFill="1" applyBorder="1" applyAlignment="1">
      <alignment horizontal="left"/>
    </xf>
    <xf numFmtId="164" fontId="45" fillId="2" borderId="99" xfId="0" applyNumberFormat="1" applyFont="1" applyFill="1" applyBorder="1" applyAlignment="1">
      <alignment horizontal="left"/>
    </xf>
    <xf numFmtId="0" fontId="0" fillId="2" borderId="99" xfId="0" quotePrefix="1" applyFill="1" applyBorder="1" applyAlignment="1">
      <alignment horizontal="left"/>
    </xf>
    <xf numFmtId="0" fontId="248" fillId="2" borderId="99" xfId="0" applyFont="1" applyFill="1" applyBorder="1" applyAlignment="1">
      <alignment horizontal="left"/>
    </xf>
    <xf numFmtId="0" fontId="2" fillId="4" borderId="99" xfId="0" applyFont="1" applyFill="1" applyBorder="1" applyAlignment="1">
      <alignment horizontal="left" vertical="center" wrapText="1"/>
    </xf>
    <xf numFmtId="0" fontId="193" fillId="2" borderId="99" xfId="0" applyFont="1" applyFill="1" applyBorder="1" applyAlignment="1">
      <alignment horizontal="left" vertical="center"/>
    </xf>
    <xf numFmtId="16" fontId="29" fillId="2" borderId="99" xfId="0" applyNumberFormat="1" applyFont="1" applyFill="1" applyBorder="1" applyAlignment="1">
      <alignment horizontal="left"/>
    </xf>
    <xf numFmtId="0" fontId="53" fillId="79" borderId="99" xfId="0" applyFont="1" applyFill="1" applyBorder="1" applyAlignment="1">
      <alignment horizontal="left" vertical="center"/>
    </xf>
    <xf numFmtId="0" fontId="57" fillId="0" borderId="99" xfId="0" applyFont="1" applyBorder="1" applyAlignment="1">
      <alignment horizontal="left" vertical="center"/>
    </xf>
    <xf numFmtId="164" fontId="44" fillId="63" borderId="99" xfId="0" applyNumberFormat="1" applyFont="1" applyFill="1" applyBorder="1" applyAlignment="1">
      <alignment horizontal="left" vertical="center"/>
    </xf>
    <xf numFmtId="164" fontId="50" fillId="63" borderId="99" xfId="0" applyNumberFormat="1" applyFont="1" applyFill="1" applyBorder="1" applyAlignment="1">
      <alignment horizontal="left" vertical="center"/>
    </xf>
    <xf numFmtId="164" fontId="44" fillId="63" borderId="99" xfId="0" applyNumberFormat="1" applyFont="1" applyFill="1" applyBorder="1" applyAlignment="1">
      <alignment horizontal="left" vertical="center" wrapText="1"/>
    </xf>
    <xf numFmtId="49" fontId="69" fillId="63" borderId="99" xfId="0" applyNumberFormat="1" applyFont="1" applyFill="1" applyBorder="1" applyAlignment="1">
      <alignment horizontal="left" vertical="center"/>
    </xf>
    <xf numFmtId="49" fontId="48" fillId="63" borderId="99" xfId="0" applyNumberFormat="1" applyFont="1" applyFill="1" applyBorder="1" applyAlignment="1">
      <alignment horizontal="left" vertical="center"/>
    </xf>
    <xf numFmtId="0" fontId="44" fillId="63" borderId="99" xfId="0" applyFont="1" applyFill="1" applyBorder="1" applyAlignment="1">
      <alignment vertical="center" wrapText="1"/>
    </xf>
    <xf numFmtId="10" fontId="21" fillId="63" borderId="99" xfId="77" applyNumberFormat="1" applyFont="1" applyFill="1" applyBorder="1" applyAlignment="1">
      <alignment vertical="center"/>
    </xf>
    <xf numFmtId="164" fontId="23" fillId="0" borderId="99" xfId="0" applyNumberFormat="1" applyFont="1" applyBorder="1" applyAlignment="1">
      <alignment horizontal="left" vertical="center" wrapText="1"/>
    </xf>
    <xf numFmtId="0" fontId="53" fillId="0" borderId="99" xfId="0" applyFont="1" applyBorder="1" applyAlignment="1">
      <alignment horizontal="left" vertical="center" wrapText="1"/>
    </xf>
    <xf numFmtId="0" fontId="2" fillId="0" borderId="99" xfId="0" applyFont="1" applyBorder="1" applyAlignment="1">
      <alignment vertical="center" wrapText="1"/>
    </xf>
    <xf numFmtId="0" fontId="53" fillId="0" borderId="99" xfId="0" applyFont="1" applyBorder="1" applyAlignment="1">
      <alignment vertical="center" wrapText="1"/>
    </xf>
    <xf numFmtId="0" fontId="2" fillId="0" borderId="99" xfId="0" applyFont="1" applyBorder="1" applyAlignment="1">
      <alignment vertical="center"/>
    </xf>
    <xf numFmtId="0" fontId="53" fillId="0" borderId="99" xfId="0" applyFont="1" applyBorder="1" applyAlignment="1">
      <alignment vertical="center"/>
    </xf>
    <xf numFmtId="16" fontId="0" fillId="0" borderId="99" xfId="0" applyNumberFormat="1" applyBorder="1" applyAlignment="1">
      <alignment horizontal="center"/>
    </xf>
    <xf numFmtId="16" fontId="23" fillId="0" borderId="99" xfId="0" applyNumberFormat="1" applyFont="1" applyBorder="1" applyAlignment="1">
      <alignment horizontal="center"/>
    </xf>
    <xf numFmtId="16" fontId="2" fillId="0" borderId="99" xfId="0" applyNumberFormat="1" applyFont="1" applyBorder="1" applyAlignment="1">
      <alignment horizontal="center" vertical="center"/>
    </xf>
    <xf numFmtId="0" fontId="2" fillId="0" borderId="99" xfId="0" applyFont="1" applyBorder="1" applyAlignment="1">
      <alignment horizontal="center"/>
    </xf>
    <xf numFmtId="0" fontId="53" fillId="79" borderId="99" xfId="0" applyFont="1" applyFill="1" applyBorder="1" applyAlignment="1">
      <alignment horizontal="center" vertical="center"/>
    </xf>
    <xf numFmtId="0" fontId="193" fillId="3" borderId="99" xfId="0" applyFont="1" applyFill="1" applyBorder="1" applyAlignment="1">
      <alignment horizontal="left" vertical="center"/>
    </xf>
    <xf numFmtId="0" fontId="2" fillId="2" borderId="99" xfId="0" applyFont="1" applyFill="1" applyBorder="1" applyAlignment="1">
      <alignment horizontal="left" wrapText="1"/>
    </xf>
    <xf numFmtId="0" fontId="29" fillId="107" borderId="99" xfId="0" applyFont="1" applyFill="1" applyBorder="1" applyAlignment="1">
      <alignment horizontal="center" vertical="center"/>
    </xf>
    <xf numFmtId="16" fontId="0" fillId="0" borderId="99" xfId="0" applyNumberFormat="1" applyBorder="1" applyAlignment="1">
      <alignment horizontal="center" vertical="center"/>
    </xf>
    <xf numFmtId="0" fontId="0" fillId="107" borderId="99" xfId="0" applyFill="1" applyBorder="1" applyAlignment="1">
      <alignment horizontal="center" vertical="center"/>
    </xf>
    <xf numFmtId="16" fontId="23" fillId="0" borderId="99" xfId="0" applyNumberFormat="1" applyFont="1" applyBorder="1" applyAlignment="1">
      <alignment horizontal="center" vertical="center"/>
    </xf>
    <xf numFmtId="0" fontId="29" fillId="0" borderId="99" xfId="0" applyFont="1" applyBorder="1"/>
    <xf numFmtId="0" fontId="0" fillId="4" borderId="99" xfId="0" applyFill="1" applyBorder="1" applyAlignment="1">
      <alignment horizontal="center"/>
    </xf>
    <xf numFmtId="16" fontId="0" fillId="0" borderId="99" xfId="0" applyNumberFormat="1" applyBorder="1" applyAlignment="1">
      <alignment horizontal="left"/>
    </xf>
    <xf numFmtId="16" fontId="23" fillId="0" borderId="99" xfId="0" applyNumberFormat="1" applyFont="1" applyBorder="1" applyAlignment="1">
      <alignment horizontal="left"/>
    </xf>
    <xf numFmtId="164" fontId="0" fillId="0" borderId="99" xfId="0" applyNumberFormat="1" applyBorder="1" applyAlignment="1">
      <alignment horizontal="center"/>
    </xf>
    <xf numFmtId="0" fontId="53" fillId="0" borderId="99" xfId="0" applyFont="1" applyBorder="1" applyAlignment="1">
      <alignment horizontal="center" wrapText="1"/>
    </xf>
    <xf numFmtId="0" fontId="2" fillId="3" borderId="99" xfId="0" quotePrefix="1" applyFont="1" applyFill="1" applyBorder="1" applyAlignment="1">
      <alignment horizontal="left" vertical="center"/>
    </xf>
    <xf numFmtId="0" fontId="0" fillId="78" borderId="99" xfId="0" applyFill="1" applyBorder="1" applyAlignment="1">
      <alignment horizontal="left" vertical="center"/>
    </xf>
    <xf numFmtId="16" fontId="45" fillId="2" borderId="99" xfId="0" applyNumberFormat="1" applyFont="1" applyFill="1" applyBorder="1" applyAlignment="1">
      <alignment horizontal="center"/>
    </xf>
    <xf numFmtId="16" fontId="0" fillId="4" borderId="99" xfId="0" applyNumberFormat="1" applyFill="1" applyBorder="1" applyAlignment="1">
      <alignment horizontal="center" vertical="center"/>
    </xf>
    <xf numFmtId="0" fontId="24" fillId="3" borderId="99" xfId="0" applyFont="1" applyFill="1" applyBorder="1" applyAlignment="1">
      <alignment horizontal="left"/>
    </xf>
    <xf numFmtId="0" fontId="53" fillId="3" borderId="99" xfId="0" applyFont="1" applyFill="1" applyBorder="1" applyAlignment="1">
      <alignment horizontal="center" wrapText="1"/>
    </xf>
    <xf numFmtId="0" fontId="29" fillId="3" borderId="99" xfId="0" applyFont="1" applyFill="1" applyBorder="1" applyAlignment="1">
      <alignment horizontal="center"/>
    </xf>
    <xf numFmtId="0" fontId="171" fillId="3" borderId="99" xfId="0" applyFont="1" applyFill="1" applyBorder="1" applyAlignment="1">
      <alignment horizontal="center"/>
    </xf>
    <xf numFmtId="0" fontId="53" fillId="2" borderId="99" xfId="0" applyFont="1" applyFill="1" applyBorder="1" applyAlignment="1">
      <alignment horizontal="left" wrapText="1"/>
    </xf>
    <xf numFmtId="16" fontId="0" fillId="3" borderId="99" xfId="0" applyNumberFormat="1" applyFill="1" applyBorder="1" applyAlignment="1">
      <alignment horizontal="center"/>
    </xf>
    <xf numFmtId="16" fontId="23" fillId="3" borderId="99" xfId="0" applyNumberFormat="1" applyFont="1" applyFill="1" applyBorder="1" applyAlignment="1">
      <alignment horizontal="center"/>
    </xf>
    <xf numFmtId="0" fontId="0" fillId="3" borderId="98" xfId="0" applyFill="1" applyBorder="1" applyAlignment="1">
      <alignment horizontal="left"/>
    </xf>
    <xf numFmtId="0" fontId="0" fillId="107" borderId="99" xfId="0" applyFill="1" applyBorder="1" applyAlignment="1">
      <alignment horizontal="center"/>
    </xf>
    <xf numFmtId="0" fontId="53" fillId="3" borderId="99" xfId="0" applyFont="1" applyFill="1" applyBorder="1" applyAlignment="1">
      <alignment vertical="center" wrapText="1"/>
    </xf>
    <xf numFmtId="0" fontId="0" fillId="4" borderId="99" xfId="0" applyFill="1" applyBorder="1" applyAlignment="1">
      <alignment horizontal="left" vertical="center"/>
    </xf>
    <xf numFmtId="16" fontId="0" fillId="74" borderId="99" xfId="0" applyNumberFormat="1" applyFill="1" applyBorder="1" applyAlignment="1">
      <alignment horizontal="center"/>
    </xf>
    <xf numFmtId="164" fontId="0" fillId="74" borderId="99" xfId="0" applyNumberFormat="1" applyFill="1" applyBorder="1" applyAlignment="1">
      <alignment horizontal="center"/>
    </xf>
    <xf numFmtId="0" fontId="53" fillId="74" borderId="99" xfId="0" applyFont="1" applyFill="1" applyBorder="1" applyAlignment="1">
      <alignment horizontal="center" wrapText="1"/>
    </xf>
    <xf numFmtId="164" fontId="2" fillId="2" borderId="99" xfId="0" applyNumberFormat="1" applyFont="1" applyFill="1" applyBorder="1" applyAlignment="1">
      <alignment vertical="center"/>
    </xf>
    <xf numFmtId="16" fontId="45" fillId="74" borderId="99" xfId="0" applyNumberFormat="1" applyFont="1" applyFill="1" applyBorder="1" applyAlignment="1">
      <alignment horizontal="center"/>
    </xf>
    <xf numFmtId="164" fontId="2" fillId="0" borderId="99" xfId="0" applyNumberFormat="1" applyFont="1" applyBorder="1" applyAlignment="1">
      <alignment vertical="center"/>
    </xf>
    <xf numFmtId="164" fontId="0" fillId="0" borderId="99" xfId="0" applyNumberFormat="1" applyBorder="1"/>
    <xf numFmtId="0" fontId="2" fillId="0" borderId="99" xfId="0" applyFont="1" applyBorder="1" applyAlignment="1">
      <alignment wrapText="1"/>
    </xf>
    <xf numFmtId="0" fontId="53" fillId="0" borderId="99" xfId="0" applyFont="1" applyBorder="1" applyAlignment="1">
      <alignment wrapText="1"/>
    </xf>
    <xf numFmtId="0" fontId="0" fillId="0" borderId="98" xfId="0" applyBorder="1"/>
    <xf numFmtId="0" fontId="267" fillId="0" borderId="99" xfId="0" applyFont="1" applyBorder="1" applyAlignment="1">
      <alignment vertical="center" wrapText="1"/>
    </xf>
    <xf numFmtId="0" fontId="0" fillId="3" borderId="98" xfId="0" applyFill="1" applyBorder="1"/>
    <xf numFmtId="0" fontId="0" fillId="105" borderId="99" xfId="0" applyFill="1" applyBorder="1" applyAlignment="1">
      <alignment horizontal="center" vertical="center"/>
    </xf>
    <xf numFmtId="0" fontId="45" fillId="0" borderId="99" xfId="0" applyFont="1" applyBorder="1" applyAlignment="1">
      <alignment horizontal="center" vertical="center"/>
    </xf>
    <xf numFmtId="0" fontId="53" fillId="3" borderId="99" xfId="0" applyFont="1" applyFill="1" applyBorder="1" applyAlignment="1">
      <alignment vertical="center"/>
    </xf>
    <xf numFmtId="0" fontId="45" fillId="0" borderId="99" xfId="0" applyFont="1" applyBorder="1" applyAlignment="1">
      <alignment vertical="center"/>
    </xf>
    <xf numFmtId="164" fontId="23" fillId="0" borderId="99" xfId="0" applyNumberFormat="1" applyFont="1" applyBorder="1" applyAlignment="1">
      <alignment vertical="center"/>
    </xf>
    <xf numFmtId="0" fontId="0" fillId="77" borderId="99" xfId="0" applyFill="1" applyBorder="1" applyAlignment="1">
      <alignment horizontal="center" vertical="center"/>
    </xf>
    <xf numFmtId="0" fontId="0" fillId="104" borderId="99" xfId="0" applyFill="1" applyBorder="1" applyAlignment="1">
      <alignment horizontal="center" vertical="center"/>
    </xf>
    <xf numFmtId="0" fontId="29" fillId="0" borderId="99" xfId="0" applyFont="1" applyBorder="1" applyAlignment="1">
      <alignment horizontal="center" vertical="center"/>
    </xf>
    <xf numFmtId="0" fontId="0" fillId="0" borderId="99" xfId="0" quotePrefix="1" applyBorder="1" applyAlignment="1">
      <alignment horizontal="center"/>
    </xf>
    <xf numFmtId="164" fontId="23" fillId="2" borderId="99" xfId="0" applyNumberFormat="1" applyFont="1" applyFill="1" applyBorder="1" applyAlignment="1">
      <alignment vertical="center"/>
    </xf>
    <xf numFmtId="0" fontId="53" fillId="2" borderId="99" xfId="0" applyFont="1" applyFill="1" applyBorder="1" applyAlignment="1">
      <alignment vertical="center" wrapText="1"/>
    </xf>
    <xf numFmtId="164" fontId="44" fillId="63" borderId="99" xfId="0" applyNumberFormat="1" applyFont="1" applyFill="1" applyBorder="1" applyAlignment="1">
      <alignment horizontal="center" vertical="center" wrapText="1"/>
    </xf>
    <xf numFmtId="49" fontId="69" fillId="63" borderId="99" xfId="0" applyNumberFormat="1" applyFont="1" applyFill="1" applyBorder="1" applyAlignment="1">
      <alignment horizontal="center" vertical="center"/>
    </xf>
    <xf numFmtId="49" fontId="48" fillId="63" borderId="99" xfId="0" applyNumberFormat="1" applyFont="1" applyFill="1" applyBorder="1" applyAlignment="1">
      <alignment horizontal="center" vertical="center" wrapText="1"/>
    </xf>
    <xf numFmtId="0" fontId="44" fillId="63" borderId="99" xfId="0" applyFont="1" applyFill="1" applyBorder="1" applyAlignment="1">
      <alignment horizontal="left" vertical="center" wrapText="1"/>
    </xf>
    <xf numFmtId="0" fontId="44" fillId="63" borderId="99" xfId="0" applyFont="1" applyFill="1" applyBorder="1" applyAlignment="1">
      <alignment horizontal="left" vertical="center"/>
    </xf>
    <xf numFmtId="1" fontId="44" fillId="63" borderId="99" xfId="0" applyNumberFormat="1" applyFont="1" applyFill="1" applyBorder="1" applyAlignment="1">
      <alignment horizontal="left" vertical="center" wrapText="1"/>
    </xf>
    <xf numFmtId="10" fontId="44" fillId="63" borderId="99" xfId="77" applyNumberFormat="1" applyFont="1" applyFill="1" applyBorder="1" applyAlignment="1">
      <alignment horizontal="left" vertical="center" wrapText="1"/>
    </xf>
    <xf numFmtId="10" fontId="44" fillId="63" borderId="99" xfId="77" applyNumberFormat="1" applyFont="1" applyFill="1" applyBorder="1" applyAlignment="1">
      <alignment horizontal="left" vertical="center"/>
    </xf>
    <xf numFmtId="164" fontId="163" fillId="0" borderId="99" xfId="0" applyNumberFormat="1" applyFont="1" applyBorder="1" applyAlignment="1">
      <alignment horizontal="left" vertical="center"/>
    </xf>
    <xf numFmtId="0" fontId="267" fillId="3" borderId="99" xfId="0" applyFont="1" applyFill="1" applyBorder="1" applyAlignment="1">
      <alignment horizontal="left" vertical="center" wrapText="1"/>
    </xf>
    <xf numFmtId="164" fontId="163" fillId="2" borderId="99" xfId="0" applyNumberFormat="1" applyFont="1" applyFill="1" applyBorder="1" applyAlignment="1">
      <alignment horizontal="left" vertical="center"/>
    </xf>
    <xf numFmtId="164" fontId="57" fillId="3" borderId="99" xfId="0" applyNumberFormat="1" applyFont="1" applyFill="1" applyBorder="1" applyAlignment="1">
      <alignment horizontal="left" vertical="center" wrapText="1"/>
    </xf>
    <xf numFmtId="4" fontId="0" fillId="2" borderId="99" xfId="0" applyNumberFormat="1" applyFill="1" applyBorder="1" applyAlignment="1">
      <alignment horizontal="left"/>
    </xf>
    <xf numFmtId="0" fontId="53" fillId="0" borderId="99" xfId="0" applyFont="1" applyBorder="1" applyAlignment="1">
      <alignment horizontal="left" wrapText="1"/>
    </xf>
    <xf numFmtId="4" fontId="0" fillId="0" borderId="99" xfId="0" applyNumberFormat="1" applyBorder="1" applyAlignment="1">
      <alignment horizontal="left"/>
    </xf>
    <xf numFmtId="164" fontId="163" fillId="4" borderId="99" xfId="0" applyNumberFormat="1" applyFont="1" applyFill="1" applyBorder="1" applyAlignment="1">
      <alignment horizontal="left" vertical="center" wrapText="1"/>
    </xf>
    <xf numFmtId="0" fontId="57" fillId="4" borderId="99" xfId="0" applyFont="1" applyFill="1" applyBorder="1" applyAlignment="1">
      <alignment horizontal="left" vertical="center"/>
    </xf>
    <xf numFmtId="0" fontId="2" fillId="67" borderId="99" xfId="0" applyFont="1" applyFill="1" applyBorder="1" applyAlignment="1">
      <alignment wrapText="1"/>
    </xf>
    <xf numFmtId="0" fontId="56" fillId="3" borderId="99" xfId="0" quotePrefix="1" applyFont="1" applyFill="1" applyBorder="1" applyAlignment="1">
      <alignment horizontal="left" vertical="center"/>
    </xf>
    <xf numFmtId="0" fontId="0" fillId="104" borderId="99" xfId="0" applyFill="1" applyBorder="1" applyAlignment="1">
      <alignment horizontal="left" vertical="center"/>
    </xf>
    <xf numFmtId="16" fontId="45" fillId="2" borderId="99" xfId="0" applyNumberFormat="1" applyFont="1" applyFill="1" applyBorder="1" applyAlignment="1">
      <alignment horizontal="left"/>
    </xf>
    <xf numFmtId="0" fontId="0" fillId="2" borderId="99" xfId="0" quotePrefix="1" applyFill="1" applyBorder="1" applyAlignment="1">
      <alignment horizontal="left" vertical="center"/>
    </xf>
    <xf numFmtId="4" fontId="0" fillId="3" borderId="99" xfId="0" applyNumberFormat="1" applyFill="1" applyBorder="1" applyAlignment="1">
      <alignment horizontal="left"/>
    </xf>
    <xf numFmtId="164" fontId="29" fillId="2" borderId="99" xfId="0" applyNumberFormat="1" applyFont="1" applyFill="1" applyBorder="1" applyAlignment="1">
      <alignment horizontal="left"/>
    </xf>
    <xf numFmtId="0" fontId="29" fillId="2" borderId="99" xfId="0" applyFont="1" applyFill="1" applyBorder="1" applyAlignment="1">
      <alignment horizontal="left" wrapText="1"/>
    </xf>
    <xf numFmtId="4" fontId="29" fillId="2" borderId="99" xfId="0" applyNumberFormat="1" applyFont="1" applyFill="1" applyBorder="1" applyAlignment="1">
      <alignment horizontal="left"/>
    </xf>
    <xf numFmtId="11" fontId="0" fillId="2" borderId="99" xfId="0" applyNumberFormat="1" applyFill="1" applyBorder="1" applyAlignment="1">
      <alignment horizontal="left" vertical="center"/>
    </xf>
    <xf numFmtId="10" fontId="0" fillId="3" borderId="99" xfId="77" applyNumberFormat="1" applyFont="1" applyFill="1" applyBorder="1" applyAlignment="1">
      <alignment horizontal="left"/>
    </xf>
    <xf numFmtId="16" fontId="2" fillId="2" borderId="99" xfId="0" applyNumberFormat="1" applyFont="1" applyFill="1" applyBorder="1" applyAlignment="1">
      <alignment horizontal="left"/>
    </xf>
    <xf numFmtId="0" fontId="0" fillId="77" borderId="99" xfId="0" applyFill="1" applyBorder="1" applyAlignment="1">
      <alignment horizontal="left" vertical="center"/>
    </xf>
    <xf numFmtId="0" fontId="0" fillId="0" borderId="99" xfId="77" applyNumberFormat="1" applyFont="1" applyBorder="1" applyAlignment="1">
      <alignment horizontal="left"/>
    </xf>
    <xf numFmtId="164" fontId="2" fillId="2" borderId="99" xfId="0" applyNumberFormat="1" applyFont="1" applyFill="1" applyBorder="1" applyAlignment="1">
      <alignment horizontal="left"/>
    </xf>
    <xf numFmtId="0" fontId="57" fillId="3" borderId="99" xfId="0" applyFont="1" applyFill="1" applyBorder="1" applyAlignment="1">
      <alignment horizontal="left" vertical="center" wrapText="1"/>
    </xf>
    <xf numFmtId="164" fontId="29" fillId="0" borderId="99" xfId="0" applyNumberFormat="1" applyFont="1" applyBorder="1" applyAlignment="1">
      <alignment horizontal="left"/>
    </xf>
    <xf numFmtId="0" fontId="24" fillId="3" borderId="99" xfId="0" quotePrefix="1" applyFont="1" applyFill="1" applyBorder="1" applyAlignment="1">
      <alignment horizontal="left" vertical="center"/>
    </xf>
    <xf numFmtId="178" fontId="0" fillId="3" borderId="99" xfId="77" applyNumberFormat="1" applyFont="1" applyFill="1" applyBorder="1" applyAlignment="1">
      <alignment horizontal="left" vertical="center"/>
    </xf>
    <xf numFmtId="0" fontId="53" fillId="2" borderId="99" xfId="0" applyFont="1" applyFill="1" applyBorder="1" applyAlignment="1">
      <alignment horizontal="left" vertical="center" wrapText="1"/>
    </xf>
    <xf numFmtId="4" fontId="0" fillId="2" borderId="99" xfId="0" applyNumberFormat="1" applyFill="1" applyBorder="1" applyAlignment="1">
      <alignment horizontal="left" vertical="center"/>
    </xf>
    <xf numFmtId="8" fontId="0" fillId="2" borderId="99" xfId="0" applyNumberFormat="1" applyFill="1" applyBorder="1" applyAlignment="1">
      <alignment horizontal="left" vertical="center"/>
    </xf>
    <xf numFmtId="0" fontId="115" fillId="109" borderId="99" xfId="0" applyFont="1" applyFill="1" applyBorder="1" applyAlignment="1">
      <alignment horizontal="left" vertical="center"/>
    </xf>
    <xf numFmtId="4" fontId="0" fillId="0" borderId="99" xfId="0" applyNumberFormat="1" applyBorder="1" applyAlignment="1">
      <alignment horizontal="left" vertical="center"/>
    </xf>
    <xf numFmtId="16" fontId="2" fillId="3" borderId="99" xfId="0" quotePrefix="1" applyNumberFormat="1" applyFont="1" applyFill="1" applyBorder="1" applyAlignment="1">
      <alignment horizontal="left" vertical="center"/>
    </xf>
    <xf numFmtId="0" fontId="278" fillId="3" borderId="99" xfId="0" applyFont="1" applyFill="1" applyBorder="1" applyAlignment="1">
      <alignment horizontal="left" vertical="center" wrapText="1"/>
    </xf>
    <xf numFmtId="164" fontId="278" fillId="3" borderId="99" xfId="0" applyNumberFormat="1" applyFont="1" applyFill="1" applyBorder="1" applyAlignment="1">
      <alignment horizontal="left" vertical="center" wrapText="1"/>
    </xf>
    <xf numFmtId="0" fontId="267" fillId="3" borderId="99" xfId="0" applyFont="1" applyFill="1" applyBorder="1" applyAlignment="1">
      <alignment horizontal="left" vertical="center"/>
    </xf>
    <xf numFmtId="164" fontId="267" fillId="3" borderId="99" xfId="0" applyNumberFormat="1" applyFont="1" applyFill="1" applyBorder="1" applyAlignment="1">
      <alignment horizontal="left" vertical="center"/>
    </xf>
    <xf numFmtId="164" fontId="274" fillId="3" borderId="99" xfId="0" applyNumberFormat="1" applyFont="1" applyFill="1" applyBorder="1" applyAlignment="1">
      <alignment horizontal="left" vertical="center" wrapText="1"/>
    </xf>
    <xf numFmtId="4" fontId="267" fillId="3" borderId="99" xfId="0" applyNumberFormat="1" applyFont="1" applyFill="1" applyBorder="1" applyAlignment="1">
      <alignment horizontal="left" vertical="center"/>
    </xf>
    <xf numFmtId="0" fontId="115" fillId="3" borderId="99" xfId="0" applyFont="1" applyFill="1" applyBorder="1" applyAlignment="1">
      <alignment horizontal="left" vertical="center"/>
    </xf>
    <xf numFmtId="0" fontId="53" fillId="3" borderId="99" xfId="0" applyFont="1" applyFill="1" applyBorder="1" applyAlignment="1">
      <alignment horizontal="left" wrapText="1"/>
    </xf>
    <xf numFmtId="164" fontId="45" fillId="0" borderId="99" xfId="0" applyNumberFormat="1" applyFont="1" applyBorder="1" applyAlignment="1">
      <alignment horizontal="center" vertical="center"/>
    </xf>
    <xf numFmtId="0" fontId="252" fillId="2" borderId="99" xfId="0" applyFont="1" applyFill="1" applyBorder="1"/>
    <xf numFmtId="11" fontId="0" fillId="2" borderId="99" xfId="0" applyNumberFormat="1" applyFill="1" applyBorder="1" applyAlignment="1">
      <alignment horizontal="center" vertical="center"/>
    </xf>
    <xf numFmtId="171" fontId="0" fillId="3" borderId="99" xfId="77" applyNumberFormat="1" applyFont="1" applyFill="1" applyBorder="1" applyAlignment="1">
      <alignment horizontal="left" vertical="center"/>
    </xf>
    <xf numFmtId="0" fontId="273" fillId="2" borderId="99" xfId="0" applyFont="1" applyFill="1" applyBorder="1" applyAlignment="1">
      <alignment horizontal="center" vertical="center"/>
    </xf>
    <xf numFmtId="0" fontId="0" fillId="105" borderId="99" xfId="0" applyFill="1" applyBorder="1" applyAlignment="1">
      <alignment horizontal="left" vertical="center"/>
    </xf>
    <xf numFmtId="16" fontId="45" fillId="0" borderId="99" xfId="0" applyNumberFormat="1" applyFont="1" applyBorder="1" applyAlignment="1">
      <alignment horizontal="center" vertical="center"/>
    </xf>
    <xf numFmtId="0" fontId="252" fillId="2" borderId="99" xfId="0" applyFont="1" applyFill="1" applyBorder="1" applyAlignment="1">
      <alignment horizontal="center" vertical="center"/>
    </xf>
    <xf numFmtId="0" fontId="0" fillId="111" borderId="99" xfId="0" applyFill="1" applyBorder="1" applyAlignment="1">
      <alignment horizontal="center" vertical="center"/>
    </xf>
    <xf numFmtId="0" fontId="57" fillId="111" borderId="99" xfId="0" applyFont="1" applyFill="1" applyBorder="1" applyAlignment="1">
      <alignment horizontal="center" vertical="center"/>
    </xf>
    <xf numFmtId="16" fontId="23" fillId="0" borderId="99" xfId="0" applyNumberFormat="1" applyFont="1" applyBorder="1" applyAlignment="1">
      <alignment horizontal="left" vertical="center"/>
    </xf>
    <xf numFmtId="16" fontId="23" fillId="2" borderId="99" xfId="0" applyNumberFormat="1" applyFont="1" applyFill="1" applyBorder="1" applyAlignment="1">
      <alignment horizontal="left" vertical="center"/>
    </xf>
    <xf numFmtId="16" fontId="0" fillId="0" borderId="99" xfId="0" applyNumberFormat="1" applyBorder="1" applyAlignment="1">
      <alignment horizontal="left" vertical="center"/>
    </xf>
    <xf numFmtId="164" fontId="53" fillId="2" borderId="99" xfId="0" applyNumberFormat="1" applyFont="1" applyFill="1" applyBorder="1" applyAlignment="1">
      <alignment horizontal="left" wrapText="1"/>
    </xf>
    <xf numFmtId="0" fontId="0" fillId="111" borderId="99" xfId="0" applyFill="1" applyBorder="1" applyAlignment="1">
      <alignment horizontal="left" vertical="center"/>
    </xf>
    <xf numFmtId="0" fontId="0" fillId="4" borderId="99" xfId="0" applyFill="1" applyBorder="1" applyAlignment="1">
      <alignment horizontal="left" vertical="center" wrapText="1"/>
    </xf>
    <xf numFmtId="16" fontId="0" fillId="106" borderId="99" xfId="0" applyNumberFormat="1" applyFill="1" applyBorder="1" applyAlignment="1">
      <alignment horizontal="left"/>
    </xf>
    <xf numFmtId="164" fontId="0" fillId="106" borderId="99" xfId="0" applyNumberFormat="1" applyFill="1" applyBorder="1" applyAlignment="1">
      <alignment horizontal="left" vertical="center"/>
    </xf>
    <xf numFmtId="0" fontId="23" fillId="0" borderId="99" xfId="0" applyFont="1" applyBorder="1" applyAlignment="1">
      <alignment horizontal="left" vertical="center"/>
    </xf>
    <xf numFmtId="0" fontId="55" fillId="0" borderId="99" xfId="0" applyFont="1" applyBorder="1" applyAlignment="1">
      <alignment horizontal="left" vertical="center"/>
    </xf>
    <xf numFmtId="164" fontId="57" fillId="0" borderId="99" xfId="0" applyNumberFormat="1" applyFont="1" applyBorder="1" applyAlignment="1">
      <alignment horizontal="left" vertical="center"/>
    </xf>
    <xf numFmtId="0" fontId="53" fillId="0" borderId="99" xfId="0" applyFont="1" applyBorder="1" applyAlignment="1">
      <alignment horizontal="left"/>
    </xf>
    <xf numFmtId="0" fontId="57" fillId="106" borderId="99" xfId="0" applyFont="1" applyFill="1" applyBorder="1" applyAlignment="1">
      <alignment horizontal="left" vertical="center"/>
    </xf>
    <xf numFmtId="0" fontId="163" fillId="0" borderId="99" xfId="0" applyFont="1" applyBorder="1" applyAlignment="1">
      <alignment horizontal="left" vertical="center"/>
    </xf>
    <xf numFmtId="164" fontId="272" fillId="0" borderId="99" xfId="0" applyNumberFormat="1" applyFont="1" applyBorder="1" applyAlignment="1">
      <alignment horizontal="left" vertical="center"/>
    </xf>
    <xf numFmtId="164" fontId="44" fillId="63" borderId="99" xfId="0" applyNumberFormat="1" applyFont="1" applyFill="1" applyBorder="1" applyAlignment="1">
      <alignment horizontal="right" vertical="center"/>
    </xf>
    <xf numFmtId="164" fontId="50" fillId="63" borderId="99" xfId="0" applyNumberFormat="1" applyFont="1" applyFill="1" applyBorder="1" applyAlignment="1">
      <alignment horizontal="right" vertical="center"/>
    </xf>
    <xf numFmtId="164" fontId="44" fillId="63" borderId="99" xfId="0" applyNumberFormat="1" applyFont="1" applyFill="1" applyBorder="1" applyAlignment="1">
      <alignment horizontal="center" vertical="center"/>
    </xf>
    <xf numFmtId="49" fontId="48" fillId="63" borderId="99" xfId="0" applyNumberFormat="1" applyFont="1" applyFill="1" applyBorder="1" applyAlignment="1">
      <alignment horizontal="left" vertical="center" wrapText="1"/>
    </xf>
    <xf numFmtId="1" fontId="44" fillId="63" borderId="99" xfId="0" applyNumberFormat="1" applyFont="1" applyFill="1" applyBorder="1" applyAlignment="1">
      <alignment horizontal="left" vertical="center"/>
    </xf>
    <xf numFmtId="0" fontId="53" fillId="2" borderId="99" xfId="0" applyFont="1" applyFill="1" applyBorder="1" applyAlignment="1">
      <alignment horizontal="center" vertical="center" wrapText="1"/>
    </xf>
    <xf numFmtId="16" fontId="23" fillId="2" borderId="99" xfId="0" applyNumberFormat="1" applyFont="1" applyFill="1" applyBorder="1" applyAlignment="1">
      <alignment vertical="center"/>
    </xf>
    <xf numFmtId="0" fontId="57" fillId="2" borderId="99" xfId="0" applyFont="1" applyFill="1" applyBorder="1" applyAlignment="1">
      <alignment vertical="center"/>
    </xf>
    <xf numFmtId="4" fontId="0" fillId="2" borderId="99" xfId="0" applyNumberFormat="1" applyFill="1" applyBorder="1" applyAlignment="1">
      <alignment vertical="center"/>
    </xf>
    <xf numFmtId="0" fontId="29" fillId="2" borderId="99" xfId="0" applyFont="1" applyFill="1" applyBorder="1" applyAlignment="1">
      <alignment vertical="center"/>
    </xf>
    <xf numFmtId="16" fontId="2" fillId="3" borderId="99" xfId="0" applyNumberFormat="1" applyFont="1" applyFill="1" applyBorder="1" applyAlignment="1">
      <alignment vertical="center"/>
    </xf>
    <xf numFmtId="16" fontId="23" fillId="3" borderId="99" xfId="0" applyNumberFormat="1" applyFont="1" applyFill="1" applyBorder="1" applyAlignment="1">
      <alignment vertical="center"/>
    </xf>
    <xf numFmtId="0" fontId="57" fillId="3" borderId="99" xfId="0" applyFont="1" applyFill="1" applyBorder="1" applyAlignment="1">
      <alignment vertical="center"/>
    </xf>
    <xf numFmtId="0" fontId="2" fillId="67" borderId="99" xfId="0" applyFont="1" applyFill="1" applyBorder="1" applyAlignment="1">
      <alignment vertical="center"/>
    </xf>
    <xf numFmtId="0" fontId="113" fillId="2" borderId="99" xfId="0" applyFont="1" applyFill="1" applyBorder="1" applyAlignment="1">
      <alignment horizontal="left"/>
    </xf>
    <xf numFmtId="0" fontId="0" fillId="76" borderId="99" xfId="0" applyFill="1" applyBorder="1" applyAlignment="1">
      <alignment vertical="center"/>
    </xf>
    <xf numFmtId="16" fontId="0" fillId="0" borderId="99" xfId="0" applyNumberFormat="1" applyBorder="1" applyAlignment="1">
      <alignment vertical="center"/>
    </xf>
    <xf numFmtId="16" fontId="23" fillId="0" borderId="99" xfId="0" applyNumberFormat="1" applyFont="1" applyBorder="1" applyAlignment="1">
      <alignment vertical="center"/>
    </xf>
    <xf numFmtId="0" fontId="53" fillId="0" borderId="99" xfId="0" applyFont="1" applyBorder="1" applyAlignment="1">
      <alignment horizontal="center" vertical="center" wrapText="1"/>
    </xf>
    <xf numFmtId="16" fontId="45" fillId="2" borderId="99" xfId="0" applyNumberFormat="1" applyFont="1" applyFill="1" applyBorder="1" applyAlignment="1">
      <alignment vertical="center"/>
    </xf>
    <xf numFmtId="0" fontId="252" fillId="2" borderId="99" xfId="0" applyFont="1" applyFill="1" applyBorder="1" applyAlignment="1">
      <alignment horizontal="left"/>
    </xf>
    <xf numFmtId="0" fontId="24" fillId="3" borderId="99" xfId="0" quotePrefix="1" applyFont="1" applyFill="1" applyBorder="1" applyAlignment="1">
      <alignment vertical="center" wrapText="1"/>
    </xf>
    <xf numFmtId="164" fontId="57" fillId="3" borderId="99" xfId="0" applyNumberFormat="1" applyFont="1" applyFill="1" applyBorder="1" applyAlignment="1">
      <alignment vertical="center"/>
    </xf>
    <xf numFmtId="164" fontId="57" fillId="3" borderId="99" xfId="0" applyNumberFormat="1" applyFont="1" applyFill="1" applyBorder="1" applyAlignment="1">
      <alignment vertical="center" wrapText="1"/>
    </xf>
    <xf numFmtId="0" fontId="57" fillId="2" borderId="99" xfId="0" applyFont="1" applyFill="1" applyBorder="1" applyAlignment="1">
      <alignment horizontal="center" vertical="center" wrapText="1"/>
    </xf>
    <xf numFmtId="0" fontId="2" fillId="2" borderId="99" xfId="0" applyFont="1" applyFill="1" applyBorder="1" applyAlignment="1">
      <alignment horizontal="center" vertical="center" wrapText="1"/>
    </xf>
    <xf numFmtId="0" fontId="17" fillId="2" borderId="99" xfId="0" applyFont="1" applyFill="1" applyBorder="1" applyAlignment="1">
      <alignment horizontal="center" vertical="center" wrapText="1"/>
    </xf>
    <xf numFmtId="0" fontId="53" fillId="2" borderId="99" xfId="0" applyFont="1" applyFill="1" applyBorder="1" applyAlignment="1">
      <alignment vertical="center"/>
    </xf>
    <xf numFmtId="0" fontId="23" fillId="2" borderId="99" xfId="0" applyFont="1" applyFill="1" applyBorder="1" applyAlignment="1">
      <alignment vertical="center" wrapText="1"/>
    </xf>
    <xf numFmtId="0" fontId="23" fillId="2" borderId="99" xfId="0" applyFont="1" applyFill="1" applyBorder="1" applyAlignment="1">
      <alignment vertical="center"/>
    </xf>
    <xf numFmtId="0" fontId="45" fillId="2" borderId="99" xfId="0" applyFont="1" applyFill="1" applyBorder="1" applyAlignment="1">
      <alignment vertical="center" wrapText="1"/>
    </xf>
    <xf numFmtId="0" fontId="0" fillId="2" borderId="99" xfId="0" quotePrefix="1" applyFill="1" applyBorder="1" applyAlignment="1">
      <alignment horizontal="left" vertical="center" wrapText="1"/>
    </xf>
    <xf numFmtId="0" fontId="0" fillId="78" borderId="99" xfId="0" applyFill="1" applyBorder="1" applyAlignment="1">
      <alignment horizontal="center" vertical="center"/>
    </xf>
    <xf numFmtId="0" fontId="281" fillId="2" borderId="99" xfId="0" applyFont="1" applyFill="1" applyBorder="1" applyAlignment="1">
      <alignment vertical="center"/>
    </xf>
    <xf numFmtId="10" fontId="0" fillId="2" borderId="98" xfId="77" applyNumberFormat="1" applyFont="1" applyFill="1" applyBorder="1" applyAlignment="1">
      <alignment horizontal="left" vertical="center"/>
    </xf>
    <xf numFmtId="164" fontId="0" fillId="3" borderId="99" xfId="0" applyNumberFormat="1" applyFill="1" applyBorder="1" applyAlignment="1">
      <alignment horizontal="right" vertical="center"/>
    </xf>
    <xf numFmtId="164" fontId="0" fillId="2" borderId="99" xfId="0" applyNumberFormat="1" applyFill="1" applyBorder="1" applyAlignment="1">
      <alignment horizontal="right" vertical="center"/>
    </xf>
    <xf numFmtId="164" fontId="23" fillId="2" borderId="99" xfId="0" applyNumberFormat="1" applyFont="1" applyFill="1" applyBorder="1" applyAlignment="1">
      <alignment horizontal="right" vertical="center"/>
    </xf>
    <xf numFmtId="164" fontId="57" fillId="2" borderId="99" xfId="0" applyNumberFormat="1" applyFont="1" applyFill="1" applyBorder="1" applyAlignment="1">
      <alignment vertical="center"/>
    </xf>
    <xf numFmtId="164" fontId="2" fillId="3" borderId="99" xfId="0" applyNumberFormat="1" applyFont="1" applyFill="1" applyBorder="1" applyAlignment="1">
      <alignment vertical="center"/>
    </xf>
    <xf numFmtId="0" fontId="24" fillId="67" borderId="99" xfId="0" applyFont="1" applyFill="1" applyBorder="1" applyAlignment="1">
      <alignment vertical="center" wrapText="1"/>
    </xf>
    <xf numFmtId="0" fontId="299" fillId="0" borderId="99" xfId="0" applyFont="1" applyBorder="1" applyAlignment="1">
      <alignment horizontal="left" vertical="center"/>
    </xf>
    <xf numFmtId="0" fontId="299" fillId="0" borderId="99" xfId="0" applyFont="1" applyBorder="1" applyAlignment="1">
      <alignment vertical="center"/>
    </xf>
    <xf numFmtId="14" fontId="299" fillId="0" borderId="99" xfId="0" applyNumberFormat="1" applyFont="1" applyBorder="1" applyAlignment="1">
      <alignment horizontal="left" vertical="center"/>
    </xf>
    <xf numFmtId="0" fontId="54" fillId="113" borderId="99" xfId="0" applyFont="1" applyFill="1" applyBorder="1" applyAlignment="1">
      <alignment horizontal="left" vertical="center" wrapText="1"/>
    </xf>
    <xf numFmtId="0" fontId="54" fillId="113" borderId="99" xfId="0" applyFont="1" applyFill="1" applyBorder="1" applyAlignment="1">
      <alignment horizontal="left" vertical="center"/>
    </xf>
    <xf numFmtId="0" fontId="0" fillId="107" borderId="99" xfId="0" applyFill="1" applyBorder="1" applyAlignment="1">
      <alignment vertical="center"/>
    </xf>
    <xf numFmtId="16" fontId="0" fillId="0" borderId="99" xfId="0" applyNumberFormat="1" applyBorder="1" applyAlignment="1">
      <alignment horizontal="right" vertical="center"/>
    </xf>
    <xf numFmtId="16" fontId="45" fillId="0" borderId="99" xfId="0" applyNumberFormat="1" applyFont="1" applyBorder="1" applyAlignment="1">
      <alignment horizontal="right" vertical="center"/>
    </xf>
    <xf numFmtId="164" fontId="163" fillId="0" borderId="99" xfId="0" applyNumberFormat="1" applyFont="1" applyBorder="1" applyAlignment="1">
      <alignment horizontal="center" vertical="center"/>
    </xf>
    <xf numFmtId="16" fontId="0" fillId="2" borderId="99" xfId="0" applyNumberFormat="1" applyFill="1" applyBorder="1" applyAlignment="1">
      <alignment horizontal="right" vertical="center"/>
    </xf>
    <xf numFmtId="16" fontId="23" fillId="2" borderId="99" xfId="0" applyNumberFormat="1" applyFont="1" applyFill="1" applyBorder="1" applyAlignment="1">
      <alignment horizontal="right" vertical="center"/>
    </xf>
    <xf numFmtId="164" fontId="163" fillId="2" borderId="99" xfId="0" applyNumberFormat="1" applyFont="1" applyFill="1" applyBorder="1" applyAlignment="1">
      <alignment vertical="center"/>
    </xf>
    <xf numFmtId="16" fontId="0" fillId="2" borderId="99" xfId="0" applyNumberFormat="1" applyFill="1" applyBorder="1" applyAlignment="1">
      <alignment horizontal="right"/>
    </xf>
    <xf numFmtId="14" fontId="0" fillId="2" borderId="99" xfId="0" applyNumberFormat="1" applyFill="1" applyBorder="1" applyAlignment="1">
      <alignment vertical="center"/>
    </xf>
    <xf numFmtId="0" fontId="163" fillId="2" borderId="99" xfId="0" applyFont="1" applyFill="1" applyBorder="1" applyAlignment="1">
      <alignment vertical="center"/>
    </xf>
    <xf numFmtId="14" fontId="66" fillId="2" borderId="99" xfId="0" applyNumberFormat="1" applyFont="1" applyFill="1" applyBorder="1" applyAlignment="1">
      <alignment horizontal="left" vertical="center"/>
    </xf>
    <xf numFmtId="16" fontId="45" fillId="2" borderId="99" xfId="0" applyNumberFormat="1" applyFont="1" applyFill="1" applyBorder="1" applyAlignment="1">
      <alignment horizontal="right" vertical="center"/>
    </xf>
    <xf numFmtId="16" fontId="23" fillId="2" borderId="99" xfId="0" applyNumberFormat="1" applyFont="1" applyFill="1" applyBorder="1" applyAlignment="1">
      <alignment horizontal="right"/>
    </xf>
    <xf numFmtId="0" fontId="287" fillId="2" borderId="99" xfId="0" applyFont="1" applyFill="1" applyBorder="1"/>
    <xf numFmtId="18" fontId="0" fillId="2" borderId="99" xfId="0" applyNumberFormat="1" applyFill="1" applyBorder="1" applyAlignment="1">
      <alignment horizontal="left" vertical="center"/>
    </xf>
    <xf numFmtId="0" fontId="55" fillId="2" borderId="99" xfId="0" applyFont="1" applyFill="1" applyBorder="1" applyAlignment="1">
      <alignment vertical="center"/>
    </xf>
    <xf numFmtId="0" fontId="0" fillId="2" borderId="99" xfId="0" quotePrefix="1" applyFill="1" applyBorder="1" applyAlignment="1">
      <alignment horizontal="center" vertical="center" wrapText="1"/>
    </xf>
    <xf numFmtId="0" fontId="57" fillId="2" borderId="99" xfId="0" applyFont="1" applyFill="1" applyBorder="1" applyAlignment="1">
      <alignment vertical="center" wrapText="1"/>
    </xf>
    <xf numFmtId="0" fontId="24" fillId="3" borderId="99" xfId="0" quotePrefix="1" applyFont="1" applyFill="1" applyBorder="1" applyAlignment="1">
      <alignment horizontal="left" vertical="center" wrapText="1"/>
    </xf>
    <xf numFmtId="18" fontId="66" fillId="2" borderId="99" xfId="0" applyNumberFormat="1" applyFont="1" applyFill="1" applyBorder="1" applyAlignment="1">
      <alignment horizontal="left" vertical="center"/>
    </xf>
    <xf numFmtId="16" fontId="0" fillId="2" borderId="99" xfId="0" applyNumberFormat="1" applyFill="1" applyBorder="1" applyAlignment="1">
      <alignment vertical="center" wrapText="1"/>
    </xf>
    <xf numFmtId="16" fontId="23" fillId="2" borderId="99" xfId="0" applyNumberFormat="1" applyFont="1" applyFill="1" applyBorder="1" applyAlignment="1">
      <alignment vertical="center" wrapText="1"/>
    </xf>
    <xf numFmtId="0" fontId="0" fillId="105" borderId="99" xfId="0" applyFill="1" applyBorder="1"/>
    <xf numFmtId="16" fontId="0" fillId="0" borderId="99" xfId="0" applyNumberFormat="1" applyBorder="1" applyAlignment="1">
      <alignment horizontal="right"/>
    </xf>
    <xf numFmtId="16" fontId="23" fillId="0" borderId="99" xfId="0" applyNumberFormat="1" applyFont="1" applyBorder="1" applyAlignment="1">
      <alignment horizontal="right"/>
    </xf>
    <xf numFmtId="16" fontId="0" fillId="0" borderId="99" xfId="0" applyNumberFormat="1" applyBorder="1"/>
    <xf numFmtId="164" fontId="56" fillId="2" borderId="99" xfId="0" applyNumberFormat="1" applyFont="1" applyFill="1" applyBorder="1" applyAlignment="1">
      <alignment horizontal="left" vertical="center" wrapText="1"/>
    </xf>
    <xf numFmtId="0" fontId="287" fillId="2" borderId="99" xfId="0" applyFont="1" applyFill="1" applyBorder="1" applyAlignment="1">
      <alignment horizontal="center"/>
    </xf>
    <xf numFmtId="16" fontId="29" fillId="2" borderId="99" xfId="0" applyNumberFormat="1" applyFont="1" applyFill="1" applyBorder="1" applyAlignment="1">
      <alignment horizontal="right"/>
    </xf>
    <xf numFmtId="0" fontId="0" fillId="107" borderId="99" xfId="0" applyFill="1" applyBorder="1"/>
    <xf numFmtId="20" fontId="66" fillId="2" borderId="99" xfId="0" applyNumberFormat="1" applyFont="1" applyFill="1" applyBorder="1" applyAlignment="1">
      <alignment horizontal="left" vertical="center"/>
    </xf>
    <xf numFmtId="0" fontId="53" fillId="0" borderId="99" xfId="0" applyFont="1" applyBorder="1"/>
    <xf numFmtId="20" fontId="2" fillId="2" borderId="99" xfId="0" applyNumberFormat="1" applyFont="1" applyFill="1" applyBorder="1" applyAlignment="1">
      <alignment vertical="center"/>
    </xf>
    <xf numFmtId="164" fontId="56" fillId="2" borderId="99" xfId="0" applyNumberFormat="1" applyFont="1" applyFill="1" applyBorder="1" applyAlignment="1">
      <alignment horizontal="left" vertical="center"/>
    </xf>
    <xf numFmtId="0" fontId="288" fillId="2" borderId="99" xfId="4054" applyFont="1" applyFill="1" applyBorder="1" applyAlignment="1">
      <alignment horizontal="left" vertical="center" wrapText="1"/>
    </xf>
    <xf numFmtId="18" fontId="0" fillId="2" borderId="99" xfId="0" applyNumberFormat="1" applyFill="1" applyBorder="1" applyAlignment="1">
      <alignment vertical="center"/>
    </xf>
    <xf numFmtId="4" fontId="291" fillId="2" borderId="99" xfId="0" applyNumberFormat="1" applyFont="1" applyFill="1" applyBorder="1"/>
    <xf numFmtId="164" fontId="17" fillId="2" borderId="99" xfId="0" applyNumberFormat="1" applyFont="1" applyFill="1" applyBorder="1" applyAlignment="1">
      <alignment horizontal="center" vertical="center"/>
    </xf>
    <xf numFmtId="164" fontId="17" fillId="2" borderId="99" xfId="0" applyNumberFormat="1" applyFont="1" applyFill="1" applyBorder="1" applyAlignment="1">
      <alignment horizontal="left" vertical="center"/>
    </xf>
    <xf numFmtId="4" fontId="2" fillId="3" borderId="99" xfId="0" applyNumberFormat="1" applyFont="1" applyFill="1" applyBorder="1" applyAlignment="1">
      <alignment horizontal="left"/>
    </xf>
    <xf numFmtId="10" fontId="0" fillId="2" borderId="99" xfId="0" applyNumberFormat="1" applyFill="1" applyBorder="1" applyAlignment="1">
      <alignment vertical="center"/>
    </xf>
    <xf numFmtId="0" fontId="57" fillId="0" borderId="99" xfId="0" applyFont="1" applyBorder="1" applyAlignment="1">
      <alignment vertical="center" wrapText="1"/>
    </xf>
    <xf numFmtId="16" fontId="2" fillId="2" borderId="99" xfId="0" applyNumberFormat="1" applyFont="1" applyFill="1" applyBorder="1" applyAlignment="1">
      <alignment horizontal="left" vertical="center" wrapText="1"/>
    </xf>
    <xf numFmtId="14" fontId="23" fillId="2" borderId="99" xfId="0" applyNumberFormat="1" applyFont="1" applyFill="1" applyBorder="1" applyAlignment="1">
      <alignment vertical="center"/>
    </xf>
    <xf numFmtId="0" fontId="45" fillId="3" borderId="99" xfId="0" applyFont="1" applyFill="1" applyBorder="1" applyAlignment="1">
      <alignment horizontal="left" vertical="center" wrapText="1"/>
    </xf>
    <xf numFmtId="0" fontId="146" fillId="3" borderId="99" xfId="0" applyFont="1" applyFill="1" applyBorder="1" applyAlignment="1">
      <alignment horizontal="left" vertical="center"/>
    </xf>
    <xf numFmtId="0" fontId="290" fillId="2" borderId="99" xfId="0" applyFont="1" applyFill="1" applyBorder="1" applyAlignment="1">
      <alignment vertical="center" wrapText="1"/>
    </xf>
    <xf numFmtId="0" fontId="252" fillId="2" borderId="99" xfId="0" applyFont="1" applyFill="1" applyBorder="1" applyAlignment="1">
      <alignment vertical="center"/>
    </xf>
    <xf numFmtId="16" fontId="45" fillId="2" borderId="99" xfId="0" applyNumberFormat="1" applyFont="1" applyFill="1" applyBorder="1" applyAlignment="1">
      <alignment vertical="center" wrapText="1"/>
    </xf>
    <xf numFmtId="4" fontId="0" fillId="2" borderId="99" xfId="0" applyNumberFormat="1" applyFill="1" applyBorder="1"/>
    <xf numFmtId="0" fontId="290" fillId="3" borderId="99" xfId="0" applyFont="1" applyFill="1" applyBorder="1" applyAlignment="1">
      <alignment horizontal="left" vertical="center" wrapText="1"/>
    </xf>
    <xf numFmtId="0" fontId="0" fillId="52" borderId="99" xfId="0" applyFill="1" applyBorder="1" applyAlignment="1">
      <alignment horizontal="left" vertical="center" wrapText="1"/>
    </xf>
    <xf numFmtId="0" fontId="0" fillId="52" borderId="99" xfId="0" applyFill="1" applyBorder="1" applyAlignment="1">
      <alignment horizontal="left" vertical="center"/>
    </xf>
    <xf numFmtId="164" fontId="0" fillId="52" borderId="99" xfId="0" applyNumberFormat="1" applyFill="1" applyBorder="1" applyAlignment="1">
      <alignment horizontal="left" vertical="center"/>
    </xf>
    <xf numFmtId="164" fontId="23" fillId="52" borderId="99" xfId="0" applyNumberFormat="1" applyFont="1" applyFill="1" applyBorder="1" applyAlignment="1">
      <alignment horizontal="left" vertical="center"/>
    </xf>
    <xf numFmtId="0" fontId="2" fillId="52" borderId="99" xfId="0" applyFont="1" applyFill="1" applyBorder="1" applyAlignment="1">
      <alignment horizontal="left" vertical="center"/>
    </xf>
    <xf numFmtId="0" fontId="289" fillId="3" borderId="99" xfId="0" applyFont="1" applyFill="1" applyBorder="1" applyAlignment="1">
      <alignment horizontal="left" vertical="center" wrapText="1"/>
    </xf>
    <xf numFmtId="10" fontId="2" fillId="3" borderId="99" xfId="77" applyNumberFormat="1" applyFont="1" applyFill="1" applyBorder="1" applyAlignment="1">
      <alignment horizontal="left" vertical="center"/>
    </xf>
    <xf numFmtId="0" fontId="0" fillId="78" borderId="99" xfId="0" applyFill="1" applyBorder="1"/>
    <xf numFmtId="0" fontId="0" fillId="112" borderId="99" xfId="0" applyFill="1" applyBorder="1" applyAlignment="1">
      <alignment horizontal="center"/>
    </xf>
    <xf numFmtId="0" fontId="29" fillId="78" borderId="99" xfId="0" applyFont="1" applyFill="1" applyBorder="1"/>
    <xf numFmtId="0" fontId="29" fillId="0" borderId="99" xfId="0" applyFont="1" applyBorder="1" applyAlignment="1">
      <alignment horizontal="left"/>
    </xf>
    <xf numFmtId="16" fontId="29" fillId="0" borderId="99" xfId="0" applyNumberFormat="1" applyFont="1" applyBorder="1" applyAlignment="1">
      <alignment horizontal="right"/>
    </xf>
    <xf numFmtId="0" fontId="66" fillId="3" borderId="99" xfId="0" applyFont="1" applyFill="1" applyBorder="1" applyAlignment="1">
      <alignment horizontal="left" vertical="center"/>
    </xf>
    <xf numFmtId="14" fontId="66" fillId="3" borderId="99" xfId="0" applyNumberFormat="1" applyFont="1" applyFill="1" applyBorder="1" applyAlignment="1">
      <alignment horizontal="left" vertical="center"/>
    </xf>
    <xf numFmtId="20" fontId="66" fillId="3" borderId="99" xfId="0" applyNumberFormat="1" applyFont="1" applyFill="1" applyBorder="1" applyAlignment="1">
      <alignment horizontal="left" vertical="center"/>
    </xf>
    <xf numFmtId="14" fontId="0" fillId="3" borderId="99" xfId="0" applyNumberFormat="1" applyFill="1" applyBorder="1" applyAlignment="1">
      <alignment vertical="center"/>
    </xf>
    <xf numFmtId="14" fontId="23" fillId="3" borderId="99" xfId="0" applyNumberFormat="1" applyFont="1" applyFill="1" applyBorder="1" applyAlignment="1">
      <alignment vertical="center"/>
    </xf>
    <xf numFmtId="16" fontId="0" fillId="3" borderId="99" xfId="0" applyNumberFormat="1" applyFill="1" applyBorder="1" applyAlignment="1">
      <alignment vertical="center"/>
    </xf>
    <xf numFmtId="16" fontId="23" fillId="4" borderId="99" xfId="0" applyNumberFormat="1" applyFont="1" applyFill="1" applyBorder="1" applyAlignment="1">
      <alignment horizontal="right"/>
    </xf>
    <xf numFmtId="43" fontId="0" fillId="3" borderId="99" xfId="0" applyNumberFormat="1" applyFill="1" applyBorder="1" applyAlignment="1">
      <alignment horizontal="left" vertical="center"/>
    </xf>
    <xf numFmtId="0" fontId="52" fillId="2" borderId="99" xfId="0" applyFont="1" applyFill="1" applyBorder="1"/>
    <xf numFmtId="10" fontId="2" fillId="0" borderId="99" xfId="77" applyNumberFormat="1" applyFont="1" applyFill="1" applyBorder="1" applyAlignment="1">
      <alignment horizontal="left" vertical="center"/>
    </xf>
    <xf numFmtId="0" fontId="0" fillId="110" borderId="99" xfId="0" applyFill="1" applyBorder="1" applyAlignment="1">
      <alignment horizontal="left"/>
    </xf>
    <xf numFmtId="16" fontId="24" fillId="3" borderId="99" xfId="0" applyNumberFormat="1" applyFont="1" applyFill="1" applyBorder="1" applyAlignment="1">
      <alignment horizontal="left" vertical="center"/>
    </xf>
    <xf numFmtId="0" fontId="68" fillId="0" borderId="99" xfId="0" applyFont="1" applyBorder="1" applyAlignment="1">
      <alignment horizontal="center"/>
    </xf>
    <xf numFmtId="0" fontId="293" fillId="0" borderId="99" xfId="0" applyFont="1" applyBorder="1" applyAlignment="1">
      <alignment horizontal="center"/>
    </xf>
    <xf numFmtId="14" fontId="0" fillId="0" borderId="99" xfId="0" applyNumberFormat="1" applyBorder="1" applyAlignment="1">
      <alignment horizontal="left" vertical="center"/>
    </xf>
    <xf numFmtId="16" fontId="45" fillId="0" borderId="99" xfId="0" applyNumberFormat="1" applyFont="1" applyBorder="1" applyAlignment="1">
      <alignment horizontal="right"/>
    </xf>
    <xf numFmtId="0" fontId="292" fillId="0" borderId="99" xfId="0" applyFont="1" applyBorder="1" applyAlignment="1">
      <alignment horizontal="center"/>
    </xf>
    <xf numFmtId="0" fontId="294" fillId="0" borderId="99" xfId="0" applyFont="1" applyBorder="1"/>
    <xf numFmtId="0" fontId="0" fillId="105" borderId="99" xfId="0" applyFill="1" applyBorder="1" applyAlignment="1">
      <alignment vertical="center"/>
    </xf>
    <xf numFmtId="164" fontId="54" fillId="63" borderId="99" xfId="0" applyNumberFormat="1" applyFont="1" applyFill="1" applyBorder="1" applyAlignment="1">
      <alignment vertical="center"/>
    </xf>
    <xf numFmtId="14" fontId="54" fillId="63" borderId="99" xfId="0" applyNumberFormat="1" applyFont="1" applyFill="1" applyBorder="1" applyAlignment="1">
      <alignment vertical="center"/>
    </xf>
    <xf numFmtId="14" fontId="21" fillId="63" borderId="99" xfId="0" applyNumberFormat="1" applyFont="1" applyFill="1" applyBorder="1" applyAlignment="1">
      <alignment vertical="center"/>
    </xf>
    <xf numFmtId="164" fontId="54" fillId="63" borderId="99" xfId="0" applyNumberFormat="1" applyFont="1" applyFill="1" applyBorder="1" applyAlignment="1">
      <alignment vertical="center" wrapText="1"/>
    </xf>
    <xf numFmtId="49" fontId="28" fillId="63" borderId="99" xfId="0" applyNumberFormat="1" applyFont="1" applyFill="1" applyBorder="1" applyAlignment="1">
      <alignment vertical="center"/>
    </xf>
    <xf numFmtId="164" fontId="21" fillId="63" borderId="99" xfId="0" applyNumberFormat="1" applyFont="1" applyFill="1" applyBorder="1" applyAlignment="1">
      <alignment vertical="center" wrapText="1"/>
    </xf>
    <xf numFmtId="0" fontId="54" fillId="63" borderId="99" xfId="0" applyFont="1" applyFill="1" applyBorder="1" applyAlignment="1">
      <alignment vertical="center" wrapText="1"/>
    </xf>
    <xf numFmtId="0" fontId="54" fillId="63" borderId="99" xfId="0" applyFont="1" applyFill="1" applyBorder="1" applyAlignment="1">
      <alignment vertical="center"/>
    </xf>
    <xf numFmtId="0" fontId="54" fillId="63" borderId="99" xfId="0" applyFont="1" applyFill="1" applyBorder="1" applyAlignment="1">
      <alignment vertical="top"/>
    </xf>
    <xf numFmtId="1" fontId="54" fillId="63" borderId="99" xfId="0" applyNumberFormat="1" applyFont="1" applyFill="1" applyBorder="1" applyAlignment="1">
      <alignment vertical="center"/>
    </xf>
    <xf numFmtId="10" fontId="54" fillId="63" borderId="99" xfId="77" applyNumberFormat="1" applyFont="1" applyFill="1" applyBorder="1" applyAlignment="1">
      <alignment vertical="center"/>
    </xf>
    <xf numFmtId="0" fontId="0" fillId="107" borderId="99" xfId="0" applyFill="1" applyBorder="1" applyAlignment="1">
      <alignment horizontal="left" vertical="center"/>
    </xf>
    <xf numFmtId="14" fontId="0" fillId="0" borderId="99" xfId="0" applyNumberFormat="1" applyBorder="1" applyAlignment="1">
      <alignment horizontal="center" vertical="center"/>
    </xf>
    <xf numFmtId="14" fontId="23" fillId="0" borderId="99" xfId="0" applyNumberFormat="1" applyFont="1" applyBorder="1" applyAlignment="1">
      <alignment horizontal="center" vertical="center"/>
    </xf>
    <xf numFmtId="0" fontId="146" fillId="3" borderId="99" xfId="0" applyFont="1" applyFill="1" applyBorder="1" applyAlignment="1">
      <alignment vertical="center"/>
    </xf>
    <xf numFmtId="0" fontId="45" fillId="3" borderId="99" xfId="0" applyFont="1" applyFill="1" applyBorder="1" applyAlignment="1">
      <alignment vertical="center" wrapText="1"/>
    </xf>
    <xf numFmtId="8" fontId="2" fillId="3" borderId="99" xfId="0" applyNumberFormat="1" applyFont="1" applyFill="1" applyBorder="1" applyAlignment="1">
      <alignment vertical="center" wrapText="1"/>
    </xf>
    <xf numFmtId="0" fontId="57" fillId="3" borderId="99" xfId="0" applyFont="1" applyFill="1" applyBorder="1" applyAlignment="1">
      <alignment vertical="center" wrapText="1"/>
    </xf>
    <xf numFmtId="0" fontId="146" fillId="2" borderId="99" xfId="0" applyFont="1" applyFill="1" applyBorder="1" applyAlignment="1">
      <alignment vertical="center"/>
    </xf>
    <xf numFmtId="0" fontId="277" fillId="2" borderId="99" xfId="0" applyFont="1" applyFill="1" applyBorder="1" applyAlignment="1">
      <alignment vertical="center" wrapText="1"/>
    </xf>
    <xf numFmtId="0" fontId="283" fillId="2" borderId="99" xfId="4054" applyFont="1" applyFill="1" applyBorder="1" applyAlignment="1">
      <alignment vertical="center" wrapText="1"/>
    </xf>
    <xf numFmtId="0" fontId="25" fillId="3" borderId="99" xfId="0" applyFont="1" applyFill="1" applyBorder="1" applyAlignment="1">
      <alignment vertical="center"/>
    </xf>
    <xf numFmtId="16" fontId="23" fillId="3" borderId="99" xfId="0" applyNumberFormat="1" applyFont="1" applyFill="1" applyBorder="1" applyAlignment="1">
      <alignment vertical="center" wrapText="1"/>
    </xf>
    <xf numFmtId="0" fontId="146" fillId="2" borderId="99" xfId="0" applyFont="1" applyFill="1" applyBorder="1" applyAlignment="1">
      <alignment horizontal="left" vertical="center"/>
    </xf>
    <xf numFmtId="164" fontId="53" fillId="2" borderId="99" xfId="0" applyNumberFormat="1" applyFont="1" applyFill="1" applyBorder="1" applyAlignment="1">
      <alignment vertical="center" wrapText="1"/>
    </xf>
    <xf numFmtId="20" fontId="0" fillId="2" borderId="99" xfId="0" applyNumberFormat="1" applyFill="1" applyBorder="1" applyAlignment="1">
      <alignment vertical="center"/>
    </xf>
    <xf numFmtId="0" fontId="2" fillId="67" borderId="99" xfId="0" applyFont="1" applyFill="1" applyBorder="1" applyAlignment="1">
      <alignment vertical="center" wrapText="1"/>
    </xf>
    <xf numFmtId="0" fontId="59" fillId="2" borderId="99" xfId="0" applyFont="1" applyFill="1" applyBorder="1" applyAlignment="1">
      <alignment vertical="center"/>
    </xf>
    <xf numFmtId="14" fontId="2" fillId="0" borderId="99" xfId="0" applyNumberFormat="1" applyFont="1" applyBorder="1" applyAlignment="1">
      <alignment horizontal="center" vertical="center"/>
    </xf>
    <xf numFmtId="0" fontId="248" fillId="0" borderId="99" xfId="0" applyFont="1" applyBorder="1"/>
    <xf numFmtId="0" fontId="115" fillId="2" borderId="99" xfId="0" applyFont="1" applyFill="1" applyBorder="1" applyAlignment="1">
      <alignment vertical="center"/>
    </xf>
    <xf numFmtId="164" fontId="2" fillId="2" borderId="99" xfId="0" applyNumberFormat="1" applyFont="1" applyFill="1" applyBorder="1" applyAlignment="1">
      <alignment vertical="center" wrapText="1"/>
    </xf>
    <xf numFmtId="164" fontId="23" fillId="2" borderId="99" xfId="0" applyNumberFormat="1" applyFont="1" applyFill="1" applyBorder="1" applyAlignment="1">
      <alignment vertical="center" wrapText="1"/>
    </xf>
    <xf numFmtId="9" fontId="0" fillId="2" borderId="99" xfId="0" applyNumberFormat="1" applyFill="1" applyBorder="1" applyAlignment="1">
      <alignment vertical="center"/>
    </xf>
    <xf numFmtId="0" fontId="22" fillId="2" borderId="99" xfId="1" applyFill="1" applyBorder="1" applyAlignment="1">
      <alignment horizontal="left" vertical="center" wrapText="1"/>
    </xf>
    <xf numFmtId="18" fontId="0" fillId="2" borderId="99" xfId="0" applyNumberFormat="1" applyFill="1" applyBorder="1" applyAlignment="1">
      <alignment vertical="center" wrapText="1"/>
    </xf>
    <xf numFmtId="49" fontId="0" fillId="0" borderId="99" xfId="0" applyNumberFormat="1" applyBorder="1" applyAlignment="1">
      <alignment horizontal="left" vertical="center"/>
    </xf>
    <xf numFmtId="3" fontId="0" fillId="2" borderId="99" xfId="0" applyNumberFormat="1" applyFill="1" applyBorder="1" applyAlignment="1">
      <alignment horizontal="left" vertical="center"/>
    </xf>
    <xf numFmtId="14" fontId="23" fillId="2" borderId="99" xfId="0" applyNumberFormat="1" applyFont="1" applyFill="1" applyBorder="1" applyAlignment="1">
      <alignment horizontal="center" vertical="center" wrapText="1"/>
    </xf>
    <xf numFmtId="18" fontId="0" fillId="2" borderId="99" xfId="0" applyNumberFormat="1" applyFill="1" applyBorder="1" applyAlignment="1">
      <alignment horizontal="left" vertical="center" wrapText="1"/>
    </xf>
    <xf numFmtId="0" fontId="24" fillId="2" borderId="99" xfId="0" applyFont="1" applyFill="1" applyBorder="1" applyAlignment="1">
      <alignment vertical="center" wrapText="1"/>
    </xf>
    <xf numFmtId="3" fontId="0" fillId="2" borderId="99" xfId="0" applyNumberFormat="1" applyFill="1" applyBorder="1" applyAlignment="1">
      <alignment vertical="center"/>
    </xf>
    <xf numFmtId="0" fontId="57" fillId="106" borderId="99" xfId="0" applyFont="1" applyFill="1" applyBorder="1" applyAlignment="1">
      <alignment vertical="center"/>
    </xf>
    <xf numFmtId="10" fontId="2" fillId="2" borderId="99" xfId="77" applyNumberFormat="1" applyFont="1" applyFill="1" applyBorder="1" applyAlignment="1">
      <alignment vertical="center"/>
    </xf>
    <xf numFmtId="0" fontId="0" fillId="0" borderId="99" xfId="0" quotePrefix="1" applyBorder="1" applyAlignment="1">
      <alignment horizontal="left" vertical="center"/>
    </xf>
    <xf numFmtId="0" fontId="302" fillId="2" borderId="99" xfId="0" applyFont="1" applyFill="1" applyBorder="1"/>
    <xf numFmtId="0" fontId="295" fillId="2" borderId="99" xfId="0" applyFont="1" applyFill="1" applyBorder="1"/>
    <xf numFmtId="0" fontId="297" fillId="0" borderId="99" xfId="0" applyFont="1" applyBorder="1"/>
    <xf numFmtId="164" fontId="24" fillId="2" borderId="99" xfId="0" applyNumberFormat="1" applyFont="1" applyFill="1" applyBorder="1" applyAlignment="1">
      <alignment vertical="center"/>
    </xf>
    <xf numFmtId="164" fontId="29" fillId="0" borderId="99" xfId="0" applyNumberFormat="1" applyFont="1" applyBorder="1" applyAlignment="1">
      <alignment vertical="center"/>
    </xf>
    <xf numFmtId="164" fontId="24" fillId="2" borderId="99" xfId="0" applyNumberFormat="1" applyFont="1" applyFill="1" applyBorder="1" applyAlignment="1">
      <alignment vertical="center" wrapText="1"/>
    </xf>
    <xf numFmtId="0" fontId="2" fillId="2" borderId="99" xfId="0" quotePrefix="1" applyFont="1" applyFill="1" applyBorder="1" applyAlignment="1">
      <alignment vertical="center"/>
    </xf>
    <xf numFmtId="18" fontId="0" fillId="2" borderId="99" xfId="0" applyNumberFormat="1" applyFill="1" applyBorder="1"/>
    <xf numFmtId="0" fontId="23" fillId="51" borderId="99" xfId="0" applyFont="1" applyFill="1" applyBorder="1" applyAlignment="1">
      <alignment horizontal="left" vertical="center"/>
    </xf>
    <xf numFmtId="0" fontId="25" fillId="2" borderId="99" xfId="0" applyFont="1" applyFill="1" applyBorder="1" applyAlignment="1">
      <alignment vertical="center"/>
    </xf>
    <xf numFmtId="14" fontId="2" fillId="2" borderId="99" xfId="0" applyNumberFormat="1" applyFont="1" applyFill="1" applyBorder="1" applyAlignment="1">
      <alignment horizontal="center" vertical="center"/>
    </xf>
    <xf numFmtId="4" fontId="0" fillId="0" borderId="99" xfId="0" applyNumberFormat="1" applyBorder="1" applyAlignment="1">
      <alignment vertical="center"/>
    </xf>
    <xf numFmtId="0" fontId="252" fillId="0" borderId="99" xfId="0" applyFont="1" applyBorder="1"/>
    <xf numFmtId="0" fontId="29" fillId="107" borderId="99" xfId="0" applyFont="1" applyFill="1" applyBorder="1" applyAlignment="1">
      <alignment horizontal="left" vertical="center"/>
    </xf>
    <xf numFmtId="0" fontId="300" fillId="0" borderId="99" xfId="0" applyFont="1" applyBorder="1"/>
    <xf numFmtId="0" fontId="2" fillId="2" borderId="99" xfId="0" applyFont="1" applyFill="1" applyBorder="1" applyAlignment="1">
      <alignment vertical="top"/>
    </xf>
    <xf numFmtId="14" fontId="2" fillId="3" borderId="99" xfId="0" applyNumberFormat="1" applyFont="1" applyFill="1" applyBorder="1" applyAlignment="1">
      <alignment vertical="center"/>
    </xf>
    <xf numFmtId="164" fontId="45" fillId="3" borderId="99" xfId="0" applyNumberFormat="1" applyFont="1" applyFill="1" applyBorder="1" applyAlignment="1">
      <alignment vertical="center" wrapText="1"/>
    </xf>
    <xf numFmtId="0" fontId="29" fillId="3" borderId="99" xfId="0" applyFont="1" applyFill="1" applyBorder="1" applyAlignment="1">
      <alignment vertical="center" wrapText="1"/>
    </xf>
    <xf numFmtId="4" fontId="2" fillId="3" borderId="99" xfId="0" applyNumberFormat="1" applyFont="1" applyFill="1" applyBorder="1" applyAlignment="1">
      <alignment vertical="center"/>
    </xf>
    <xf numFmtId="0" fontId="23" fillId="105" borderId="99" xfId="0" applyFont="1" applyFill="1" applyBorder="1" applyAlignment="1">
      <alignment horizontal="left" vertical="center"/>
    </xf>
    <xf numFmtId="14" fontId="2" fillId="0" borderId="99" xfId="0" applyNumberFormat="1" applyFont="1" applyBorder="1" applyAlignment="1">
      <alignment vertical="center"/>
    </xf>
    <xf numFmtId="164" fontId="23" fillId="0" borderId="99" xfId="0" applyNumberFormat="1" applyFont="1" applyBorder="1" applyAlignment="1">
      <alignment vertical="center" wrapText="1"/>
    </xf>
    <xf numFmtId="16" fontId="2" fillId="0" borderId="99" xfId="0" applyNumberFormat="1" applyFont="1" applyBorder="1" applyAlignment="1">
      <alignment vertical="center"/>
    </xf>
    <xf numFmtId="164" fontId="45" fillId="0" borderId="99" xfId="0" applyNumberFormat="1" applyFont="1" applyBorder="1" applyAlignment="1">
      <alignment vertical="center" wrapText="1"/>
    </xf>
    <xf numFmtId="0" fontId="29" fillId="0" borderId="99" xfId="0" applyFont="1" applyBorder="1" applyAlignment="1">
      <alignment vertical="center" wrapText="1"/>
    </xf>
    <xf numFmtId="164" fontId="29" fillId="3" borderId="99" xfId="0" applyNumberFormat="1" applyFont="1" applyFill="1" applyBorder="1" applyAlignment="1">
      <alignment vertical="center" wrapText="1"/>
    </xf>
    <xf numFmtId="10" fontId="2" fillId="3" borderId="99" xfId="77" applyNumberFormat="1" applyFont="1" applyFill="1" applyBorder="1" applyAlignment="1">
      <alignment vertical="center"/>
    </xf>
    <xf numFmtId="0" fontId="0" fillId="51" borderId="99" xfId="0" applyFill="1" applyBorder="1"/>
    <xf numFmtId="18" fontId="2" fillId="2" borderId="99" xfId="0" applyNumberFormat="1" applyFont="1" applyFill="1" applyBorder="1" applyAlignment="1">
      <alignment horizontal="left" vertical="center"/>
    </xf>
    <xf numFmtId="16" fontId="23" fillId="2" borderId="99" xfId="0" applyNumberFormat="1" applyFont="1" applyFill="1" applyBorder="1" applyAlignment="1">
      <alignment horizontal="left" vertical="center" wrapText="1"/>
    </xf>
    <xf numFmtId="10" fontId="2" fillId="2" borderId="99" xfId="77" applyNumberFormat="1" applyFont="1" applyFill="1" applyBorder="1" applyAlignment="1">
      <alignment horizontal="left" vertical="center"/>
    </xf>
    <xf numFmtId="0" fontId="0" fillId="51" borderId="99" xfId="0" applyFill="1" applyBorder="1" applyAlignment="1">
      <alignment horizontal="left" vertical="center"/>
    </xf>
    <xf numFmtId="9" fontId="2" fillId="2" borderId="99" xfId="0" applyNumberFormat="1" applyFont="1" applyFill="1" applyBorder="1" applyAlignment="1">
      <alignment vertical="center"/>
    </xf>
    <xf numFmtId="16" fontId="2" fillId="2" borderId="99" xfId="0" applyNumberFormat="1" applyFont="1" applyFill="1" applyBorder="1" applyAlignment="1">
      <alignment vertical="center"/>
    </xf>
    <xf numFmtId="164" fontId="2" fillId="2" borderId="99" xfId="0" applyNumberFormat="1" applyFont="1" applyFill="1" applyBorder="1" applyAlignment="1">
      <alignment horizontal="center" vertical="center"/>
    </xf>
    <xf numFmtId="18" fontId="2" fillId="2" borderId="99" xfId="0" applyNumberFormat="1" applyFont="1" applyFill="1" applyBorder="1" applyAlignment="1">
      <alignment vertical="center"/>
    </xf>
    <xf numFmtId="14" fontId="45" fillId="0" borderId="99" xfId="0" applyNumberFormat="1" applyFont="1" applyBorder="1" applyAlignment="1">
      <alignment horizontal="center" vertical="center"/>
    </xf>
    <xf numFmtId="16" fontId="45" fillId="0" borderId="99" xfId="0" applyNumberFormat="1" applyFont="1" applyBorder="1" applyAlignment="1">
      <alignment horizontal="left"/>
    </xf>
    <xf numFmtId="0" fontId="0" fillId="0" borderId="99" xfId="0" quotePrefix="1" applyBorder="1"/>
    <xf numFmtId="14" fontId="23" fillId="0" borderId="99" xfId="0" applyNumberFormat="1" applyFont="1" applyBorder="1" applyAlignment="1">
      <alignment horizontal="left" vertical="center"/>
    </xf>
    <xf numFmtId="164" fontId="29" fillId="0" borderId="99" xfId="0" applyNumberFormat="1" applyFont="1" applyBorder="1" applyAlignment="1">
      <alignment vertical="center" wrapText="1"/>
    </xf>
    <xf numFmtId="0" fontId="23" fillId="0" borderId="99" xfId="0" applyFont="1" applyBorder="1" applyAlignment="1">
      <alignment vertical="center" wrapText="1"/>
    </xf>
    <xf numFmtId="0" fontId="29" fillId="106" borderId="99" xfId="0" applyFont="1" applyFill="1" applyBorder="1" applyAlignment="1">
      <alignment vertical="center"/>
    </xf>
    <xf numFmtId="0" fontId="2" fillId="0" borderId="99" xfId="0" applyFont="1" applyBorder="1" applyAlignment="1">
      <alignment vertical="top"/>
    </xf>
    <xf numFmtId="10" fontId="2" fillId="0" borderId="99" xfId="77" applyNumberFormat="1" applyFont="1" applyBorder="1" applyAlignment="1">
      <alignment vertical="center"/>
    </xf>
    <xf numFmtId="0" fontId="29" fillId="0" borderId="99" xfId="0" applyFont="1" applyBorder="1" applyAlignment="1">
      <alignment vertical="center"/>
    </xf>
    <xf numFmtId="164" fontId="24" fillId="0" borderId="99" xfId="0" quotePrefix="1" applyNumberFormat="1" applyFont="1" applyBorder="1" applyAlignment="1">
      <alignment vertical="center" wrapText="1"/>
    </xf>
    <xf numFmtId="164" fontId="2" fillId="0" borderId="99" xfId="0" applyNumberFormat="1" applyFont="1" applyBorder="1" applyAlignment="1">
      <alignment vertical="center" wrapText="1"/>
    </xf>
    <xf numFmtId="10" fontId="2" fillId="0" borderId="99" xfId="77" applyNumberFormat="1" applyFont="1" applyFill="1" applyBorder="1" applyAlignment="1">
      <alignment vertical="center"/>
    </xf>
    <xf numFmtId="0" fontId="25" fillId="0" borderId="99" xfId="0" applyFont="1" applyBorder="1" applyAlignment="1">
      <alignment vertical="center"/>
    </xf>
    <xf numFmtId="0" fontId="23" fillId="0" borderId="99" xfId="0" applyFont="1" applyBorder="1" applyAlignment="1">
      <alignment vertical="center"/>
    </xf>
    <xf numFmtId="0" fontId="24" fillId="0" borderId="99" xfId="0" applyFont="1" applyBorder="1" applyAlignment="1">
      <alignment vertical="center" wrapText="1"/>
    </xf>
    <xf numFmtId="164" fontId="24" fillId="0" borderId="99" xfId="0" applyNumberFormat="1" applyFont="1" applyBorder="1" applyAlignment="1">
      <alignment vertical="center"/>
    </xf>
    <xf numFmtId="164" fontId="44" fillId="63" borderId="99" xfId="0" applyNumberFormat="1" applyFont="1" applyFill="1" applyBorder="1" applyAlignment="1">
      <alignment vertical="center" wrapText="1"/>
    </xf>
    <xf numFmtId="164" fontId="24" fillId="2" borderId="99" xfId="0" quotePrefix="1" applyNumberFormat="1" applyFont="1" applyFill="1" applyBorder="1" applyAlignment="1">
      <alignment vertical="center" wrapText="1"/>
    </xf>
    <xf numFmtId="0" fontId="305" fillId="3" borderId="99" xfId="0" applyFont="1" applyFill="1" applyBorder="1"/>
    <xf numFmtId="14" fontId="2" fillId="2" borderId="99" xfId="0" applyNumberFormat="1" applyFont="1" applyFill="1" applyBorder="1" applyAlignment="1">
      <alignment vertical="center" wrapText="1"/>
    </xf>
    <xf numFmtId="18" fontId="2" fillId="2" borderId="99" xfId="0" applyNumberFormat="1" applyFont="1" applyFill="1" applyBorder="1" applyAlignment="1">
      <alignment vertical="center" wrapText="1"/>
    </xf>
    <xf numFmtId="16" fontId="2" fillId="2" borderId="99" xfId="0" applyNumberFormat="1" applyFont="1" applyFill="1" applyBorder="1" applyAlignment="1">
      <alignment vertical="center" wrapText="1"/>
    </xf>
    <xf numFmtId="0" fontId="2" fillId="2" borderId="98" xfId="0" applyFont="1" applyFill="1" applyBorder="1" applyAlignment="1">
      <alignment vertical="center" wrapText="1"/>
    </xf>
    <xf numFmtId="14" fontId="2" fillId="2" borderId="99" xfId="0" applyNumberFormat="1" applyFont="1" applyFill="1" applyBorder="1" applyAlignment="1">
      <alignment vertical="center"/>
    </xf>
    <xf numFmtId="14" fontId="45" fillId="0" borderId="99" xfId="0" applyNumberFormat="1" applyFont="1" applyBorder="1" applyAlignment="1">
      <alignment vertical="center"/>
    </xf>
    <xf numFmtId="16" fontId="0" fillId="0" borderId="99" xfId="0" applyNumberFormat="1" applyBorder="1" applyAlignment="1">
      <alignment vertical="center" wrapText="1"/>
    </xf>
    <xf numFmtId="16" fontId="45" fillId="0" borderId="99" xfId="0" applyNumberFormat="1" applyFont="1" applyBorder="1"/>
    <xf numFmtId="14" fontId="0" fillId="0" borderId="99" xfId="0" applyNumberFormat="1" applyBorder="1" applyAlignment="1">
      <alignment vertical="center"/>
    </xf>
    <xf numFmtId="0" fontId="0" fillId="77" borderId="99" xfId="0" applyFill="1" applyBorder="1" applyAlignment="1">
      <alignment vertical="center"/>
    </xf>
    <xf numFmtId="0" fontId="24" fillId="2" borderId="99" xfId="0" applyFont="1" applyFill="1" applyBorder="1" applyAlignment="1">
      <alignment vertical="center"/>
    </xf>
    <xf numFmtId="164" fontId="0" fillId="2" borderId="99" xfId="0" applyNumberFormat="1" applyFill="1" applyBorder="1"/>
    <xf numFmtId="164" fontId="23" fillId="2" borderId="99" xfId="0" applyNumberFormat="1" applyFont="1" applyFill="1" applyBorder="1"/>
    <xf numFmtId="0" fontId="0" fillId="2" borderId="98" xfId="0" applyFill="1" applyBorder="1"/>
    <xf numFmtId="14" fontId="23" fillId="0" borderId="99" xfId="0" applyNumberFormat="1" applyFont="1" applyBorder="1" applyAlignment="1">
      <alignment vertical="center"/>
    </xf>
    <xf numFmtId="4" fontId="0" fillId="2" borderId="98" xfId="0" applyNumberFormat="1" applyFill="1" applyBorder="1"/>
    <xf numFmtId="0" fontId="29" fillId="4" borderId="99" xfId="0" applyFont="1" applyFill="1" applyBorder="1" applyAlignment="1">
      <alignment vertical="center"/>
    </xf>
    <xf numFmtId="0" fontId="23" fillId="3" borderId="99" xfId="0" applyFont="1" applyFill="1" applyBorder="1" applyAlignment="1">
      <alignment vertical="center" wrapText="1"/>
    </xf>
    <xf numFmtId="0" fontId="2" fillId="0" borderId="98" xfId="0" applyFont="1" applyBorder="1" applyAlignment="1">
      <alignment vertical="center"/>
    </xf>
    <xf numFmtId="0" fontId="0" fillId="77" borderId="99" xfId="0" applyFill="1" applyBorder="1"/>
    <xf numFmtId="0" fontId="303" fillId="0" borderId="99" xfId="0" applyFont="1" applyBorder="1"/>
    <xf numFmtId="11" fontId="24" fillId="3" borderId="99" xfId="0" quotePrefix="1" applyNumberFormat="1" applyFont="1" applyFill="1" applyBorder="1" applyAlignment="1">
      <alignment vertical="center" wrapText="1"/>
    </xf>
    <xf numFmtId="0" fontId="0" fillId="110" borderId="99" xfId="0" applyFill="1" applyBorder="1" applyAlignment="1">
      <alignment vertical="center"/>
    </xf>
    <xf numFmtId="164" fontId="23" fillId="0" borderId="99" xfId="0" applyNumberFormat="1" applyFont="1" applyBorder="1"/>
    <xf numFmtId="16" fontId="2" fillId="2" borderId="99" xfId="0" applyNumberFormat="1" applyFont="1" applyFill="1" applyBorder="1"/>
    <xf numFmtId="9" fontId="0" fillId="2" borderId="99" xfId="0" applyNumberFormat="1" applyFill="1" applyBorder="1"/>
    <xf numFmtId="18" fontId="29" fillId="2" borderId="99" xfId="0" applyNumberFormat="1" applyFont="1" applyFill="1" applyBorder="1"/>
    <xf numFmtId="16" fontId="29" fillId="2" borderId="99" xfId="0" applyNumberFormat="1" applyFont="1" applyFill="1" applyBorder="1"/>
    <xf numFmtId="8" fontId="0" fillId="2" borderId="99" xfId="0" applyNumberFormat="1" applyFill="1" applyBorder="1"/>
    <xf numFmtId="164" fontId="2" fillId="2" borderId="99" xfId="0" applyNumberFormat="1" applyFont="1" applyFill="1" applyBorder="1"/>
    <xf numFmtId="1" fontId="0" fillId="2" borderId="99" xfId="0" applyNumberFormat="1" applyFill="1" applyBorder="1"/>
    <xf numFmtId="0" fontId="2" fillId="0" borderId="99" xfId="0" applyFont="1" applyBorder="1"/>
    <xf numFmtId="10" fontId="2" fillId="0" borderId="99" xfId="77" applyNumberFormat="1" applyFont="1" applyBorder="1" applyAlignment="1"/>
    <xf numFmtId="0" fontId="2" fillId="0" borderId="98" xfId="0" applyFont="1" applyBorder="1"/>
    <xf numFmtId="0" fontId="56" fillId="2" borderId="99" xfId="0" applyFont="1" applyFill="1" applyBorder="1" applyAlignment="1">
      <alignment vertical="center" wrapText="1"/>
    </xf>
    <xf numFmtId="0" fontId="298" fillId="2" borderId="99" xfId="0" applyFont="1" applyFill="1" applyBorder="1" applyAlignment="1">
      <alignment vertical="center"/>
    </xf>
    <xf numFmtId="0" fontId="0" fillId="115" borderId="99" xfId="0" applyFill="1" applyBorder="1"/>
    <xf numFmtId="164" fontId="29" fillId="2" borderId="99" xfId="0" applyNumberFormat="1" applyFont="1" applyFill="1" applyBorder="1" applyAlignment="1">
      <alignment vertical="center" wrapText="1"/>
    </xf>
    <xf numFmtId="0" fontId="66" fillId="2" borderId="99" xfId="0" applyFont="1" applyFill="1" applyBorder="1" applyAlignment="1">
      <alignment vertical="center" wrapText="1"/>
    </xf>
    <xf numFmtId="0" fontId="0" fillId="67" borderId="99" xfId="0" applyFill="1" applyBorder="1" applyAlignment="1">
      <alignment vertical="center" wrapText="1"/>
    </xf>
    <xf numFmtId="6" fontId="2" fillId="2" borderId="99" xfId="0" applyNumberFormat="1" applyFont="1" applyFill="1" applyBorder="1" applyAlignment="1">
      <alignment vertical="center"/>
    </xf>
    <xf numFmtId="179" fontId="44" fillId="63" borderId="99" xfId="0" applyNumberFormat="1" applyFont="1" applyFill="1" applyBorder="1" applyAlignment="1">
      <alignment vertical="center" wrapText="1"/>
    </xf>
    <xf numFmtId="179" fontId="2" fillId="2" borderId="99" xfId="0" applyNumberFormat="1" applyFont="1" applyFill="1" applyBorder="1" applyAlignment="1">
      <alignment horizontal="left" vertical="center"/>
    </xf>
    <xf numFmtId="10" fontId="2" fillId="0" borderId="99" xfId="77" applyNumberFormat="1" applyFont="1" applyBorder="1" applyAlignment="1">
      <alignment horizontal="left" vertical="center"/>
    </xf>
    <xf numFmtId="179" fontId="0" fillId="2" borderId="99" xfId="0" applyNumberFormat="1" applyFill="1" applyBorder="1" applyAlignment="1">
      <alignment horizontal="left" vertical="center"/>
    </xf>
    <xf numFmtId="179" fontId="0" fillId="0" borderId="99" xfId="0" applyNumberFormat="1" applyBorder="1" applyAlignment="1">
      <alignment horizontal="left" vertical="center"/>
    </xf>
    <xf numFmtId="0" fontId="0" fillId="106" borderId="99" xfId="0" applyFill="1" applyBorder="1" applyAlignment="1">
      <alignment horizontal="left" vertical="center"/>
    </xf>
    <xf numFmtId="8" fontId="2" fillId="2" borderId="99" xfId="0" applyNumberFormat="1" applyFont="1" applyFill="1" applyBorder="1" applyAlignment="1">
      <alignment horizontal="left" vertical="center"/>
    </xf>
    <xf numFmtId="0" fontId="29" fillId="0" borderId="99" xfId="0" applyFont="1" applyBorder="1" applyAlignment="1">
      <alignment horizontal="left" vertical="center" wrapText="1"/>
    </xf>
    <xf numFmtId="164" fontId="29" fillId="0" borderId="99" xfId="0" applyNumberFormat="1" applyFont="1" applyBorder="1" applyAlignment="1">
      <alignment horizontal="left" vertical="center" wrapText="1"/>
    </xf>
    <xf numFmtId="0" fontId="281" fillId="0" borderId="99" xfId="0" applyFont="1" applyBorder="1" applyAlignment="1">
      <alignment horizontal="left" vertical="center" wrapText="1"/>
    </xf>
    <xf numFmtId="164" fontId="307" fillId="0" borderId="99" xfId="0" applyNumberFormat="1" applyFont="1" applyBorder="1" applyAlignment="1">
      <alignment horizontal="left" vertical="center"/>
    </xf>
    <xf numFmtId="179" fontId="0" fillId="0" borderId="99" xfId="0" applyNumberFormat="1" applyBorder="1" applyAlignment="1">
      <alignment vertical="center"/>
    </xf>
    <xf numFmtId="164" fontId="0" fillId="2" borderId="99" xfId="0" quotePrefix="1" applyNumberFormat="1" applyFill="1" applyBorder="1" applyAlignment="1">
      <alignment vertical="center"/>
    </xf>
    <xf numFmtId="179" fontId="0" fillId="2" borderId="99" xfId="0" quotePrefix="1" applyNumberFormat="1" applyFill="1" applyBorder="1" applyAlignment="1">
      <alignment horizontal="left" vertical="center"/>
    </xf>
    <xf numFmtId="0" fontId="310" fillId="0" borderId="99" xfId="0" applyFont="1" applyBorder="1" applyAlignment="1">
      <alignment horizontal="left" vertical="center" wrapText="1"/>
    </xf>
    <xf numFmtId="179" fontId="0" fillId="2" borderId="99" xfId="0" applyNumberFormat="1" applyFill="1" applyBorder="1" applyAlignment="1">
      <alignment horizontal="left" vertical="center" wrapText="1"/>
    </xf>
    <xf numFmtId="0" fontId="307" fillId="2" borderId="99" xfId="0" applyFont="1" applyFill="1" applyBorder="1" applyAlignment="1">
      <alignment horizontal="left" vertical="center"/>
    </xf>
    <xf numFmtId="179" fontId="201" fillId="0" borderId="99" xfId="91" applyNumberFormat="1" applyBorder="1" applyAlignment="1">
      <alignment horizontal="left" vertical="center"/>
    </xf>
    <xf numFmtId="0" fontId="23" fillId="2" borderId="99" xfId="0" applyFont="1" applyFill="1" applyBorder="1" applyAlignment="1">
      <alignment horizontal="left" vertical="center" wrapText="1"/>
    </xf>
    <xf numFmtId="0" fontId="0" fillId="118" borderId="99" xfId="0" applyFill="1" applyBorder="1"/>
    <xf numFmtId="164" fontId="307" fillId="0" borderId="99" xfId="0" applyNumberFormat="1" applyFont="1" applyBorder="1"/>
    <xf numFmtId="164" fontId="298" fillId="3" borderId="99" xfId="0" applyNumberFormat="1" applyFont="1" applyFill="1" applyBorder="1" applyAlignment="1">
      <alignment horizontal="left" vertical="center"/>
    </xf>
    <xf numFmtId="179" fontId="0" fillId="3" borderId="99" xfId="0" applyNumberFormat="1" applyFill="1" applyBorder="1" applyAlignment="1">
      <alignment horizontal="left" vertical="center"/>
    </xf>
    <xf numFmtId="164" fontId="307" fillId="3" borderId="99" xfId="0" applyNumberFormat="1" applyFont="1" applyFill="1" applyBorder="1" applyAlignment="1">
      <alignment horizontal="left" vertical="center"/>
    </xf>
    <xf numFmtId="0" fontId="0" fillId="116" borderId="99" xfId="0" applyFill="1" applyBorder="1"/>
    <xf numFmtId="164" fontId="45" fillId="0" borderId="99" xfId="0" applyNumberFormat="1" applyFont="1" applyBorder="1"/>
    <xf numFmtId="0" fontId="0" fillId="114" borderId="99" xfId="0" applyFill="1" applyBorder="1"/>
    <xf numFmtId="0" fontId="315" fillId="0" borderId="99" xfId="0" applyFont="1" applyBorder="1"/>
    <xf numFmtId="11" fontId="0" fillId="0" borderId="99" xfId="0" applyNumberFormat="1" applyBorder="1"/>
    <xf numFmtId="0" fontId="56" fillId="0" borderId="99" xfId="0" applyFont="1" applyBorder="1" applyAlignment="1">
      <alignment horizontal="left" vertical="center" wrapText="1"/>
    </xf>
    <xf numFmtId="179" fontId="2" fillId="0" borderId="99" xfId="0" applyNumberFormat="1" applyFont="1" applyBorder="1" applyAlignment="1">
      <alignment horizontal="left" vertical="center"/>
    </xf>
    <xf numFmtId="164" fontId="0" fillId="4" borderId="99" xfId="0" applyNumberFormat="1" applyFill="1" applyBorder="1"/>
    <xf numFmtId="0" fontId="310" fillId="0" borderId="99" xfId="0" applyFont="1" applyBorder="1" applyAlignment="1">
      <alignment horizontal="left" vertical="center"/>
    </xf>
    <xf numFmtId="0" fontId="57" fillId="0" borderId="99" xfId="0" applyFont="1" applyBorder="1" applyAlignment="1">
      <alignment horizontal="left" vertical="center" wrapText="1"/>
    </xf>
    <xf numFmtId="0" fontId="0" fillId="115" borderId="99" xfId="0" applyFill="1" applyBorder="1" applyAlignment="1">
      <alignment vertical="center"/>
    </xf>
    <xf numFmtId="14" fontId="29" fillId="0" borderId="99" xfId="0" applyNumberFormat="1" applyFont="1" applyBorder="1" applyAlignment="1">
      <alignment vertical="center"/>
    </xf>
    <xf numFmtId="0" fontId="2" fillId="106" borderId="99" xfId="0" applyFont="1" applyFill="1" applyBorder="1" applyAlignment="1">
      <alignment vertical="center"/>
    </xf>
    <xf numFmtId="164" fontId="0" fillId="0" borderId="99" xfId="0" applyNumberFormat="1" applyBorder="1" applyAlignment="1">
      <alignment horizontal="right" vertical="center"/>
    </xf>
    <xf numFmtId="179" fontId="0" fillId="0" borderId="99" xfId="0" applyNumberFormat="1" applyBorder="1" applyAlignment="1">
      <alignment horizontal="left" vertical="center" wrapText="1"/>
    </xf>
    <xf numFmtId="164" fontId="307" fillId="0" borderId="99" xfId="0" applyNumberFormat="1" applyFont="1" applyBorder="1" applyAlignment="1">
      <alignment horizontal="right" vertical="center"/>
    </xf>
    <xf numFmtId="0" fontId="0" fillId="117" borderId="99" xfId="0" applyFill="1" applyBorder="1" applyAlignment="1">
      <alignment vertical="center"/>
    </xf>
    <xf numFmtId="0" fontId="0" fillId="106" borderId="99" xfId="0" applyFill="1" applyBorder="1" applyAlignment="1">
      <alignment vertical="center"/>
    </xf>
    <xf numFmtId="0" fontId="109" fillId="0" borderId="99" xfId="0" applyFont="1" applyBorder="1"/>
    <xf numFmtId="164" fontId="311" fillId="4" borderId="99" xfId="0" applyNumberFormat="1" applyFont="1" applyFill="1" applyBorder="1" applyAlignment="1">
      <alignment vertical="center"/>
    </xf>
    <xf numFmtId="0" fontId="0" fillId="4" borderId="99" xfId="0" applyFill="1" applyBorder="1" applyAlignment="1">
      <alignment vertical="center"/>
    </xf>
    <xf numFmtId="0" fontId="0" fillId="43" borderId="99" xfId="0" applyFill="1" applyBorder="1" applyAlignment="1">
      <alignment horizontal="left" vertical="center"/>
    </xf>
    <xf numFmtId="0" fontId="0" fillId="43" borderId="99" xfId="0" applyFill="1" applyBorder="1" applyAlignment="1">
      <alignment vertical="center"/>
    </xf>
    <xf numFmtId="0" fontId="53" fillId="56" borderId="99" xfId="0" applyFont="1" applyFill="1" applyBorder="1"/>
    <xf numFmtId="0" fontId="24" fillId="0" borderId="99" xfId="0" applyFont="1" applyBorder="1" applyAlignment="1">
      <alignment horizontal="center" vertical="center"/>
    </xf>
    <xf numFmtId="164" fontId="17" fillId="0" borderId="99" xfId="0" applyNumberFormat="1" applyFont="1" applyBorder="1" applyAlignment="1">
      <alignment horizontal="center" vertical="center"/>
    </xf>
    <xf numFmtId="0" fontId="0" fillId="51" borderId="99" xfId="0" applyFill="1" applyBorder="1" applyAlignment="1">
      <alignment horizontal="center" vertical="center"/>
    </xf>
    <xf numFmtId="44" fontId="0" fillId="0" borderId="99" xfId="47" applyFont="1" applyBorder="1" applyAlignment="1">
      <alignment horizontal="center" vertical="center"/>
    </xf>
    <xf numFmtId="0" fontId="17" fillId="51" borderId="99" xfId="0" applyFont="1" applyFill="1" applyBorder="1" applyAlignment="1">
      <alignment horizontal="center" vertical="center"/>
    </xf>
    <xf numFmtId="44" fontId="0" fillId="0" borderId="99" xfId="47" applyFont="1" applyFill="1" applyBorder="1" applyAlignment="1">
      <alignment horizontal="center" vertical="center"/>
    </xf>
    <xf numFmtId="0" fontId="24" fillId="0" borderId="99" xfId="0" applyFont="1" applyBorder="1" applyAlignment="1">
      <alignment horizontal="center" vertical="center" wrapText="1"/>
    </xf>
    <xf numFmtId="49" fontId="0" fillId="0" borderId="99" xfId="0" applyNumberFormat="1" applyBorder="1" applyAlignment="1">
      <alignment horizontal="center" vertical="center" wrapText="1"/>
    </xf>
    <xf numFmtId="164" fontId="17" fillId="0" borderId="99" xfId="0" applyNumberFormat="1" applyFont="1" applyBorder="1" applyAlignment="1">
      <alignment horizontal="center" vertical="center" wrapText="1"/>
    </xf>
    <xf numFmtId="0" fontId="17" fillId="51" borderId="99" xfId="0" applyFont="1" applyFill="1" applyBorder="1" applyAlignment="1">
      <alignment horizontal="center" vertical="center" wrapText="1"/>
    </xf>
    <xf numFmtId="44" fontId="0" fillId="0" borderId="99" xfId="47" applyFont="1" applyBorder="1" applyAlignment="1">
      <alignment horizontal="center" vertical="center" wrapText="1"/>
    </xf>
    <xf numFmtId="0" fontId="0" fillId="3" borderId="99" xfId="0" quotePrefix="1" applyFill="1" applyBorder="1" applyAlignment="1">
      <alignment horizontal="center" vertical="center"/>
    </xf>
    <xf numFmtId="44" fontId="0" fillId="3" borderId="99" xfId="47" applyFont="1" applyFill="1" applyBorder="1" applyAlignment="1">
      <alignment horizontal="center" vertical="center"/>
    </xf>
    <xf numFmtId="0" fontId="24" fillId="0" borderId="99" xfId="0" applyFont="1" applyBorder="1" applyAlignment="1">
      <alignment horizontal="center"/>
    </xf>
    <xf numFmtId="16" fontId="24" fillId="0" borderId="99" xfId="0" applyNumberFormat="1" applyFont="1" applyBorder="1" applyAlignment="1">
      <alignment horizontal="center"/>
    </xf>
    <xf numFmtId="49" fontId="17" fillId="0" borderId="99" xfId="0" applyNumberFormat="1" applyFont="1" applyBorder="1" applyAlignment="1">
      <alignment horizontal="center" vertical="center"/>
    </xf>
    <xf numFmtId="164" fontId="24" fillId="0" borderId="99" xfId="0" applyNumberFormat="1" applyFont="1" applyBorder="1" applyAlignment="1">
      <alignment horizontal="center" vertical="center" wrapText="1"/>
    </xf>
    <xf numFmtId="0" fontId="24" fillId="50" borderId="99" xfId="0" applyFont="1" applyFill="1" applyBorder="1" applyAlignment="1">
      <alignment horizontal="center" vertical="center"/>
    </xf>
    <xf numFmtId="0" fontId="17" fillId="50" borderId="99" xfId="0" applyFont="1" applyFill="1" applyBorder="1" applyAlignment="1">
      <alignment horizontal="center" vertical="center"/>
    </xf>
    <xf numFmtId="0" fontId="0" fillId="50" borderId="99" xfId="0" applyFill="1" applyBorder="1" applyAlignment="1">
      <alignment horizontal="center" vertical="center"/>
    </xf>
    <xf numFmtId="44" fontId="0" fillId="50" borderId="99" xfId="47" applyFont="1" applyFill="1" applyBorder="1" applyAlignment="1">
      <alignment horizontal="center" vertical="center"/>
    </xf>
    <xf numFmtId="166" fontId="0" fillId="50" borderId="99" xfId="47" applyNumberFormat="1" applyFont="1" applyFill="1" applyBorder="1" applyAlignment="1">
      <alignment horizontal="center" vertical="center"/>
    </xf>
    <xf numFmtId="164" fontId="2" fillId="0" borderId="99" xfId="0" applyNumberFormat="1" applyFont="1" applyBorder="1" applyAlignment="1">
      <alignment horizontal="center"/>
    </xf>
    <xf numFmtId="0" fontId="56" fillId="0" borderId="99" xfId="0" applyFont="1" applyBorder="1" applyAlignment="1">
      <alignment horizontal="center" vertical="center" wrapText="1"/>
    </xf>
    <xf numFmtId="0" fontId="17" fillId="3" borderId="99" xfId="0" quotePrefix="1" applyFont="1" applyFill="1" applyBorder="1" applyAlignment="1">
      <alignment horizontal="center" vertical="center"/>
    </xf>
    <xf numFmtId="0" fontId="0" fillId="52" borderId="99" xfId="0" applyFill="1" applyBorder="1" applyAlignment="1">
      <alignment horizontal="center" vertical="center"/>
    </xf>
    <xf numFmtId="44" fontId="0" fillId="52" borderId="99" xfId="47" applyFont="1" applyFill="1" applyBorder="1" applyAlignment="1">
      <alignment horizontal="center" vertical="center"/>
    </xf>
    <xf numFmtId="164" fontId="17" fillId="0" borderId="99" xfId="0" applyNumberFormat="1" applyFont="1" applyBorder="1" applyAlignment="1">
      <alignment horizontal="center"/>
    </xf>
    <xf numFmtId="0" fontId="17" fillId="52" borderId="99" xfId="0" applyFont="1" applyFill="1" applyBorder="1" applyAlignment="1">
      <alignment horizontal="center" vertical="center"/>
    </xf>
    <xf numFmtId="0" fontId="75" fillId="53" borderId="99" xfId="0" applyFont="1" applyFill="1" applyBorder="1" applyAlignment="1">
      <alignment horizontal="center"/>
    </xf>
    <xf numFmtId="164" fontId="75" fillId="53" borderId="99" xfId="0" applyNumberFormat="1" applyFont="1" applyFill="1" applyBorder="1" applyAlignment="1">
      <alignment horizontal="center"/>
    </xf>
    <xf numFmtId="0" fontId="75" fillId="53" borderId="99" xfId="0" applyFont="1" applyFill="1" applyBorder="1" applyAlignment="1">
      <alignment horizontal="center" vertical="center"/>
    </xf>
    <xf numFmtId="164" fontId="64" fillId="53" borderId="99" xfId="0" applyNumberFormat="1" applyFont="1" applyFill="1" applyBorder="1" applyAlignment="1">
      <alignment horizontal="center" vertical="center"/>
    </xf>
    <xf numFmtId="0" fontId="101" fillId="53" borderId="99" xfId="44" applyFont="1" applyFill="1" applyBorder="1" applyAlignment="1">
      <alignment horizontal="center" vertical="center" wrapText="1"/>
    </xf>
    <xf numFmtId="0" fontId="101" fillId="53" borderId="99" xfId="44" applyFont="1" applyFill="1" applyBorder="1" applyAlignment="1">
      <alignment horizontal="center" vertical="center"/>
    </xf>
    <xf numFmtId="0" fontId="101" fillId="0" borderId="99" xfId="44" applyFont="1" applyBorder="1" applyAlignment="1">
      <alignment horizontal="center" vertical="center"/>
    </xf>
    <xf numFmtId="0" fontId="53" fillId="40" borderId="99" xfId="0" applyFont="1" applyFill="1" applyBorder="1" applyAlignment="1">
      <alignment horizontal="center"/>
    </xf>
    <xf numFmtId="168" fontId="53" fillId="40" borderId="99" xfId="0" applyNumberFormat="1" applyFont="1" applyFill="1" applyBorder="1" applyAlignment="1">
      <alignment horizontal="center"/>
    </xf>
    <xf numFmtId="164" fontId="53" fillId="40" borderId="99" xfId="0" applyNumberFormat="1" applyFont="1" applyFill="1" applyBorder="1" applyAlignment="1">
      <alignment horizontal="center"/>
    </xf>
    <xf numFmtId="0" fontId="104" fillId="40" borderId="99" xfId="44" applyFont="1" applyFill="1" applyBorder="1"/>
    <xf numFmtId="0" fontId="53" fillId="40" borderId="99" xfId="0" applyFont="1" applyFill="1" applyBorder="1" applyAlignment="1">
      <alignment horizontal="center" vertical="center"/>
    </xf>
    <xf numFmtId="164" fontId="53" fillId="40" borderId="99" xfId="0" applyNumberFormat="1" applyFont="1" applyFill="1" applyBorder="1" applyAlignment="1">
      <alignment horizontal="center" vertical="center"/>
    </xf>
    <xf numFmtId="0" fontId="53" fillId="40" borderId="99" xfId="0" applyFont="1" applyFill="1" applyBorder="1"/>
    <xf numFmtId="0" fontId="53" fillId="40" borderId="99" xfId="0" applyFont="1" applyFill="1" applyBorder="1" applyAlignment="1">
      <alignment horizontal="center" vertical="top"/>
    </xf>
    <xf numFmtId="0" fontId="53" fillId="40" borderId="99" xfId="0" applyFont="1" applyFill="1" applyBorder="1" applyAlignment="1">
      <alignment horizontal="left"/>
    </xf>
    <xf numFmtId="0" fontId="53" fillId="40" borderId="99" xfId="44" applyFont="1" applyFill="1" applyBorder="1" applyAlignment="1">
      <alignment horizontal="center" vertical="center"/>
    </xf>
    <xf numFmtId="0" fontId="53" fillId="40" borderId="99" xfId="44" applyFont="1" applyFill="1" applyBorder="1" applyAlignment="1">
      <alignment horizontal="center"/>
    </xf>
    <xf numFmtId="164" fontId="53" fillId="40" borderId="99" xfId="44" applyNumberFormat="1" applyFont="1" applyFill="1" applyBorder="1" applyAlignment="1">
      <alignment horizontal="center" vertical="center"/>
    </xf>
    <xf numFmtId="0" fontId="53" fillId="40" borderId="99" xfId="44" applyFont="1" applyFill="1" applyBorder="1"/>
    <xf numFmtId="0" fontId="53" fillId="40" borderId="99" xfId="0" applyFont="1" applyFill="1" applyBorder="1" applyAlignment="1">
      <alignment vertical="center"/>
    </xf>
    <xf numFmtId="0" fontId="53" fillId="40" borderId="99" xfId="0" applyFont="1" applyFill="1" applyBorder="1" applyAlignment="1">
      <alignment horizontal="left" vertical="center"/>
    </xf>
    <xf numFmtId="0" fontId="53" fillId="40" borderId="99" xfId="44" applyFont="1" applyFill="1" applyBorder="1" applyAlignment="1">
      <alignment horizontal="left"/>
    </xf>
    <xf numFmtId="164" fontId="53" fillId="40" borderId="98" xfId="44" applyNumberFormat="1" applyFont="1" applyFill="1" applyBorder="1" applyAlignment="1">
      <alignment horizontal="center"/>
    </xf>
    <xf numFmtId="164" fontId="53" fillId="40" borderId="99" xfId="44" applyNumberFormat="1" applyFont="1" applyFill="1" applyBorder="1" applyAlignment="1">
      <alignment horizontal="center"/>
    </xf>
    <xf numFmtId="164" fontId="53" fillId="40" borderId="98" xfId="44" applyNumberFormat="1" applyFont="1" applyFill="1" applyBorder="1" applyAlignment="1">
      <alignment horizontal="center" vertical="center"/>
    </xf>
    <xf numFmtId="0" fontId="66" fillId="40" borderId="99" xfId="0" applyFont="1" applyFill="1" applyBorder="1"/>
    <xf numFmtId="0" fontId="53" fillId="40" borderId="99" xfId="0" applyFont="1" applyFill="1" applyBorder="1" applyAlignment="1">
      <alignment horizontal="center" vertical="center" indent="1"/>
    </xf>
    <xf numFmtId="164" fontId="53" fillId="40" borderId="98" xfId="0" applyNumberFormat="1" applyFont="1" applyFill="1" applyBorder="1" applyAlignment="1">
      <alignment horizontal="center"/>
    </xf>
    <xf numFmtId="0" fontId="66" fillId="40" borderId="99" xfId="44" applyFont="1" applyFill="1" applyBorder="1" applyAlignment="1">
      <alignment horizontal="center"/>
    </xf>
    <xf numFmtId="0" fontId="66" fillId="40" borderId="99" xfId="0" applyFont="1" applyFill="1" applyBorder="1" applyAlignment="1">
      <alignment horizontal="center"/>
    </xf>
    <xf numFmtId="0" fontId="66" fillId="40" borderId="99" xfId="44" applyFont="1" applyFill="1" applyBorder="1" applyAlignment="1">
      <alignment horizontal="center" vertical="center"/>
    </xf>
    <xf numFmtId="164" fontId="66" fillId="40" borderId="99" xfId="0" applyNumberFormat="1" applyFont="1" applyFill="1" applyBorder="1" applyAlignment="1">
      <alignment horizontal="center" vertical="center"/>
    </xf>
    <xf numFmtId="0" fontId="66" fillId="40" borderId="99" xfId="0" applyFont="1" applyFill="1" applyBorder="1" applyAlignment="1">
      <alignment horizontal="center" vertical="center"/>
    </xf>
    <xf numFmtId="164" fontId="70" fillId="40" borderId="99" xfId="0" applyNumberFormat="1" applyFont="1" applyFill="1" applyBorder="1" applyAlignment="1">
      <alignment horizontal="center" vertical="center"/>
    </xf>
    <xf numFmtId="164" fontId="53" fillId="40" borderId="98" xfId="0" applyNumberFormat="1" applyFont="1" applyFill="1" applyBorder="1" applyAlignment="1">
      <alignment horizontal="center" vertical="center"/>
    </xf>
    <xf numFmtId="0" fontId="53" fillId="40" borderId="98" xfId="0" applyFont="1" applyFill="1" applyBorder="1" applyAlignment="1">
      <alignment horizontal="center" vertical="center"/>
    </xf>
    <xf numFmtId="0" fontId="53" fillId="40" borderId="98" xfId="0" applyFont="1" applyFill="1" applyBorder="1" applyAlignment="1">
      <alignment horizontal="center"/>
    </xf>
    <xf numFmtId="16" fontId="53" fillId="40" borderId="99" xfId="0" applyNumberFormat="1" applyFont="1" applyFill="1" applyBorder="1" applyAlignment="1">
      <alignment horizontal="center"/>
    </xf>
    <xf numFmtId="0" fontId="53" fillId="40" borderId="98" xfId="0" applyFont="1" applyFill="1" applyBorder="1" applyAlignment="1">
      <alignment horizontal="center" vertical="center" wrapText="1"/>
    </xf>
    <xf numFmtId="0" fontId="53" fillId="40" borderId="98" xfId="0" applyFont="1" applyFill="1" applyBorder="1" applyAlignment="1">
      <alignment horizontal="center" vertical="center" indent="1"/>
    </xf>
    <xf numFmtId="164" fontId="53" fillId="40" borderId="100" xfId="0" applyNumberFormat="1" applyFont="1" applyFill="1" applyBorder="1" applyAlignment="1">
      <alignment horizontal="center" vertical="center"/>
    </xf>
    <xf numFmtId="0" fontId="70" fillId="40" borderId="99" xfId="0" applyFont="1" applyFill="1" applyBorder="1" applyAlignment="1">
      <alignment horizontal="center"/>
    </xf>
    <xf numFmtId="0" fontId="0" fillId="40" borderId="99" xfId="0" applyFill="1" applyBorder="1" applyAlignment="1">
      <alignment horizontal="center" vertical="top"/>
    </xf>
    <xf numFmtId="0" fontId="95" fillId="40" borderId="99" xfId="44" applyFont="1" applyFill="1" applyBorder="1"/>
    <xf numFmtId="0" fontId="29" fillId="40" borderId="99" xfId="0" applyFont="1" applyFill="1" applyBorder="1" applyAlignment="1">
      <alignment horizontal="center" vertical="top"/>
    </xf>
    <xf numFmtId="168" fontId="53" fillId="40" borderId="98" xfId="0" applyNumberFormat="1" applyFont="1" applyFill="1" applyBorder="1" applyAlignment="1">
      <alignment horizontal="center"/>
    </xf>
    <xf numFmtId="0" fontId="70" fillId="40" borderId="99" xfId="44" applyFont="1" applyFill="1" applyBorder="1" applyAlignment="1">
      <alignment horizontal="center" vertical="center"/>
    </xf>
    <xf numFmtId="0" fontId="85" fillId="40" borderId="99" xfId="0" applyFont="1" applyFill="1" applyBorder="1"/>
    <xf numFmtId="0" fontId="70" fillId="40" borderId="99" xfId="44" applyFont="1" applyFill="1" applyBorder="1"/>
    <xf numFmtId="0" fontId="70" fillId="40" borderId="99" xfId="44" applyFont="1" applyFill="1" applyBorder="1" applyAlignment="1">
      <alignment horizontal="center"/>
    </xf>
    <xf numFmtId="0" fontId="70" fillId="40" borderId="99" xfId="0" applyFont="1" applyFill="1" applyBorder="1" applyAlignment="1">
      <alignment horizontal="center" vertical="center"/>
    </xf>
    <xf numFmtId="0" fontId="70" fillId="40" borderId="99" xfId="0" applyFont="1" applyFill="1" applyBorder="1"/>
    <xf numFmtId="0" fontId="70" fillId="0" borderId="99" xfId="44" applyFont="1" applyBorder="1"/>
    <xf numFmtId="0" fontId="66" fillId="40" borderId="99" xfId="44" applyFont="1" applyFill="1" applyBorder="1"/>
    <xf numFmtId="0" fontId="85" fillId="40" borderId="99" xfId="0" applyFont="1" applyFill="1" applyBorder="1" applyAlignment="1">
      <alignment horizontal="center"/>
    </xf>
    <xf numFmtId="0" fontId="105" fillId="40" borderId="99" xfId="0" applyFont="1" applyFill="1" applyBorder="1"/>
    <xf numFmtId="0" fontId="88" fillId="40" borderId="99" xfId="0" applyFont="1" applyFill="1" applyBorder="1" applyAlignment="1">
      <alignment horizontal="center" vertical="center"/>
    </xf>
    <xf numFmtId="0" fontId="88" fillId="40" borderId="99" xfId="0" applyFont="1" applyFill="1" applyBorder="1" applyAlignment="1">
      <alignment horizontal="center"/>
    </xf>
    <xf numFmtId="0" fontId="87" fillId="40" borderId="99" xfId="44" applyFont="1" applyFill="1" applyBorder="1"/>
    <xf numFmtId="164" fontId="88" fillId="40" borderId="99" xfId="0" applyNumberFormat="1" applyFont="1" applyFill="1" applyBorder="1" applyAlignment="1">
      <alignment horizontal="center" vertical="center"/>
    </xf>
    <xf numFmtId="0" fontId="85" fillId="40" borderId="99" xfId="0" applyFont="1" applyFill="1" applyBorder="1" applyAlignment="1">
      <alignment horizontal="center" vertical="center"/>
    </xf>
    <xf numFmtId="164" fontId="85" fillId="40" borderId="99" xfId="0" applyNumberFormat="1" applyFont="1" applyFill="1" applyBorder="1" applyAlignment="1">
      <alignment horizontal="center" vertical="center"/>
    </xf>
    <xf numFmtId="164" fontId="88" fillId="4" borderId="98" xfId="0" applyNumberFormat="1" applyFont="1" applyFill="1" applyBorder="1" applyAlignment="1">
      <alignment horizontal="center"/>
    </xf>
    <xf numFmtId="0" fontId="110" fillId="4" borderId="99" xfId="0" applyFont="1" applyFill="1" applyBorder="1"/>
    <xf numFmtId="0" fontId="95" fillId="40" borderId="99" xfId="0" applyFont="1" applyFill="1" applyBorder="1"/>
    <xf numFmtId="0" fontId="53" fillId="3" borderId="99" xfId="44" applyFont="1" applyFill="1" applyBorder="1" applyAlignment="1">
      <alignment horizontal="left"/>
    </xf>
    <xf numFmtId="0" fontId="66" fillId="40" borderId="99" xfId="50" applyFont="1" applyFill="1" applyBorder="1" applyAlignment="1">
      <alignment horizontal="center" vertical="center" wrapText="1" readingOrder="1"/>
    </xf>
    <xf numFmtId="0" fontId="0" fillId="40" borderId="99" xfId="50" applyFont="1" applyFill="1" applyBorder="1" applyAlignment="1">
      <alignment horizontal="center" vertical="center"/>
    </xf>
    <xf numFmtId="164" fontId="55" fillId="40" borderId="99" xfId="0" applyNumberFormat="1" applyFont="1" applyFill="1" applyBorder="1" applyAlignment="1">
      <alignment horizontal="center" vertical="center"/>
    </xf>
    <xf numFmtId="0" fontId="66" fillId="40" borderId="98" xfId="44" applyFont="1" applyFill="1" applyBorder="1" applyAlignment="1">
      <alignment horizontal="center" vertical="center"/>
    </xf>
    <xf numFmtId="0" fontId="0" fillId="40" borderId="99" xfId="48" applyFont="1" applyFill="1" applyBorder="1" applyAlignment="1">
      <alignment horizontal="center" vertical="center"/>
    </xf>
    <xf numFmtId="0" fontId="70" fillId="40" borderId="99" xfId="50" applyFont="1" applyFill="1" applyBorder="1" applyAlignment="1">
      <alignment horizontal="center" vertical="center" wrapText="1" readingOrder="1"/>
    </xf>
    <xf numFmtId="0" fontId="56" fillId="40" borderId="99" xfId="50" applyFont="1" applyFill="1" applyBorder="1" applyAlignment="1">
      <alignment horizontal="center" vertical="center"/>
    </xf>
    <xf numFmtId="0" fontId="20" fillId="0" borderId="99" xfId="0" applyFont="1" applyBorder="1" applyAlignment="1">
      <alignment horizontal="center" vertical="center"/>
    </xf>
    <xf numFmtId="164" fontId="53" fillId="0" borderId="98" xfId="0" applyNumberFormat="1" applyFont="1" applyBorder="1" applyAlignment="1">
      <alignment horizontal="center" vertical="center"/>
    </xf>
    <xf numFmtId="164" fontId="53" fillId="38" borderId="98" xfId="0" applyNumberFormat="1" applyFont="1" applyFill="1" applyBorder="1" applyAlignment="1">
      <alignment horizontal="center" vertical="center"/>
    </xf>
    <xf numFmtId="49" fontId="0" fillId="0" borderId="98" xfId="0" applyNumberFormat="1" applyBorder="1" applyAlignment="1">
      <alignment horizontal="left"/>
    </xf>
    <xf numFmtId="0" fontId="0" fillId="4" borderId="98" xfId="0" applyFill="1" applyBorder="1" applyAlignment="1">
      <alignment horizontal="center"/>
    </xf>
    <xf numFmtId="0" fontId="53" fillId="0" borderId="98" xfId="0" applyFont="1" applyBorder="1" applyAlignment="1">
      <alignment horizontal="center" vertical="center"/>
    </xf>
    <xf numFmtId="164" fontId="0" fillId="0" borderId="98" xfId="0" applyNumberFormat="1" applyBorder="1"/>
    <xf numFmtId="0" fontId="0" fillId="2" borderId="101" xfId="0" applyFill="1" applyBorder="1" applyAlignment="1">
      <alignment horizontal="center"/>
    </xf>
    <xf numFmtId="0" fontId="157" fillId="3" borderId="101" xfId="46" applyFont="1" applyFill="1" applyBorder="1" applyAlignment="1">
      <alignment horizontal="left" vertical="center" wrapText="1"/>
    </xf>
    <xf numFmtId="164" fontId="0" fillId="2" borderId="102" xfId="0" applyNumberFormat="1" applyFill="1" applyBorder="1" applyAlignment="1">
      <alignment horizontal="center" vertical="center"/>
    </xf>
    <xf numFmtId="0" fontId="0" fillId="74" borderId="102" xfId="0" applyFill="1" applyBorder="1" applyAlignment="1">
      <alignment horizontal="left"/>
    </xf>
    <xf numFmtId="0" fontId="17" fillId="0" borderId="102" xfId="0" applyFont="1" applyBorder="1" applyAlignment="1">
      <alignment vertical="center" wrapText="1"/>
    </xf>
    <xf numFmtId="16" fontId="57" fillId="2" borderId="103" xfId="0" applyNumberFormat="1" applyFont="1" applyFill="1" applyBorder="1" applyAlignment="1">
      <alignment horizontal="left" vertical="center"/>
    </xf>
    <xf numFmtId="0" fontId="0" fillId="3" borderId="103" xfId="0" applyFill="1" applyBorder="1" applyAlignment="1">
      <alignment horizontal="left" vertical="center"/>
    </xf>
    <xf numFmtId="0" fontId="57" fillId="3" borderId="104" xfId="0" applyFont="1" applyFill="1" applyBorder="1" applyAlignment="1">
      <alignment horizontal="left" vertical="center"/>
    </xf>
    <xf numFmtId="0" fontId="25" fillId="3" borderId="103" xfId="0" applyFont="1" applyFill="1" applyBorder="1" applyAlignment="1">
      <alignment horizontal="left" vertical="center"/>
    </xf>
    <xf numFmtId="164" fontId="0" fillId="3" borderId="103" xfId="0" applyNumberFormat="1" applyFill="1" applyBorder="1" applyAlignment="1">
      <alignment horizontal="left" vertical="center"/>
    </xf>
    <xf numFmtId="164" fontId="45" fillId="3" borderId="103" xfId="0" applyNumberFormat="1" applyFont="1" applyFill="1" applyBorder="1" applyAlignment="1">
      <alignment horizontal="left" vertical="center"/>
    </xf>
    <xf numFmtId="164" fontId="56" fillId="3" borderId="103" xfId="0" applyNumberFormat="1" applyFont="1" applyFill="1" applyBorder="1" applyAlignment="1">
      <alignment horizontal="left" vertical="center" wrapText="1"/>
    </xf>
    <xf numFmtId="0" fontId="2" fillId="3" borderId="103" xfId="0" applyFont="1" applyFill="1" applyBorder="1" applyAlignment="1">
      <alignment horizontal="left" vertical="center" wrapText="1"/>
    </xf>
    <xf numFmtId="164" fontId="24" fillId="3" borderId="103" xfId="0" applyNumberFormat="1" applyFont="1" applyFill="1" applyBorder="1" applyAlignment="1">
      <alignment horizontal="left" vertical="center" wrapText="1"/>
    </xf>
    <xf numFmtId="164" fontId="2" fillId="3" borderId="103" xfId="0" applyNumberFormat="1" applyFont="1" applyFill="1" applyBorder="1" applyAlignment="1">
      <alignment horizontal="left" vertical="center" wrapText="1"/>
    </xf>
    <xf numFmtId="0" fontId="24" fillId="3" borderId="103" xfId="0" applyFont="1" applyFill="1" applyBorder="1" applyAlignment="1">
      <alignment horizontal="left" vertical="center" wrapText="1"/>
    </xf>
    <xf numFmtId="0" fontId="53" fillId="3" borderId="103" xfId="0" applyFont="1" applyFill="1" applyBorder="1" applyAlignment="1">
      <alignment horizontal="left" vertical="center" wrapText="1"/>
    </xf>
    <xf numFmtId="0" fontId="2" fillId="3" borderId="103" xfId="0" applyFont="1" applyFill="1" applyBorder="1" applyAlignment="1">
      <alignment horizontal="left" vertical="center"/>
    </xf>
    <xf numFmtId="4" fontId="0" fillId="3" borderId="103" xfId="0" applyNumberFormat="1" applyFill="1" applyBorder="1" applyAlignment="1">
      <alignment horizontal="left" vertical="center"/>
    </xf>
    <xf numFmtId="10" fontId="0" fillId="3" borderId="103" xfId="77" applyNumberFormat="1" applyFont="1" applyFill="1" applyBorder="1" applyAlignment="1">
      <alignment horizontal="left" vertical="center"/>
    </xf>
    <xf numFmtId="0" fontId="0" fillId="3" borderId="105" xfId="0" applyFill="1" applyBorder="1" applyAlignment="1">
      <alignment horizontal="left" vertical="center"/>
    </xf>
    <xf numFmtId="0" fontId="0" fillId="2" borderId="103" xfId="0" applyFill="1" applyBorder="1" applyAlignment="1">
      <alignment horizontal="center" vertical="center"/>
    </xf>
    <xf numFmtId="16" fontId="0" fillId="2" borderId="103" xfId="0" applyNumberFormat="1" applyFill="1" applyBorder="1" applyAlignment="1">
      <alignment horizontal="center" vertical="center"/>
    </xf>
    <xf numFmtId="0" fontId="0" fillId="2" borderId="105" xfId="0" applyFill="1" applyBorder="1" applyAlignment="1">
      <alignment horizontal="center" vertical="center" wrapText="1"/>
    </xf>
    <xf numFmtId="18" fontId="0" fillId="2" borderId="104" xfId="0" applyNumberFormat="1" applyFill="1" applyBorder="1" applyAlignment="1">
      <alignment horizontal="center" vertical="center"/>
    </xf>
    <xf numFmtId="0" fontId="57" fillId="2" borderId="103" xfId="0" applyFont="1" applyFill="1" applyBorder="1" applyAlignment="1">
      <alignment horizontal="center" vertical="center" wrapText="1"/>
    </xf>
    <xf numFmtId="164" fontId="0" fillId="2" borderId="103" xfId="0" applyNumberFormat="1" applyFill="1" applyBorder="1" applyAlignment="1">
      <alignment horizontal="left" vertical="center"/>
    </xf>
    <xf numFmtId="0" fontId="0" fillId="2" borderId="103" xfId="0" applyFill="1" applyBorder="1" applyAlignment="1">
      <alignment horizontal="left" vertical="center" wrapText="1"/>
    </xf>
    <xf numFmtId="0" fontId="53" fillId="2" borderId="103" xfId="0" applyFont="1" applyFill="1" applyBorder="1" applyAlignment="1">
      <alignment horizontal="center" vertical="center" wrapText="1"/>
    </xf>
    <xf numFmtId="0" fontId="0" fillId="2" borderId="103" xfId="0" applyFill="1" applyBorder="1" applyAlignment="1">
      <alignment horizontal="left" vertical="center"/>
    </xf>
    <xf numFmtId="0" fontId="0" fillId="2" borderId="103" xfId="0" applyFill="1" applyBorder="1" applyAlignment="1">
      <alignment horizontal="center" vertical="center" wrapText="1"/>
    </xf>
    <xf numFmtId="4" fontId="0" fillId="2" borderId="103" xfId="0" applyNumberFormat="1" applyFill="1" applyBorder="1" applyAlignment="1">
      <alignment horizontal="left" vertical="center"/>
    </xf>
    <xf numFmtId="0" fontId="0" fillId="2" borderId="105" xfId="0" applyFill="1" applyBorder="1" applyAlignment="1">
      <alignment horizontal="left" vertical="center"/>
    </xf>
    <xf numFmtId="0" fontId="0" fillId="2" borderId="103" xfId="0" applyFill="1" applyBorder="1" applyAlignment="1">
      <alignment vertical="center"/>
    </xf>
    <xf numFmtId="0" fontId="53" fillId="2" borderId="103" xfId="0" applyFont="1" applyFill="1" applyBorder="1" applyAlignment="1">
      <alignment horizontal="left" vertical="center" wrapText="1"/>
    </xf>
    <xf numFmtId="0" fontId="0" fillId="3" borderId="103" xfId="0" applyFill="1" applyBorder="1" applyAlignment="1">
      <alignment vertical="center"/>
    </xf>
    <xf numFmtId="0" fontId="53" fillId="3" borderId="103" xfId="0" applyFont="1" applyFill="1" applyBorder="1" applyAlignment="1">
      <alignment vertical="center" wrapText="1"/>
    </xf>
    <xf numFmtId="0" fontId="29" fillId="3" borderId="103" xfId="0" applyFont="1" applyFill="1" applyBorder="1" applyAlignment="1">
      <alignment vertical="center"/>
    </xf>
    <xf numFmtId="0" fontId="1" fillId="2" borderId="17" xfId="0" applyFont="1" applyFill="1" applyBorder="1" applyAlignment="1">
      <alignment vertical="center"/>
    </xf>
    <xf numFmtId="0" fontId="1" fillId="2" borderId="99" xfId="0" applyFont="1" applyFill="1" applyBorder="1" applyAlignment="1">
      <alignment horizontal="left" vertical="center" wrapText="1"/>
    </xf>
    <xf numFmtId="0" fontId="29" fillId="40" borderId="98" xfId="0" applyFont="1" applyFill="1" applyBorder="1" applyAlignment="1">
      <alignment horizontal="center" vertical="top"/>
    </xf>
    <xf numFmtId="0" fontId="85" fillId="40" borderId="106" xfId="0" applyFont="1" applyFill="1" applyBorder="1"/>
    <xf numFmtId="0" fontId="29" fillId="38" borderId="99" xfId="0" applyFont="1" applyFill="1" applyBorder="1" applyAlignment="1">
      <alignment horizontal="center" vertical="center"/>
    </xf>
    <xf numFmtId="0" fontId="29" fillId="38" borderId="99" xfId="0" applyFont="1" applyFill="1" applyBorder="1" applyAlignment="1">
      <alignment horizontal="left" vertical="center"/>
    </xf>
    <xf numFmtId="164" fontId="29" fillId="38" borderId="99" xfId="0" applyNumberFormat="1" applyFont="1" applyFill="1" applyBorder="1" applyAlignment="1">
      <alignment horizontal="center" vertical="center"/>
    </xf>
    <xf numFmtId="0" fontId="58" fillId="38" borderId="99" xfId="0" applyFont="1" applyFill="1" applyBorder="1" applyAlignment="1">
      <alignment horizontal="center" vertical="center"/>
    </xf>
    <xf numFmtId="0" fontId="53" fillId="38" borderId="99" xfId="0" applyFont="1" applyFill="1" applyBorder="1"/>
    <xf numFmtId="16" fontId="29" fillId="38" borderId="99" xfId="0" applyNumberFormat="1" applyFont="1" applyFill="1" applyBorder="1" applyAlignment="1">
      <alignment horizontal="center" vertical="center"/>
    </xf>
    <xf numFmtId="164" fontId="57" fillId="38" borderId="99" xfId="0" applyNumberFormat="1" applyFont="1" applyFill="1" applyBorder="1" applyAlignment="1">
      <alignment horizontal="center" vertical="center"/>
    </xf>
    <xf numFmtId="0" fontId="53" fillId="38" borderId="99" xfId="0" applyFont="1" applyFill="1" applyBorder="1" applyAlignment="1">
      <alignment horizontal="center" vertical="center"/>
    </xf>
    <xf numFmtId="0" fontId="24" fillId="38" borderId="99" xfId="0" applyFont="1" applyFill="1" applyBorder="1" applyAlignment="1">
      <alignment horizontal="center" vertical="center"/>
    </xf>
    <xf numFmtId="0" fontId="85" fillId="38" borderId="99" xfId="0" applyFont="1" applyFill="1" applyBorder="1" applyAlignment="1">
      <alignment horizontal="center"/>
    </xf>
    <xf numFmtId="0" fontId="85" fillId="38" borderId="99" xfId="0" applyFont="1" applyFill="1" applyBorder="1" applyAlignment="1">
      <alignment horizontal="center" vertical="center"/>
    </xf>
    <xf numFmtId="164" fontId="85" fillId="38" borderId="99" xfId="0" applyNumberFormat="1" applyFont="1" applyFill="1" applyBorder="1" applyAlignment="1">
      <alignment horizontal="center" vertical="center"/>
    </xf>
    <xf numFmtId="164" fontId="103" fillId="38" borderId="99" xfId="0" applyNumberFormat="1" applyFont="1" applyFill="1" applyBorder="1" applyAlignment="1">
      <alignment horizontal="center" vertical="center"/>
    </xf>
    <xf numFmtId="0" fontId="104" fillId="38" borderId="99" xfId="44" applyFont="1" applyFill="1" applyBorder="1"/>
    <xf numFmtId="0" fontId="85" fillId="38" borderId="99" xfId="44" applyFont="1" applyFill="1" applyBorder="1"/>
    <xf numFmtId="164" fontId="85" fillId="38" borderId="99" xfId="0" applyNumberFormat="1" applyFont="1" applyFill="1" applyBorder="1" applyAlignment="1">
      <alignment horizontal="center"/>
    </xf>
    <xf numFmtId="0" fontId="88" fillId="38" borderId="99" xfId="0" applyFont="1" applyFill="1" applyBorder="1"/>
    <xf numFmtId="0" fontId="88" fillId="38" borderId="99" xfId="44" applyFont="1" applyFill="1" applyBorder="1" applyAlignment="1">
      <alignment horizontal="center" vertical="center"/>
    </xf>
    <xf numFmtId="0" fontId="85" fillId="38" borderId="99" xfId="0" applyFont="1" applyFill="1" applyBorder="1"/>
    <xf numFmtId="164" fontId="53" fillId="38" borderId="99" xfId="0" applyNumberFormat="1" applyFont="1" applyFill="1" applyBorder="1" applyAlignment="1">
      <alignment horizontal="center" vertical="center"/>
    </xf>
    <xf numFmtId="49" fontId="53" fillId="38" borderId="99" xfId="0" applyNumberFormat="1" applyFont="1" applyFill="1" applyBorder="1" applyAlignment="1">
      <alignment horizontal="center" vertical="center"/>
    </xf>
    <xf numFmtId="0" fontId="53" fillId="38" borderId="99" xfId="0" applyFont="1" applyFill="1" applyBorder="1" applyAlignment="1">
      <alignment horizontal="left" vertical="center"/>
    </xf>
    <xf numFmtId="16" fontId="53" fillId="38" borderId="99" xfId="0" applyNumberFormat="1" applyFont="1" applyFill="1" applyBorder="1" applyAlignment="1">
      <alignment horizontal="center" vertical="center"/>
    </xf>
    <xf numFmtId="0" fontId="53" fillId="38" borderId="104" xfId="0" applyFont="1" applyFill="1" applyBorder="1" applyAlignment="1">
      <alignment horizontal="center" vertical="center"/>
    </xf>
    <xf numFmtId="164" fontId="53" fillId="38" borderId="103" xfId="0" applyNumberFormat="1" applyFont="1" applyFill="1" applyBorder="1" applyAlignment="1">
      <alignment horizontal="center" vertical="center"/>
    </xf>
    <xf numFmtId="164" fontId="29" fillId="38" borderId="103" xfId="0" applyNumberFormat="1" applyFont="1" applyFill="1" applyBorder="1" applyAlignment="1">
      <alignment horizontal="center" vertical="center"/>
    </xf>
    <xf numFmtId="0" fontId="53" fillId="38" borderId="103" xfId="0" applyFont="1" applyFill="1" applyBorder="1" applyAlignment="1">
      <alignment horizontal="center" vertical="center"/>
    </xf>
    <xf numFmtId="49" fontId="53" fillId="38" borderId="103" xfId="0" applyNumberFormat="1" applyFont="1" applyFill="1" applyBorder="1" applyAlignment="1">
      <alignment horizontal="center" vertical="center"/>
    </xf>
    <xf numFmtId="164" fontId="53" fillId="38" borderId="103" xfId="0" applyNumberFormat="1" applyFont="1" applyFill="1" applyBorder="1" applyAlignment="1">
      <alignment horizontal="left" vertical="center"/>
    </xf>
    <xf numFmtId="0" fontId="53" fillId="38" borderId="103" xfId="0" applyFont="1" applyFill="1" applyBorder="1" applyAlignment="1">
      <alignment horizontal="left" vertical="center"/>
    </xf>
    <xf numFmtId="0" fontId="53" fillId="0" borderId="99" xfId="44" applyFont="1" applyBorder="1" applyAlignment="1">
      <alignment horizontal="center" vertical="center"/>
    </xf>
    <xf numFmtId="164" fontId="53" fillId="0" borderId="99" xfId="0" applyNumberFormat="1" applyFont="1" applyBorder="1" applyAlignment="1">
      <alignment horizontal="center" vertical="center"/>
    </xf>
    <xf numFmtId="0" fontId="53" fillId="0" borderId="99" xfId="0" applyFont="1" applyBorder="1" applyAlignment="1">
      <alignment horizontal="center" vertical="center"/>
    </xf>
    <xf numFmtId="0" fontId="66" fillId="0" borderId="99" xfId="44" applyFont="1" applyBorder="1" applyAlignment="1">
      <alignment horizontal="center" vertical="center"/>
    </xf>
    <xf numFmtId="0" fontId="70" fillId="0" borderId="99" xfId="44" applyFont="1" applyBorder="1" applyAlignment="1">
      <alignment horizontal="left"/>
    </xf>
    <xf numFmtId="0" fontId="53" fillId="38" borderId="99" xfId="0" applyFont="1" applyFill="1" applyBorder="1" applyAlignment="1">
      <alignment horizontal="center"/>
    </xf>
    <xf numFmtId="0" fontId="53" fillId="38" borderId="99" xfId="0" applyFont="1" applyFill="1" applyBorder="1" applyAlignment="1">
      <alignment horizontal="left"/>
    </xf>
    <xf numFmtId="0" fontId="53" fillId="38" borderId="99" xfId="44" applyFont="1" applyFill="1" applyBorder="1" applyAlignment="1">
      <alignment horizontal="center" vertical="center"/>
    </xf>
    <xf numFmtId="0" fontId="53" fillId="38" borderId="99" xfId="44" applyFont="1" applyFill="1" applyBorder="1" applyAlignment="1">
      <alignment horizontal="left"/>
    </xf>
    <xf numFmtId="0" fontId="53" fillId="38" borderId="99" xfId="44" applyFont="1" applyFill="1" applyBorder="1"/>
    <xf numFmtId="0" fontId="24" fillId="0" borderId="99" xfId="0" applyFont="1" applyBorder="1" applyAlignment="1">
      <alignment horizontal="center" vertical="top"/>
    </xf>
    <xf numFmtId="0" fontId="76" fillId="0" borderId="99" xfId="0" applyFont="1" applyBorder="1" applyAlignment="1">
      <alignment horizontal="left" vertical="top"/>
    </xf>
    <xf numFmtId="164" fontId="24" fillId="0" borderId="99" xfId="0" applyNumberFormat="1" applyFont="1" applyBorder="1" applyAlignment="1">
      <alignment horizontal="center" vertical="top"/>
    </xf>
    <xf numFmtId="0" fontId="56" fillId="0" borderId="99" xfId="0" applyFont="1" applyBorder="1" applyAlignment="1">
      <alignment horizontal="center" vertical="top"/>
    </xf>
    <xf numFmtId="164" fontId="29" fillId="0" borderId="99" xfId="0" applyNumberFormat="1" applyFont="1" applyBorder="1" applyAlignment="1">
      <alignment horizontal="center" vertical="top"/>
    </xf>
    <xf numFmtId="0" fontId="53" fillId="0" borderId="99" xfId="0" applyFont="1" applyBorder="1" applyAlignment="1">
      <alignment horizontal="left" vertical="top" wrapText="1"/>
    </xf>
    <xf numFmtId="16" fontId="24" fillId="0" borderId="99" xfId="0" applyNumberFormat="1" applyFont="1" applyBorder="1" applyAlignment="1">
      <alignment horizontal="center" vertical="top" wrapText="1"/>
    </xf>
    <xf numFmtId="0" fontId="73" fillId="0" borderId="99" xfId="0" applyFont="1" applyBorder="1" applyAlignment="1">
      <alignment horizontal="left" vertical="center"/>
    </xf>
    <xf numFmtId="164" fontId="0" fillId="4" borderId="99" xfId="0" applyNumberFormat="1" applyFill="1" applyBorder="1" applyAlignment="1">
      <alignment horizontal="center" vertical="center"/>
    </xf>
    <xf numFmtId="0" fontId="56" fillId="0" borderId="99" xfId="0" applyFont="1" applyBorder="1" applyAlignment="1">
      <alignment horizontal="center" vertical="center"/>
    </xf>
    <xf numFmtId="0" fontId="56" fillId="4" borderId="99" xfId="0" applyFont="1" applyFill="1" applyBorder="1" applyAlignment="1">
      <alignment horizontal="center" vertical="center"/>
    </xf>
    <xf numFmtId="164" fontId="2" fillId="0" borderId="99" xfId="0" applyNumberFormat="1" applyFont="1" applyBorder="1" applyAlignment="1">
      <alignment horizontal="center" vertical="center"/>
    </xf>
    <xf numFmtId="0" fontId="24" fillId="0" borderId="99" xfId="0" applyFont="1" applyBorder="1" applyAlignment="1">
      <alignment horizontal="left"/>
    </xf>
    <xf numFmtId="0" fontId="112" fillId="0" borderId="99" xfId="0" applyFont="1" applyBorder="1" applyAlignment="1">
      <alignment horizontal="center" vertical="center"/>
    </xf>
    <xf numFmtId="49" fontId="0" fillId="0" borderId="99" xfId="0" applyNumberFormat="1" applyBorder="1" applyAlignment="1">
      <alignment vertical="center"/>
    </xf>
    <xf numFmtId="0" fontId="45" fillId="0" borderId="99" xfId="0" applyFont="1" applyBorder="1" applyAlignment="1">
      <alignment horizontal="center" vertical="center" wrapText="1"/>
    </xf>
    <xf numFmtId="0" fontId="0" fillId="4" borderId="99" xfId="0" applyFill="1" applyBorder="1" applyAlignment="1">
      <alignment horizontal="left"/>
    </xf>
    <xf numFmtId="0" fontId="0" fillId="43" borderId="99" xfId="0" applyFill="1" applyBorder="1" applyAlignment="1">
      <alignment horizontal="left"/>
    </xf>
    <xf numFmtId="0" fontId="29" fillId="0" borderId="99" xfId="0" applyFont="1" applyBorder="1" applyAlignment="1">
      <alignment horizontal="center"/>
    </xf>
    <xf numFmtId="0" fontId="70" fillId="0" borderId="99" xfId="50" applyFont="1" applyBorder="1" applyAlignment="1">
      <alignment horizontal="left" vertical="center" wrapText="1" readingOrder="1"/>
    </xf>
    <xf numFmtId="0" fontId="56" fillId="0" borderId="99" xfId="50" applyFont="1" applyBorder="1" applyAlignment="1">
      <alignment horizontal="center" vertical="center"/>
    </xf>
    <xf numFmtId="164" fontId="55" fillId="0" borderId="99" xfId="0" applyNumberFormat="1" applyFont="1" applyBorder="1" applyAlignment="1">
      <alignment horizontal="center" vertical="center"/>
    </xf>
    <xf numFmtId="0" fontId="70" fillId="43" borderId="99" xfId="50" applyFont="1" applyFill="1" applyBorder="1" applyAlignment="1">
      <alignment horizontal="center" vertical="center" wrapText="1" readingOrder="1"/>
    </xf>
    <xf numFmtId="164" fontId="55" fillId="45" borderId="99" xfId="0" applyNumberFormat="1" applyFont="1" applyFill="1" applyBorder="1" applyAlignment="1">
      <alignment horizontal="center" vertical="center"/>
    </xf>
    <xf numFmtId="0" fontId="73" fillId="0" borderId="99" xfId="0" applyFont="1" applyBorder="1" applyAlignment="1">
      <alignment horizontal="left" vertical="center" wrapText="1"/>
    </xf>
    <xf numFmtId="164" fontId="45" fillId="0" borderId="99" xfId="0" applyNumberFormat="1" applyFont="1" applyBorder="1" applyAlignment="1">
      <alignment horizontal="left" wrapText="1"/>
    </xf>
    <xf numFmtId="0" fontId="23" fillId="0" borderId="99" xfId="0" applyFont="1" applyBorder="1" applyAlignment="1">
      <alignment horizontal="left"/>
    </xf>
    <xf numFmtId="49" fontId="0" fillId="0" borderId="99" xfId="0" applyNumberFormat="1" applyBorder="1" applyAlignment="1">
      <alignment horizontal="left"/>
    </xf>
    <xf numFmtId="164" fontId="45" fillId="0" borderId="99" xfId="0" applyNumberFormat="1" applyFont="1" applyBorder="1" applyAlignment="1">
      <alignment horizontal="left" vertical="center" wrapText="1"/>
    </xf>
    <xf numFmtId="0" fontId="45" fillId="0" borderId="99" xfId="0" applyFont="1" applyBorder="1" applyAlignment="1">
      <alignment horizontal="left" vertical="center"/>
    </xf>
    <xf numFmtId="0" fontId="56" fillId="0" borderId="99" xfId="0" applyFont="1" applyBorder="1" applyAlignment="1">
      <alignment horizontal="left" vertical="center"/>
    </xf>
    <xf numFmtId="0" fontId="56" fillId="2" borderId="99" xfId="0" applyFont="1" applyFill="1" applyBorder="1" applyAlignment="1">
      <alignment horizontal="center" vertical="center"/>
    </xf>
    <xf numFmtId="0" fontId="56" fillId="39" borderId="99" xfId="0" applyFont="1" applyFill="1" applyBorder="1" applyAlignment="1">
      <alignment horizontal="center" vertical="center"/>
    </xf>
    <xf numFmtId="0" fontId="0" fillId="39" borderId="99" xfId="0" applyFill="1" applyBorder="1" applyAlignment="1">
      <alignment horizontal="center" vertical="center"/>
    </xf>
    <xf numFmtId="164" fontId="0" fillId="39" borderId="99" xfId="0" applyNumberFormat="1" applyFill="1" applyBorder="1" applyAlignment="1">
      <alignment horizontal="center" vertical="center"/>
    </xf>
    <xf numFmtId="16" fontId="45" fillId="39" borderId="99" xfId="0" applyNumberFormat="1" applyFont="1" applyFill="1" applyBorder="1"/>
    <xf numFmtId="0" fontId="45" fillId="39" borderId="99" xfId="0" applyFont="1" applyFill="1" applyBorder="1"/>
    <xf numFmtId="0" fontId="0" fillId="39" borderId="99" xfId="0" applyFill="1" applyBorder="1"/>
    <xf numFmtId="0" fontId="0" fillId="39" borderId="99" xfId="0" applyFill="1" applyBorder="1" applyAlignment="1">
      <alignment horizontal="left" vertical="center"/>
    </xf>
    <xf numFmtId="22" fontId="0" fillId="39" borderId="99" xfId="0" applyNumberFormat="1" applyFill="1" applyBorder="1"/>
    <xf numFmtId="164" fontId="55" fillId="0" borderId="99" xfId="0" applyNumberFormat="1" applyFont="1" applyBorder="1" applyAlignment="1">
      <alignment horizontal="center" vertical="center" wrapText="1"/>
    </xf>
    <xf numFmtId="0" fontId="118" fillId="0" borderId="99" xfId="0" applyFont="1" applyBorder="1" applyAlignment="1">
      <alignment horizontal="center" vertical="center"/>
    </xf>
    <xf numFmtId="164" fontId="118" fillId="0" borderId="99" xfId="0" applyNumberFormat="1" applyFont="1" applyBorder="1" applyAlignment="1">
      <alignment horizontal="center" vertical="center"/>
    </xf>
    <xf numFmtId="0" fontId="118" fillId="0" borderId="99" xfId="0" applyFont="1" applyBorder="1" applyAlignment="1">
      <alignment horizontal="left" vertical="center" wrapText="1"/>
    </xf>
    <xf numFmtId="164" fontId="23" fillId="4" borderId="99" xfId="0" applyNumberFormat="1" applyFont="1" applyFill="1" applyBorder="1" applyAlignment="1">
      <alignment horizontal="left" vertical="center" wrapText="1"/>
    </xf>
    <xf numFmtId="0" fontId="118" fillId="0" borderId="99" xfId="0" applyFont="1" applyBorder="1" applyAlignment="1">
      <alignment horizontal="left" vertical="center"/>
    </xf>
    <xf numFmtId="164" fontId="118" fillId="0" borderId="99" xfId="0" applyNumberFormat="1" applyFont="1" applyBorder="1" applyAlignment="1">
      <alignment horizontal="left" vertical="center"/>
    </xf>
    <xf numFmtId="0" fontId="117" fillId="0" borderId="99" xfId="0" applyFont="1" applyBorder="1" applyAlignment="1">
      <alignment horizontal="left" vertical="center"/>
    </xf>
    <xf numFmtId="0" fontId="0" fillId="45" borderId="99" xfId="0" applyFill="1" applyBorder="1" applyAlignment="1">
      <alignment horizontal="center" vertical="center"/>
    </xf>
    <xf numFmtId="164" fontId="118" fillId="0" borderId="99" xfId="0" applyNumberFormat="1" applyFont="1" applyBorder="1" applyAlignment="1">
      <alignment horizontal="left"/>
    </xf>
    <xf numFmtId="0" fontId="118" fillId="0" borderId="99" xfId="0" applyFont="1" applyBorder="1" applyAlignment="1">
      <alignment horizontal="left"/>
    </xf>
    <xf numFmtId="164" fontId="45" fillId="0" borderId="99" xfId="0" applyNumberFormat="1" applyFont="1" applyBorder="1" applyAlignment="1">
      <alignment horizontal="center"/>
    </xf>
    <xf numFmtId="164" fontId="45" fillId="4" borderId="99" xfId="0" applyNumberFormat="1" applyFont="1" applyFill="1" applyBorder="1" applyAlignment="1">
      <alignment horizontal="center" vertical="center"/>
    </xf>
    <xf numFmtId="164" fontId="118" fillId="4" borderId="99" xfId="0" applyNumberFormat="1" applyFont="1" applyFill="1" applyBorder="1" applyAlignment="1">
      <alignment horizontal="left"/>
    </xf>
    <xf numFmtId="0" fontId="118" fillId="4" borderId="99" xfId="0" applyFont="1" applyFill="1" applyBorder="1" applyAlignment="1">
      <alignment horizontal="left"/>
    </xf>
    <xf numFmtId="0" fontId="118" fillId="4" borderId="99" xfId="0" applyFont="1" applyFill="1" applyBorder="1" applyAlignment="1">
      <alignment horizontal="center" vertical="center"/>
    </xf>
    <xf numFmtId="164" fontId="45" fillId="4" borderId="99" xfId="0" applyNumberFormat="1" applyFont="1" applyFill="1" applyBorder="1" applyAlignment="1">
      <alignment horizontal="center"/>
    </xf>
    <xf numFmtId="164" fontId="0" fillId="4" borderId="99" xfId="0" applyNumberFormat="1" applyFill="1" applyBorder="1" applyAlignment="1">
      <alignment horizontal="center"/>
    </xf>
    <xf numFmtId="0" fontId="109" fillId="0" borderId="99" xfId="0" applyFont="1" applyBorder="1" applyAlignment="1">
      <alignment horizontal="center"/>
    </xf>
    <xf numFmtId="0" fontId="56" fillId="0" borderId="99" xfId="0" applyFont="1" applyBorder="1" applyAlignment="1">
      <alignment horizontal="center"/>
    </xf>
    <xf numFmtId="0" fontId="84" fillId="0" borderId="99" xfId="0" applyFont="1" applyBorder="1" applyAlignment="1">
      <alignment vertical="center"/>
    </xf>
    <xf numFmtId="0" fontId="118" fillId="0" borderId="99" xfId="0" applyFont="1" applyBorder="1"/>
    <xf numFmtId="0" fontId="118" fillId="0" borderId="99" xfId="0" applyFont="1" applyBorder="1" applyAlignment="1">
      <alignment vertical="center"/>
    </xf>
    <xf numFmtId="164" fontId="118" fillId="0" borderId="99" xfId="0" applyNumberFormat="1" applyFont="1" applyBorder="1"/>
    <xf numFmtId="164" fontId="117" fillId="0" borderId="99" xfId="0" applyNumberFormat="1" applyFont="1" applyBorder="1" applyAlignment="1">
      <alignment horizontal="left" vertical="center"/>
    </xf>
    <xf numFmtId="164" fontId="57" fillId="0" borderId="99" xfId="0" applyNumberFormat="1" applyFont="1" applyBorder="1" applyAlignment="1">
      <alignment horizontal="center" vertical="center"/>
    </xf>
    <xf numFmtId="0" fontId="0" fillId="65" borderId="99" xfId="0" applyFill="1" applyBorder="1" applyAlignment="1">
      <alignment horizontal="center" vertical="center"/>
    </xf>
    <xf numFmtId="164" fontId="0" fillId="65" borderId="99" xfId="0" applyNumberFormat="1" applyFill="1" applyBorder="1" applyAlignment="1">
      <alignment horizontal="center" vertical="center"/>
    </xf>
    <xf numFmtId="0" fontId="56" fillId="65" borderId="99" xfId="0" applyFont="1" applyFill="1" applyBorder="1" applyAlignment="1">
      <alignment horizontal="center" vertical="center" wrapText="1"/>
    </xf>
    <xf numFmtId="164" fontId="0" fillId="65" borderId="99" xfId="0" applyNumberFormat="1" applyFill="1" applyBorder="1" applyAlignment="1">
      <alignment horizontal="left"/>
    </xf>
    <xf numFmtId="0" fontId="0" fillId="65" borderId="99" xfId="0" applyFill="1" applyBorder="1" applyAlignment="1">
      <alignment horizontal="left"/>
    </xf>
    <xf numFmtId="0" fontId="0" fillId="40" borderId="99" xfId="0" applyFill="1" applyBorder="1" applyAlignment="1">
      <alignment horizontal="center" vertical="center"/>
    </xf>
    <xf numFmtId="164" fontId="0" fillId="40" borderId="99" xfId="0" applyNumberFormat="1" applyFill="1" applyBorder="1" applyAlignment="1">
      <alignment horizontal="center" vertical="center"/>
    </xf>
    <xf numFmtId="20" fontId="0" fillId="40" borderId="99" xfId="0" applyNumberFormat="1" applyFill="1" applyBorder="1" applyAlignment="1">
      <alignment horizontal="center" vertical="center"/>
    </xf>
    <xf numFmtId="0" fontId="0" fillId="40" borderId="99" xfId="0" applyFill="1" applyBorder="1" applyAlignment="1">
      <alignment horizontal="center" vertical="center" wrapText="1"/>
    </xf>
    <xf numFmtId="0" fontId="56" fillId="40" borderId="99" xfId="0" applyFont="1" applyFill="1" applyBorder="1" applyAlignment="1">
      <alignment horizontal="center" vertical="center" wrapText="1"/>
    </xf>
    <xf numFmtId="0" fontId="0" fillId="40" borderId="99" xfId="0" quotePrefix="1" applyFill="1" applyBorder="1" applyAlignment="1">
      <alignment horizontal="center" vertical="center"/>
    </xf>
    <xf numFmtId="164" fontId="0" fillId="40" borderId="99" xfId="0" applyNumberFormat="1" applyFill="1" applyBorder="1" applyAlignment="1">
      <alignment horizontal="left"/>
    </xf>
    <xf numFmtId="0" fontId="0" fillId="40" borderId="99" xfId="0" applyFill="1" applyBorder="1" applyAlignment="1">
      <alignment horizontal="left"/>
    </xf>
    <xf numFmtId="0" fontId="29" fillId="40" borderId="99" xfId="0" applyFont="1" applyFill="1" applyBorder="1" applyAlignment="1">
      <alignment horizontal="center" vertical="center"/>
    </xf>
    <xf numFmtId="164" fontId="29" fillId="40" borderId="99" xfId="0" applyNumberFormat="1" applyFont="1" applyFill="1" applyBorder="1" applyAlignment="1">
      <alignment horizontal="center" vertical="center"/>
    </xf>
    <xf numFmtId="0" fontId="29" fillId="40" borderId="99" xfId="0" applyFont="1" applyFill="1" applyBorder="1" applyAlignment="1">
      <alignment horizontal="left" vertical="center"/>
    </xf>
    <xf numFmtId="164" fontId="29" fillId="40" borderId="99" xfId="0" applyNumberFormat="1" applyFont="1" applyFill="1" applyBorder="1" applyAlignment="1">
      <alignment horizontal="left" vertical="center"/>
    </xf>
    <xf numFmtId="164" fontId="45" fillId="40" borderId="99" xfId="0" applyNumberFormat="1" applyFont="1" applyFill="1" applyBorder="1" applyAlignment="1">
      <alignment horizontal="center" vertical="center"/>
    </xf>
    <xf numFmtId="0" fontId="118" fillId="40" borderId="99" xfId="0" applyFont="1" applyFill="1" applyBorder="1" applyAlignment="1">
      <alignment horizontal="center" vertical="center"/>
    </xf>
    <xf numFmtId="0" fontId="56" fillId="40" borderId="99" xfId="0" applyFont="1" applyFill="1" applyBorder="1" applyAlignment="1">
      <alignment horizontal="center" vertical="center"/>
    </xf>
    <xf numFmtId="0" fontId="45" fillId="40" borderId="99" xfId="0" applyFont="1" applyFill="1" applyBorder="1" applyAlignment="1">
      <alignment horizontal="center" vertical="center"/>
    </xf>
    <xf numFmtId="0" fontId="0" fillId="0" borderId="103" xfId="0" applyBorder="1" applyAlignment="1">
      <alignment horizontal="center" vertical="center"/>
    </xf>
    <xf numFmtId="165" fontId="0" fillId="0" borderId="99" xfId="0" applyNumberFormat="1" applyBorder="1" applyAlignment="1">
      <alignment horizontal="left" vertical="center"/>
    </xf>
    <xf numFmtId="165" fontId="0" fillId="0" borderId="99" xfId="0" applyNumberFormat="1" applyBorder="1" applyAlignment="1">
      <alignment horizontal="center" vertical="center"/>
    </xf>
    <xf numFmtId="0" fontId="0" fillId="68" borderId="99" xfId="0" applyFill="1" applyBorder="1" applyAlignment="1">
      <alignment horizontal="left" vertical="center"/>
    </xf>
    <xf numFmtId="0" fontId="0" fillId="68" borderId="99" xfId="0" applyFill="1" applyBorder="1" applyAlignment="1">
      <alignment horizontal="center" vertical="center"/>
    </xf>
    <xf numFmtId="0" fontId="53" fillId="68" borderId="99" xfId="0" applyFont="1" applyFill="1" applyBorder="1" applyAlignment="1">
      <alignment horizontal="center" vertical="center" wrapText="1"/>
    </xf>
    <xf numFmtId="9" fontId="0" fillId="0" borderId="99" xfId="0" applyNumberFormat="1" applyBorder="1" applyAlignment="1">
      <alignment horizontal="left" vertical="center"/>
    </xf>
    <xf numFmtId="0" fontId="57" fillId="40" borderId="99" xfId="0" applyFont="1" applyFill="1" applyBorder="1" applyAlignment="1">
      <alignment horizontal="center" vertical="center"/>
    </xf>
    <xf numFmtId="164" fontId="0" fillId="40" borderId="99" xfId="0" applyNumberFormat="1" applyFill="1" applyBorder="1" applyAlignment="1">
      <alignment horizontal="left" vertical="center"/>
    </xf>
    <xf numFmtId="0" fontId="0" fillId="0" borderId="99" xfId="0" applyBorder="1" applyAlignment="1">
      <alignment horizontal="left" vertical="top" wrapText="1"/>
    </xf>
    <xf numFmtId="0" fontId="127" fillId="0" borderId="99" xfId="0" applyFont="1" applyBorder="1" applyAlignment="1">
      <alignment horizontal="center" vertical="center"/>
    </xf>
    <xf numFmtId="0" fontId="0" fillId="0" borderId="99" xfId="0" applyBorder="1" applyAlignment="1">
      <alignment horizontal="center" vertical="top"/>
    </xf>
    <xf numFmtId="10" fontId="0" fillId="0" borderId="99" xfId="0" applyNumberFormat="1" applyBorder="1" applyAlignment="1">
      <alignment vertical="center"/>
    </xf>
    <xf numFmtId="0" fontId="130" fillId="0" borderId="99" xfId="0" applyFont="1" applyBorder="1" applyAlignment="1">
      <alignment horizontal="center" vertical="center"/>
    </xf>
    <xf numFmtId="164" fontId="56" fillId="0" borderId="99" xfId="0" applyNumberFormat="1" applyFont="1" applyBorder="1" applyAlignment="1">
      <alignment horizontal="center" vertical="center"/>
    </xf>
    <xf numFmtId="0" fontId="0" fillId="3" borderId="103" xfId="0" applyFill="1" applyBorder="1"/>
    <xf numFmtId="0" fontId="29" fillId="0" borderId="99" xfId="0" applyFont="1" applyBorder="1" applyAlignment="1">
      <alignment horizontal="left" wrapText="1"/>
    </xf>
    <xf numFmtId="164" fontId="56" fillId="0" borderId="99" xfId="0" applyNumberFormat="1" applyFont="1" applyBorder="1" applyAlignment="1">
      <alignment horizontal="left" vertical="center"/>
    </xf>
    <xf numFmtId="0" fontId="23" fillId="4" borderId="99" xfId="0" applyFont="1" applyFill="1" applyBorder="1" applyAlignment="1">
      <alignment horizontal="left" vertical="center" wrapText="1"/>
    </xf>
    <xf numFmtId="164" fontId="0" fillId="4" borderId="99" xfId="0" applyNumberFormat="1" applyFill="1" applyBorder="1" applyAlignment="1">
      <alignment horizontal="left" vertical="center"/>
    </xf>
    <xf numFmtId="0" fontId="0" fillId="0" borderId="103" xfId="0" applyBorder="1" applyAlignment="1">
      <alignment horizontal="left"/>
    </xf>
    <xf numFmtId="0" fontId="0" fillId="0" borderId="107" xfId="0" applyBorder="1" applyAlignment="1">
      <alignment horizontal="center" vertical="center"/>
    </xf>
    <xf numFmtId="164" fontId="45" fillId="0" borderId="99" xfId="0" applyNumberFormat="1" applyFont="1" applyBorder="1" applyAlignment="1">
      <alignment horizontal="center" vertical="center" wrapText="1"/>
    </xf>
    <xf numFmtId="0" fontId="66" fillId="0" borderId="99" xfId="0" applyFont="1" applyBorder="1" applyAlignment="1">
      <alignment horizontal="center" vertical="center"/>
    </xf>
    <xf numFmtId="0" fontId="116" fillId="0" borderId="99" xfId="0" applyFont="1" applyBorder="1" applyAlignment="1">
      <alignment horizontal="center" vertical="center"/>
    </xf>
    <xf numFmtId="0" fontId="45" fillId="4" borderId="99" xfId="0" applyFont="1" applyFill="1" applyBorder="1" applyAlignment="1">
      <alignment horizontal="center" vertical="center"/>
    </xf>
    <xf numFmtId="0" fontId="2" fillId="43" borderId="99" xfId="0" applyFont="1" applyFill="1" applyBorder="1" applyAlignment="1">
      <alignment vertical="center"/>
    </xf>
    <xf numFmtId="0" fontId="57" fillId="0" borderId="99" xfId="0" applyFont="1" applyBorder="1"/>
    <xf numFmtId="0" fontId="23" fillId="4" borderId="99" xfId="0" quotePrefix="1" applyFont="1" applyFill="1" applyBorder="1" applyAlignment="1">
      <alignment horizontal="center" vertical="center"/>
    </xf>
    <xf numFmtId="16" fontId="23" fillId="4" borderId="99" xfId="0" applyNumberFormat="1" applyFont="1" applyFill="1" applyBorder="1" applyAlignment="1">
      <alignment horizontal="center" vertical="center"/>
    </xf>
    <xf numFmtId="0" fontId="0" fillId="2" borderId="107" xfId="0" applyFill="1" applyBorder="1" applyAlignment="1">
      <alignment horizontal="left" vertical="center"/>
    </xf>
    <xf numFmtId="0" fontId="45" fillId="2" borderId="99" xfId="0" applyFont="1" applyFill="1" applyBorder="1" applyAlignment="1">
      <alignment horizontal="left"/>
    </xf>
    <xf numFmtId="164" fontId="163" fillId="2" borderId="99" xfId="0" applyNumberFormat="1" applyFont="1" applyFill="1" applyBorder="1" applyAlignment="1">
      <alignment horizontal="center" vertical="center"/>
    </xf>
    <xf numFmtId="164" fontId="57" fillId="0" borderId="99" xfId="0" applyNumberFormat="1" applyFont="1" applyBorder="1" applyAlignment="1">
      <alignment vertical="center"/>
    </xf>
    <xf numFmtId="164" fontId="163" fillId="4" borderId="99" xfId="0" applyNumberFormat="1" applyFont="1" applyFill="1" applyBorder="1" applyAlignment="1">
      <alignment horizontal="center" vertical="center"/>
    </xf>
    <xf numFmtId="0" fontId="0" fillId="43" borderId="99" xfId="0" applyFill="1" applyBorder="1"/>
    <xf numFmtId="0" fontId="23" fillId="4" borderId="99" xfId="0" applyFont="1" applyFill="1" applyBorder="1" applyAlignment="1">
      <alignment horizontal="left" wrapText="1"/>
    </xf>
    <xf numFmtId="164" fontId="2" fillId="0" borderId="99" xfId="0" applyNumberFormat="1" applyFont="1" applyBorder="1" applyAlignment="1">
      <alignment horizontal="left"/>
    </xf>
  </cellXfs>
  <cellStyles count="4072">
    <cellStyle name="_Book1" xfId="91" xr:uid="{442C1D93-8D98-4B07-972F-1705949DA85A}"/>
    <cellStyle name="_Book1_1" xfId="92" xr:uid="{1838F6FE-0C33-47C7-8F1A-C0FEC1581DAE}"/>
    <cellStyle name="_Book1_1 2" xfId="93" xr:uid="{3A36FAFE-0AA6-4D4F-A4B7-0AC45F22DA3F}"/>
    <cellStyle name="_Book1_2" xfId="94" xr:uid="{AD2FFD39-5715-4038-A71C-71179257B071}"/>
    <cellStyle name="_家居3642箱" xfId="95" xr:uid="{B4F9F792-7FA2-47A0-836A-490E0E022FED}"/>
    <cellStyle name="_家居3642箱 2" xfId="96" xr:uid="{25AF925A-DFBA-462C-89E3-A4A4B00DE238}"/>
    <cellStyle name="0,0_x005f_x000d__x005f_x000a_NA_x005f_x000d__x005f_x000a_" xfId="97" xr:uid="{FD111F11-4AB6-4C55-B95B-BA2FF8D1834E}"/>
    <cellStyle name="20% - Accent1" xfId="21" builtinId="30" customBuiltin="1"/>
    <cellStyle name="20% - Accent1 2" xfId="53" xr:uid="{20070694-A9D1-4D17-8F54-10CB5629A218}"/>
    <cellStyle name="20% - Accent1 2 2" xfId="98" xr:uid="{50FD3765-4561-46BC-AA74-5AB9E20219B9}"/>
    <cellStyle name="20% - Accent2" xfId="25" builtinId="34" customBuiltin="1"/>
    <cellStyle name="20% - Accent2 2" xfId="56" xr:uid="{88A002A9-5662-4A3A-B683-997976D5105A}"/>
    <cellStyle name="20% - Accent2 2 2" xfId="99" xr:uid="{4FFFE385-C4DC-40D3-9A01-DFA3BC500687}"/>
    <cellStyle name="20% - Accent3" xfId="29" builtinId="38" customBuiltin="1"/>
    <cellStyle name="20% - Accent3 2" xfId="59" xr:uid="{FE99A16A-CEC0-4DF0-A58B-F6AC05A8E2D2}"/>
    <cellStyle name="20% - Accent3 2 2" xfId="100" xr:uid="{20D8E3C7-E8F3-4D7E-B5DD-0FDA252B5057}"/>
    <cellStyle name="20% - Accent4" xfId="33" builtinId="42" customBuiltin="1"/>
    <cellStyle name="20% - Accent4 2" xfId="62" xr:uid="{01941BEE-C46B-4A23-9DE9-BD0A64D2E5A9}"/>
    <cellStyle name="20% - Accent4 2 2" xfId="101" xr:uid="{F9C963B9-4EB7-4B6C-81B0-8A450A1DD18A}"/>
    <cellStyle name="20% - Accent5" xfId="37" builtinId="46" customBuiltin="1"/>
    <cellStyle name="20% - Accent5 2" xfId="65" xr:uid="{BDE35CE8-EA6E-44C9-B68E-CDEC61B50339}"/>
    <cellStyle name="20% - Accent5 2 2" xfId="102" xr:uid="{466FC933-F4FB-4701-B930-A9187B7C51F7}"/>
    <cellStyle name="20% - Accent6" xfId="41" builtinId="50" customBuiltin="1"/>
    <cellStyle name="20% - Accent6 2" xfId="68" xr:uid="{A4A9913A-7C04-43B9-8F3C-9A3C7AB3ADBC}"/>
    <cellStyle name="20% - Accent6 2 2" xfId="103" xr:uid="{AEB4C75F-6931-4541-A4BB-07BE9EBB8621}"/>
    <cellStyle name="20% - 强调文字颜色 1 10" xfId="104" xr:uid="{0FFB3D53-D556-43A3-9F4A-5D1EE5A64A9E}"/>
    <cellStyle name="20% - 强调文字颜色 1 11" xfId="105" xr:uid="{A0F0F5F8-3D6C-44AA-9579-F166A0F3F75B}"/>
    <cellStyle name="20% - 强调文字颜色 1 2" xfId="106" xr:uid="{5AFB691D-7D78-4A97-BCD8-58FF1F1F5914}"/>
    <cellStyle name="20% - 强调文字颜色 1 2 2" xfId="107" xr:uid="{A2D39ACB-2FBA-4B0F-A886-817D35612FD2}"/>
    <cellStyle name="20% - 强调文字颜色 1 2 2 2" xfId="108" xr:uid="{F5B25969-C957-41AE-88E0-2F9452BED9A9}"/>
    <cellStyle name="20% - 强调文字颜色 1 2 2 2 2" xfId="109" xr:uid="{AA9B6406-6F9A-44B1-83F1-62210D2C2BA9}"/>
    <cellStyle name="20% - 强调文字颜色 1 2 2 2 2 2" xfId="110" xr:uid="{8C1FFE53-8F20-449E-97E7-0ADCDE7D29A2}"/>
    <cellStyle name="20% - 强调文字颜色 1 2 2 2 2 2 2" xfId="111" xr:uid="{AA2DDE1F-E54F-46F8-AF47-D3129574B5FA}"/>
    <cellStyle name="20% - 强调文字颜色 1 2 2 2 2 3" xfId="112" xr:uid="{22EE1720-9259-4BE7-863A-D7C59DFB1566}"/>
    <cellStyle name="20% - 强调文字颜色 1 2 2 2 3" xfId="113" xr:uid="{81DD9B7A-BFEF-473F-A8BC-C6DA56875A7E}"/>
    <cellStyle name="20% - 强调文字颜色 1 2 2 2 3 2" xfId="114" xr:uid="{105BBCD5-F979-446E-82EA-A4526581C328}"/>
    <cellStyle name="20% - 强调文字颜色 1 2 2 2 4" xfId="115" xr:uid="{E5890EFE-F8E3-4527-9F30-63CD0F629FBC}"/>
    <cellStyle name="20% - 强调文字颜色 1 2 2 3" xfId="116" xr:uid="{83EE92A2-FC99-417E-9A20-C79BF381F1B2}"/>
    <cellStyle name="20% - 强调文字颜色 1 2 2 3 2" xfId="117" xr:uid="{F6C8EB26-D8DB-4EA9-99A1-588901AB0A72}"/>
    <cellStyle name="20% - 强调文字颜色 1 2 2 3 2 2" xfId="118" xr:uid="{CD86B17C-5077-45CF-83D6-C85464980AA6}"/>
    <cellStyle name="20% - 强调文字颜色 1 2 2 3 3" xfId="119" xr:uid="{6CF80968-DE36-4E83-86C9-97C922144A52}"/>
    <cellStyle name="20% - 强调文字颜色 1 2 2 4" xfId="120" xr:uid="{5574672B-9CF4-40A7-B25D-448F2031C8CB}"/>
    <cellStyle name="20% - 强调文字颜色 1 2 2 4 2" xfId="121" xr:uid="{92C88B7D-B2E3-4FC3-BEE4-BABD413B43CC}"/>
    <cellStyle name="20% - 强调文字颜色 1 2 2 5" xfId="122" xr:uid="{B9DACAC1-D4E1-4285-82F3-2CCB32A853D0}"/>
    <cellStyle name="20% - 强调文字颜色 1 2 3" xfId="123" xr:uid="{53F27B8F-93FC-4D78-8CEB-5FF75A6152E6}"/>
    <cellStyle name="20% - 强调文字颜色 1 2 3 2" xfId="124" xr:uid="{94E0EEEB-C301-4A86-AA21-A0898BEB170C}"/>
    <cellStyle name="20% - 强调文字颜色 1 2 3 2 2" xfId="125" xr:uid="{46501F00-01EF-47FB-8B77-27242D62F838}"/>
    <cellStyle name="20% - 强调文字颜色 1 2 3 2 2 2" xfId="126" xr:uid="{B65D3A8A-3B66-4854-89F8-2301C4395484}"/>
    <cellStyle name="20% - 强调文字颜色 1 2 3 2 3" xfId="127" xr:uid="{896C25AB-AFAE-40FC-8F16-A0A9E8F03F43}"/>
    <cellStyle name="20% - 强调文字颜色 1 2 3 2 4" xfId="128" xr:uid="{9E54EE4D-5939-4B67-8E87-1732A8D52F92}"/>
    <cellStyle name="20% - 强调文字颜色 1 2 3 3" xfId="129" xr:uid="{14FB93E9-6132-47AB-8EED-12F23AD53C8E}"/>
    <cellStyle name="20% - 强调文字颜色 1 2 3 3 2" xfId="130" xr:uid="{37D855E7-7EB3-4ED2-BAEE-8325F5EFC470}"/>
    <cellStyle name="20% - 强调文字颜色 1 2 3 4" xfId="131" xr:uid="{F7294AA4-3D37-46DB-983E-83E7CB010C03}"/>
    <cellStyle name="20% - 强调文字颜色 1 2 3 5" xfId="132" xr:uid="{5BF5DCF2-16C9-4A7D-9B38-E55244559599}"/>
    <cellStyle name="20% - 强调文字颜色 1 2 4" xfId="133" xr:uid="{FE5CD54F-196F-44B8-9BD8-68298C3E9536}"/>
    <cellStyle name="20% - 强调文字颜色 1 2 4 2" xfId="134" xr:uid="{1071E2AF-ADE6-442D-BDCB-8E05028A0CB8}"/>
    <cellStyle name="20% - 强调文字颜色 1 2 4 2 2" xfId="135" xr:uid="{AEB6F68B-4513-46C2-835E-FC3627B117B3}"/>
    <cellStyle name="20% - 强调文字颜色 1 2 4 3" xfId="136" xr:uid="{6DBBB848-5FC0-4051-93DE-727F643C0EC4}"/>
    <cellStyle name="20% - 强调文字颜色 1 2 4 3 2" xfId="137" xr:uid="{7AB99143-27C3-4A18-9BD4-6F39FBDA4DA6}"/>
    <cellStyle name="20% - 强调文字颜色 1 2 4 4" xfId="138" xr:uid="{6CBE0AAD-5517-4D17-85DC-030EBCA98211}"/>
    <cellStyle name="20% - 强调文字颜色 1 2 4 5" xfId="139" xr:uid="{FDA726F0-2641-4B5D-A815-0CF183ABE7AC}"/>
    <cellStyle name="20% - 强调文字颜色 1 2 5" xfId="140" xr:uid="{73E9FEDF-C153-4BC4-B779-641E4D8646F4}"/>
    <cellStyle name="20% - 强调文字颜色 1 2 5 2" xfId="141" xr:uid="{79EF9BDE-8A24-408C-B22F-885EB5487735}"/>
    <cellStyle name="20% - 强调文字颜色 1 2 6" xfId="142" xr:uid="{57E15B20-147A-40D9-8F9A-5853D45E7525}"/>
    <cellStyle name="20% - 强调文字颜色 1 2 6 2" xfId="143" xr:uid="{100A611F-A992-4496-9919-D298D58F33A6}"/>
    <cellStyle name="20% - 强调文字颜色 1 2 7" xfId="144" xr:uid="{0E32E587-221A-4BA8-B128-BE6376277C70}"/>
    <cellStyle name="20% - 强调文字颜色 1 2 8" xfId="145" xr:uid="{DF0C1A23-0172-49DB-AE13-8C5EB3538B1D}"/>
    <cellStyle name="20% - 强调文字颜色 1 2 9" xfId="146" xr:uid="{6276F2D0-A687-4EAA-8356-93DDF3CC2A02}"/>
    <cellStyle name="20% - 强调文字颜色 1 3" xfId="147" xr:uid="{000FF7C2-429F-4AA9-B201-3D0CE5F69CDA}"/>
    <cellStyle name="20% - 强调文字颜色 1 3 2" xfId="148" xr:uid="{E47A24E9-42D9-4481-86C4-08F99F02F5FD}"/>
    <cellStyle name="20% - 强调文字颜色 1 3 2 2" xfId="149" xr:uid="{74D2891E-0560-48EF-8A11-B6F0D208954B}"/>
    <cellStyle name="20% - 强调文字颜色 1 3 2 2 2" xfId="150" xr:uid="{5C54136D-0202-420F-AA93-8721BEB8C1AC}"/>
    <cellStyle name="20% - 强调文字颜色 1 3 2 2 2 2" xfId="151" xr:uid="{1B6D28A1-6420-4231-87C4-DBA5C6B4520E}"/>
    <cellStyle name="20% - 强调文字颜色 1 3 2 2 2 2 2" xfId="152" xr:uid="{A1F776F7-FDD0-4730-8182-1E6761C137ED}"/>
    <cellStyle name="20% - 强调文字颜色 1 3 2 2 2 3" xfId="153" xr:uid="{2DB0ADFB-5186-4C2A-9456-1CC0D96137D9}"/>
    <cellStyle name="20% - 强调文字颜色 1 3 2 2 3" xfId="154" xr:uid="{DF5209B3-B2E5-4336-9748-47973ED7E93B}"/>
    <cellStyle name="20% - 强调文字颜色 1 3 2 2 3 2" xfId="155" xr:uid="{48C47A5C-5997-4A65-A516-535107F1615E}"/>
    <cellStyle name="20% - 强调文字颜色 1 3 2 2 4" xfId="156" xr:uid="{E513D583-4FAB-43E4-B3C4-E44DDA8B1005}"/>
    <cellStyle name="20% - 强调文字颜色 1 3 2 3" xfId="157" xr:uid="{67E6E2B7-FFA6-4B6C-844A-862BF11CA335}"/>
    <cellStyle name="20% - 强调文字颜色 1 3 2 3 2" xfId="158" xr:uid="{49AABA5A-5306-4DB0-9B69-2B407EE2E724}"/>
    <cellStyle name="20% - 强调文字颜色 1 3 2 3 2 2" xfId="159" xr:uid="{8D88D939-A563-496B-B7D5-C2ABC0F67153}"/>
    <cellStyle name="20% - 强调文字颜色 1 3 2 3 3" xfId="160" xr:uid="{23DD27AF-DC2A-4E9A-9F65-BF8B97043C29}"/>
    <cellStyle name="20% - 强调文字颜色 1 3 2 4" xfId="161" xr:uid="{41FCAEA5-2E74-4A23-BED3-3E0B0F429EB6}"/>
    <cellStyle name="20% - 强调文字颜色 1 3 2 4 2" xfId="162" xr:uid="{3D371420-4B2A-4633-A9FB-191688BF0936}"/>
    <cellStyle name="20% - 强调文字颜色 1 3 2 5" xfId="163" xr:uid="{9E425CCF-5234-40C7-8A9E-402C2F936E27}"/>
    <cellStyle name="20% - 强调文字颜色 1 3 3" xfId="164" xr:uid="{2F15636F-FF02-4D1F-9714-25C3C4F9808E}"/>
    <cellStyle name="20% - 强调文字颜色 1 3 3 2" xfId="165" xr:uid="{140FF173-49B1-4173-B9E9-F6BF858A79F5}"/>
    <cellStyle name="20% - 强调文字颜色 1 3 3 2 2" xfId="166" xr:uid="{7F73A5A9-4EC4-4F7C-9B4A-E07F478007BB}"/>
    <cellStyle name="20% - 强调文字颜色 1 3 3 3" xfId="167" xr:uid="{4C0071E6-EE43-4DF8-8E0E-A4B269B9884B}"/>
    <cellStyle name="20% - 强调文字颜色 1 3 4" xfId="168" xr:uid="{A02EF609-15F1-4AA4-8CFF-D41AA5E8EB3D}"/>
    <cellStyle name="20% - 强调文字颜色 1 3 4 2" xfId="169" xr:uid="{3A6EFDD2-CACC-449A-B21F-7213AEAD9689}"/>
    <cellStyle name="20% - 强调文字颜色 1 3 5" xfId="170" xr:uid="{84D9F62F-599F-4230-A7AB-DE7049FDE7F9}"/>
    <cellStyle name="20% - 强调文字颜色 1 4" xfId="171" xr:uid="{C8801F5E-071C-46CA-A233-FC65CC92AC70}"/>
    <cellStyle name="20% - 强调文字颜色 1 4 2" xfId="172" xr:uid="{E6CADCC7-B028-41B7-B3E7-6AFF176BFE1E}"/>
    <cellStyle name="20% - 强调文字颜色 1 4 2 2" xfId="173" xr:uid="{CB9EAC82-838C-4293-9849-AE9320332C52}"/>
    <cellStyle name="20% - 强调文字颜色 1 4 3" xfId="174" xr:uid="{9D1360C8-3D73-4C51-8884-3AB5DF00B08D}"/>
    <cellStyle name="20% - 强调文字颜色 1 5" xfId="175" xr:uid="{A2F7CE7E-B1F4-4A61-A44E-F1E1C9EB8CB5}"/>
    <cellStyle name="20% - 强调文字颜色 1 5 2" xfId="176" xr:uid="{FB9D41F4-155B-4761-913A-8CF4720AF746}"/>
    <cellStyle name="20% - 强调文字颜色 1 5 2 2" xfId="177" xr:uid="{BF65BF84-4611-49B0-8F27-206609A27429}"/>
    <cellStyle name="20% - 强调文字颜色 1 5 3" xfId="178" xr:uid="{5BCA6CC9-639E-4EA6-BE37-5EB2122268E8}"/>
    <cellStyle name="20% - 强调文字颜色 1 6" xfId="179" xr:uid="{D2ED59B3-827F-45EC-913C-5D351B51E91B}"/>
    <cellStyle name="20% - 强调文字颜色 1 6 2" xfId="180" xr:uid="{150A581F-E777-449E-A2EF-AAE36E4B8219}"/>
    <cellStyle name="20% - 强调文字颜色 1 7" xfId="181" xr:uid="{73C5A985-9273-4EFD-A526-980DC3E493BD}"/>
    <cellStyle name="20% - 强调文字颜色 1 7 2" xfId="182" xr:uid="{5BEBB468-F152-4C24-97BA-8371DBF8A997}"/>
    <cellStyle name="20% - 强调文字颜色 1 8" xfId="183" xr:uid="{9AA390CF-7518-49ED-B1F7-082D40B8B273}"/>
    <cellStyle name="20% - 强调文字颜色 1 8 2" xfId="184" xr:uid="{3ED1682F-9F2A-4E63-BED5-13D219436797}"/>
    <cellStyle name="20% - 强调文字颜色 1 9" xfId="185" xr:uid="{547515B7-6B9E-45EB-B3A9-DA8E3728D6C9}"/>
    <cellStyle name="20% - 强调文字颜色 2 10" xfId="186" xr:uid="{DB073D03-8B8E-44B3-9CFF-43EDEE4C5841}"/>
    <cellStyle name="20% - 强调文字颜色 2 11" xfId="187" xr:uid="{39E208F3-2B94-4EC7-BA3B-4F5B6762ABE2}"/>
    <cellStyle name="20% - 强调文字颜色 2 2" xfId="188" xr:uid="{CA186631-6466-4924-BB22-23092E47BE6A}"/>
    <cellStyle name="20% - 强调文字颜色 2 2 2" xfId="189" xr:uid="{E6D5200E-B87D-4667-90AC-F5AD024D63ED}"/>
    <cellStyle name="20% - 强调文字颜色 2 2 2 2" xfId="190" xr:uid="{80AD3A24-BF59-42BA-A9A7-B98BEA9B5EC1}"/>
    <cellStyle name="20% - 强调文字颜色 2 2 2 2 2" xfId="191" xr:uid="{995CD3AD-80F0-438B-8867-06FCF45DEDC1}"/>
    <cellStyle name="20% - 强调文字颜色 2 2 2 2 2 2" xfId="192" xr:uid="{16044373-429B-4FFF-88F4-003A05AFD8BA}"/>
    <cellStyle name="20% - 强调文字颜色 2 2 2 2 2 2 2" xfId="193" xr:uid="{AFC330E4-F15C-4C95-B085-DBBB7FD280F4}"/>
    <cellStyle name="20% - 强调文字颜色 2 2 2 2 2 3" xfId="194" xr:uid="{94DCE311-BBF1-44F1-B4E7-B73E6CFED632}"/>
    <cellStyle name="20% - 强调文字颜色 2 2 2 2 3" xfId="195" xr:uid="{383CF169-21FB-4D62-8E65-7812C529B360}"/>
    <cellStyle name="20% - 强调文字颜色 2 2 2 2 3 2" xfId="196" xr:uid="{E39117E3-CD6B-4012-B322-8EFFCF9662F7}"/>
    <cellStyle name="20% - 强调文字颜色 2 2 2 2 4" xfId="197" xr:uid="{5C63E52A-C93E-4268-8C23-3E9FA62A3A51}"/>
    <cellStyle name="20% - 强调文字颜色 2 2 2 3" xfId="198" xr:uid="{6095A6D1-45BF-47B2-B23E-15B51FB313DD}"/>
    <cellStyle name="20% - 强调文字颜色 2 2 2 3 2" xfId="199" xr:uid="{84729BF3-E2A9-4800-96B9-472A6556FFD7}"/>
    <cellStyle name="20% - 强调文字颜色 2 2 2 3 2 2" xfId="200" xr:uid="{0C47C2FD-B297-4D5F-960A-A767F4B6999B}"/>
    <cellStyle name="20% - 强调文字颜色 2 2 2 3 3" xfId="201" xr:uid="{35E00E88-0986-4ADE-A7A6-D1769EA8202C}"/>
    <cellStyle name="20% - 强调文字颜色 2 2 2 4" xfId="202" xr:uid="{D5AE93A7-813B-4E20-ACA0-9EABAFEE4AC5}"/>
    <cellStyle name="20% - 强调文字颜色 2 2 2 4 2" xfId="203" xr:uid="{193C8C7E-5689-4130-B368-8604977143BF}"/>
    <cellStyle name="20% - 强调文字颜色 2 2 2 5" xfId="204" xr:uid="{38D5A13C-E6D7-47F6-8299-EE35980C1EDB}"/>
    <cellStyle name="20% - 强调文字颜色 2 2 3" xfId="205" xr:uid="{9A569994-B198-4108-81C4-6ADFAE3626D9}"/>
    <cellStyle name="20% - 强调文字颜色 2 2 3 2" xfId="206" xr:uid="{4C9BE481-332F-4DFE-A6B3-10C3B62320EC}"/>
    <cellStyle name="20% - 强调文字颜色 2 2 3 2 2" xfId="207" xr:uid="{DE1568F2-1577-473D-8067-90ACC7F8A1EF}"/>
    <cellStyle name="20% - 强调文字颜色 2 2 3 2 2 2" xfId="208" xr:uid="{38C6CC4C-11A1-4CCB-8348-90C0CE8F8631}"/>
    <cellStyle name="20% - 强调文字颜色 2 2 3 2 3" xfId="209" xr:uid="{1EDC3BE6-C271-448F-AE90-48CC113E697D}"/>
    <cellStyle name="20% - 强调文字颜色 2 2 3 2 4" xfId="210" xr:uid="{3E8D0430-2F6A-4AD7-A8B9-4A777CED3509}"/>
    <cellStyle name="20% - 强调文字颜色 2 2 3 3" xfId="211" xr:uid="{E77C9B86-5730-4CD9-BADF-D680571854F3}"/>
    <cellStyle name="20% - 强调文字颜色 2 2 3 3 2" xfId="212" xr:uid="{6E1ED3F0-8EA5-42EE-9A88-5A78DA6AC425}"/>
    <cellStyle name="20% - 强调文字颜色 2 2 3 4" xfId="213" xr:uid="{01183F17-417C-442E-812A-F481F049C727}"/>
    <cellStyle name="20% - 强调文字颜色 2 2 3 5" xfId="214" xr:uid="{1FD30EA5-0E04-47E5-A9ED-5F80F5F413A9}"/>
    <cellStyle name="20% - 强调文字颜色 2 2 4" xfId="215" xr:uid="{D29EAA9C-F5DA-44B0-A9F5-783A61967F35}"/>
    <cellStyle name="20% - 强调文字颜色 2 2 4 2" xfId="216" xr:uid="{75527CCB-D4C8-4EA9-9E96-9AEEAF130BDE}"/>
    <cellStyle name="20% - 强调文字颜色 2 2 4 2 2" xfId="217" xr:uid="{ADF0BDC2-3CA8-4D7D-8A0F-BDD66DC0A3BB}"/>
    <cellStyle name="20% - 强调文字颜色 2 2 4 3" xfId="218" xr:uid="{67720385-4069-4A8A-96C9-BA3BF3191AFE}"/>
    <cellStyle name="20% - 强调文字颜色 2 2 4 3 2" xfId="219" xr:uid="{48EE6DCC-F446-4AE8-860E-C0FD11536CC0}"/>
    <cellStyle name="20% - 强调文字颜色 2 2 4 4" xfId="220" xr:uid="{B7723BEA-5DB9-4420-ABBE-BF36F2A7D054}"/>
    <cellStyle name="20% - 强调文字颜色 2 2 4 5" xfId="221" xr:uid="{2E2724E0-C7AA-4B0C-A987-47C1FA87D0A2}"/>
    <cellStyle name="20% - 强调文字颜色 2 2 5" xfId="222" xr:uid="{DAE3114B-F66E-4436-8E41-EE8B59E32DD0}"/>
    <cellStyle name="20% - 强调文字颜色 2 2 5 2" xfId="223" xr:uid="{0550A5D6-DD4A-4F67-85AF-464947D0D222}"/>
    <cellStyle name="20% - 强调文字颜色 2 2 6" xfId="224" xr:uid="{B19D45A0-AC32-4DCC-B9A8-0D0953A0EE39}"/>
    <cellStyle name="20% - 强调文字颜色 2 2 6 2" xfId="225" xr:uid="{310DC6A6-F976-4FD5-93A7-B35E1C5DCEF9}"/>
    <cellStyle name="20% - 强调文字颜色 2 2 7" xfId="226" xr:uid="{3EE71AB8-F7BE-4CC0-8EFB-BCA54C29574E}"/>
    <cellStyle name="20% - 强调文字颜色 2 2 8" xfId="227" xr:uid="{6C0BC288-9512-4702-8317-3F60A5654A99}"/>
    <cellStyle name="20% - 强调文字颜色 2 2 9" xfId="228" xr:uid="{EA6E6EBB-1781-4CAE-8422-B507F361C6C0}"/>
    <cellStyle name="20% - 强调文字颜色 2 3" xfId="229" xr:uid="{81240AAD-FAE4-44BF-8676-12B836C749F0}"/>
    <cellStyle name="20% - 强调文字颜色 2 3 2" xfId="230" xr:uid="{D9CCFF2D-9144-46F3-8A49-28ABF702A129}"/>
    <cellStyle name="20% - 强调文字颜色 2 3 2 2" xfId="231" xr:uid="{0E135C94-AAB5-4770-9AAA-24BB98C29F29}"/>
    <cellStyle name="20% - 强调文字颜色 2 3 2 2 2" xfId="232" xr:uid="{B34E9C66-41CE-4C3C-A19D-A9B03881C552}"/>
    <cellStyle name="20% - 强调文字颜色 2 3 2 2 2 2" xfId="233" xr:uid="{D5F27891-7DDB-4184-A380-E72FB1E1B37A}"/>
    <cellStyle name="20% - 强调文字颜色 2 3 2 2 2 2 2" xfId="234" xr:uid="{F09F8A93-8EC8-4A9E-A893-C78A0408F025}"/>
    <cellStyle name="20% - 强调文字颜色 2 3 2 2 2 3" xfId="235" xr:uid="{DA30BE7B-D7B6-44F6-9BEC-60FC0AAA733C}"/>
    <cellStyle name="20% - 强调文字颜色 2 3 2 2 3" xfId="236" xr:uid="{29BE23C3-CBF4-4734-B279-D1433FD1E849}"/>
    <cellStyle name="20% - 强调文字颜色 2 3 2 2 3 2" xfId="237" xr:uid="{F0D29CC8-9C21-4102-8B89-EE288490CC15}"/>
    <cellStyle name="20% - 强调文字颜色 2 3 2 2 4" xfId="238" xr:uid="{3EAD9BE0-8718-48F3-A450-7520F946453D}"/>
    <cellStyle name="20% - 强调文字颜色 2 3 2 3" xfId="239" xr:uid="{96683695-1BB0-4911-8027-8EFDB569CA1B}"/>
    <cellStyle name="20% - 强调文字颜色 2 3 2 3 2" xfId="240" xr:uid="{D08FC950-A629-4D56-BF03-5E0A6B356FFC}"/>
    <cellStyle name="20% - 强调文字颜色 2 3 2 3 2 2" xfId="241" xr:uid="{1A44352C-521C-44BB-A0E7-CD05A90546FF}"/>
    <cellStyle name="20% - 强调文字颜色 2 3 2 3 3" xfId="242" xr:uid="{D5F4343B-E17A-4FDF-BAF1-4F41BF3C4B8C}"/>
    <cellStyle name="20% - 强调文字颜色 2 3 2 4" xfId="243" xr:uid="{AE8BE7CE-0954-4988-85EB-F33F7A5EAFD7}"/>
    <cellStyle name="20% - 强调文字颜色 2 3 2 4 2" xfId="244" xr:uid="{28C0CFF4-5315-4831-B040-FD11F60E59B9}"/>
    <cellStyle name="20% - 强调文字颜色 2 3 2 5" xfId="245" xr:uid="{E5390F60-BA24-42C0-8406-4ECD485227EE}"/>
    <cellStyle name="20% - 强调文字颜色 2 3 3" xfId="246" xr:uid="{9ED8BC19-23B1-4D47-B0D3-865000D7CAD6}"/>
    <cellStyle name="20% - 强调文字颜色 2 3 3 2" xfId="247" xr:uid="{68D44705-AFC8-4FAB-9DE5-4C839A285164}"/>
    <cellStyle name="20% - 强调文字颜色 2 3 3 2 2" xfId="248" xr:uid="{C4D963C4-AEB3-4188-9490-795719B34CCA}"/>
    <cellStyle name="20% - 强调文字颜色 2 3 3 3" xfId="249" xr:uid="{6C2E284C-2B25-4A02-9E3F-68E9A56494E3}"/>
    <cellStyle name="20% - 强调文字颜色 2 3 4" xfId="250" xr:uid="{46E2E46B-58DE-491A-80E5-E8A218C8974C}"/>
    <cellStyle name="20% - 强调文字颜色 2 3 4 2" xfId="251" xr:uid="{9E15D983-881A-4D46-A95E-AC4A55C7C746}"/>
    <cellStyle name="20% - 强调文字颜色 2 3 5" xfId="252" xr:uid="{26E56685-D54B-4C01-A952-DABFAB7C8990}"/>
    <cellStyle name="20% - 强调文字颜色 2 4" xfId="253" xr:uid="{4AE296D8-12B0-49BF-AD98-EB790C273329}"/>
    <cellStyle name="20% - 强调文字颜色 2 4 2" xfId="254" xr:uid="{1360254C-2A97-441E-ABE2-69D9C1231572}"/>
    <cellStyle name="20% - 强调文字颜色 2 4 2 2" xfId="255" xr:uid="{A20AB7A8-FD80-44AA-B766-4EB3B4A76D69}"/>
    <cellStyle name="20% - 强调文字颜色 2 4 3" xfId="256" xr:uid="{8E29E48B-7BF2-4911-BC93-85A234568EEA}"/>
    <cellStyle name="20% - 强调文字颜色 2 5" xfId="257" xr:uid="{35BE3419-48B8-49F1-BBE3-548FA2CBCDEB}"/>
    <cellStyle name="20% - 强调文字颜色 2 5 2" xfId="258" xr:uid="{E16E8DBA-E6B5-41E5-8A6F-11C17ED3624B}"/>
    <cellStyle name="20% - 强调文字颜色 2 5 2 2" xfId="259" xr:uid="{2E51AA7E-73E4-49E6-9C6F-F77C69DE0C71}"/>
    <cellStyle name="20% - 强调文字颜色 2 5 3" xfId="260" xr:uid="{DB13126D-2415-4D27-BDCF-573893E83EBA}"/>
    <cellStyle name="20% - 强调文字颜色 2 6" xfId="261" xr:uid="{B5FEDE6E-06F1-4635-B1E8-3C06497932F3}"/>
    <cellStyle name="20% - 强调文字颜色 2 6 2" xfId="262" xr:uid="{66D991C0-9A4A-41E6-B4B7-965E4C6AD666}"/>
    <cellStyle name="20% - 强调文字颜色 2 7" xfId="263" xr:uid="{9157C8C1-3647-43C5-9C25-54481781A3DA}"/>
    <cellStyle name="20% - 强调文字颜色 2 7 2" xfId="264" xr:uid="{CAC1056C-8ADB-44C5-AE6A-D0E5EAC06960}"/>
    <cellStyle name="20% - 强调文字颜色 2 8" xfId="265" xr:uid="{9CFEB8A2-7AF8-4C73-BE6F-900D26E2AA94}"/>
    <cellStyle name="20% - 强调文字颜色 2 8 2" xfId="266" xr:uid="{635BAF15-5B79-49F6-BD26-A3241F0853C9}"/>
    <cellStyle name="20% - 强调文字颜色 2 9" xfId="267" xr:uid="{6303E34F-D7C9-4EB3-B8E8-0A8ECEE3CB7A}"/>
    <cellStyle name="20% - 强调文字颜色 3 10" xfId="268" xr:uid="{93778CF9-C82D-4482-BAB8-5639917E94BD}"/>
    <cellStyle name="20% - 强调文字颜色 3 11" xfId="269" xr:uid="{350173FF-FED9-49B4-8F70-170CDE4939B8}"/>
    <cellStyle name="20% - 强调文字颜色 3 2" xfId="270" xr:uid="{0061DB48-E73E-45F8-AB17-9DE3075FA701}"/>
    <cellStyle name="20% - 强调文字颜色 3 2 2" xfId="271" xr:uid="{46DA7208-D4C8-45D9-80DC-536C04459B7D}"/>
    <cellStyle name="20% - 强调文字颜色 3 2 2 2" xfId="272" xr:uid="{D5D17CB0-876E-4EB7-9129-0EDEB61ADA11}"/>
    <cellStyle name="20% - 强调文字颜色 3 2 2 2 2" xfId="273" xr:uid="{115937CE-1996-4E5B-AF4C-94DE7DC672BB}"/>
    <cellStyle name="20% - 强调文字颜色 3 2 2 2 2 2" xfId="274" xr:uid="{D3D37F58-EA5B-41CB-A581-CFCE1F5F9D81}"/>
    <cellStyle name="20% - 强调文字颜色 3 2 2 2 2 2 2" xfId="275" xr:uid="{CFE5C9C3-A4D8-496A-9366-20B4EDC8B7B9}"/>
    <cellStyle name="20% - 强调文字颜色 3 2 2 2 2 3" xfId="276" xr:uid="{1421E5E3-1CDB-431B-BAB6-857FAB47FE10}"/>
    <cellStyle name="20% - 强调文字颜色 3 2 2 2 3" xfId="277" xr:uid="{E75D1218-A9D8-45AF-B745-CD4BFB62882E}"/>
    <cellStyle name="20% - 强调文字颜色 3 2 2 2 3 2" xfId="278" xr:uid="{AD25DEF7-0E93-4218-BE85-004602987C52}"/>
    <cellStyle name="20% - 强调文字颜色 3 2 2 2 4" xfId="279" xr:uid="{0F296B01-11B1-4C41-8225-0941A4E48BD8}"/>
    <cellStyle name="20% - 强调文字颜色 3 2 2 3" xfId="280" xr:uid="{571AF7DD-5868-4526-A77A-11C0CEB46A62}"/>
    <cellStyle name="20% - 强调文字颜色 3 2 2 3 2" xfId="281" xr:uid="{C8C927A1-71A3-426A-96AF-5A2FC01F8E1D}"/>
    <cellStyle name="20% - 强调文字颜色 3 2 2 3 2 2" xfId="282" xr:uid="{B7F19A07-B623-4C8C-A61F-EC3972DC06C5}"/>
    <cellStyle name="20% - 强调文字颜色 3 2 2 3 3" xfId="283" xr:uid="{6E8BAE84-EF70-4F0C-B6CA-97F469983F31}"/>
    <cellStyle name="20% - 强调文字颜色 3 2 2 4" xfId="284" xr:uid="{AFDAC3E5-9B23-42C5-BF0E-36E0E13704C3}"/>
    <cellStyle name="20% - 强调文字颜色 3 2 2 4 2" xfId="285" xr:uid="{CAAECC6F-B382-4469-B840-A872518F37A1}"/>
    <cellStyle name="20% - 强调文字颜色 3 2 2 5" xfId="286" xr:uid="{4FF0A0A8-1893-4403-A2C2-716913357AC1}"/>
    <cellStyle name="20% - 强调文字颜色 3 2 3" xfId="287" xr:uid="{EBA1B53B-D9C3-42AB-8E76-B968B3D97219}"/>
    <cellStyle name="20% - 强调文字颜色 3 2 3 2" xfId="288" xr:uid="{F7B20059-6CA1-4DEE-9A78-03612C8C403B}"/>
    <cellStyle name="20% - 强调文字颜色 3 2 3 2 2" xfId="289" xr:uid="{8682E291-5B55-4AD8-BD8F-C912D7D47C53}"/>
    <cellStyle name="20% - 强调文字颜色 3 2 3 2 2 2" xfId="290" xr:uid="{6E01995F-7862-42F8-9E51-F9E2CC1DC38D}"/>
    <cellStyle name="20% - 强调文字颜色 3 2 3 2 3" xfId="291" xr:uid="{8301C768-A3EB-4227-B51C-8EF9A1D82D65}"/>
    <cellStyle name="20% - 强调文字颜色 3 2 3 2 4" xfId="292" xr:uid="{B7F91FBF-12A6-4363-AD6F-F2B5E89B843A}"/>
    <cellStyle name="20% - 强调文字颜色 3 2 3 3" xfId="293" xr:uid="{C6E4856A-973A-4796-B0A2-F7B8EBADC184}"/>
    <cellStyle name="20% - 强调文字颜色 3 2 3 3 2" xfId="294" xr:uid="{4E9C1C43-5E40-4C55-A9F0-648E4E83F12B}"/>
    <cellStyle name="20% - 强调文字颜色 3 2 3 4" xfId="295" xr:uid="{EBF9B658-E260-4C42-92BE-E1FC965DDAF5}"/>
    <cellStyle name="20% - 强调文字颜色 3 2 3 5" xfId="296" xr:uid="{C41FC547-324A-42E1-BF34-278DF2BE8673}"/>
    <cellStyle name="20% - 强调文字颜色 3 2 4" xfId="297" xr:uid="{D7DF3E5C-1B55-4BC3-98A1-312B453469A0}"/>
    <cellStyle name="20% - 强调文字颜色 3 2 4 2" xfId="298" xr:uid="{B02FEE17-14CD-434C-B96F-48869B2FF15E}"/>
    <cellStyle name="20% - 强调文字颜色 3 2 4 2 2" xfId="299" xr:uid="{539F1E96-5A35-4A63-8007-C1F3AF84412B}"/>
    <cellStyle name="20% - 强调文字颜色 3 2 4 3" xfId="300" xr:uid="{2283CC60-990F-48CA-9D94-E6DCD0C1E6F7}"/>
    <cellStyle name="20% - 强调文字颜色 3 2 4 3 2" xfId="301" xr:uid="{28FE44FC-FE4E-4B20-8F72-7D8EEF7A20E6}"/>
    <cellStyle name="20% - 强调文字颜色 3 2 4 4" xfId="302" xr:uid="{8C1307B5-B003-40F1-99C9-97FC8D43F97B}"/>
    <cellStyle name="20% - 强调文字颜色 3 2 4 5" xfId="303" xr:uid="{D6D0630E-A14E-4820-B2B8-79B69207A0C7}"/>
    <cellStyle name="20% - 强调文字颜色 3 2 5" xfId="304" xr:uid="{47D9CE7F-7AE5-4823-885A-44AB8EC5D8F9}"/>
    <cellStyle name="20% - 强调文字颜色 3 2 5 2" xfId="305" xr:uid="{49F7ABEE-5F4A-4679-96F8-F40E912860C3}"/>
    <cellStyle name="20% - 强调文字颜色 3 2 6" xfId="306" xr:uid="{DC6F05F1-6FC7-44B4-ABF0-0A7B63563E52}"/>
    <cellStyle name="20% - 强调文字颜色 3 2 6 2" xfId="307" xr:uid="{470AA782-710D-4683-823A-68FFA116AD65}"/>
    <cellStyle name="20% - 强调文字颜色 3 2 7" xfId="308" xr:uid="{FB709E4E-AF64-4032-A43F-C814D07B7E68}"/>
    <cellStyle name="20% - 强调文字颜色 3 2 8" xfId="309" xr:uid="{A2270A26-84A5-4304-8E18-17C0F86FF666}"/>
    <cellStyle name="20% - 强调文字颜色 3 2 9" xfId="310" xr:uid="{08D51DCD-3200-40B4-9028-CD1534278F2F}"/>
    <cellStyle name="20% - 强调文字颜色 3 3" xfId="311" xr:uid="{25372346-5F80-4702-AB77-A74814102D5F}"/>
    <cellStyle name="20% - 强调文字颜色 3 3 2" xfId="312" xr:uid="{6D581776-D791-4D35-8CCD-0F5B573A021E}"/>
    <cellStyle name="20% - 强调文字颜色 3 3 2 2" xfId="313" xr:uid="{7FBFE8C3-BAEA-444F-BCF1-AF47E21B7292}"/>
    <cellStyle name="20% - 强调文字颜色 3 3 2 2 2" xfId="314" xr:uid="{740CDFD0-02FB-4AF4-8EE3-17E9FC9C201C}"/>
    <cellStyle name="20% - 强调文字颜色 3 3 2 2 2 2" xfId="315" xr:uid="{7AE7E03A-6280-42B2-AE7C-CCE1FDF5EEC7}"/>
    <cellStyle name="20% - 强调文字颜色 3 3 2 2 2 2 2" xfId="316" xr:uid="{981C1F29-9CA7-48AC-AAC4-BDA7DD3AEE7C}"/>
    <cellStyle name="20% - 强调文字颜色 3 3 2 2 2 3" xfId="317" xr:uid="{25B569A7-FD4B-4C1C-AED2-D1C8DE2E1C7E}"/>
    <cellStyle name="20% - 强调文字颜色 3 3 2 2 3" xfId="318" xr:uid="{170F5559-C986-4B8C-B6B0-D2971764AC84}"/>
    <cellStyle name="20% - 强调文字颜色 3 3 2 2 3 2" xfId="319" xr:uid="{E17A47F4-1676-4A2D-AC73-A9FF0DF82C86}"/>
    <cellStyle name="20% - 强调文字颜色 3 3 2 2 4" xfId="320" xr:uid="{D606A7FE-6C4F-4489-8BF1-705A6FE21C33}"/>
    <cellStyle name="20% - 强调文字颜色 3 3 2 3" xfId="321" xr:uid="{F7808EAC-F9A6-4E31-93F7-AD535076E9F5}"/>
    <cellStyle name="20% - 强调文字颜色 3 3 2 3 2" xfId="322" xr:uid="{D0A98B17-09A6-44C5-8C29-E6BF204BBAD2}"/>
    <cellStyle name="20% - 强调文字颜色 3 3 2 3 2 2" xfId="323" xr:uid="{AF1C657B-16E3-4A3E-B4E0-0AF7EF4FAEFF}"/>
    <cellStyle name="20% - 强调文字颜色 3 3 2 3 3" xfId="324" xr:uid="{47BEBE78-6B1D-4E82-B2FF-6209761A6062}"/>
    <cellStyle name="20% - 强调文字颜色 3 3 2 4" xfId="325" xr:uid="{D9CD0381-D09A-47AC-A175-7B0A91314546}"/>
    <cellStyle name="20% - 强调文字颜色 3 3 2 4 2" xfId="326" xr:uid="{AC7E71A9-D15F-4131-904A-48BF916189FE}"/>
    <cellStyle name="20% - 强调文字颜色 3 3 2 5" xfId="327" xr:uid="{F57EB71E-835D-48D2-8902-A444095DC0F3}"/>
    <cellStyle name="20% - 强调文字颜色 3 3 3" xfId="328" xr:uid="{983965D8-465F-4AC9-B716-0E409324DD71}"/>
    <cellStyle name="20% - 强调文字颜色 3 3 3 2" xfId="329" xr:uid="{18056D96-C556-4C1E-920A-0FB3AB29C83B}"/>
    <cellStyle name="20% - 强调文字颜色 3 3 3 2 2" xfId="330" xr:uid="{B394DC6A-7D22-4A70-8A9D-DEB7769706EC}"/>
    <cellStyle name="20% - 强调文字颜色 3 3 3 3" xfId="331" xr:uid="{3A35654A-F944-4CFA-98BE-3C51253EBCA0}"/>
    <cellStyle name="20% - 强调文字颜色 3 3 4" xfId="332" xr:uid="{37E776C5-6E56-452F-ADD6-34CA3C1287CD}"/>
    <cellStyle name="20% - 强调文字颜色 3 3 4 2" xfId="333" xr:uid="{F8D79062-1E78-4F59-A49E-07C5960B9F33}"/>
    <cellStyle name="20% - 强调文字颜色 3 3 5" xfId="334" xr:uid="{6351512B-D0F3-4791-9860-5DA7A01BCF37}"/>
    <cellStyle name="20% - 强调文字颜色 3 4" xfId="335" xr:uid="{2A52997D-9F91-4434-84FB-32A5BFCFBE7A}"/>
    <cellStyle name="20% - 强调文字颜色 3 4 2" xfId="336" xr:uid="{76903DB8-C2DF-4604-A306-E4B6A86970F1}"/>
    <cellStyle name="20% - 强调文字颜色 3 4 2 2" xfId="337" xr:uid="{0C279D12-16A5-4AC3-9F8F-1C4C6F80E55C}"/>
    <cellStyle name="20% - 强调文字颜色 3 4 3" xfId="338" xr:uid="{D3A0E6E9-B419-4612-81E3-1FE53ECA53FF}"/>
    <cellStyle name="20% - 强调文字颜色 3 5" xfId="339" xr:uid="{411D742A-4C73-4D9E-BBBF-A350D4899E12}"/>
    <cellStyle name="20% - 强调文字颜色 3 5 2" xfId="340" xr:uid="{FCE9A164-169B-4412-A1E5-2BD73B3D07F0}"/>
    <cellStyle name="20% - 强调文字颜色 3 5 2 2" xfId="341" xr:uid="{0FF71A09-1CC5-4E91-9B1A-E01527DBBC83}"/>
    <cellStyle name="20% - 强调文字颜色 3 5 3" xfId="342" xr:uid="{0F51E15E-8C3A-4FD3-9112-F6994818F663}"/>
    <cellStyle name="20% - 强调文字颜色 3 6" xfId="343" xr:uid="{18F53C98-4C8C-4FCC-A472-64E6A1C076B9}"/>
    <cellStyle name="20% - 强调文字颜色 3 6 2" xfId="344" xr:uid="{D3C3FA50-816D-48C3-B4C0-C7BE3E6493A1}"/>
    <cellStyle name="20% - 强调文字颜色 3 7" xfId="345" xr:uid="{BCEA0CBE-08B1-4DB9-8AB2-C6877BEA5F14}"/>
    <cellStyle name="20% - 强调文字颜色 3 7 2" xfId="346" xr:uid="{CB5A3173-221F-4691-83F4-3E6A0B74BA5E}"/>
    <cellStyle name="20% - 强调文字颜色 3 8" xfId="347" xr:uid="{BC7AEF0A-D5B4-4F3D-89EE-2405D8E77916}"/>
    <cellStyle name="20% - 强调文字颜色 3 8 2" xfId="348" xr:uid="{466EC7DD-45D1-40BC-B097-1A680A0FEB91}"/>
    <cellStyle name="20% - 强调文字颜色 3 9" xfId="349" xr:uid="{70D55A23-BF99-4A65-95A9-184BD0B98A1E}"/>
    <cellStyle name="20% - 强调文字颜色 4 10" xfId="350" xr:uid="{B7877894-1954-4BB4-A0BD-61B1DBE43CB5}"/>
    <cellStyle name="20% - 强调文字颜色 4 11" xfId="351" xr:uid="{5764EACD-F4CB-4B5F-A3BC-130482093693}"/>
    <cellStyle name="20% - 强调文字颜色 4 2" xfId="352" xr:uid="{436D0FD2-B632-4B6B-9071-177C51EE69BF}"/>
    <cellStyle name="20% - 强调文字颜色 4 2 2" xfId="353" xr:uid="{A200822E-C66E-4A63-AEED-5CE9A1C348FF}"/>
    <cellStyle name="20% - 强调文字颜色 4 2 2 2" xfId="354" xr:uid="{C584CE26-310B-47D6-88FB-971F7C847E25}"/>
    <cellStyle name="20% - 强调文字颜色 4 2 2 2 2" xfId="355" xr:uid="{64EBE51D-67F2-42BF-ACD9-291F57517D52}"/>
    <cellStyle name="20% - 强调文字颜色 4 2 2 2 2 2" xfId="356" xr:uid="{36C10122-7E24-4E81-B35A-1D3BF857CA9A}"/>
    <cellStyle name="20% - 强调文字颜色 4 2 2 2 2 2 2" xfId="357" xr:uid="{48C0DCFE-AFBB-4C74-906E-8919FED48E9E}"/>
    <cellStyle name="20% - 强调文字颜色 4 2 2 2 2 3" xfId="358" xr:uid="{C2A0D1B7-7821-400F-9F3E-1C87D5EA27BA}"/>
    <cellStyle name="20% - 强调文字颜色 4 2 2 2 3" xfId="359" xr:uid="{B535B4BA-83A5-4AB0-AD3D-E8A060ABDBAF}"/>
    <cellStyle name="20% - 强调文字颜色 4 2 2 2 3 2" xfId="360" xr:uid="{9A0556D8-3545-42DF-AF42-6D467CD65954}"/>
    <cellStyle name="20% - 强调文字颜色 4 2 2 2 4" xfId="361" xr:uid="{D4237DBF-41E1-4DAC-99CE-4E4FED39A42F}"/>
    <cellStyle name="20% - 强调文字颜色 4 2 2 3" xfId="362" xr:uid="{D2D2DD41-0C23-4416-9DED-E643E709870B}"/>
    <cellStyle name="20% - 强调文字颜色 4 2 2 3 2" xfId="363" xr:uid="{80C79715-01D2-4452-9D22-F4BFAAA4219E}"/>
    <cellStyle name="20% - 强调文字颜色 4 2 2 3 2 2" xfId="364" xr:uid="{23468ED4-0973-4911-8B73-4DC62410B32F}"/>
    <cellStyle name="20% - 强调文字颜色 4 2 2 3 3" xfId="365" xr:uid="{A3E5A1E7-EA29-45E8-968A-A60D1E7C76A6}"/>
    <cellStyle name="20% - 强调文字颜色 4 2 2 4" xfId="366" xr:uid="{09A6EE49-AA08-42A6-801B-6FB8323E7D7C}"/>
    <cellStyle name="20% - 强调文字颜色 4 2 2 4 2" xfId="367" xr:uid="{9BE6F78A-753D-4CA2-812F-ECD32C247AFD}"/>
    <cellStyle name="20% - 强调文字颜色 4 2 2 5" xfId="368" xr:uid="{CD608E6E-8510-4264-98DE-C37DCC9EF994}"/>
    <cellStyle name="20% - 强调文字颜色 4 2 3" xfId="369" xr:uid="{7159D807-C3CE-4C3A-8FA8-C8D55336371F}"/>
    <cellStyle name="20% - 强调文字颜色 4 2 3 2" xfId="370" xr:uid="{9CF0FA6A-20C3-422F-98F2-CA80E68B9777}"/>
    <cellStyle name="20% - 强调文字颜色 4 2 3 2 2" xfId="371" xr:uid="{D2C199D6-FEE6-48EC-8361-F42402B4F0FC}"/>
    <cellStyle name="20% - 强调文字颜色 4 2 3 2 2 2" xfId="372" xr:uid="{C4E94CF6-6EF8-49C2-A9A6-524C27415287}"/>
    <cellStyle name="20% - 强调文字颜色 4 2 3 2 3" xfId="373" xr:uid="{4B7D92FD-0D80-4DDC-B1F7-4C4798C1863C}"/>
    <cellStyle name="20% - 强调文字颜色 4 2 3 2 4" xfId="374" xr:uid="{296154BF-301C-4FDF-BA6F-56B87A5E3A77}"/>
    <cellStyle name="20% - 强调文字颜色 4 2 3 3" xfId="375" xr:uid="{DE187E9B-8813-4423-BC40-7B5F33CFBE17}"/>
    <cellStyle name="20% - 强调文字颜色 4 2 3 3 2" xfId="376" xr:uid="{FB8021D6-4B34-4EC4-BC85-54741AFE81B4}"/>
    <cellStyle name="20% - 强调文字颜色 4 2 3 4" xfId="377" xr:uid="{DCCCFBFF-1443-456A-99D1-CD3CC7FDC9D6}"/>
    <cellStyle name="20% - 强调文字颜色 4 2 3 5" xfId="378" xr:uid="{2D21F79F-41BA-43F0-9173-F7C1DB8A098F}"/>
    <cellStyle name="20% - 强调文字颜色 4 2 4" xfId="379" xr:uid="{230A2627-6E17-423E-B813-6956687C0184}"/>
    <cellStyle name="20% - 强调文字颜色 4 2 4 2" xfId="380" xr:uid="{70191043-D0BB-4FE2-A7E8-103BE50E2CD6}"/>
    <cellStyle name="20% - 强调文字颜色 4 2 4 2 2" xfId="381" xr:uid="{845F8BDD-EF5E-4D76-9D6E-B438F6CCBA79}"/>
    <cellStyle name="20% - 强调文字颜色 4 2 4 3" xfId="382" xr:uid="{1037CBE8-4C5C-47BA-9072-0067EF374F68}"/>
    <cellStyle name="20% - 强调文字颜色 4 2 4 3 2" xfId="383" xr:uid="{83D000BF-C2A6-4128-82E7-2219BCBC5B57}"/>
    <cellStyle name="20% - 强调文字颜色 4 2 4 4" xfId="384" xr:uid="{7FB22074-100F-497F-BFC2-BE36FEE921CF}"/>
    <cellStyle name="20% - 强调文字颜色 4 2 4 5" xfId="385" xr:uid="{2BDA88EB-B528-4584-973F-0D97C7ABD5FA}"/>
    <cellStyle name="20% - 强调文字颜色 4 2 5" xfId="386" xr:uid="{F66934C9-2FE2-49D2-990B-66D1D77CF794}"/>
    <cellStyle name="20% - 强调文字颜色 4 2 5 2" xfId="387" xr:uid="{03324978-B5A6-42C4-A5BB-D3A1F127A88F}"/>
    <cellStyle name="20% - 强调文字颜色 4 2 6" xfId="388" xr:uid="{60F30FB9-90F2-4CA0-A69E-6365DF148889}"/>
    <cellStyle name="20% - 强调文字颜色 4 2 6 2" xfId="389" xr:uid="{F261D266-99B4-47AC-9DF7-62B92415B505}"/>
    <cellStyle name="20% - 强调文字颜色 4 2 7" xfId="390" xr:uid="{054B6265-4F75-4C13-A1AB-71402846FAF6}"/>
    <cellStyle name="20% - 强调文字颜色 4 2 8" xfId="391" xr:uid="{6C79ACF7-9ECA-4DCA-AB6E-E0D3021E06C6}"/>
    <cellStyle name="20% - 强调文字颜色 4 2 9" xfId="392" xr:uid="{5CEF1A2B-59E5-4B40-9507-36CF3C1D12C5}"/>
    <cellStyle name="20% - 强调文字颜色 4 3" xfId="393" xr:uid="{585B59FB-5739-4482-B84D-D383D49E87B3}"/>
    <cellStyle name="20% - 强调文字颜色 4 3 2" xfId="394" xr:uid="{2594A0AB-F1DB-42CF-B0E2-7C494CFBFFDB}"/>
    <cellStyle name="20% - 强调文字颜色 4 3 2 2" xfId="395" xr:uid="{7DCAC102-5E2E-480D-96F7-7A7555F2F8B5}"/>
    <cellStyle name="20% - 强调文字颜色 4 3 2 2 2" xfId="396" xr:uid="{EF692522-AD46-4FA9-A730-8A75A234FCEE}"/>
    <cellStyle name="20% - 强调文字颜色 4 3 2 2 2 2" xfId="397" xr:uid="{2099CAC8-526F-4827-8E23-C075A68C776B}"/>
    <cellStyle name="20% - 强调文字颜色 4 3 2 2 2 2 2" xfId="398" xr:uid="{B816AF56-9EC0-4062-96D1-44146153699B}"/>
    <cellStyle name="20% - 强调文字颜色 4 3 2 2 2 3" xfId="399" xr:uid="{FE284312-CB23-49DD-9746-234880842E8D}"/>
    <cellStyle name="20% - 强调文字颜色 4 3 2 2 3" xfId="400" xr:uid="{C97C691F-4244-4D5F-BF3E-F9AA2C7418AD}"/>
    <cellStyle name="20% - 强调文字颜色 4 3 2 2 3 2" xfId="401" xr:uid="{021CF646-0807-4DB4-8B66-10D6519552D4}"/>
    <cellStyle name="20% - 强调文字颜色 4 3 2 2 4" xfId="402" xr:uid="{0A886D8A-09C6-4173-9A21-9B8275D0E1CC}"/>
    <cellStyle name="20% - 强调文字颜色 4 3 2 3" xfId="403" xr:uid="{49D0AB56-52D1-4DC7-A65E-5129DE340BDE}"/>
    <cellStyle name="20% - 强调文字颜色 4 3 2 3 2" xfId="404" xr:uid="{A73BF753-5D07-463E-B2CB-D436B745E5AC}"/>
    <cellStyle name="20% - 强调文字颜色 4 3 2 3 2 2" xfId="405" xr:uid="{A6879B9A-AC92-4855-B262-FFE3BDA55698}"/>
    <cellStyle name="20% - 强调文字颜色 4 3 2 3 3" xfId="406" xr:uid="{DBE5D3B2-F5C6-426E-A0F6-6B338BDDBFDE}"/>
    <cellStyle name="20% - 强调文字颜色 4 3 2 4" xfId="407" xr:uid="{46114B4E-DDD5-48FB-917A-DD4BE8515024}"/>
    <cellStyle name="20% - 强调文字颜色 4 3 2 4 2" xfId="408" xr:uid="{C11E8A66-C58A-4F0D-A829-DCCC6615C0EE}"/>
    <cellStyle name="20% - 强调文字颜色 4 3 2 5" xfId="409" xr:uid="{3187B639-CF5D-40F8-B7D3-9E86A841537B}"/>
    <cellStyle name="20% - 强调文字颜色 4 3 3" xfId="410" xr:uid="{0CD169C3-5A52-4D61-8433-1D819E147C0A}"/>
    <cellStyle name="20% - 强调文字颜色 4 3 3 2" xfId="411" xr:uid="{A168F300-686C-4C2C-BAED-D8CB753F8CF6}"/>
    <cellStyle name="20% - 强调文字颜色 4 3 3 2 2" xfId="412" xr:uid="{6199A77E-6157-4705-8193-E3ACEC4A182A}"/>
    <cellStyle name="20% - 强调文字颜色 4 3 3 3" xfId="413" xr:uid="{6315632E-B575-46DB-8650-EB74660E4169}"/>
    <cellStyle name="20% - 强调文字颜色 4 3 4" xfId="414" xr:uid="{8054A632-C5F8-440C-B7AD-65823B289E7F}"/>
    <cellStyle name="20% - 强调文字颜色 4 3 4 2" xfId="415" xr:uid="{1A551549-5EF9-48E7-9F93-BB55B34C3D0C}"/>
    <cellStyle name="20% - 强调文字颜色 4 3 5" xfId="416" xr:uid="{A9FA31E9-7D37-4032-B074-AE9960813553}"/>
    <cellStyle name="20% - 强调文字颜色 4 4" xfId="417" xr:uid="{B1769FE9-ED55-4E6D-9B7A-1A235E4B3CEC}"/>
    <cellStyle name="20% - 强调文字颜色 4 4 2" xfId="418" xr:uid="{5D1F09AA-1FD9-475F-8111-F97FD00EB60D}"/>
    <cellStyle name="20% - 强调文字颜色 4 4 2 2" xfId="419" xr:uid="{9CCDB893-0E5B-4EEB-B499-BD941B89762A}"/>
    <cellStyle name="20% - 强调文字颜色 4 4 3" xfId="420" xr:uid="{0BDFA47F-BCF0-47F7-A6FA-EBE1B0CFEA2A}"/>
    <cellStyle name="20% - 强调文字颜色 4 5" xfId="421" xr:uid="{D3D824C9-FBDB-4820-A3B3-15F7B65D46DF}"/>
    <cellStyle name="20% - 强调文字颜色 4 5 2" xfId="422" xr:uid="{258FF25D-B3F5-4E5C-BA8A-C0C2AE4D17B3}"/>
    <cellStyle name="20% - 强调文字颜色 4 5 2 2" xfId="423" xr:uid="{F2C0051C-E86A-47C1-94CC-BB912FEF04E6}"/>
    <cellStyle name="20% - 强调文字颜色 4 5 3" xfId="424" xr:uid="{1ED84B38-E7C3-4826-B805-1D61590AC5AE}"/>
    <cellStyle name="20% - 强调文字颜色 4 6" xfId="425" xr:uid="{8DB081CA-5A1A-46E5-B948-C329A8FDEED1}"/>
    <cellStyle name="20% - 强调文字颜色 4 6 2" xfId="426" xr:uid="{A0CDF8CF-28C4-4F37-8A35-A565D8EA53EE}"/>
    <cellStyle name="20% - 强调文字颜色 4 7" xfId="427" xr:uid="{6641E634-5DED-4A67-AC6E-0AB54BBD792C}"/>
    <cellStyle name="20% - 强调文字颜色 4 7 2" xfId="428" xr:uid="{DA5C39F0-5433-4D7B-910A-C2B83E3BBA51}"/>
    <cellStyle name="20% - 强调文字颜色 4 8" xfId="429" xr:uid="{07DE1FDC-0813-429C-8C52-16AABE5CEE47}"/>
    <cellStyle name="20% - 强调文字颜色 4 8 2" xfId="430" xr:uid="{228BA4A9-EDF5-4DEA-A30A-14B29EFC080B}"/>
    <cellStyle name="20% - 强调文字颜色 4 9" xfId="431" xr:uid="{5DB3D89E-BE74-4DE2-A24C-5765770CF716}"/>
    <cellStyle name="20% - 强调文字颜色 5 10" xfId="432" xr:uid="{A85532F0-6861-417A-AC80-CA8112D86D60}"/>
    <cellStyle name="20% - 强调文字颜色 5 11" xfId="433" xr:uid="{92201601-8181-4711-AD0A-15DC600AEB34}"/>
    <cellStyle name="20% - 强调文字颜色 5 2" xfId="434" xr:uid="{514522FF-115C-4D5F-ADD9-A114EA85BD11}"/>
    <cellStyle name="20% - 强调文字颜色 5 2 2" xfId="435" xr:uid="{807CE1C3-0BC9-403C-B7AA-A48D90BF8288}"/>
    <cellStyle name="20% - 强调文字颜色 5 2 2 2" xfId="436" xr:uid="{A4FF348A-98CE-4E83-9DA3-4B211E37FE34}"/>
    <cellStyle name="20% - 强调文字颜色 5 2 2 2 2" xfId="437" xr:uid="{79FBFDFC-7FFA-45C1-B46E-2447FAC0077F}"/>
    <cellStyle name="20% - 强调文字颜色 5 2 2 2 2 2" xfId="438" xr:uid="{82481B05-15FD-4FC5-ABA5-47B022E49088}"/>
    <cellStyle name="20% - 强调文字颜色 5 2 2 2 2 2 2" xfId="439" xr:uid="{D2979FC6-F367-459C-9F65-106466A6DA0B}"/>
    <cellStyle name="20% - 强调文字颜色 5 2 2 2 2 3" xfId="440" xr:uid="{38E5C169-F881-4645-B219-C15FB527194B}"/>
    <cellStyle name="20% - 强调文字颜色 5 2 2 2 3" xfId="441" xr:uid="{D94E0BF2-37DD-4701-973D-D8BE82674784}"/>
    <cellStyle name="20% - 强调文字颜色 5 2 2 2 3 2" xfId="442" xr:uid="{9C92EC0C-7E2F-46C9-B4AB-C85F1C28FA5E}"/>
    <cellStyle name="20% - 强调文字颜色 5 2 2 2 4" xfId="443" xr:uid="{32536D72-D2E8-4C64-9DA3-9725E509376F}"/>
    <cellStyle name="20% - 强调文字颜色 5 2 2 3" xfId="444" xr:uid="{54EE96FD-CB3D-4BF6-98AD-B2DFC355CCCC}"/>
    <cellStyle name="20% - 强调文字颜色 5 2 2 3 2" xfId="445" xr:uid="{19E899FA-A89F-4644-BF3A-7A0933694534}"/>
    <cellStyle name="20% - 强调文字颜色 5 2 2 3 2 2" xfId="446" xr:uid="{4FD59E76-FF6D-4818-B286-6CE7C99B751D}"/>
    <cellStyle name="20% - 强调文字颜色 5 2 2 3 3" xfId="447" xr:uid="{25E106C3-A4CB-4148-9297-2DC8A41DDC00}"/>
    <cellStyle name="20% - 强调文字颜色 5 2 2 4" xfId="448" xr:uid="{D4A051D0-2520-4D7F-95D5-7A059E82CFC4}"/>
    <cellStyle name="20% - 强调文字颜色 5 2 2 4 2" xfId="449" xr:uid="{B92569DE-66B7-47AC-A698-CCA5EB78F62A}"/>
    <cellStyle name="20% - 强调文字颜色 5 2 2 5" xfId="450" xr:uid="{1EEA4378-06FE-4859-807E-7E4725E73DFB}"/>
    <cellStyle name="20% - 强调文字颜色 5 2 3" xfId="451" xr:uid="{076DBBC3-B137-47D1-86D5-80C6975CF230}"/>
    <cellStyle name="20% - 强调文字颜色 5 2 3 2" xfId="452" xr:uid="{642D0F9E-57E0-4729-A170-EB04F05B25E8}"/>
    <cellStyle name="20% - 强调文字颜色 5 2 3 2 2" xfId="453" xr:uid="{7F592982-CDBA-40E2-A9CF-9C2128643AD7}"/>
    <cellStyle name="20% - 强调文字颜色 5 2 3 2 2 2" xfId="454" xr:uid="{D89FFCE0-A02D-44AB-BA7D-CCB06E50E7FC}"/>
    <cellStyle name="20% - 强调文字颜色 5 2 3 2 3" xfId="455" xr:uid="{0FD6732D-FBBA-42A1-835B-BBB11BBF6262}"/>
    <cellStyle name="20% - 强调文字颜色 5 2 3 2 4" xfId="456" xr:uid="{A112BED5-BBC3-480A-8660-9373A64C06F1}"/>
    <cellStyle name="20% - 强调文字颜色 5 2 3 3" xfId="457" xr:uid="{DB92BAF0-8A65-443A-97AF-31430067DFC0}"/>
    <cellStyle name="20% - 强调文字颜色 5 2 3 3 2" xfId="458" xr:uid="{7171A0D2-F40C-4026-90F9-5F88956BF759}"/>
    <cellStyle name="20% - 强调文字颜色 5 2 3 4" xfId="459" xr:uid="{401B202B-0AE2-4B48-9DB5-A092B30BD402}"/>
    <cellStyle name="20% - 强调文字颜色 5 2 3 5" xfId="460" xr:uid="{914B5F54-3FE8-41A7-97A2-58A90F305CB3}"/>
    <cellStyle name="20% - 强调文字颜色 5 2 4" xfId="461" xr:uid="{A2B67384-5E2C-4E42-915C-D4BBD9B0262D}"/>
    <cellStyle name="20% - 强调文字颜色 5 2 4 2" xfId="462" xr:uid="{876A5662-EFCE-4BCC-BFA6-3F15C0B15268}"/>
    <cellStyle name="20% - 强调文字颜色 5 2 4 2 2" xfId="463" xr:uid="{6B3F4265-F1EE-461D-B737-53C031CE7BC4}"/>
    <cellStyle name="20% - 强调文字颜色 5 2 4 3" xfId="464" xr:uid="{20C52817-8019-431E-8B67-B22B8897D8FD}"/>
    <cellStyle name="20% - 强调文字颜色 5 2 4 3 2" xfId="465" xr:uid="{3BCA28F6-0D45-47A7-80C8-164B4375FC0D}"/>
    <cellStyle name="20% - 强调文字颜色 5 2 4 4" xfId="466" xr:uid="{4FC73CBD-BAA6-4D98-BD16-FB010A7E4E08}"/>
    <cellStyle name="20% - 强调文字颜色 5 2 4 5" xfId="467" xr:uid="{D833839B-5FB5-4EDB-A370-67F5757B3F26}"/>
    <cellStyle name="20% - 强调文字颜色 5 2 5" xfId="468" xr:uid="{93167D27-F086-4F2A-BBA2-4B8358FF31BE}"/>
    <cellStyle name="20% - 强调文字颜色 5 2 5 2" xfId="469" xr:uid="{4B9E90EA-6DC6-4B17-A4D2-13A810AF9E22}"/>
    <cellStyle name="20% - 强调文字颜色 5 2 6" xfId="470" xr:uid="{E1C008FD-2A51-4E89-A811-615C3B44C47D}"/>
    <cellStyle name="20% - 强调文字颜色 5 2 7" xfId="471" xr:uid="{C5A6C9D3-1772-43C7-9651-67DE138A73D8}"/>
    <cellStyle name="20% - 强调文字颜色 5 3" xfId="472" xr:uid="{48E82EDC-98AF-45CD-8F75-CAA2AF738D53}"/>
    <cellStyle name="20% - 强调文字颜色 5 3 2" xfId="473" xr:uid="{B07E5F4F-31C1-440C-9B1A-007885CB2BA6}"/>
    <cellStyle name="20% - 强调文字颜色 5 3 2 2" xfId="474" xr:uid="{9EBA0EBE-B0A2-4414-BD0F-9D3AECBDCE9A}"/>
    <cellStyle name="20% - 强调文字颜色 5 3 2 2 2" xfId="475" xr:uid="{698B6841-608D-4B57-8AA9-62A0C86902FA}"/>
    <cellStyle name="20% - 强调文字颜色 5 3 2 2 2 2" xfId="476" xr:uid="{B06554E2-7141-4F15-81BE-421D039C5EAF}"/>
    <cellStyle name="20% - 强调文字颜色 5 3 2 2 2 2 2" xfId="477" xr:uid="{57253F29-9CD5-4184-8515-C8831F07F280}"/>
    <cellStyle name="20% - 强调文字颜色 5 3 2 2 2 3" xfId="478" xr:uid="{1515B8D5-FC4A-4E61-B2EF-814B1455616A}"/>
    <cellStyle name="20% - 强调文字颜色 5 3 2 2 3" xfId="479" xr:uid="{691E44F5-F425-47E7-B024-992BC81FE21D}"/>
    <cellStyle name="20% - 强调文字颜色 5 3 2 2 3 2" xfId="480" xr:uid="{CD0F1225-28DD-40B0-9E5C-51E354D205A9}"/>
    <cellStyle name="20% - 强调文字颜色 5 3 2 2 4" xfId="481" xr:uid="{0B1791A1-3441-46CC-8CFA-A54C76BC9C9A}"/>
    <cellStyle name="20% - 强调文字颜色 5 3 2 3" xfId="482" xr:uid="{0FA6A3B1-66A9-495B-907F-87A00E5D5031}"/>
    <cellStyle name="20% - 强调文字颜色 5 3 2 3 2" xfId="483" xr:uid="{13CAF6AB-FDDD-4819-A493-F1EEAD3EBAB8}"/>
    <cellStyle name="20% - 强调文字颜色 5 3 2 3 2 2" xfId="484" xr:uid="{212D34D6-597D-4F83-8B8D-74C0BC5CA980}"/>
    <cellStyle name="20% - 强调文字颜色 5 3 2 3 3" xfId="485" xr:uid="{92CE164C-3F9F-43BF-823A-1C27963E4BE1}"/>
    <cellStyle name="20% - 强调文字颜色 5 3 2 4" xfId="486" xr:uid="{C196E4E7-48BA-4D0F-8343-C7A86A7A7F54}"/>
    <cellStyle name="20% - 强调文字颜色 5 3 2 4 2" xfId="487" xr:uid="{55CC8DBB-0BE4-415A-B331-E1B37BEA791D}"/>
    <cellStyle name="20% - 强调文字颜色 5 3 2 5" xfId="488" xr:uid="{9A87594C-D1A5-4285-A221-1442E7D69950}"/>
    <cellStyle name="20% - 强调文字颜色 5 3 3" xfId="489" xr:uid="{D357A173-FCA1-4B1C-8332-5A981231A69E}"/>
    <cellStyle name="20% - 强调文字颜色 5 3 3 2" xfId="490" xr:uid="{E1168469-2F0F-42F5-9461-1A00274CF115}"/>
    <cellStyle name="20% - 强调文字颜色 5 3 3 2 2" xfId="491" xr:uid="{4D4A7B29-4B38-4CAC-9921-BF5784B1E33F}"/>
    <cellStyle name="20% - 强调文字颜色 5 3 3 3" xfId="492" xr:uid="{EEF2E71A-AE76-4DF4-96C9-F3229B4B7810}"/>
    <cellStyle name="20% - 强调文字颜色 5 3 4" xfId="493" xr:uid="{883A6B68-6BD8-4ADA-8DDD-89E702CC86EE}"/>
    <cellStyle name="20% - 强调文字颜色 5 3 4 2" xfId="494" xr:uid="{03EB364B-B6A3-463F-87AE-CFD4305B8B32}"/>
    <cellStyle name="20% - 强调文字颜色 5 3 5" xfId="495" xr:uid="{63B13AA1-2C6E-40A8-B5AE-525D63B2F972}"/>
    <cellStyle name="20% - 强调文字颜色 5 4" xfId="496" xr:uid="{4C82CA67-0B0D-4EBE-A201-781F4E33E5BD}"/>
    <cellStyle name="20% - 强调文字颜色 5 4 2" xfId="497" xr:uid="{CF870963-15A4-45E5-A476-C9AECDF10548}"/>
    <cellStyle name="20% - 强调文字颜色 5 4 2 2" xfId="498" xr:uid="{CCB2BDA2-DF53-4A81-BD5B-B75162B242F0}"/>
    <cellStyle name="20% - 强调文字颜色 5 4 3" xfId="499" xr:uid="{D47C494B-16D0-4E91-91DA-15A1978984ED}"/>
    <cellStyle name="20% - 强调文字颜色 5 5" xfId="500" xr:uid="{BC695CA8-DFD2-4C6F-A267-AD6ACCC3D32B}"/>
    <cellStyle name="20% - 强调文字颜色 5 5 2" xfId="501" xr:uid="{867D7BF3-80C4-4EF7-8419-C3DE5BE10245}"/>
    <cellStyle name="20% - 强调文字颜色 5 5 2 2" xfId="502" xr:uid="{19CA619C-DDF7-41E8-8844-FB2AA54B0F7C}"/>
    <cellStyle name="20% - 强调文字颜色 5 5 3" xfId="503" xr:uid="{A6BA7D05-D99D-44AB-AA53-82D182F1939F}"/>
    <cellStyle name="20% - 强调文字颜色 5 6" xfId="504" xr:uid="{CDB5FC22-E75A-46E6-91F3-6F31F77461BB}"/>
    <cellStyle name="20% - 强调文字颜色 5 6 2" xfId="505" xr:uid="{FB33F1DE-593A-44F0-A26C-1FCC16ED6B7C}"/>
    <cellStyle name="20% - 强调文字颜色 5 7" xfId="506" xr:uid="{900AF2E4-6548-4C11-80D1-5AB95123A89F}"/>
    <cellStyle name="20% - 强调文字颜色 5 7 2" xfId="507" xr:uid="{11A1FB00-C2D3-4DCF-9FE8-8AA1B524C9EA}"/>
    <cellStyle name="20% - 强调文字颜色 5 8" xfId="508" xr:uid="{918EEBAB-27D6-4379-8D02-0E7D5B919735}"/>
    <cellStyle name="20% - 强调文字颜色 5 8 2" xfId="509" xr:uid="{C5A621E6-C1C3-49EF-8FBA-AA7CFC11ED7B}"/>
    <cellStyle name="20% - 强调文字颜色 5 9" xfId="510" xr:uid="{C953DA1E-E4F0-4017-8D99-8A9FC2EFD00C}"/>
    <cellStyle name="20% - 强调文字颜色 6 10" xfId="511" xr:uid="{DECAA2D1-9312-4A66-ACA8-0F434CCC3FF4}"/>
    <cellStyle name="20% - 强调文字颜色 6 11" xfId="512" xr:uid="{9D0372BD-0091-4FD8-A7BE-C8FA873776F0}"/>
    <cellStyle name="20% - 强调文字颜色 6 2" xfId="513" xr:uid="{CF5ECA49-4B3B-4A71-B8C4-7972D18CA6FE}"/>
    <cellStyle name="20% - 强调文字颜色 6 2 2" xfId="514" xr:uid="{A0044561-473B-4151-8C65-9765D1C32E01}"/>
    <cellStyle name="20% - 强调文字颜色 6 2 2 2" xfId="515" xr:uid="{0C7D559D-4F3D-457F-9776-11ED171EC32F}"/>
    <cellStyle name="20% - 强调文字颜色 6 2 2 2 2" xfId="516" xr:uid="{BFC5B1B8-8053-498C-AD50-23B03F956071}"/>
    <cellStyle name="20% - 强调文字颜色 6 2 2 2 2 2" xfId="517" xr:uid="{D62956E1-49C3-48C5-A3A5-A2348F6EFD25}"/>
    <cellStyle name="20% - 强调文字颜色 6 2 2 2 2 2 2" xfId="518" xr:uid="{35E244AB-401D-4F51-A7A5-986F135DB645}"/>
    <cellStyle name="20% - 强调文字颜色 6 2 2 2 2 3" xfId="519" xr:uid="{C104AC50-B614-43D5-A318-A8730817C858}"/>
    <cellStyle name="20% - 强调文字颜色 6 2 2 2 3" xfId="520" xr:uid="{97F6A0FA-1D23-4B43-B7FB-014C99DF3055}"/>
    <cellStyle name="20% - 强调文字颜色 6 2 2 2 3 2" xfId="521" xr:uid="{E07E8384-2453-4F1F-9171-7FC56C12909C}"/>
    <cellStyle name="20% - 强调文字颜色 6 2 2 2 4" xfId="522" xr:uid="{2285CCD3-1E53-41E2-95B4-1C50A576EBC5}"/>
    <cellStyle name="20% - 强调文字颜色 6 2 2 3" xfId="523" xr:uid="{E8FEA939-D308-4225-B0C4-F2DC0BEE9CBE}"/>
    <cellStyle name="20% - 强调文字颜色 6 2 2 3 2" xfId="524" xr:uid="{ACA5FF09-F4F3-44B5-9802-B3B8A876F2ED}"/>
    <cellStyle name="20% - 强调文字颜色 6 2 2 3 2 2" xfId="525" xr:uid="{E49C539A-660F-4482-AF99-F0E9BA5D9FEA}"/>
    <cellStyle name="20% - 强调文字颜色 6 2 2 3 3" xfId="526" xr:uid="{A561D6EA-5EC1-47C3-B50F-83D0F4B48822}"/>
    <cellStyle name="20% - 强调文字颜色 6 2 2 4" xfId="527" xr:uid="{9C990F6D-3992-4178-9F71-2C7A9DEE9858}"/>
    <cellStyle name="20% - 强调文字颜色 6 2 2 4 2" xfId="528" xr:uid="{3CC33FDC-CC92-44E4-8046-5FA7D5822FF7}"/>
    <cellStyle name="20% - 强调文字颜色 6 2 2 5" xfId="529" xr:uid="{ADFF17FD-4AE5-4257-ACD2-F16A84C1D11C}"/>
    <cellStyle name="20% - 强调文字颜色 6 2 3" xfId="530" xr:uid="{A8E1BB1C-2DBB-4F1E-8B64-D4E6ADA63A88}"/>
    <cellStyle name="20% - 强调文字颜色 6 2 3 2" xfId="531" xr:uid="{78FDB5C9-A2C7-4027-83BE-684FCA01A388}"/>
    <cellStyle name="20% - 强调文字颜色 6 2 3 2 2" xfId="532" xr:uid="{8DEB0594-9F53-4023-A9DD-A64E94FFDF2E}"/>
    <cellStyle name="20% - 强调文字颜色 6 2 3 2 2 2" xfId="533" xr:uid="{A5076760-EC24-47BE-820B-1F5DF414611C}"/>
    <cellStyle name="20% - 强调文字颜色 6 2 3 2 3" xfId="534" xr:uid="{FE9304DC-4534-456E-9875-9E3C2C5669B9}"/>
    <cellStyle name="20% - 强调文字颜色 6 2 3 2 4" xfId="535" xr:uid="{738A6AFD-E02F-4427-9BF4-42A6FA78E677}"/>
    <cellStyle name="20% - 强调文字颜色 6 2 3 3" xfId="536" xr:uid="{E3EEE20D-A3A3-4107-840F-18A5EA614E41}"/>
    <cellStyle name="20% - 强调文字颜色 6 2 3 3 2" xfId="537" xr:uid="{B0D58FB3-31C6-4201-8C34-5E5633477559}"/>
    <cellStyle name="20% - 强调文字颜色 6 2 3 4" xfId="538" xr:uid="{1E9FDEC8-23AB-4DDF-9F7D-620EB091A14B}"/>
    <cellStyle name="20% - 强调文字颜色 6 2 3 5" xfId="539" xr:uid="{3214AAA5-A8FA-4B9E-B022-1209A2963E4A}"/>
    <cellStyle name="20% - 强调文字颜色 6 2 4" xfId="540" xr:uid="{73EAB666-8747-45EA-975B-FFD52AB0FA44}"/>
    <cellStyle name="20% - 强调文字颜色 6 2 4 2" xfId="541" xr:uid="{A3C819B8-3942-48D9-BF0D-3693530ACF5B}"/>
    <cellStyle name="20% - 强调文字颜色 6 2 4 2 2" xfId="542" xr:uid="{A97704AF-E1C0-41EF-85B7-2B9B4EA63306}"/>
    <cellStyle name="20% - 强调文字颜色 6 2 4 3" xfId="543" xr:uid="{6D0FAFD9-A701-485A-8E55-867BD73BAB4F}"/>
    <cellStyle name="20% - 强调文字颜色 6 2 4 3 2" xfId="544" xr:uid="{8F6547AE-A3B6-4DDF-AEEF-0E3119E08970}"/>
    <cellStyle name="20% - 强调文字颜色 6 2 4 4" xfId="545" xr:uid="{E2BE9E17-F2A1-4B59-9877-01230B5F376C}"/>
    <cellStyle name="20% - 强调文字颜色 6 2 4 5" xfId="546" xr:uid="{8E419515-AAFF-4B8E-9987-456C153E2601}"/>
    <cellStyle name="20% - 强调文字颜色 6 2 5" xfId="547" xr:uid="{2D98A874-309C-4104-965C-EA9BDEEDF736}"/>
    <cellStyle name="20% - 强调文字颜色 6 2 5 2" xfId="548" xr:uid="{CA377150-E3D3-44EB-B889-49A87663F1BC}"/>
    <cellStyle name="20% - 强调文字颜色 6 2 6" xfId="549" xr:uid="{21DE604A-952A-4DA6-ADC2-161A61AE3FE6}"/>
    <cellStyle name="20% - 强调文字颜色 6 2 7" xfId="550" xr:uid="{80691C8D-F555-4F76-B680-661793FDC127}"/>
    <cellStyle name="20% - 强调文字颜色 6 3" xfId="551" xr:uid="{43D15333-BF70-4734-ADAF-3ABC3298CCBA}"/>
    <cellStyle name="20% - 强调文字颜色 6 3 2" xfId="552" xr:uid="{E0BB91A6-FC64-4A8B-A664-15EECE35FEF7}"/>
    <cellStyle name="20% - 强调文字颜色 6 3 2 2" xfId="553" xr:uid="{726E2F21-EB75-4203-A07D-03A082AEF720}"/>
    <cellStyle name="20% - 强调文字颜色 6 3 2 2 2" xfId="554" xr:uid="{85DEC872-A8DF-460E-9FC8-837941F450EB}"/>
    <cellStyle name="20% - 强调文字颜色 6 3 2 2 2 2" xfId="555" xr:uid="{6EAC3289-5A41-401F-AC39-3EEB10606E95}"/>
    <cellStyle name="20% - 强调文字颜色 6 3 2 2 2 2 2" xfId="556" xr:uid="{E18DA639-39B8-4AA1-B641-A95D761B286F}"/>
    <cellStyle name="20% - 强调文字颜色 6 3 2 2 2 3" xfId="557" xr:uid="{E1E6EB8C-D55A-45FF-9587-66965222FD33}"/>
    <cellStyle name="20% - 强调文字颜色 6 3 2 2 3" xfId="558" xr:uid="{086D0A50-7865-4A84-AEC5-EDECD0640324}"/>
    <cellStyle name="20% - 强调文字颜色 6 3 2 2 3 2" xfId="559" xr:uid="{7C437010-4A6E-4EC1-BE30-BDB20D3390DB}"/>
    <cellStyle name="20% - 强调文字颜色 6 3 2 2 4" xfId="560" xr:uid="{1646AF74-9D1C-4115-8B08-86EF816B0770}"/>
    <cellStyle name="20% - 强调文字颜色 6 3 2 3" xfId="561" xr:uid="{38331154-B204-4D80-9813-4F2A633A58AF}"/>
    <cellStyle name="20% - 强调文字颜色 6 3 2 3 2" xfId="562" xr:uid="{16D8F87A-29AD-416B-B29F-F64B4447B828}"/>
    <cellStyle name="20% - 强调文字颜色 6 3 2 3 2 2" xfId="563" xr:uid="{01093DB2-9600-4B61-B55F-0107CDEB3283}"/>
    <cellStyle name="20% - 强调文字颜色 6 3 2 3 3" xfId="564" xr:uid="{C1CE4B5E-A35F-4340-AFE6-5DE2A0FD147F}"/>
    <cellStyle name="20% - 强调文字颜色 6 3 2 4" xfId="565" xr:uid="{858F7D6C-3380-4636-8390-7C43F3DC0A68}"/>
    <cellStyle name="20% - 强调文字颜色 6 3 2 4 2" xfId="566" xr:uid="{EBD366E1-6F51-4B62-AF5F-850E80B07B51}"/>
    <cellStyle name="20% - 强调文字颜色 6 3 2 5" xfId="567" xr:uid="{D320352E-23B3-4741-A1C3-08B11C52CECA}"/>
    <cellStyle name="20% - 强调文字颜色 6 3 3" xfId="568" xr:uid="{EC0720FB-5B88-4E95-BD7B-267C71B596BA}"/>
    <cellStyle name="20% - 强调文字颜色 6 3 3 2" xfId="569" xr:uid="{3358F0BE-A322-404B-8E4E-BEDF1E07BFB2}"/>
    <cellStyle name="20% - 强调文字颜色 6 3 3 2 2" xfId="570" xr:uid="{10606BE1-FD18-4BF0-BCC7-E87B3AACED1D}"/>
    <cellStyle name="20% - 强调文字颜色 6 3 3 3" xfId="571" xr:uid="{15773AE3-27D3-4137-97F0-42A15EE6AA1D}"/>
    <cellStyle name="20% - 强调文字颜色 6 3 4" xfId="572" xr:uid="{AF763C95-FB6F-4344-8223-0F55EB695BCB}"/>
    <cellStyle name="20% - 强调文字颜色 6 3 4 2" xfId="573" xr:uid="{D2DA00CF-8B69-42EB-B4EA-BAE91DCE795B}"/>
    <cellStyle name="20% - 强调文字颜色 6 3 5" xfId="574" xr:uid="{5CA92EAB-2A94-4E3C-BDAC-984F561C3719}"/>
    <cellStyle name="20% - 强调文字颜色 6 4" xfId="575" xr:uid="{FD378D51-7CD0-4666-9415-724EF09E00E9}"/>
    <cellStyle name="20% - 强调文字颜色 6 4 2" xfId="576" xr:uid="{67496AF6-C03B-4E3B-B824-0603930FD52D}"/>
    <cellStyle name="20% - 强调文字颜色 6 4 2 2" xfId="577" xr:uid="{BD520A58-0D94-4C2D-BC73-CCBAE1D05894}"/>
    <cellStyle name="20% - 强调文字颜色 6 4 3" xfId="578" xr:uid="{ACF6287B-54A0-4E4C-98D9-94845E4BA674}"/>
    <cellStyle name="20% - 强调文字颜色 6 5" xfId="579" xr:uid="{E86CB6E6-2964-4A41-B3B8-7013E967F65C}"/>
    <cellStyle name="20% - 强调文字颜色 6 5 2" xfId="580" xr:uid="{E86D0E4C-CBC0-44AA-8850-76D07B737935}"/>
    <cellStyle name="20% - 强调文字颜色 6 5 2 2" xfId="581" xr:uid="{F71EB5C7-2117-4667-B8FA-51AB95A919E9}"/>
    <cellStyle name="20% - 强调文字颜色 6 5 3" xfId="582" xr:uid="{A3D9D123-0113-4D88-B162-8546EBAA99D8}"/>
    <cellStyle name="20% - 强调文字颜色 6 6" xfId="583" xr:uid="{DE95E721-5578-4707-9EB2-E041BB2C04C6}"/>
    <cellStyle name="20% - 强调文字颜色 6 6 2" xfId="584" xr:uid="{16BCF33A-BE1C-43F7-9384-1A76B7BB592C}"/>
    <cellStyle name="20% - 强调文字颜色 6 7" xfId="585" xr:uid="{EAD2F2A6-8516-463C-B827-73D4EE597B43}"/>
    <cellStyle name="20% - 强调文字颜色 6 7 2" xfId="586" xr:uid="{148C01E2-D248-42A8-8CDD-F3A582B73103}"/>
    <cellStyle name="20% - 强调文字颜色 6 8" xfId="587" xr:uid="{00D636DB-48AF-4249-A132-F126F540AC63}"/>
    <cellStyle name="20% - 强调文字颜色 6 8 2" xfId="588" xr:uid="{FC679287-B695-4006-A3CB-D723FCACA0B5}"/>
    <cellStyle name="20% - 强调文字颜色 6 9" xfId="589" xr:uid="{9E193DD9-8408-4FAB-98E1-429C162A8918}"/>
    <cellStyle name="40% - Accent1" xfId="22" builtinId="31" customBuiltin="1"/>
    <cellStyle name="40% - Accent1 2" xfId="54" xr:uid="{619E23A7-218F-4B73-A5D5-7F4AB500A6A6}"/>
    <cellStyle name="40% - Accent1 2 2" xfId="590" xr:uid="{2CB40EDF-DE86-4208-883B-1A5466C63C43}"/>
    <cellStyle name="40% - Accent2" xfId="26" builtinId="35" customBuiltin="1"/>
    <cellStyle name="40% - Accent2 2" xfId="57" xr:uid="{188BCF48-0B18-4E84-9E53-C7DB819F80B1}"/>
    <cellStyle name="40% - Accent2 2 2" xfId="591" xr:uid="{8A4175DC-D70F-43F9-80BC-8E3C561304EB}"/>
    <cellStyle name="40% - Accent3" xfId="30" builtinId="39" customBuiltin="1"/>
    <cellStyle name="40% - Accent3 2" xfId="60" xr:uid="{A6863A45-A0FA-4D49-946C-3E6D3297D2B2}"/>
    <cellStyle name="40% - Accent3 2 2" xfId="592" xr:uid="{66E7DC10-6509-461C-9700-B52DAA0B9229}"/>
    <cellStyle name="40% - Accent4" xfId="34" builtinId="43" customBuiltin="1"/>
    <cellStyle name="40% - Accent4 2" xfId="63" xr:uid="{317FB1C0-07D5-4C90-95D4-3AD1DAA0318F}"/>
    <cellStyle name="40% - Accent4 2 2" xfId="593" xr:uid="{BCF670CE-2F77-4BA6-B325-28D0EEDD99CE}"/>
    <cellStyle name="40% - Accent5" xfId="38" builtinId="47" customBuiltin="1"/>
    <cellStyle name="40% - Accent5 2" xfId="66" xr:uid="{4E65D94C-DCB2-4AEA-814F-EE8DB4FA3B9A}"/>
    <cellStyle name="40% - Accent5 2 2" xfId="594" xr:uid="{0F44E675-2A9F-4C1F-83E9-6FA04A716C2D}"/>
    <cellStyle name="40% - Accent6" xfId="42" builtinId="51" customBuiltin="1"/>
    <cellStyle name="40% - Accent6 2" xfId="69" xr:uid="{ADEBCD45-42D4-4BA4-BAF2-A261B4D41704}"/>
    <cellStyle name="40% - Accent6 2 2" xfId="595" xr:uid="{E63EE866-D1B8-4540-A742-11479D4A2D57}"/>
    <cellStyle name="40% - 强调文字颜色 1 10" xfId="596" xr:uid="{A321B33A-A076-4F79-B60A-155E781251CF}"/>
    <cellStyle name="40% - 强调文字颜色 1 11" xfId="597" xr:uid="{3AA7C61F-047A-4B36-B245-38D12A34CA30}"/>
    <cellStyle name="40% - 强调文字颜色 1 2" xfId="598" xr:uid="{58A356DA-5CDD-400B-9C8B-4387417BDA21}"/>
    <cellStyle name="40% - 强调文字颜色 1 2 2" xfId="599" xr:uid="{CF6A1E73-7EFD-4D92-B02F-D55C2EEEA848}"/>
    <cellStyle name="40% - 强调文字颜色 1 2 2 2" xfId="600" xr:uid="{A4CF1DE4-D8C5-4CF5-A64C-94185478727A}"/>
    <cellStyle name="40% - 强调文字颜色 1 2 2 2 2" xfId="601" xr:uid="{229A40D8-6EF0-4F03-8FBF-C6C254D229A5}"/>
    <cellStyle name="40% - 强调文字颜色 1 2 2 2 2 2" xfId="602" xr:uid="{6FEF31BA-35C8-4AFE-BD49-4D3DBA6B2F37}"/>
    <cellStyle name="40% - 强调文字颜色 1 2 2 2 2 2 2" xfId="603" xr:uid="{17658D95-95D1-4D72-811E-310459D81C84}"/>
    <cellStyle name="40% - 强调文字颜色 1 2 2 2 2 3" xfId="604" xr:uid="{DA29E3F2-12F3-4236-800C-D16360833A1F}"/>
    <cellStyle name="40% - 强调文字颜色 1 2 2 2 3" xfId="605" xr:uid="{BA72662D-C5CF-41C5-B654-8511686E3A02}"/>
    <cellStyle name="40% - 强调文字颜色 1 2 2 2 3 2" xfId="606" xr:uid="{1A53CA8C-4C3C-4F5A-AC87-B1966E924ABC}"/>
    <cellStyle name="40% - 强调文字颜色 1 2 2 2 4" xfId="607" xr:uid="{29EE9AC6-5818-44FF-86B3-77BD5A1AEB6E}"/>
    <cellStyle name="40% - 强调文字颜色 1 2 2 3" xfId="608" xr:uid="{0AD11408-327D-4C3E-BD7F-98CB8D944774}"/>
    <cellStyle name="40% - 强调文字颜色 1 2 2 3 2" xfId="609" xr:uid="{C997355B-04C7-4B50-A58D-76E2B5E748B5}"/>
    <cellStyle name="40% - 强调文字颜色 1 2 2 3 2 2" xfId="610" xr:uid="{71525E22-A094-4650-9EC0-21A85C7F18E5}"/>
    <cellStyle name="40% - 强调文字颜色 1 2 2 3 3" xfId="611" xr:uid="{1278B5B8-53D4-4AEC-BFD3-914F8F28C103}"/>
    <cellStyle name="40% - 强调文字颜色 1 2 2 4" xfId="612" xr:uid="{8AD70944-B8C0-4EF0-A85A-2846332B92B9}"/>
    <cellStyle name="40% - 强调文字颜色 1 2 2 4 2" xfId="613" xr:uid="{9E895278-B46A-4291-A3C0-A9DD85ACFB8F}"/>
    <cellStyle name="40% - 强调文字颜色 1 2 2 5" xfId="614" xr:uid="{75428403-5E57-483E-89F5-A8C93C0C2B75}"/>
    <cellStyle name="40% - 强调文字颜色 1 2 3" xfId="615" xr:uid="{689E14EC-F07F-4A2C-A292-1FC9CFFEDCC3}"/>
    <cellStyle name="40% - 强调文字颜色 1 2 3 2" xfId="616" xr:uid="{4C56735F-E874-465A-ABDA-BD80169900CE}"/>
    <cellStyle name="40% - 强调文字颜色 1 2 3 2 2" xfId="617" xr:uid="{54D9D1CF-D698-4A5D-9843-8E848A4FADF3}"/>
    <cellStyle name="40% - 强调文字颜色 1 2 3 2 2 2" xfId="618" xr:uid="{67D0D836-6D5F-4EC8-A21D-5522498BFDA8}"/>
    <cellStyle name="40% - 强调文字颜色 1 2 3 2 3" xfId="619" xr:uid="{77598D2B-BEAA-4FF5-BF10-050A76E27623}"/>
    <cellStyle name="40% - 强调文字颜色 1 2 3 2 4" xfId="620" xr:uid="{FFCD2133-43F8-4BB0-8DFE-E6A23F773FE1}"/>
    <cellStyle name="40% - 强调文字颜色 1 2 3 3" xfId="621" xr:uid="{EA9283EC-F87B-4510-B290-D5CD3C425A10}"/>
    <cellStyle name="40% - 强调文字颜色 1 2 3 3 2" xfId="622" xr:uid="{CB8F878D-BEDB-4261-BB4D-DD380619B6BC}"/>
    <cellStyle name="40% - 强调文字颜色 1 2 3 4" xfId="623" xr:uid="{7051463C-7F24-4C1E-8532-1FD82E8A1AA1}"/>
    <cellStyle name="40% - 强调文字颜色 1 2 3 5" xfId="624" xr:uid="{75E62B9E-E10D-43FC-80BB-39380E87E410}"/>
    <cellStyle name="40% - 强调文字颜色 1 2 4" xfId="625" xr:uid="{C7D25C71-7FED-43A7-A533-2DA2F30E5AE0}"/>
    <cellStyle name="40% - 强调文字颜色 1 2 4 2" xfId="626" xr:uid="{BF2A89BE-1DBE-4F6F-9419-63E60E8EB611}"/>
    <cellStyle name="40% - 强调文字颜色 1 2 4 2 2" xfId="627" xr:uid="{A2CE0E92-75E2-41DC-945D-9E61A282ECBD}"/>
    <cellStyle name="40% - 强调文字颜色 1 2 4 3" xfId="628" xr:uid="{3119DF50-5A2D-4406-BC8B-F8612CB2902C}"/>
    <cellStyle name="40% - 强调文字颜色 1 2 4 3 2" xfId="629" xr:uid="{1DE22E2A-7548-44C1-B38D-B4DA10BA0506}"/>
    <cellStyle name="40% - 强调文字颜色 1 2 4 4" xfId="630" xr:uid="{5075F9C1-A0A2-4A11-B055-E3F001D7A5F9}"/>
    <cellStyle name="40% - 强调文字颜色 1 2 4 5" xfId="631" xr:uid="{AAD61FB0-E636-488E-9F13-4398191A38DA}"/>
    <cellStyle name="40% - 强调文字颜色 1 2 5" xfId="632" xr:uid="{C643E218-BB6D-4AD3-9D1C-75F2C2AB8099}"/>
    <cellStyle name="40% - 强调文字颜色 1 2 5 2" xfId="633" xr:uid="{D64833A3-54F0-4DDF-80BB-088119BA5FD2}"/>
    <cellStyle name="40% - 强调文字颜色 1 2 6" xfId="634" xr:uid="{5D2524C8-023E-4583-8380-87749782D1D3}"/>
    <cellStyle name="40% - 强调文字颜色 1 2 6 2" xfId="635" xr:uid="{C5D78365-FDA3-4A16-B3E4-257A0A8238A1}"/>
    <cellStyle name="40% - 强调文字颜色 1 2 7" xfId="636" xr:uid="{823C559F-9509-44E9-A8B8-C1B580163793}"/>
    <cellStyle name="40% - 强调文字颜色 1 2 8" xfId="637" xr:uid="{65E4C3D1-5EEB-4CC0-B39A-1F9FF7869042}"/>
    <cellStyle name="40% - 强调文字颜色 1 2 9" xfId="638" xr:uid="{F0DED4DA-214F-4B7A-A904-EB094B758D39}"/>
    <cellStyle name="40% - 强调文字颜色 1 3" xfId="639" xr:uid="{88F30142-260D-4AE8-A4EF-0C6EC4C4E81F}"/>
    <cellStyle name="40% - 强调文字颜色 1 3 2" xfId="640" xr:uid="{90E43191-84ED-430A-B1AE-41E722C7FCF4}"/>
    <cellStyle name="40% - 强调文字颜色 1 3 2 2" xfId="641" xr:uid="{75040A1B-48FC-4C81-BA76-258DAB2A3EA9}"/>
    <cellStyle name="40% - 强调文字颜色 1 3 2 2 2" xfId="642" xr:uid="{3DD1ADF5-496C-4B06-B85B-B4811788ED40}"/>
    <cellStyle name="40% - 强调文字颜色 1 3 2 2 2 2" xfId="643" xr:uid="{30C838FB-06D6-4F88-B968-D60285D51CA6}"/>
    <cellStyle name="40% - 强调文字颜色 1 3 2 2 2 2 2" xfId="644" xr:uid="{363A9ABF-9D2E-4916-9FCD-F1219F9BF150}"/>
    <cellStyle name="40% - 强调文字颜色 1 3 2 2 2 3" xfId="645" xr:uid="{744ED087-1CC2-4B24-8719-C1F31E641800}"/>
    <cellStyle name="40% - 强调文字颜色 1 3 2 2 3" xfId="646" xr:uid="{895EE417-3289-48FC-9172-08C38FB87D0B}"/>
    <cellStyle name="40% - 强调文字颜色 1 3 2 2 3 2" xfId="647" xr:uid="{90CB0E28-C57D-406C-853E-BC566AA0AF25}"/>
    <cellStyle name="40% - 强调文字颜色 1 3 2 2 4" xfId="648" xr:uid="{F4840CCE-9786-4475-93CF-C93152C2B682}"/>
    <cellStyle name="40% - 强调文字颜色 1 3 2 3" xfId="649" xr:uid="{742B9560-FC58-4906-8082-F81C34CDDE4F}"/>
    <cellStyle name="40% - 强调文字颜色 1 3 2 3 2" xfId="650" xr:uid="{06C4996D-1DF2-405E-BE55-9CEBCDDCC6E2}"/>
    <cellStyle name="40% - 强调文字颜色 1 3 2 3 2 2" xfId="651" xr:uid="{814E931A-A663-40EB-901B-16732A0F4097}"/>
    <cellStyle name="40% - 强调文字颜色 1 3 2 3 3" xfId="652" xr:uid="{E20A23B4-45FB-40FB-AA1E-0DFF886835C2}"/>
    <cellStyle name="40% - 强调文字颜色 1 3 2 4" xfId="653" xr:uid="{8FC65636-65A3-499A-B884-AC348B86E0BC}"/>
    <cellStyle name="40% - 强调文字颜色 1 3 2 4 2" xfId="654" xr:uid="{82EE1079-291E-461E-910D-3CBC1A780B8C}"/>
    <cellStyle name="40% - 强调文字颜色 1 3 2 5" xfId="655" xr:uid="{A25286FE-7000-482E-96C9-32FA7CEA27DC}"/>
    <cellStyle name="40% - 强调文字颜色 1 3 3" xfId="656" xr:uid="{9507623F-9349-4E28-B2D2-AB7D73A39999}"/>
    <cellStyle name="40% - 强调文字颜色 1 3 3 2" xfId="657" xr:uid="{AB39DEE8-2FC8-43E4-A5CD-BE5EDFE70A86}"/>
    <cellStyle name="40% - 强调文字颜色 1 3 3 2 2" xfId="658" xr:uid="{B268EECA-39BF-4D91-A56E-3CA777EB0434}"/>
    <cellStyle name="40% - 强调文字颜色 1 3 3 3" xfId="659" xr:uid="{911A2EC3-2120-4ECC-9A4E-C2B8F2EB3704}"/>
    <cellStyle name="40% - 强调文字颜色 1 3 4" xfId="660" xr:uid="{0A535044-14AC-4EBD-8C02-71D326F9CCD6}"/>
    <cellStyle name="40% - 强调文字颜色 1 3 4 2" xfId="661" xr:uid="{7A259988-22E2-43D1-9B97-3EA98564E144}"/>
    <cellStyle name="40% - 强调文字颜色 1 3 5" xfId="662" xr:uid="{4EB95E71-D99C-40B2-94D0-9942366FBAB6}"/>
    <cellStyle name="40% - 强调文字颜色 1 4" xfId="663" xr:uid="{B3D5F2E9-6C80-4038-A3C1-AA83959CA8CF}"/>
    <cellStyle name="40% - 强调文字颜色 1 4 2" xfId="664" xr:uid="{F18FA0E1-49A0-48AD-89BF-8D35900E2F7C}"/>
    <cellStyle name="40% - 强调文字颜色 1 4 2 2" xfId="665" xr:uid="{BF14B60D-8AF8-47E2-A154-F267ED8DB2B7}"/>
    <cellStyle name="40% - 强调文字颜色 1 4 3" xfId="666" xr:uid="{C91F368F-3400-447E-BC1C-A625EB45808A}"/>
    <cellStyle name="40% - 强调文字颜色 1 5" xfId="667" xr:uid="{D1307026-4717-459C-8891-8DC08CD981AD}"/>
    <cellStyle name="40% - 强调文字颜色 1 5 2" xfId="668" xr:uid="{6F31B0E9-F310-495D-B0C8-6191BF2AA749}"/>
    <cellStyle name="40% - 强调文字颜色 1 5 2 2" xfId="669" xr:uid="{74C3B951-9801-4831-967B-CBD49747D136}"/>
    <cellStyle name="40% - 强调文字颜色 1 5 3" xfId="670" xr:uid="{BC5B6833-8370-4C37-AC24-F1B91D77E38B}"/>
    <cellStyle name="40% - 强调文字颜色 1 6" xfId="671" xr:uid="{B5E27AB7-4FCC-47D3-9521-26AC7E934E7E}"/>
    <cellStyle name="40% - 强调文字颜色 1 6 2" xfId="672" xr:uid="{F6BC55FA-B9A6-4553-B04F-DC374562BEC3}"/>
    <cellStyle name="40% - 强调文字颜色 1 7" xfId="673" xr:uid="{073ACC9A-28B0-4DB8-BDA5-2C568F4583F6}"/>
    <cellStyle name="40% - 强调文字颜色 1 7 2" xfId="674" xr:uid="{7E739290-7932-489A-9D5F-C731D6D9B9B3}"/>
    <cellStyle name="40% - 强调文字颜色 1 8" xfId="675" xr:uid="{0866A2A3-6322-42B4-A81F-04B135239685}"/>
    <cellStyle name="40% - 强调文字颜色 1 8 2" xfId="676" xr:uid="{6BBCAE5B-3BBA-460B-8C89-2F98CF9BB972}"/>
    <cellStyle name="40% - 强调文字颜色 1 9" xfId="677" xr:uid="{C3F9DFE3-53EB-4FFA-870A-843A300A0806}"/>
    <cellStyle name="40% - 强调文字颜色 2 10" xfId="678" xr:uid="{85870DAA-AF1D-491E-A127-40D1099BFA05}"/>
    <cellStyle name="40% - 强调文字颜色 2 11" xfId="679" xr:uid="{01D49F36-41A4-4761-857B-A878034C5F67}"/>
    <cellStyle name="40% - 强调文字颜色 2 2" xfId="680" xr:uid="{935655F9-7F3A-4BC5-995F-77A578BF9147}"/>
    <cellStyle name="40% - 强调文字颜色 2 2 2" xfId="681" xr:uid="{DBDEC0DF-B338-467B-AB11-0BFB40578615}"/>
    <cellStyle name="40% - 强调文字颜色 2 2 2 2" xfId="682" xr:uid="{ACB733AC-C613-4BF9-9E04-6CACA574C013}"/>
    <cellStyle name="40% - 强调文字颜色 2 2 2 2 2" xfId="683" xr:uid="{A1CFB4AB-6F40-4A20-B6C8-B7930F2F446A}"/>
    <cellStyle name="40% - 强调文字颜色 2 2 2 2 2 2" xfId="684" xr:uid="{8B4A7FF2-4E40-410F-8C82-897005A2203C}"/>
    <cellStyle name="40% - 强调文字颜色 2 2 2 2 2 2 2" xfId="685" xr:uid="{714E07F9-7C39-425F-9E3C-6CB79D6E90D6}"/>
    <cellStyle name="40% - 强调文字颜色 2 2 2 2 2 3" xfId="686" xr:uid="{8B288754-A971-4769-A4F7-854FF464FD37}"/>
    <cellStyle name="40% - 强调文字颜色 2 2 2 2 3" xfId="687" xr:uid="{BEB14764-366E-40A9-BECD-B56E1586020F}"/>
    <cellStyle name="40% - 强调文字颜色 2 2 2 2 3 2" xfId="688" xr:uid="{89A4853F-E64E-4360-806E-1F09D34743E7}"/>
    <cellStyle name="40% - 强调文字颜色 2 2 2 2 4" xfId="689" xr:uid="{D71B3B20-B2A6-4F09-AB60-01B9F5D9E9BD}"/>
    <cellStyle name="40% - 强调文字颜色 2 2 2 3" xfId="690" xr:uid="{FEB57F69-8F4B-4D1D-87C8-1E740C2733AF}"/>
    <cellStyle name="40% - 强调文字颜色 2 2 2 3 2" xfId="691" xr:uid="{336D277C-9F99-4264-9FD5-408B0DC44977}"/>
    <cellStyle name="40% - 强调文字颜色 2 2 2 3 2 2" xfId="692" xr:uid="{A3D54232-5A51-4500-AB91-916319337ECD}"/>
    <cellStyle name="40% - 强调文字颜色 2 2 2 3 3" xfId="693" xr:uid="{13334A3B-1646-404D-AB41-14084F67CCA4}"/>
    <cellStyle name="40% - 强调文字颜色 2 2 2 4" xfId="694" xr:uid="{C02A10F1-8CB0-4D5D-94F5-E2E3B5957E83}"/>
    <cellStyle name="40% - 强调文字颜色 2 2 2 4 2" xfId="695" xr:uid="{396ACD9A-DBBE-4621-B845-919C8DCDA54E}"/>
    <cellStyle name="40% - 强调文字颜色 2 2 2 5" xfId="696" xr:uid="{C3230CE8-C494-433E-B2B4-D304C42384E8}"/>
    <cellStyle name="40% - 强调文字颜色 2 2 3" xfId="697" xr:uid="{2029BBAD-81D0-4362-B2A8-B36A1B8D350F}"/>
    <cellStyle name="40% - 强调文字颜色 2 2 3 2" xfId="698" xr:uid="{C9998D8D-5B20-444F-B985-270C6E46E611}"/>
    <cellStyle name="40% - 强调文字颜色 2 2 3 2 2" xfId="699" xr:uid="{C8DC3F2B-AB13-4467-B65F-19760230F412}"/>
    <cellStyle name="40% - 强调文字颜色 2 2 3 2 2 2" xfId="700" xr:uid="{F9134FE1-84C2-4B99-AB8D-FE209EAAC8AB}"/>
    <cellStyle name="40% - 强调文字颜色 2 2 3 2 3" xfId="701" xr:uid="{FFA1C04C-694F-4FFE-9015-9B31503EE81B}"/>
    <cellStyle name="40% - 强调文字颜色 2 2 3 2 4" xfId="702" xr:uid="{DF1C8DF7-02EE-4334-9D75-E24894182B56}"/>
    <cellStyle name="40% - 强调文字颜色 2 2 3 3" xfId="703" xr:uid="{2C8A0EEE-15BE-4694-AA0B-75F78475C076}"/>
    <cellStyle name="40% - 强调文字颜色 2 2 3 3 2" xfId="704" xr:uid="{BB9EF063-E9E3-4171-BB0B-79F90B9F7C7A}"/>
    <cellStyle name="40% - 强调文字颜色 2 2 3 4" xfId="705" xr:uid="{717F9739-F4F9-426D-971A-6D33CEE09C9D}"/>
    <cellStyle name="40% - 强调文字颜色 2 2 3 5" xfId="706" xr:uid="{08360D96-3154-4871-A555-A672F44D7F1F}"/>
    <cellStyle name="40% - 强调文字颜色 2 2 4" xfId="707" xr:uid="{39ABD6A2-F343-4CA3-BC98-75A8FC83480F}"/>
    <cellStyle name="40% - 强调文字颜色 2 2 4 2" xfId="708" xr:uid="{43372796-3A09-490A-BF04-E7860FDBFDF8}"/>
    <cellStyle name="40% - 强调文字颜色 2 2 4 2 2" xfId="709" xr:uid="{81765161-476C-4EB5-9F0C-8147F57E9BA2}"/>
    <cellStyle name="40% - 强调文字颜色 2 2 4 3" xfId="710" xr:uid="{84015AE8-220F-40A6-A7A8-5F7FAFEF6911}"/>
    <cellStyle name="40% - 强调文字颜色 2 2 4 3 2" xfId="711" xr:uid="{0D65440B-67D6-4F2F-A45E-58075B04BA20}"/>
    <cellStyle name="40% - 强调文字颜色 2 2 4 4" xfId="712" xr:uid="{951875D6-D3C8-4A81-A578-67D6CD02BABD}"/>
    <cellStyle name="40% - 强调文字颜色 2 2 4 5" xfId="713" xr:uid="{99612AF6-14E6-47AC-984E-7ADF3E0BD778}"/>
    <cellStyle name="40% - 强调文字颜色 2 2 5" xfId="714" xr:uid="{250A7DD5-C6E1-42A3-A957-7FDB49AEBE9F}"/>
    <cellStyle name="40% - 强调文字颜色 2 2 5 2" xfId="715" xr:uid="{B9B54876-5663-4488-B3AA-1035D17305F6}"/>
    <cellStyle name="40% - 强调文字颜色 2 2 6" xfId="716" xr:uid="{4CC3659D-FD8D-4894-9E6B-536855DF7738}"/>
    <cellStyle name="40% - 强调文字颜色 2 2 7" xfId="717" xr:uid="{E7CA75BB-8042-474D-BFCA-E5B9EB5C7C02}"/>
    <cellStyle name="40% - 强调文字颜色 2 3" xfId="718" xr:uid="{208BA25C-39AA-4B89-AEA6-D34E614F6D58}"/>
    <cellStyle name="40% - 强调文字颜色 2 3 2" xfId="719" xr:uid="{4AACB626-F5DA-4A83-B686-D097D9EB92BF}"/>
    <cellStyle name="40% - 强调文字颜色 2 3 2 2" xfId="720" xr:uid="{9AACAD73-6825-42B6-AA1C-00669019C7BC}"/>
    <cellStyle name="40% - 强调文字颜色 2 3 2 2 2" xfId="721" xr:uid="{77352EA7-9661-4C64-9F5C-9A3F7945FDF7}"/>
    <cellStyle name="40% - 强调文字颜色 2 3 2 2 2 2" xfId="722" xr:uid="{0EAA24C1-F56D-4B9E-B922-64432713FA16}"/>
    <cellStyle name="40% - 强调文字颜色 2 3 2 2 2 2 2" xfId="723" xr:uid="{4F234288-C9E2-4BD4-91F7-DDBBFD549F70}"/>
    <cellStyle name="40% - 强调文字颜色 2 3 2 2 2 3" xfId="724" xr:uid="{ACAAFDE3-D827-4F56-A110-1CF533AB2D82}"/>
    <cellStyle name="40% - 强调文字颜色 2 3 2 2 3" xfId="725" xr:uid="{C5F62F22-B262-4103-AE38-C228982A54E1}"/>
    <cellStyle name="40% - 强调文字颜色 2 3 2 2 3 2" xfId="726" xr:uid="{84E8D9B7-CE8B-4E14-9DCC-152B50D8C711}"/>
    <cellStyle name="40% - 强调文字颜色 2 3 2 2 4" xfId="727" xr:uid="{37172252-31D3-4975-9745-3008BAF150DB}"/>
    <cellStyle name="40% - 强调文字颜色 2 3 2 3" xfId="728" xr:uid="{13F619FF-690A-4397-8C12-A6226CCE35F9}"/>
    <cellStyle name="40% - 强调文字颜色 2 3 2 3 2" xfId="729" xr:uid="{A594827D-7FDC-4D22-80A3-E2AA41E3520C}"/>
    <cellStyle name="40% - 强调文字颜色 2 3 2 3 2 2" xfId="730" xr:uid="{8546502A-06DB-4C61-8A86-9872AB06ECD6}"/>
    <cellStyle name="40% - 强调文字颜色 2 3 2 3 3" xfId="731" xr:uid="{0195AE2B-B5E7-4225-82E0-2567FC8D59B2}"/>
    <cellStyle name="40% - 强调文字颜色 2 3 2 4" xfId="732" xr:uid="{9946F174-865D-41E6-A82D-14FEFB3E0781}"/>
    <cellStyle name="40% - 强调文字颜色 2 3 2 4 2" xfId="733" xr:uid="{542E837A-6085-434D-BE45-CD7CCCA933B7}"/>
    <cellStyle name="40% - 强调文字颜色 2 3 2 5" xfId="734" xr:uid="{BCC6FC60-BADB-4296-A4CA-F9BB907B056E}"/>
    <cellStyle name="40% - 强调文字颜色 2 3 3" xfId="735" xr:uid="{268E9811-E755-4198-9B1A-4E6FDA71024E}"/>
    <cellStyle name="40% - 强调文字颜色 2 3 3 2" xfId="736" xr:uid="{30ACB115-5A54-42D3-940A-A9FDE7910745}"/>
    <cellStyle name="40% - 强调文字颜色 2 3 3 2 2" xfId="737" xr:uid="{02FA7A2B-DF1A-4115-BFC0-73DDF57334D9}"/>
    <cellStyle name="40% - 强调文字颜色 2 3 3 3" xfId="738" xr:uid="{8E20F1B7-5295-4147-BCD6-1069D6CAA882}"/>
    <cellStyle name="40% - 强调文字颜色 2 3 4" xfId="739" xr:uid="{2CD9A85A-5903-4E0A-BD31-CDE6FF57817E}"/>
    <cellStyle name="40% - 强调文字颜色 2 3 4 2" xfId="740" xr:uid="{16DB3488-6F80-405E-B969-13608E5EB1BC}"/>
    <cellStyle name="40% - 强调文字颜色 2 3 5" xfId="741" xr:uid="{659B420C-428A-4545-A1F3-BBE4BB33D993}"/>
    <cellStyle name="40% - 强调文字颜色 2 4" xfId="742" xr:uid="{C74BCC87-84DB-46A0-96DB-ADF3D6B19392}"/>
    <cellStyle name="40% - 强调文字颜色 2 4 2" xfId="743" xr:uid="{2C92DB43-1CD1-472E-AA0F-78D4AF791C28}"/>
    <cellStyle name="40% - 强调文字颜色 2 4 2 2" xfId="744" xr:uid="{F2147A33-BC67-46F2-93B3-104C9993F26A}"/>
    <cellStyle name="40% - 强调文字颜色 2 4 3" xfId="745" xr:uid="{5B3BD5F1-892F-41DD-A112-BB039C6FB56D}"/>
    <cellStyle name="40% - 强调文字颜色 2 5" xfId="746" xr:uid="{4BBBCF93-D7A1-4C54-A9EE-007ED033A21A}"/>
    <cellStyle name="40% - 强调文字颜色 2 5 2" xfId="747" xr:uid="{FEDF749D-FD36-486D-A5A0-90E1A2A1A37F}"/>
    <cellStyle name="40% - 强调文字颜色 2 5 2 2" xfId="748" xr:uid="{FEF5D848-7BFE-4F18-9C40-DE5F64BFCB3D}"/>
    <cellStyle name="40% - 强调文字颜色 2 5 3" xfId="749" xr:uid="{2A46431B-42C1-4A06-B006-DC78D954FB22}"/>
    <cellStyle name="40% - 强调文字颜色 2 6" xfId="750" xr:uid="{9766A452-A6F3-4AD1-BB22-7271291077CD}"/>
    <cellStyle name="40% - 强调文字颜色 2 6 2" xfId="751" xr:uid="{424DD49E-8EF7-4426-8F1C-0B75BB378194}"/>
    <cellStyle name="40% - 强调文字颜色 2 7" xfId="752" xr:uid="{0F359981-CE62-440A-979E-A86DAFBF4E3A}"/>
    <cellStyle name="40% - 强调文字颜色 2 7 2" xfId="753" xr:uid="{A43C271C-1E6A-4232-B6EE-41415B6A38E6}"/>
    <cellStyle name="40% - 强调文字颜色 2 8" xfId="754" xr:uid="{30363E72-84C3-46C5-840B-0CE7EEF91A54}"/>
    <cellStyle name="40% - 强调文字颜色 2 8 2" xfId="755" xr:uid="{2A79A689-8569-4357-9143-826ADB9A7307}"/>
    <cellStyle name="40% - 强调文字颜色 2 9" xfId="756" xr:uid="{5604B660-5B04-49DE-B5E4-58DB71F854FB}"/>
    <cellStyle name="40% - 强调文字颜色 3 10" xfId="757" xr:uid="{903DF501-D0BF-4157-9EE7-33CFA7E0C417}"/>
    <cellStyle name="40% - 强调文字颜色 3 11" xfId="758" xr:uid="{FC8E48E7-0608-4E2F-B55A-33E72DFE564A}"/>
    <cellStyle name="40% - 强调文字颜色 3 2" xfId="759" xr:uid="{19C270C4-CA3B-454B-AEA9-B3EF8EEEC03C}"/>
    <cellStyle name="40% - 强调文字颜色 3 2 2" xfId="760" xr:uid="{64DACBB9-D114-4276-A3F3-052A5B4ED538}"/>
    <cellStyle name="40% - 强调文字颜色 3 2 2 2" xfId="761" xr:uid="{BD3F8BA2-0C15-48A2-AC10-008570312694}"/>
    <cellStyle name="40% - 强调文字颜色 3 2 2 2 2" xfId="762" xr:uid="{D6185D3E-526D-4A7A-9D42-47445F966240}"/>
    <cellStyle name="40% - 强调文字颜色 3 2 2 2 2 2" xfId="763" xr:uid="{67D23A22-3E29-4678-A31B-51630AA0F5CE}"/>
    <cellStyle name="40% - 强调文字颜色 3 2 2 2 2 2 2" xfId="764" xr:uid="{F432EC70-0312-4BE1-B622-109992C77C12}"/>
    <cellStyle name="40% - 强调文字颜色 3 2 2 2 2 3" xfId="765" xr:uid="{AE2FAB3C-2EAF-46EE-84BC-BCB4EBBA7B39}"/>
    <cellStyle name="40% - 强调文字颜色 3 2 2 2 3" xfId="766" xr:uid="{860B4F2E-A4C0-4024-8132-8A9C1CAE1D75}"/>
    <cellStyle name="40% - 强调文字颜色 3 2 2 2 3 2" xfId="767" xr:uid="{E64A4D9C-7036-407B-BB85-1AC2DD6D8E3C}"/>
    <cellStyle name="40% - 强调文字颜色 3 2 2 2 4" xfId="768" xr:uid="{1486C254-D139-458A-8929-A0F567139D45}"/>
    <cellStyle name="40% - 强调文字颜色 3 2 2 3" xfId="769" xr:uid="{242299EF-51C2-494C-9B8C-66D3CF1DEB0E}"/>
    <cellStyle name="40% - 强调文字颜色 3 2 2 3 2" xfId="770" xr:uid="{D6D99E72-7DC5-4C71-992E-99AF00DBD9F9}"/>
    <cellStyle name="40% - 强调文字颜色 3 2 2 3 2 2" xfId="771" xr:uid="{122EE6DE-A521-4F8C-955F-04FF1BB1A918}"/>
    <cellStyle name="40% - 强调文字颜色 3 2 2 3 3" xfId="772" xr:uid="{9F1B6A09-E465-4E52-81B1-6A2829E81A06}"/>
    <cellStyle name="40% - 强调文字颜色 3 2 2 4" xfId="773" xr:uid="{778F9574-54E4-42FA-85B0-8182B7752AED}"/>
    <cellStyle name="40% - 强调文字颜色 3 2 2 4 2" xfId="774" xr:uid="{9DCAD8B4-E62C-4D08-BC10-BDC2FC525DE0}"/>
    <cellStyle name="40% - 强调文字颜色 3 2 2 5" xfId="775" xr:uid="{FFB1F199-6157-4AD5-9C6A-F1C5249F9914}"/>
    <cellStyle name="40% - 强调文字颜色 3 2 3" xfId="776" xr:uid="{BAEBE037-A5A3-4F1E-B732-BF3FC70C432B}"/>
    <cellStyle name="40% - 强调文字颜色 3 2 3 2" xfId="777" xr:uid="{496DA3A9-F1A9-4CA0-B27C-99DC44EB7C9E}"/>
    <cellStyle name="40% - 强调文字颜色 3 2 3 2 2" xfId="778" xr:uid="{B9410929-FF92-4234-87A6-661B09DDB792}"/>
    <cellStyle name="40% - 强调文字颜色 3 2 3 2 2 2" xfId="779" xr:uid="{9956D040-A779-4732-91AE-9E8DEAC1211B}"/>
    <cellStyle name="40% - 强调文字颜色 3 2 3 2 3" xfId="780" xr:uid="{69C2581E-54E1-4D71-996B-0FEAD30439CF}"/>
    <cellStyle name="40% - 强调文字颜色 3 2 3 2 4" xfId="781" xr:uid="{8C25A68E-9C49-41A8-8895-F71A0E3AE69C}"/>
    <cellStyle name="40% - 强调文字颜色 3 2 3 3" xfId="782" xr:uid="{FBA518A1-8CBA-4C23-AC76-C54CF2030844}"/>
    <cellStyle name="40% - 强调文字颜色 3 2 3 3 2" xfId="783" xr:uid="{F44BD9D6-601C-48EF-A069-6CA4BF1D5FCF}"/>
    <cellStyle name="40% - 强调文字颜色 3 2 3 4" xfId="784" xr:uid="{1D6A5DA5-9211-47EA-B9C8-B3A7EF2821B9}"/>
    <cellStyle name="40% - 强调文字颜色 3 2 3 5" xfId="785" xr:uid="{651CBE2A-35D8-4FA2-98D0-CE9ACD95058D}"/>
    <cellStyle name="40% - 强调文字颜色 3 2 4" xfId="786" xr:uid="{9581DE91-FC60-44AA-8BAE-60A35E30E193}"/>
    <cellStyle name="40% - 强调文字颜色 3 2 4 2" xfId="787" xr:uid="{AD780E19-BB81-4817-B09A-BD738AA58C59}"/>
    <cellStyle name="40% - 强调文字颜色 3 2 4 2 2" xfId="788" xr:uid="{C84DE98C-D136-4DF0-9FF0-DCB0E1F537A4}"/>
    <cellStyle name="40% - 强调文字颜色 3 2 4 3" xfId="789" xr:uid="{A9FC459F-F6CF-4ECE-BA0E-F2196448B175}"/>
    <cellStyle name="40% - 强调文字颜色 3 2 4 3 2" xfId="790" xr:uid="{5CCF3F24-9DB4-48C9-BF40-267B13779A78}"/>
    <cellStyle name="40% - 强调文字颜色 3 2 4 4" xfId="791" xr:uid="{243BF12D-B2AB-4709-BE14-3FF302219C12}"/>
    <cellStyle name="40% - 强调文字颜色 3 2 4 5" xfId="792" xr:uid="{8399F70A-9718-4F34-9B43-D96D7B9085C8}"/>
    <cellStyle name="40% - 强调文字颜色 3 2 5" xfId="793" xr:uid="{F0F2B7A6-C142-443A-964E-8E0AC2E50578}"/>
    <cellStyle name="40% - 强调文字颜色 3 2 5 2" xfId="794" xr:uid="{2B0142A7-1738-409A-BAE7-57AE8FA9B0DF}"/>
    <cellStyle name="40% - 强调文字颜色 3 2 6" xfId="795" xr:uid="{6AB8CB80-CDA7-4563-B10E-244BF0BAA268}"/>
    <cellStyle name="40% - 强调文字颜色 3 2 6 2" xfId="796" xr:uid="{63A6CA92-5F36-4F51-8A91-A05DE802331F}"/>
    <cellStyle name="40% - 强调文字颜色 3 2 7" xfId="797" xr:uid="{DD548E3C-320D-41DB-BA3B-4E67B5452392}"/>
    <cellStyle name="40% - 强调文字颜色 3 2 8" xfId="798" xr:uid="{4EFBF1ED-2FDA-416C-B54C-F3C0BBC253B0}"/>
    <cellStyle name="40% - 强调文字颜色 3 2 9" xfId="799" xr:uid="{4AA7CF44-AEE8-478F-9D36-2E7983D47B08}"/>
    <cellStyle name="40% - 强调文字颜色 3 3" xfId="800" xr:uid="{3CDB6A69-6FC8-41EF-AC32-3779B9A4D72C}"/>
    <cellStyle name="40% - 强调文字颜色 3 3 2" xfId="801" xr:uid="{975DBC14-71A1-4183-9301-0C09B2B37709}"/>
    <cellStyle name="40% - 强调文字颜色 3 3 2 2" xfId="802" xr:uid="{231572CA-D709-4C57-9535-019CD8D9F4F7}"/>
    <cellStyle name="40% - 强调文字颜色 3 3 2 2 2" xfId="803" xr:uid="{743A79DC-6742-4369-8AA1-82CCAA4CBE52}"/>
    <cellStyle name="40% - 强调文字颜色 3 3 2 2 2 2" xfId="804" xr:uid="{F208CA25-1F1F-4649-BEEA-08CAFE624AAF}"/>
    <cellStyle name="40% - 强调文字颜色 3 3 2 2 2 2 2" xfId="805" xr:uid="{272315E0-AB06-493F-8A52-A8262EFFCE99}"/>
    <cellStyle name="40% - 强调文字颜色 3 3 2 2 2 3" xfId="806" xr:uid="{A0D7C1B8-AC47-43F9-8605-E1EF07515BA3}"/>
    <cellStyle name="40% - 强调文字颜色 3 3 2 2 3" xfId="807" xr:uid="{D68A3059-2E13-45FC-B86B-2564588D3E20}"/>
    <cellStyle name="40% - 强调文字颜色 3 3 2 2 3 2" xfId="808" xr:uid="{C2673203-FE87-404C-BAE2-C914BF61AFAA}"/>
    <cellStyle name="40% - 强调文字颜色 3 3 2 2 4" xfId="809" xr:uid="{86533579-16B4-4F7D-A3A2-5BF9B83F26D9}"/>
    <cellStyle name="40% - 强调文字颜色 3 3 2 3" xfId="810" xr:uid="{FF4C2C8A-7466-4EBF-AC26-FCA6EA96685C}"/>
    <cellStyle name="40% - 强调文字颜色 3 3 2 3 2" xfId="811" xr:uid="{1CCB01E9-0E6B-4B7A-B72E-E4EE8A7C6F05}"/>
    <cellStyle name="40% - 强调文字颜色 3 3 2 3 2 2" xfId="812" xr:uid="{E16B2F5D-68E2-4EFE-B89A-1BC558977694}"/>
    <cellStyle name="40% - 强调文字颜色 3 3 2 3 3" xfId="813" xr:uid="{844F3A22-2F25-4FF1-AFA7-20848065471E}"/>
    <cellStyle name="40% - 强调文字颜色 3 3 2 4" xfId="814" xr:uid="{98ADC58B-1C91-4082-BEBD-8A0615787CE8}"/>
    <cellStyle name="40% - 强调文字颜色 3 3 2 4 2" xfId="815" xr:uid="{0017D170-CCC1-4328-A717-597841F68644}"/>
    <cellStyle name="40% - 强调文字颜色 3 3 2 5" xfId="816" xr:uid="{EC7EE839-1030-4938-9ADA-C41F67943241}"/>
    <cellStyle name="40% - 强调文字颜色 3 3 3" xfId="817" xr:uid="{9307CBE3-5FC9-450C-947B-EF1F2D1B6EC5}"/>
    <cellStyle name="40% - 强调文字颜色 3 3 3 2" xfId="818" xr:uid="{2931E65F-6843-497D-87B5-448751793644}"/>
    <cellStyle name="40% - 强调文字颜色 3 3 3 2 2" xfId="819" xr:uid="{7E35BAF9-E031-4842-9AF6-1496494EA6C2}"/>
    <cellStyle name="40% - 强调文字颜色 3 3 3 3" xfId="820" xr:uid="{0765F149-6C43-4D4A-8D66-0482E8B3FCB0}"/>
    <cellStyle name="40% - 强调文字颜色 3 3 4" xfId="821" xr:uid="{B86D9C57-F1F9-430B-B357-09C3E97749BE}"/>
    <cellStyle name="40% - 强调文字颜色 3 3 4 2" xfId="822" xr:uid="{3183E63F-00AF-4FFF-8058-79AE0E697CCA}"/>
    <cellStyle name="40% - 强调文字颜色 3 3 5" xfId="823" xr:uid="{AD002B8E-6219-4A74-846E-91C6130B85FA}"/>
    <cellStyle name="40% - 强调文字颜色 3 4" xfId="824" xr:uid="{B5B2368E-2EE0-4304-A666-2563C2F7DFEA}"/>
    <cellStyle name="40% - 强调文字颜色 3 4 2" xfId="825" xr:uid="{36AC8DF1-3CDF-49C8-B18C-73A00D633652}"/>
    <cellStyle name="40% - 强调文字颜色 3 4 2 2" xfId="826" xr:uid="{AE6E3B18-FD24-4C08-A946-0921AD145322}"/>
    <cellStyle name="40% - 强调文字颜色 3 4 3" xfId="827" xr:uid="{D6A5DFE2-C3CE-48F4-87F0-2F6BCABB21CB}"/>
    <cellStyle name="40% - 强调文字颜色 3 5" xfId="828" xr:uid="{FFBC7B5E-5A45-49E4-BA2D-FB807EDF2FD9}"/>
    <cellStyle name="40% - 强调文字颜色 3 5 2" xfId="829" xr:uid="{3E0BB5C6-FAA6-4C22-91BE-F0BF418B19E1}"/>
    <cellStyle name="40% - 强调文字颜色 3 5 2 2" xfId="830" xr:uid="{BBC1780B-FD4B-4E18-A7B1-2A86DB818238}"/>
    <cellStyle name="40% - 强调文字颜色 3 5 3" xfId="831" xr:uid="{0012F380-780A-4779-86D6-57712C5F3852}"/>
    <cellStyle name="40% - 强调文字颜色 3 6" xfId="832" xr:uid="{2EDF60FC-BC67-4F30-834E-207DFDCA5991}"/>
    <cellStyle name="40% - 强调文字颜色 3 6 2" xfId="833" xr:uid="{B4D5151A-2E99-4A28-94DB-59767B96EE17}"/>
    <cellStyle name="40% - 强调文字颜色 3 7" xfId="834" xr:uid="{71E194BD-6864-49A1-B3CB-B5F4E62886F8}"/>
    <cellStyle name="40% - 强调文字颜色 3 7 2" xfId="835" xr:uid="{2992A7F1-4674-4B1B-80A5-A4944C887685}"/>
    <cellStyle name="40% - 强调文字颜色 3 8" xfId="836" xr:uid="{70650B3B-CA24-4598-9A9F-891341224F5C}"/>
    <cellStyle name="40% - 强调文字颜色 3 8 2" xfId="837" xr:uid="{D260F043-B70D-48D7-9276-CE2C88E27BCC}"/>
    <cellStyle name="40% - 强调文字颜色 3 9" xfId="838" xr:uid="{89952573-D941-485A-817B-8A3A169E0C0B}"/>
    <cellStyle name="40% - 强调文字颜色 4 10" xfId="839" xr:uid="{29EED448-C73B-41BA-8BEB-F017E28ABB21}"/>
    <cellStyle name="40% - 强调文字颜色 4 11" xfId="840" xr:uid="{23964154-FF97-40DC-92FB-D4EE9ECD772E}"/>
    <cellStyle name="40% - 强调文字颜色 4 2" xfId="841" xr:uid="{F1CF3D06-BC32-4862-85BE-498F1D07BF9C}"/>
    <cellStyle name="40% - 强调文字颜色 4 2 2" xfId="842" xr:uid="{C9E8A97D-5D84-4A2F-ABBB-DB69782706C0}"/>
    <cellStyle name="40% - 强调文字颜色 4 2 2 2" xfId="843" xr:uid="{D393D543-5153-44BB-9AE0-B574724577A5}"/>
    <cellStyle name="40% - 强调文字颜色 4 2 2 2 2" xfId="844" xr:uid="{E5B31879-4EFD-489E-97F6-78887783492F}"/>
    <cellStyle name="40% - 强调文字颜色 4 2 2 2 2 2" xfId="845" xr:uid="{2332DCF9-5253-4D8F-BFAC-377095636449}"/>
    <cellStyle name="40% - 强调文字颜色 4 2 2 2 2 2 2" xfId="846" xr:uid="{0ABDD925-CD9E-47F0-A102-354A580A694E}"/>
    <cellStyle name="40% - 强调文字颜色 4 2 2 2 2 3" xfId="847" xr:uid="{655D34F8-115B-4C05-8D1F-643A6B6F2E9F}"/>
    <cellStyle name="40% - 强调文字颜色 4 2 2 2 3" xfId="848" xr:uid="{61883AF9-95A5-4297-8C4C-990D181B5B1A}"/>
    <cellStyle name="40% - 强调文字颜色 4 2 2 2 3 2" xfId="849" xr:uid="{5C5649AF-26EE-443A-BBEA-3D374A212458}"/>
    <cellStyle name="40% - 强调文字颜色 4 2 2 2 4" xfId="850" xr:uid="{BAA2FEBF-D32B-40F9-95C6-185D0FEDDF36}"/>
    <cellStyle name="40% - 强调文字颜色 4 2 2 3" xfId="851" xr:uid="{79CB2A50-5B00-40EF-A3B3-B431A042DE6E}"/>
    <cellStyle name="40% - 强调文字颜色 4 2 2 3 2" xfId="852" xr:uid="{A85070BA-3B0D-43D3-8ADD-97994043C8F3}"/>
    <cellStyle name="40% - 强调文字颜色 4 2 2 3 2 2" xfId="853" xr:uid="{DD4ECAD0-4C29-4ED6-9DAD-32637B9064BB}"/>
    <cellStyle name="40% - 强调文字颜色 4 2 2 3 3" xfId="854" xr:uid="{2B646C2A-8367-4FCC-833D-CABC79B2077F}"/>
    <cellStyle name="40% - 强调文字颜色 4 2 2 4" xfId="855" xr:uid="{08AE1828-87A5-4F93-8D2A-545EC813D313}"/>
    <cellStyle name="40% - 强调文字颜色 4 2 2 4 2" xfId="856" xr:uid="{B49A1F4B-B7AA-4537-AFEA-338E89C460AE}"/>
    <cellStyle name="40% - 强调文字颜色 4 2 2 5" xfId="857" xr:uid="{4F1CD811-3B84-49C3-9D8C-3399DA01FB0E}"/>
    <cellStyle name="40% - 强调文字颜色 4 2 3" xfId="858" xr:uid="{A5E93250-00EB-46B5-B8EC-999BB849BC60}"/>
    <cellStyle name="40% - 强调文字颜色 4 2 3 2" xfId="859" xr:uid="{28818DC5-4167-43CF-BE75-D6BADC7E55E2}"/>
    <cellStyle name="40% - 强调文字颜色 4 2 3 2 2" xfId="860" xr:uid="{8F36712A-AB77-4AA3-B756-747805A10869}"/>
    <cellStyle name="40% - 强调文字颜色 4 2 3 2 2 2" xfId="861" xr:uid="{505304AB-47CC-4ED4-95E0-295CE2256C27}"/>
    <cellStyle name="40% - 强调文字颜色 4 2 3 2 3" xfId="862" xr:uid="{5C5009A3-A2B0-41FA-A91C-4E0DBDEA3D09}"/>
    <cellStyle name="40% - 强调文字颜色 4 2 3 2 4" xfId="863" xr:uid="{B96667DC-36E7-401B-8D50-888E69FD2081}"/>
    <cellStyle name="40% - 强调文字颜色 4 2 3 3" xfId="864" xr:uid="{D8BA5745-A48F-4E81-9E9B-6DD7BE2607B4}"/>
    <cellStyle name="40% - 强调文字颜色 4 2 3 3 2" xfId="865" xr:uid="{3E796C93-F2C2-4575-8EA2-F676452CA913}"/>
    <cellStyle name="40% - 强调文字颜色 4 2 3 4" xfId="866" xr:uid="{C2C76C00-9CA4-4FE8-857A-674F0BE8D901}"/>
    <cellStyle name="40% - 强调文字颜色 4 2 3 5" xfId="867" xr:uid="{01666C54-C924-4EF4-A894-86BBB8923FB7}"/>
    <cellStyle name="40% - 强调文字颜色 4 2 4" xfId="868" xr:uid="{9BC17468-C134-4F46-BF97-E7541C43FF23}"/>
    <cellStyle name="40% - 强调文字颜色 4 2 4 2" xfId="869" xr:uid="{942FA275-0A8A-4947-9B77-BF2F1345EB2E}"/>
    <cellStyle name="40% - 强调文字颜色 4 2 4 2 2" xfId="870" xr:uid="{5CB822FB-5490-4C3D-9FF3-6976F9DE5797}"/>
    <cellStyle name="40% - 强调文字颜色 4 2 4 3" xfId="871" xr:uid="{93ED1A90-2CA5-449F-A8AD-0B8E4FA89D3F}"/>
    <cellStyle name="40% - 强调文字颜色 4 2 4 3 2" xfId="872" xr:uid="{202C63F7-600D-4F8F-B4F3-E3109DD16498}"/>
    <cellStyle name="40% - 强调文字颜色 4 2 4 4" xfId="873" xr:uid="{C8538D5C-E55A-4288-8445-D9E18851ED61}"/>
    <cellStyle name="40% - 强调文字颜色 4 2 4 5" xfId="874" xr:uid="{2EA39F14-8300-40C3-BB3F-32B70E4E366E}"/>
    <cellStyle name="40% - 强调文字颜色 4 2 5" xfId="875" xr:uid="{E868AEE7-3F90-48D2-8318-9C89E396A0C1}"/>
    <cellStyle name="40% - 强调文字颜色 4 2 5 2" xfId="876" xr:uid="{DDBD2CBF-3E40-4A3B-ADAD-5BAD2D8F73CB}"/>
    <cellStyle name="40% - 强调文字颜色 4 2 6" xfId="877" xr:uid="{B871F609-E8AE-408B-ADE4-F5146F09B0DA}"/>
    <cellStyle name="40% - 强调文字颜色 4 2 6 2" xfId="878" xr:uid="{E801F374-A0A7-4554-B503-CB06DD9AA38E}"/>
    <cellStyle name="40% - 强调文字颜色 4 2 7" xfId="879" xr:uid="{BFF6AF22-EBFC-472B-A3D4-094D9E8A3290}"/>
    <cellStyle name="40% - 强调文字颜色 4 2 8" xfId="880" xr:uid="{4885C97C-9DF0-41EE-92FA-991B55B90253}"/>
    <cellStyle name="40% - 强调文字颜色 4 2 9" xfId="881" xr:uid="{C945CBE1-48D2-4652-BE85-3D41601831FF}"/>
    <cellStyle name="40% - 强调文字颜色 4 3" xfId="882" xr:uid="{36ED9B45-3800-4154-A2B5-D7288A9DDA6B}"/>
    <cellStyle name="40% - 强调文字颜色 4 3 2" xfId="883" xr:uid="{F386E2A2-D2D5-4DA0-8CB1-0D361DD85190}"/>
    <cellStyle name="40% - 强调文字颜色 4 3 2 2" xfId="884" xr:uid="{7E6995BA-9599-46DC-B485-5F17F2E9989D}"/>
    <cellStyle name="40% - 强调文字颜色 4 3 2 2 2" xfId="885" xr:uid="{06F6DA93-F344-4D0F-9D2F-C292130A2F99}"/>
    <cellStyle name="40% - 强调文字颜色 4 3 2 2 2 2" xfId="886" xr:uid="{725E7628-E878-4C23-8751-22CC72023796}"/>
    <cellStyle name="40% - 强调文字颜色 4 3 2 2 2 2 2" xfId="887" xr:uid="{AF97D9F5-EEC9-4C20-AB53-86A35EBB0A69}"/>
    <cellStyle name="40% - 强调文字颜色 4 3 2 2 2 3" xfId="888" xr:uid="{CEED729E-25BA-4C70-89FD-74FEE9042F4D}"/>
    <cellStyle name="40% - 强调文字颜色 4 3 2 2 3" xfId="889" xr:uid="{0FB86D80-A452-4B34-83F4-4D8FDF99CF43}"/>
    <cellStyle name="40% - 强调文字颜色 4 3 2 2 3 2" xfId="890" xr:uid="{F76759AC-79A1-4D39-AC32-7E83B71F9B95}"/>
    <cellStyle name="40% - 强调文字颜色 4 3 2 2 4" xfId="891" xr:uid="{3C26A537-523D-4D1A-B6C6-93427B631B83}"/>
    <cellStyle name="40% - 强调文字颜色 4 3 2 3" xfId="892" xr:uid="{31BB96D3-E742-4899-9B21-F91174FAC6F1}"/>
    <cellStyle name="40% - 强调文字颜色 4 3 2 3 2" xfId="893" xr:uid="{4FD8C5FA-BDE2-4713-B4DF-02BDF75170A5}"/>
    <cellStyle name="40% - 强调文字颜色 4 3 2 3 2 2" xfId="894" xr:uid="{2CD0B28D-539A-45AC-9AF2-B6F2D341B0D4}"/>
    <cellStyle name="40% - 强调文字颜色 4 3 2 3 3" xfId="895" xr:uid="{7E14A5CB-DFBD-4A4C-977E-8D208D1D022F}"/>
    <cellStyle name="40% - 强调文字颜色 4 3 2 4" xfId="896" xr:uid="{EAA98EAC-80A3-46D0-931D-97367A0B9C98}"/>
    <cellStyle name="40% - 强调文字颜色 4 3 2 4 2" xfId="897" xr:uid="{C9CD621F-6377-4593-B1CB-DF558C04A1CC}"/>
    <cellStyle name="40% - 强调文字颜色 4 3 2 5" xfId="898" xr:uid="{725528BF-0EAC-44AE-9548-EA03C14AFF5F}"/>
    <cellStyle name="40% - 强调文字颜色 4 3 3" xfId="899" xr:uid="{CA6FFB9B-1B8C-460E-BFC2-9FE7E765D2C6}"/>
    <cellStyle name="40% - 强调文字颜色 4 3 3 2" xfId="900" xr:uid="{D0D7621D-230C-4FE1-AC57-A5DE637E8D99}"/>
    <cellStyle name="40% - 强调文字颜色 4 3 3 2 2" xfId="901" xr:uid="{79B879A1-6F7C-4B73-877F-E65832984EF5}"/>
    <cellStyle name="40% - 强调文字颜色 4 3 3 3" xfId="902" xr:uid="{C4768B51-860F-4DBF-82A8-F705B0CFF1BE}"/>
    <cellStyle name="40% - 强调文字颜色 4 3 4" xfId="903" xr:uid="{C4B854B7-3979-44AE-B23E-AD36958858CB}"/>
    <cellStyle name="40% - 强调文字颜色 4 3 4 2" xfId="904" xr:uid="{26EE45A8-7902-4EA7-BE57-0E9F3AB5A04B}"/>
    <cellStyle name="40% - 强调文字颜色 4 3 5" xfId="905" xr:uid="{2042D853-10A9-4CE3-A2CC-15143E10616B}"/>
    <cellStyle name="40% - 强调文字颜色 4 4" xfId="906" xr:uid="{55E17DB1-5180-4540-9377-1F8DB2D67AF1}"/>
    <cellStyle name="40% - 强调文字颜色 4 4 2" xfId="907" xr:uid="{8FBAC318-2AC5-4DC2-8E64-1534FAC7F7AA}"/>
    <cellStyle name="40% - 强调文字颜色 4 4 2 2" xfId="908" xr:uid="{3370346E-B348-43E9-A8BC-076CFDCC8CD7}"/>
    <cellStyle name="40% - 强调文字颜色 4 4 3" xfId="909" xr:uid="{D4F90C3D-2BC9-497F-8F1F-5C63D7F9D6C7}"/>
    <cellStyle name="40% - 强调文字颜色 4 5" xfId="910" xr:uid="{C18DDE36-696B-4723-9EB0-930A207156B6}"/>
    <cellStyle name="40% - 强调文字颜色 4 5 2" xfId="911" xr:uid="{D7E44171-EEEE-4D18-A510-D4FD7C0F2E85}"/>
    <cellStyle name="40% - 强调文字颜色 4 5 2 2" xfId="912" xr:uid="{DE348AD1-2F46-4112-950B-BF9D87797B0A}"/>
    <cellStyle name="40% - 强调文字颜色 4 5 3" xfId="913" xr:uid="{05A64F15-E5D8-48FE-A35F-1EAB23775B76}"/>
    <cellStyle name="40% - 强调文字颜色 4 6" xfId="914" xr:uid="{4CDABDC5-F913-41DA-97A8-F5949B82006B}"/>
    <cellStyle name="40% - 强调文字颜色 4 6 2" xfId="915" xr:uid="{0EC856D9-B72A-442D-84AC-A8D1E3093507}"/>
    <cellStyle name="40% - 强调文字颜色 4 7" xfId="916" xr:uid="{2607555D-AA44-4FDD-B86C-5D6A2BB217AD}"/>
    <cellStyle name="40% - 强调文字颜色 4 7 2" xfId="917" xr:uid="{B9425738-8962-4FC7-AF8B-E148393EAB7B}"/>
    <cellStyle name="40% - 强调文字颜色 4 8" xfId="918" xr:uid="{D6362166-544D-4049-AED1-7D1D0294BC78}"/>
    <cellStyle name="40% - 强调文字颜色 4 8 2" xfId="919" xr:uid="{43379840-B5FC-422B-B20A-25596B96F354}"/>
    <cellStyle name="40% - 强调文字颜色 4 9" xfId="920" xr:uid="{6E32E17A-A682-47AE-84E3-1C39E82E3E96}"/>
    <cellStyle name="40% - 强调文字颜色 5 10" xfId="921" xr:uid="{6C306177-9E1B-40CF-AF29-C433C9CEE691}"/>
    <cellStyle name="40% - 强调文字颜色 5 11" xfId="922" xr:uid="{4AD8EFFA-B59F-4588-A9D7-4B5969EF4E23}"/>
    <cellStyle name="40% - 强调文字颜色 5 2" xfId="923" xr:uid="{C5711420-312A-4ECC-8B43-48F44965641A}"/>
    <cellStyle name="40% - 强调文字颜色 5 2 2" xfId="924" xr:uid="{6D538B16-A16D-4ECF-8167-734CEE3C722D}"/>
    <cellStyle name="40% - 强调文字颜色 5 2 2 2" xfId="925" xr:uid="{B5B5716D-8B6B-436E-8732-1BD0D73CF9E6}"/>
    <cellStyle name="40% - 强调文字颜色 5 2 2 2 2" xfId="926" xr:uid="{815CF974-63A3-4562-B55F-268DA8FFB9BB}"/>
    <cellStyle name="40% - 强调文字颜色 5 2 2 2 2 2" xfId="927" xr:uid="{3A26B057-1259-4C0F-B657-49EC2664D952}"/>
    <cellStyle name="40% - 强调文字颜色 5 2 2 2 2 2 2" xfId="928" xr:uid="{49E5AF62-F9B8-4CAD-82E5-E369514325BD}"/>
    <cellStyle name="40% - 强调文字颜色 5 2 2 2 2 3" xfId="929" xr:uid="{B7C7C245-AA3B-44F5-810F-42ACD5597D5A}"/>
    <cellStyle name="40% - 强调文字颜色 5 2 2 2 3" xfId="930" xr:uid="{1F4F4F44-4763-4EA8-9BFF-CB8F7FCA58FB}"/>
    <cellStyle name="40% - 强调文字颜色 5 2 2 2 3 2" xfId="931" xr:uid="{9625B2DC-9F29-4A6A-B1A0-DC4B1FBA10B5}"/>
    <cellStyle name="40% - 强调文字颜色 5 2 2 2 4" xfId="932" xr:uid="{CD9657F6-CE53-4313-8945-6D62E4321E27}"/>
    <cellStyle name="40% - 强调文字颜色 5 2 2 3" xfId="933" xr:uid="{E0BE3120-C1F7-4A67-9266-C36913B67A79}"/>
    <cellStyle name="40% - 强调文字颜色 5 2 2 3 2" xfId="934" xr:uid="{9C3514B3-A4FA-4015-87F1-2F004C7A1133}"/>
    <cellStyle name="40% - 强调文字颜色 5 2 2 3 2 2" xfId="935" xr:uid="{6B656769-C205-4869-8826-C76C5FC54443}"/>
    <cellStyle name="40% - 强调文字颜色 5 2 2 3 3" xfId="936" xr:uid="{99839824-F712-489C-9B7F-55D2144DB8F1}"/>
    <cellStyle name="40% - 强调文字颜色 5 2 2 4" xfId="937" xr:uid="{43B57762-B3F9-4B76-9CDC-463B3289D204}"/>
    <cellStyle name="40% - 强调文字颜色 5 2 2 4 2" xfId="938" xr:uid="{39D0ED90-C358-4828-8365-554D618FFA4D}"/>
    <cellStyle name="40% - 强调文字颜色 5 2 2 5" xfId="939" xr:uid="{CCAF2174-77F7-44A1-8FDA-F09A271EA604}"/>
    <cellStyle name="40% - 强调文字颜色 5 2 3" xfId="940" xr:uid="{8CC137CE-6D2E-487A-8181-31D84E4F9A5A}"/>
    <cellStyle name="40% - 强调文字颜色 5 2 3 2" xfId="941" xr:uid="{D42D093C-48FA-4237-885A-914ADDFB2EC1}"/>
    <cellStyle name="40% - 强调文字颜色 5 2 3 2 2" xfId="942" xr:uid="{AE1376BC-EF74-4356-A73B-0BEF4B9E8B9E}"/>
    <cellStyle name="40% - 强调文字颜色 5 2 3 2 2 2" xfId="943" xr:uid="{129C6FB3-CAFA-493E-9C58-737EEC959CDB}"/>
    <cellStyle name="40% - 强调文字颜色 5 2 3 2 3" xfId="944" xr:uid="{FE659AAE-2D5F-4141-AE2E-671341637D60}"/>
    <cellStyle name="40% - 强调文字颜色 5 2 3 2 4" xfId="945" xr:uid="{7E18C3A1-B3FC-4D02-A753-22702B309AED}"/>
    <cellStyle name="40% - 强调文字颜色 5 2 3 3" xfId="946" xr:uid="{89CF5046-2FBC-40AC-BBC7-6A120B49792B}"/>
    <cellStyle name="40% - 强调文字颜色 5 2 3 3 2" xfId="947" xr:uid="{30228014-56DF-428C-AFEA-3D8184D6D5A3}"/>
    <cellStyle name="40% - 强调文字颜色 5 2 3 4" xfId="948" xr:uid="{C5C8C97A-C73F-4E51-8A24-4E62799D7803}"/>
    <cellStyle name="40% - 强调文字颜色 5 2 3 5" xfId="949" xr:uid="{DEE15353-C7EE-4591-85D8-AEBEAE5A2A44}"/>
    <cellStyle name="40% - 强调文字颜色 5 2 4" xfId="950" xr:uid="{92B0A1AF-6740-4890-93C9-3DF7A4E3D1FE}"/>
    <cellStyle name="40% - 强调文字颜色 5 2 4 2" xfId="951" xr:uid="{BC5E8BF8-B836-4BCE-A231-E36A5147D4DB}"/>
    <cellStyle name="40% - 强调文字颜色 5 2 4 2 2" xfId="952" xr:uid="{C2A2DB19-FBD5-4111-A4C9-BD0D4568E518}"/>
    <cellStyle name="40% - 强调文字颜色 5 2 4 3" xfId="953" xr:uid="{EA4F5103-7966-41D5-A035-1D4F512F3BF7}"/>
    <cellStyle name="40% - 强调文字颜色 5 2 4 3 2" xfId="954" xr:uid="{649CABD9-8AB0-4571-A5F0-BC5155A6F015}"/>
    <cellStyle name="40% - 强调文字颜色 5 2 4 4" xfId="955" xr:uid="{67B92315-3657-4762-9848-5E8942623D0E}"/>
    <cellStyle name="40% - 强调文字颜色 5 2 4 5" xfId="956" xr:uid="{8E85717D-BA89-429B-8142-1FB72D10913F}"/>
    <cellStyle name="40% - 强调文字颜色 5 2 5" xfId="957" xr:uid="{4AEB0C13-2317-4713-A657-03053AB74570}"/>
    <cellStyle name="40% - 强调文字颜色 5 2 5 2" xfId="958" xr:uid="{C3329740-561E-481D-B471-4D7030F014C4}"/>
    <cellStyle name="40% - 强调文字颜色 5 2 6" xfId="959" xr:uid="{8240A080-A6EB-474D-BA41-BF15226FCE7D}"/>
    <cellStyle name="40% - 强调文字颜色 5 2 7" xfId="960" xr:uid="{31F2A90D-9239-455A-9749-B55FD4611B67}"/>
    <cellStyle name="40% - 强调文字颜色 5 3" xfId="961" xr:uid="{D260A448-6356-4FE4-BF54-976AE735BBB9}"/>
    <cellStyle name="40% - 强调文字颜色 5 3 2" xfId="962" xr:uid="{F9B76E50-77B7-464E-B1A3-F099835A902C}"/>
    <cellStyle name="40% - 强调文字颜色 5 3 2 2" xfId="963" xr:uid="{688F264B-50F6-454C-A35A-45BEAFDD73D0}"/>
    <cellStyle name="40% - 强调文字颜色 5 3 2 2 2" xfId="964" xr:uid="{D017DBE5-93DA-442F-B72D-0A0A4B1A855C}"/>
    <cellStyle name="40% - 强调文字颜色 5 3 2 2 2 2" xfId="965" xr:uid="{05E5914C-021C-4225-ADB8-F8B587EB4CA9}"/>
    <cellStyle name="40% - 强调文字颜色 5 3 2 2 2 2 2" xfId="966" xr:uid="{8E73897C-D3FF-4AAE-BD26-1A330C66C505}"/>
    <cellStyle name="40% - 强调文字颜色 5 3 2 2 2 3" xfId="967" xr:uid="{0CEB7F12-BEDD-4151-93BF-89C41510FC14}"/>
    <cellStyle name="40% - 强调文字颜色 5 3 2 2 3" xfId="968" xr:uid="{1BB19EC2-380D-4C36-9232-FFF93EDDF5DE}"/>
    <cellStyle name="40% - 强调文字颜色 5 3 2 2 3 2" xfId="969" xr:uid="{1BA3F259-58D2-4B0A-A7F5-64913918E756}"/>
    <cellStyle name="40% - 强调文字颜色 5 3 2 2 4" xfId="970" xr:uid="{218F381E-6ED3-45FA-86DA-A581BB13A694}"/>
    <cellStyle name="40% - 强调文字颜色 5 3 2 3" xfId="971" xr:uid="{71FC9306-2DE3-43D9-8B1C-D4048FA6E0C1}"/>
    <cellStyle name="40% - 强调文字颜色 5 3 2 3 2" xfId="972" xr:uid="{36A6EC03-1288-43E6-B736-96A899D3A4E2}"/>
    <cellStyle name="40% - 强调文字颜色 5 3 2 3 2 2" xfId="973" xr:uid="{8BA9BE1E-1307-47FF-BABF-E5F9F89F9045}"/>
    <cellStyle name="40% - 强调文字颜色 5 3 2 3 3" xfId="974" xr:uid="{5B940FBF-E8BC-448B-ADA6-424A04D925A5}"/>
    <cellStyle name="40% - 强调文字颜色 5 3 2 4" xfId="975" xr:uid="{DED69329-64B0-448F-B5A7-094781E6E0B8}"/>
    <cellStyle name="40% - 强调文字颜色 5 3 2 4 2" xfId="976" xr:uid="{20BEA267-878F-4C8C-8ACA-A45050FED50E}"/>
    <cellStyle name="40% - 强调文字颜色 5 3 2 5" xfId="977" xr:uid="{F2871570-950F-4135-965C-8C92CFFE63F4}"/>
    <cellStyle name="40% - 强调文字颜色 5 3 3" xfId="978" xr:uid="{B3F4F4B0-5773-4D94-9BA8-5D61878EEEC9}"/>
    <cellStyle name="40% - 强调文字颜色 5 3 3 2" xfId="979" xr:uid="{6FDE1ECA-C696-41D5-BCE0-F0AA02568BD6}"/>
    <cellStyle name="40% - 强调文字颜色 5 3 3 2 2" xfId="980" xr:uid="{08115EF6-9049-49D8-89B6-6CE8C6F97D25}"/>
    <cellStyle name="40% - 强调文字颜色 5 3 3 3" xfId="981" xr:uid="{69E2F20A-1215-4A03-A3BF-A4B1E337DA74}"/>
    <cellStyle name="40% - 强调文字颜色 5 3 4" xfId="982" xr:uid="{1D1EA15E-0F88-42B5-827C-383546C17E46}"/>
    <cellStyle name="40% - 强调文字颜色 5 3 4 2" xfId="983" xr:uid="{E132517A-E80C-44B2-8B48-B43BA8644419}"/>
    <cellStyle name="40% - 强调文字颜色 5 3 5" xfId="984" xr:uid="{FC5B0754-2C55-4C4C-84C8-0E2F40D97EDB}"/>
    <cellStyle name="40% - 强调文字颜色 5 4" xfId="985" xr:uid="{C5454C03-8019-4475-836E-49A06A60F790}"/>
    <cellStyle name="40% - 强调文字颜色 5 4 2" xfId="986" xr:uid="{9F22664C-E90A-4A0A-B0B4-7D826B73A9E1}"/>
    <cellStyle name="40% - 强调文字颜色 5 4 2 2" xfId="987" xr:uid="{351814A6-3BEC-4B22-B0D1-1844CE55F6DB}"/>
    <cellStyle name="40% - 强调文字颜色 5 4 3" xfId="988" xr:uid="{C42F9DB4-CBC6-4513-86C3-05E71AF7F203}"/>
    <cellStyle name="40% - 强调文字颜色 5 5" xfId="989" xr:uid="{C4D9B18D-884E-4649-BFE3-8752E3C200A2}"/>
    <cellStyle name="40% - 强调文字颜色 5 5 2" xfId="990" xr:uid="{B929BC99-3447-4748-B59B-02C601825AD3}"/>
    <cellStyle name="40% - 强调文字颜色 5 5 2 2" xfId="991" xr:uid="{E8D517F9-4EE2-4CAB-82B7-DCA1BF267CE9}"/>
    <cellStyle name="40% - 强调文字颜色 5 5 3" xfId="992" xr:uid="{CDE44070-5C7F-49F0-BDF5-CA063C1F4212}"/>
    <cellStyle name="40% - 强调文字颜色 5 6" xfId="993" xr:uid="{20D8FFEF-7CEE-4FE2-9CC8-8E6DEF3ADBAE}"/>
    <cellStyle name="40% - 强调文字颜色 5 6 2" xfId="994" xr:uid="{456F3CB9-47E4-4375-9FAF-A79C020A8CB1}"/>
    <cellStyle name="40% - 强调文字颜色 5 7" xfId="995" xr:uid="{D94AF47E-92FD-4193-9D48-A6F6FCEFBB56}"/>
    <cellStyle name="40% - 强调文字颜色 5 7 2" xfId="996" xr:uid="{BAD0D2AE-9FF7-4688-AB93-5DC36DF30249}"/>
    <cellStyle name="40% - 强调文字颜色 5 8" xfId="997" xr:uid="{5B9EC3FA-225D-46E7-AC59-99BB7A3C5AA2}"/>
    <cellStyle name="40% - 强调文字颜色 5 8 2" xfId="998" xr:uid="{A54DF7FF-AB75-4B08-8459-FA6B4FC8A5BF}"/>
    <cellStyle name="40% - 强调文字颜色 5 9" xfId="999" xr:uid="{234EEEC6-68EA-4512-9732-39CB286048C6}"/>
    <cellStyle name="40% - 强调文字颜色 6 10" xfId="1000" xr:uid="{8D1AF2FE-E319-413A-B03F-D28198A2E0CB}"/>
    <cellStyle name="40% - 强调文字颜色 6 11" xfId="1001" xr:uid="{810A29AC-2D7A-4B2D-824E-51642B5504C9}"/>
    <cellStyle name="40% - 强调文字颜色 6 2" xfId="1002" xr:uid="{D5CAB893-8FFB-40F0-89E5-67ACE4CD249E}"/>
    <cellStyle name="40% - 强调文字颜色 6 2 2" xfId="1003" xr:uid="{1E5C5A46-584B-44A0-A7B5-44CF2C47D688}"/>
    <cellStyle name="40% - 强调文字颜色 6 2 2 2" xfId="1004" xr:uid="{D54A8403-D26D-42B5-BF05-8332539D7DB0}"/>
    <cellStyle name="40% - 强调文字颜色 6 2 2 2 2" xfId="1005" xr:uid="{9B2D1007-3546-4F95-971E-3CC1A50846B7}"/>
    <cellStyle name="40% - 强调文字颜色 6 2 2 2 2 2" xfId="1006" xr:uid="{49C31A6B-5CD9-4DEF-93BA-018152607219}"/>
    <cellStyle name="40% - 强调文字颜色 6 2 2 2 2 2 2" xfId="1007" xr:uid="{C41D0F16-0856-432D-A15E-5FFAF9EA978C}"/>
    <cellStyle name="40% - 强调文字颜色 6 2 2 2 2 3" xfId="1008" xr:uid="{3E0F2161-AFCE-4045-A6A0-1F034E906C51}"/>
    <cellStyle name="40% - 强调文字颜色 6 2 2 2 3" xfId="1009" xr:uid="{35046B83-D8F4-4EB0-ADCE-39AE90B3CA02}"/>
    <cellStyle name="40% - 强调文字颜色 6 2 2 2 3 2" xfId="1010" xr:uid="{F66F8FC3-BED7-4482-AE02-C7ADC47F5E61}"/>
    <cellStyle name="40% - 强调文字颜色 6 2 2 2 4" xfId="1011" xr:uid="{E253EB03-30F7-4028-B56F-7CB8609125AF}"/>
    <cellStyle name="40% - 强调文字颜色 6 2 2 3" xfId="1012" xr:uid="{6A1DF3CC-36E2-445D-9E8A-FD81A5268991}"/>
    <cellStyle name="40% - 强调文字颜色 6 2 2 3 2" xfId="1013" xr:uid="{46A41A92-68BF-4574-8563-0FC379FEC806}"/>
    <cellStyle name="40% - 强调文字颜色 6 2 2 3 2 2" xfId="1014" xr:uid="{45710302-A77C-4CF5-A642-5C82C1859D69}"/>
    <cellStyle name="40% - 强调文字颜色 6 2 2 3 3" xfId="1015" xr:uid="{49F5CAAE-04BB-4C14-8573-47207A4360EC}"/>
    <cellStyle name="40% - 强调文字颜色 6 2 2 4" xfId="1016" xr:uid="{60979BAB-97B7-4031-B3DF-E4159346C1FE}"/>
    <cellStyle name="40% - 强调文字颜色 6 2 2 4 2" xfId="1017" xr:uid="{F07F7C42-84B4-4839-BDC4-A3A9F198B802}"/>
    <cellStyle name="40% - 强调文字颜色 6 2 2 5" xfId="1018" xr:uid="{92F985D1-A936-402D-A06B-DE1BA1A95736}"/>
    <cellStyle name="40% - 强调文字颜色 6 2 3" xfId="1019" xr:uid="{7A6FC7D8-9436-49A5-B48E-22307A4E5927}"/>
    <cellStyle name="40% - 强调文字颜色 6 2 3 2" xfId="1020" xr:uid="{FE00E187-EBA9-4C33-95C0-6C293A3C8831}"/>
    <cellStyle name="40% - 强调文字颜色 6 2 3 2 2" xfId="1021" xr:uid="{B27D00B2-992A-4DF9-9C6A-B148FD234E72}"/>
    <cellStyle name="40% - 强调文字颜色 6 2 3 2 2 2" xfId="1022" xr:uid="{2A3AA8EA-7983-4A08-B510-9405D2CE948C}"/>
    <cellStyle name="40% - 强调文字颜色 6 2 3 2 3" xfId="1023" xr:uid="{5357EE46-4FCC-4D65-A910-0E0F3C30E717}"/>
    <cellStyle name="40% - 强调文字颜色 6 2 3 2 4" xfId="1024" xr:uid="{9C4F1109-2845-4E1C-B569-4891168A8B20}"/>
    <cellStyle name="40% - 强调文字颜色 6 2 3 3" xfId="1025" xr:uid="{D47F86D2-CB5F-4A00-947C-EA4503615D68}"/>
    <cellStyle name="40% - 强调文字颜色 6 2 3 3 2" xfId="1026" xr:uid="{1CA745A3-8444-4626-B9EE-E4067C4EE118}"/>
    <cellStyle name="40% - 强调文字颜色 6 2 3 4" xfId="1027" xr:uid="{C8424AC1-B02A-4EB6-BAD3-957FA9BC4067}"/>
    <cellStyle name="40% - 强调文字颜色 6 2 3 5" xfId="1028" xr:uid="{C966F5AB-64FA-4CB5-8D74-E2BF01F78BDF}"/>
    <cellStyle name="40% - 强调文字颜色 6 2 4" xfId="1029" xr:uid="{38DA34A6-1E9B-4D20-8E26-0CFB15B63BEE}"/>
    <cellStyle name="40% - 强调文字颜色 6 2 4 2" xfId="1030" xr:uid="{11A24995-2A0C-4BCB-B751-562A7AC91B02}"/>
    <cellStyle name="40% - 强调文字颜色 6 2 4 2 2" xfId="1031" xr:uid="{0A99C75E-0865-45EF-B500-EF905104C5B4}"/>
    <cellStyle name="40% - 强调文字颜色 6 2 4 3" xfId="1032" xr:uid="{97D3E0FB-807B-40DD-940B-DB85D82A0BE5}"/>
    <cellStyle name="40% - 强调文字颜色 6 2 4 3 2" xfId="1033" xr:uid="{BB577B84-BE8B-4113-98FF-0C9382A381CE}"/>
    <cellStyle name="40% - 强调文字颜色 6 2 4 4" xfId="1034" xr:uid="{28F660A8-0BA5-4FD2-A844-DAB0C2197876}"/>
    <cellStyle name="40% - 强调文字颜色 6 2 4 5" xfId="1035" xr:uid="{E8A37C0F-FE73-4B97-A9DC-192A64A3B7C2}"/>
    <cellStyle name="40% - 强调文字颜色 6 2 5" xfId="1036" xr:uid="{B301B02B-C4E9-4339-94D3-A1DD40CB972A}"/>
    <cellStyle name="40% - 强调文字颜色 6 2 5 2" xfId="1037" xr:uid="{E38C1901-9BEF-419E-9B23-59681C1D9C98}"/>
    <cellStyle name="40% - 强调文字颜色 6 2 6" xfId="1038" xr:uid="{FDAE4CC0-58B7-4DA7-B000-71F0263EFC81}"/>
    <cellStyle name="40% - 强调文字颜色 6 2 6 2" xfId="1039" xr:uid="{05C34460-EC01-4622-80C5-5649EB3DF0A5}"/>
    <cellStyle name="40% - 强调文字颜色 6 2 7" xfId="1040" xr:uid="{63CAEDF9-8BC1-4D20-AD09-7635D9393061}"/>
    <cellStyle name="40% - 强调文字颜色 6 2 8" xfId="1041" xr:uid="{77351FE5-64F9-424E-BEA6-E7E8B0790B9A}"/>
    <cellStyle name="40% - 强调文字颜色 6 2 9" xfId="1042" xr:uid="{84BD74C5-E444-4DA5-B715-6783DAAEF337}"/>
    <cellStyle name="40% - 强调文字颜色 6 3" xfId="1043" xr:uid="{07EE615E-7207-4B5A-9E56-5DE9B6D2F741}"/>
    <cellStyle name="40% - 强调文字颜色 6 3 2" xfId="1044" xr:uid="{55B0976A-370A-431C-9A2E-AF711A13F70B}"/>
    <cellStyle name="40% - 强调文字颜色 6 3 2 2" xfId="1045" xr:uid="{AF2A5005-04A1-4BA5-9029-A5A4FF00D664}"/>
    <cellStyle name="40% - 强调文字颜色 6 3 2 2 2" xfId="1046" xr:uid="{18682802-42AB-4C36-AFF1-1002E50B1347}"/>
    <cellStyle name="40% - 强调文字颜色 6 3 2 2 2 2" xfId="1047" xr:uid="{6423BF4F-3AC7-41E1-AA5F-C2979F79C638}"/>
    <cellStyle name="40% - 强调文字颜色 6 3 2 2 2 2 2" xfId="1048" xr:uid="{79AADCE7-927E-45A2-8C26-945930FDCF60}"/>
    <cellStyle name="40% - 强调文字颜色 6 3 2 2 2 3" xfId="1049" xr:uid="{50EED225-7773-4ADA-A251-6C0D57E3357A}"/>
    <cellStyle name="40% - 强调文字颜色 6 3 2 2 3" xfId="1050" xr:uid="{112D64FB-AB15-4C3B-8027-30896BBC8C06}"/>
    <cellStyle name="40% - 强调文字颜色 6 3 2 2 3 2" xfId="1051" xr:uid="{63F4EA97-34B0-441E-B99E-7C62A088D311}"/>
    <cellStyle name="40% - 强调文字颜色 6 3 2 2 4" xfId="1052" xr:uid="{685C98B3-730A-44D0-8628-C6AE2B1BEDCD}"/>
    <cellStyle name="40% - 强调文字颜色 6 3 2 3" xfId="1053" xr:uid="{CA2F333F-A35F-437A-B41A-29482AF9F98E}"/>
    <cellStyle name="40% - 强调文字颜色 6 3 2 3 2" xfId="1054" xr:uid="{1F93DF29-E7F6-431E-885F-39B68523CE3F}"/>
    <cellStyle name="40% - 强调文字颜色 6 3 2 3 2 2" xfId="1055" xr:uid="{F32E344E-0349-4C56-869D-C82611E986FB}"/>
    <cellStyle name="40% - 强调文字颜色 6 3 2 3 3" xfId="1056" xr:uid="{C24AF8BC-1D47-4D41-B022-390533D63D5E}"/>
    <cellStyle name="40% - 强调文字颜色 6 3 2 4" xfId="1057" xr:uid="{D75CE96C-55D6-4111-AD47-63CF77DF4342}"/>
    <cellStyle name="40% - 强调文字颜色 6 3 2 4 2" xfId="1058" xr:uid="{39E87362-F920-4E16-93C3-9D6BCABCDA2D}"/>
    <cellStyle name="40% - 强调文字颜色 6 3 2 5" xfId="1059" xr:uid="{51822ABC-0CEC-4166-BFC9-759C91F17F1E}"/>
    <cellStyle name="40% - 强调文字颜色 6 3 3" xfId="1060" xr:uid="{B68F5C26-65B4-4B2B-AA6C-FFDD4386DE3F}"/>
    <cellStyle name="40% - 强调文字颜色 6 3 3 2" xfId="1061" xr:uid="{4B0B7C82-581A-4FB6-B74D-7FD18C6E3692}"/>
    <cellStyle name="40% - 强调文字颜色 6 3 3 2 2" xfId="1062" xr:uid="{96686127-6A88-41DD-A7DE-3E5A5E1BC75F}"/>
    <cellStyle name="40% - 强调文字颜色 6 3 3 3" xfId="1063" xr:uid="{5126120E-5034-4E43-A373-77543ABBC0C1}"/>
    <cellStyle name="40% - 强调文字颜色 6 3 4" xfId="1064" xr:uid="{05CDAF02-267F-439D-924F-FE8FC71433AF}"/>
    <cellStyle name="40% - 强调文字颜色 6 3 4 2" xfId="1065" xr:uid="{0EF1836C-892A-4625-947E-2C662695EB23}"/>
    <cellStyle name="40% - 强调文字颜色 6 3 5" xfId="1066" xr:uid="{6711CADF-EB05-435F-983D-0B1FE7AB1BDE}"/>
    <cellStyle name="40% - 强调文字颜色 6 4" xfId="1067" xr:uid="{14D7A07B-34F9-4429-B2B3-0C78262A2398}"/>
    <cellStyle name="40% - 强调文字颜色 6 4 2" xfId="1068" xr:uid="{80722BFD-A7E5-4F44-8DF8-8AFD605BEC44}"/>
    <cellStyle name="40% - 强调文字颜色 6 4 2 2" xfId="1069" xr:uid="{64C84786-5A23-4D82-8AC6-755CB295D1E9}"/>
    <cellStyle name="40% - 强调文字颜色 6 4 3" xfId="1070" xr:uid="{3624B8CE-2966-4DA6-8638-7857DA03BC5C}"/>
    <cellStyle name="40% - 强调文字颜色 6 5" xfId="1071" xr:uid="{C7B8D0B7-2AC9-4F08-9D25-7EF2EA99744A}"/>
    <cellStyle name="40% - 强调文字颜色 6 5 2" xfId="1072" xr:uid="{2F14217A-4C80-4D67-AA68-1B8E45C837EC}"/>
    <cellStyle name="40% - 强调文字颜色 6 5 2 2" xfId="1073" xr:uid="{1C272822-8B02-4F0E-ADC8-CCED0C4C1EFB}"/>
    <cellStyle name="40% - 强调文字颜色 6 5 3" xfId="1074" xr:uid="{13AEBC59-947A-49E0-AFA6-B57C31E236CD}"/>
    <cellStyle name="40% - 强调文字颜色 6 6" xfId="1075" xr:uid="{AB5D30B8-522B-47C3-9A8C-D2D2C1B7ECF8}"/>
    <cellStyle name="40% - 强调文字颜色 6 6 2" xfId="1076" xr:uid="{AC1132D7-099E-4514-B9CD-16887CD7971F}"/>
    <cellStyle name="40% - 强调文字颜色 6 7" xfId="1077" xr:uid="{B30DFEC7-C1FD-44ED-97DF-0EE77D3BA9E6}"/>
    <cellStyle name="40% - 强调文字颜色 6 7 2" xfId="1078" xr:uid="{737E798D-23BF-4DD7-A7A8-439DB6D9D580}"/>
    <cellStyle name="40% - 强调文字颜色 6 8" xfId="1079" xr:uid="{D41B29A3-C240-4A56-AACD-11EDDF99315F}"/>
    <cellStyle name="40% - 强调文字颜色 6 8 2" xfId="1080" xr:uid="{9D03D260-63A5-4B04-80E5-37915D60747A}"/>
    <cellStyle name="40% - 强调文字颜色 6 9" xfId="1081" xr:uid="{9E458F03-CD7B-4C42-8559-1E0EF0F1813E}"/>
    <cellStyle name="60% - Accent1" xfId="23" builtinId="32" customBuiltin="1"/>
    <cellStyle name="60% - Accent1 2" xfId="55" xr:uid="{B005090D-55DA-4F51-91BB-43B5AEC229AE}"/>
    <cellStyle name="60% - Accent1 2 2" xfId="1082" xr:uid="{87C86176-1D66-4D2F-9863-ADDFCF7F0C2E}"/>
    <cellStyle name="60% - Accent2" xfId="27" builtinId="36" customBuiltin="1"/>
    <cellStyle name="60% - Accent2 2" xfId="58" xr:uid="{A9CC98F7-2C8D-499C-98D0-E43D0DBF7710}"/>
    <cellStyle name="60% - Accent2 2 2" xfId="1083" xr:uid="{F34452F0-57D9-43F0-9463-2073D4EDD819}"/>
    <cellStyle name="60% - Accent3" xfId="31" builtinId="40" customBuiltin="1"/>
    <cellStyle name="60% - Accent3 2" xfId="61" xr:uid="{6E08961B-58D0-4799-BBA3-768634EC8D91}"/>
    <cellStyle name="60% - Accent3 2 2" xfId="1084" xr:uid="{684F030E-19FF-43A3-954B-32F0F53762C8}"/>
    <cellStyle name="60% - Accent4" xfId="35" builtinId="44" customBuiltin="1"/>
    <cellStyle name="60% - Accent4 2" xfId="64" xr:uid="{01DBF38A-FF6A-4A1B-B908-28391FBC4C8A}"/>
    <cellStyle name="60% - Accent4 2 2" xfId="1085" xr:uid="{5A3F4C60-D43D-4151-9151-3BCA6810028F}"/>
    <cellStyle name="60% - Accent5" xfId="39" builtinId="48" customBuiltin="1"/>
    <cellStyle name="60% - Accent5 2" xfId="67" xr:uid="{D1C1EE63-443B-4BA4-B74D-EB398D4B683F}"/>
    <cellStyle name="60% - Accent5 2 2" xfId="1086" xr:uid="{6F20D02D-9A7C-446A-9602-1B7508479381}"/>
    <cellStyle name="60% - Accent6" xfId="43" builtinId="52" customBuiltin="1"/>
    <cellStyle name="60% - Accent6 2" xfId="70" xr:uid="{D2912BDC-A1C7-4C01-98ED-EEF59769FD4F}"/>
    <cellStyle name="60% - Accent6 2 2" xfId="1087" xr:uid="{2A16A8B2-7F88-43A5-9D1E-3A06C3E242B3}"/>
    <cellStyle name="60% - 强调文字颜色 1 10" xfId="1088" xr:uid="{0BDFB9DE-B993-4F35-A99C-965C809E3583}"/>
    <cellStyle name="60% - 强调文字颜色 1 11" xfId="1089" xr:uid="{C3CF1446-2F31-47C5-94C4-6422E48B29D5}"/>
    <cellStyle name="60% - 强调文字颜色 1 2" xfId="1090" xr:uid="{824D9C34-F9E9-4F15-B1C8-633539AB406B}"/>
    <cellStyle name="60% - 强调文字颜色 1 2 2" xfId="1091" xr:uid="{4CBA1BCB-1AA7-4758-ACC7-7388123212FE}"/>
    <cellStyle name="60% - 强调文字颜色 1 2 2 2" xfId="1092" xr:uid="{98EE229B-AB43-4113-A363-3F9EFE8EF50E}"/>
    <cellStyle name="60% - 强调文字颜色 1 2 2 2 2" xfId="1093" xr:uid="{0E578507-9708-4787-8827-9902DDF19E23}"/>
    <cellStyle name="60% - 强调文字颜色 1 2 2 2 2 2" xfId="1094" xr:uid="{9B1B1C56-33EC-4558-8EE7-1D9C5B2F5082}"/>
    <cellStyle name="60% - 强调文字颜色 1 2 2 2 2 2 2" xfId="1095" xr:uid="{2FD03421-E3FC-4399-A1C6-AE434F01F6E8}"/>
    <cellStyle name="60% - 强调文字颜色 1 2 2 2 2 3" xfId="1096" xr:uid="{7F699462-29F5-46F2-B7BE-996135841CAE}"/>
    <cellStyle name="60% - 强调文字颜色 1 2 2 2 3" xfId="1097" xr:uid="{9B8063EB-3658-44D3-BDF9-0B1A3CDD3ABF}"/>
    <cellStyle name="60% - 强调文字颜色 1 2 2 2 3 2" xfId="1098" xr:uid="{55C3A7E2-5893-4CA2-8CA0-60EF71765B7B}"/>
    <cellStyle name="60% - 强调文字颜色 1 2 2 2 4" xfId="1099" xr:uid="{8A4B95ED-21EE-45E2-B9AF-4B22323910A6}"/>
    <cellStyle name="60% - 强调文字颜色 1 2 2 3" xfId="1100" xr:uid="{9663BA73-557F-4AAF-B79F-5F40E7BF00D6}"/>
    <cellStyle name="60% - 强调文字颜色 1 2 2 3 2" xfId="1101" xr:uid="{F847E846-2273-4C35-8997-32D3DB49F07E}"/>
    <cellStyle name="60% - 强调文字颜色 1 2 2 3 2 2" xfId="1102" xr:uid="{E5E5BEB7-6E2D-474F-A364-97D61E0D5CF0}"/>
    <cellStyle name="60% - 强调文字颜色 1 2 2 3 3" xfId="1103" xr:uid="{2E6C84BE-6F98-4E39-8587-07BC3350C1A7}"/>
    <cellStyle name="60% - 强调文字颜色 1 2 2 4" xfId="1104" xr:uid="{BFECB8D8-D1D8-4477-A4D7-4DF2D20687F0}"/>
    <cellStyle name="60% - 强调文字颜色 1 2 2 4 2" xfId="1105" xr:uid="{6625E465-F699-4C69-A3A1-86308674FE24}"/>
    <cellStyle name="60% - 强调文字颜色 1 2 2 5" xfId="1106" xr:uid="{FEB91884-02A5-4337-A08E-049C14A7BF96}"/>
    <cellStyle name="60% - 强调文字颜色 1 2 3" xfId="1107" xr:uid="{A1F6C9EB-FEAF-418F-86DD-D65011E5A5A0}"/>
    <cellStyle name="60% - 强调文字颜色 1 2 3 2" xfId="1108" xr:uid="{BD4069A4-6E69-45A2-B6DF-B1023EB3ED2F}"/>
    <cellStyle name="60% - 强调文字颜色 1 2 3 2 2" xfId="1109" xr:uid="{54F97555-0652-4B65-BAC4-D65628545B60}"/>
    <cellStyle name="60% - 强调文字颜色 1 2 3 2 2 2" xfId="1110" xr:uid="{A90ABCE6-B8A1-4CB6-8BC9-B5215A4BEE7A}"/>
    <cellStyle name="60% - 强调文字颜色 1 2 3 2 3" xfId="1111" xr:uid="{314E614A-83F3-46E0-9E9F-CDE4EF2BE31C}"/>
    <cellStyle name="60% - 强调文字颜色 1 2 3 2 4" xfId="1112" xr:uid="{AC46CEDC-68F3-47CE-975A-0BF516FE5678}"/>
    <cellStyle name="60% - 强调文字颜色 1 2 3 3" xfId="1113" xr:uid="{A5252EE4-BD03-4A8C-BEB4-9AF3F0C450EA}"/>
    <cellStyle name="60% - 强调文字颜色 1 2 3 3 2" xfId="1114" xr:uid="{30A53791-0B92-4519-826F-1934249E1602}"/>
    <cellStyle name="60% - 强调文字颜色 1 2 3 4" xfId="1115" xr:uid="{6EA4849B-947A-438E-BD82-33C702FB489D}"/>
    <cellStyle name="60% - 强调文字颜色 1 2 3 5" xfId="1116" xr:uid="{DAC3B6B9-4B30-41EB-99B0-FD13C6B39B77}"/>
    <cellStyle name="60% - 强调文字颜色 1 2 4" xfId="1117" xr:uid="{6C3D5A9D-80F6-46F5-A21E-7D69E7BAF5C9}"/>
    <cellStyle name="60% - 强调文字颜色 1 2 4 2" xfId="1118" xr:uid="{2A4E1858-2C75-42C3-8EDE-EB4F88AC5CB0}"/>
    <cellStyle name="60% - 强调文字颜色 1 2 4 2 2" xfId="1119" xr:uid="{09B4A097-1D7E-4848-9398-6CFD2931E573}"/>
    <cellStyle name="60% - 强调文字颜色 1 2 4 3" xfId="1120" xr:uid="{AC267387-9683-4E2C-A495-D804D474C2DE}"/>
    <cellStyle name="60% - 强调文字颜色 1 2 4 3 2" xfId="1121" xr:uid="{34E5075A-00A8-433D-B44C-71487378EC47}"/>
    <cellStyle name="60% - 强调文字颜色 1 2 4 4" xfId="1122" xr:uid="{A762538E-AEAB-44D4-8C93-3AD925FE80AB}"/>
    <cellStyle name="60% - 强调文字颜色 1 2 4 5" xfId="1123" xr:uid="{B3FDC197-6E6C-4B1C-8A34-B32F923C1328}"/>
    <cellStyle name="60% - 强调文字颜色 1 2 5" xfId="1124" xr:uid="{8DF608CE-E068-49CC-831D-30429B93B4E9}"/>
    <cellStyle name="60% - 强调文字颜色 1 2 5 2" xfId="1125" xr:uid="{A78C6CCD-5305-481C-8E91-3EB2FDCD6BA4}"/>
    <cellStyle name="60% - 强调文字颜色 1 2 6" xfId="1126" xr:uid="{F8575F7D-E297-49A5-9493-755B9637E8BB}"/>
    <cellStyle name="60% - 强调文字颜色 1 2 6 2" xfId="1127" xr:uid="{025D5DF8-C69E-4DA8-B8A3-7A6470E9C1AC}"/>
    <cellStyle name="60% - 强调文字颜色 1 2 7" xfId="1128" xr:uid="{7AD5E55A-8B53-470D-8BFE-2595209B9F7D}"/>
    <cellStyle name="60% - 强调文字颜色 1 2 8" xfId="1129" xr:uid="{65BE2A15-9E56-4549-ACB6-31F719AF9967}"/>
    <cellStyle name="60% - 强调文字颜色 1 2 9" xfId="1130" xr:uid="{6D8619E9-7394-4E60-9A00-609A4026B4AA}"/>
    <cellStyle name="60% - 强调文字颜色 1 3" xfId="1131" xr:uid="{98D7EF51-1621-4C47-B209-CA95C4109820}"/>
    <cellStyle name="60% - 强调文字颜色 1 3 2" xfId="1132" xr:uid="{CB4DB0EA-6504-48E5-A1A4-4938E10BA16C}"/>
    <cellStyle name="60% - 强调文字颜色 1 3 2 2" xfId="1133" xr:uid="{0FDDEDF3-5CA2-4214-A0CE-847DED1D060B}"/>
    <cellStyle name="60% - 强调文字颜色 1 3 2 2 2" xfId="1134" xr:uid="{AA13A6F7-1FD5-48D3-B760-26D1DC100ACA}"/>
    <cellStyle name="60% - 强调文字颜色 1 3 2 2 2 2" xfId="1135" xr:uid="{00723C90-B5FA-4F5C-ADE0-00072C2CFE10}"/>
    <cellStyle name="60% - 强调文字颜色 1 3 2 2 2 2 2" xfId="1136" xr:uid="{8FD0BC1A-C2BA-4CCE-B798-354C75882BD3}"/>
    <cellStyle name="60% - 强调文字颜色 1 3 2 2 2 3" xfId="1137" xr:uid="{19FCEF36-B87A-46EF-B57F-ADF0FF1D32D2}"/>
    <cellStyle name="60% - 强调文字颜色 1 3 2 2 3" xfId="1138" xr:uid="{1C981666-6FEC-4CFA-BE05-E9BF56F1FD71}"/>
    <cellStyle name="60% - 强调文字颜色 1 3 2 2 3 2" xfId="1139" xr:uid="{B2F18DF8-4362-4D5E-8D54-7B32606B8DF8}"/>
    <cellStyle name="60% - 强调文字颜色 1 3 2 2 4" xfId="1140" xr:uid="{43921571-CA42-4405-854E-02B100EC3E0B}"/>
    <cellStyle name="60% - 强调文字颜色 1 3 2 3" xfId="1141" xr:uid="{3C2B47AB-9461-4A65-9854-90282FA6A56C}"/>
    <cellStyle name="60% - 强调文字颜色 1 3 2 3 2" xfId="1142" xr:uid="{DBAC4582-3999-4C66-BBE4-1A41A7966131}"/>
    <cellStyle name="60% - 强调文字颜色 1 3 2 3 2 2" xfId="1143" xr:uid="{A3AA565A-5CEA-4BDC-915F-11732F69BC7C}"/>
    <cellStyle name="60% - 强调文字颜色 1 3 2 3 3" xfId="1144" xr:uid="{73BA232B-A618-493D-993D-5E2F11E3AE23}"/>
    <cellStyle name="60% - 强调文字颜色 1 3 2 4" xfId="1145" xr:uid="{98EA4C8D-59F0-4B4C-8268-30AD86659555}"/>
    <cellStyle name="60% - 强调文字颜色 1 3 2 4 2" xfId="1146" xr:uid="{AB049F1B-ACA7-4765-AF78-32D453D207A1}"/>
    <cellStyle name="60% - 强调文字颜色 1 3 2 5" xfId="1147" xr:uid="{21CFA013-47A8-48AE-A2B2-CDBC6736AC56}"/>
    <cellStyle name="60% - 强调文字颜色 1 3 3" xfId="1148" xr:uid="{C4ED1547-E006-48AD-ADE9-2606602BAD0E}"/>
    <cellStyle name="60% - 强调文字颜色 1 3 3 2" xfId="1149" xr:uid="{6F4AE788-8800-4748-BFEE-A8DCF8E82EBC}"/>
    <cellStyle name="60% - 强调文字颜色 1 3 3 2 2" xfId="1150" xr:uid="{A2F28B5B-EE55-4BB3-9F5C-0386C7A89447}"/>
    <cellStyle name="60% - 强调文字颜色 1 3 3 3" xfId="1151" xr:uid="{E7870C5C-223B-4503-BE2B-9C85017BE360}"/>
    <cellStyle name="60% - 强调文字颜色 1 3 4" xfId="1152" xr:uid="{F23FB13B-3A87-4679-BB52-28C173A045D7}"/>
    <cellStyle name="60% - 强调文字颜色 1 3 4 2" xfId="1153" xr:uid="{F66A2361-0D35-4E70-8A93-FA71AF754636}"/>
    <cellStyle name="60% - 强调文字颜色 1 3 5" xfId="1154" xr:uid="{14DBD2CD-54FF-4481-8905-DE9E12C87ECF}"/>
    <cellStyle name="60% - 强调文字颜色 1 4" xfId="1155" xr:uid="{EF974697-CF5E-4B5C-BE8B-D56E92D42D94}"/>
    <cellStyle name="60% - 强调文字颜色 1 4 2" xfId="1156" xr:uid="{C911DB55-ECAC-4312-96C1-D1DD8A9585A4}"/>
    <cellStyle name="60% - 强调文字颜色 1 4 2 2" xfId="1157" xr:uid="{8C26D4C0-E0E5-4DFF-8E9E-F9BE133F7DCF}"/>
    <cellStyle name="60% - 强调文字颜色 1 4 3" xfId="1158" xr:uid="{C5C41A17-DCD7-479F-80DF-C96112B7950A}"/>
    <cellStyle name="60% - 强调文字颜色 1 5" xfId="1159" xr:uid="{104F5359-447F-4634-963F-9971C72E653A}"/>
    <cellStyle name="60% - 强调文字颜色 1 5 2" xfId="1160" xr:uid="{F33E0CFE-E071-469D-9189-DCCE5BB5CAA0}"/>
    <cellStyle name="60% - 强调文字颜色 1 5 2 2" xfId="1161" xr:uid="{837AC5BF-0C01-44E2-982E-F9D0AFDCA1DC}"/>
    <cellStyle name="60% - 强调文字颜色 1 5 3" xfId="1162" xr:uid="{C80A26E4-68DE-4BF3-994B-E6EDDF47C46C}"/>
    <cellStyle name="60% - 强调文字颜色 1 6" xfId="1163" xr:uid="{120D5795-5A9F-4630-A3BC-85EED860881A}"/>
    <cellStyle name="60% - 强调文字颜色 1 6 2" xfId="1164" xr:uid="{EE686833-3C23-48EC-9B29-135E79DBA6B8}"/>
    <cellStyle name="60% - 强调文字颜色 1 7" xfId="1165" xr:uid="{BB748712-AAAE-4774-BEC9-B19C777DDFDF}"/>
    <cellStyle name="60% - 强调文字颜色 1 7 2" xfId="1166" xr:uid="{7423B2E2-C2BB-4313-92EB-04AA421A1290}"/>
    <cellStyle name="60% - 强调文字颜色 1 8" xfId="1167" xr:uid="{B5DAC86E-FE2C-4795-8BE7-1C4657042987}"/>
    <cellStyle name="60% - 强调文字颜色 1 8 2" xfId="1168" xr:uid="{1962567A-11AD-42C4-8E7E-C50CF1963D23}"/>
    <cellStyle name="60% - 强调文字颜色 1 9" xfId="1169" xr:uid="{00FAF7A9-C78B-4A6F-8AD3-40A24963162C}"/>
    <cellStyle name="60% - 强调文字颜色 2 10" xfId="1170" xr:uid="{A73A0CA5-501D-403E-AABA-AD0BDAD78AC6}"/>
    <cellStyle name="60% - 强调文字颜色 2 11" xfId="1171" xr:uid="{8A8B6D74-4FFD-4E35-AC6D-CC6161C85B9D}"/>
    <cellStyle name="60% - 强调文字颜色 2 2" xfId="1172" xr:uid="{BB937739-7721-4393-BE5F-D446AE397695}"/>
    <cellStyle name="60% - 强调文字颜色 2 2 2" xfId="1173" xr:uid="{189571EB-88C7-4E92-856C-01D9C1231BC1}"/>
    <cellStyle name="60% - 强调文字颜色 2 2 2 2" xfId="1174" xr:uid="{E4BE02BD-2606-4DF8-8208-E7932E7F9DA0}"/>
    <cellStyle name="60% - 强调文字颜色 2 2 2 2 2" xfId="1175" xr:uid="{C835C22D-B0AF-4BB6-840D-DFF2705D7EF7}"/>
    <cellStyle name="60% - 强调文字颜色 2 2 2 2 2 2" xfId="1176" xr:uid="{CCC98705-6983-4941-A917-372FBDEBDD20}"/>
    <cellStyle name="60% - 强调文字颜色 2 2 2 2 2 2 2" xfId="1177" xr:uid="{9E4F306C-8636-45F2-B2E4-F59CDF6CD7B0}"/>
    <cellStyle name="60% - 强调文字颜色 2 2 2 2 2 3" xfId="1178" xr:uid="{FBCCF091-26B2-4509-A161-4E3FEAD57DF4}"/>
    <cellStyle name="60% - 强调文字颜色 2 2 2 2 3" xfId="1179" xr:uid="{9AD6F8C6-3B94-4B07-8E1D-2D0937D9E390}"/>
    <cellStyle name="60% - 强调文字颜色 2 2 2 2 3 2" xfId="1180" xr:uid="{123752AE-E6CD-4F50-B514-12C8DEB545B8}"/>
    <cellStyle name="60% - 强调文字颜色 2 2 2 2 4" xfId="1181" xr:uid="{C3919486-B638-476E-957A-70D6999121B4}"/>
    <cellStyle name="60% - 强调文字颜色 2 2 2 3" xfId="1182" xr:uid="{DDA85A30-2BE2-4076-A524-A749CDD15805}"/>
    <cellStyle name="60% - 强调文字颜色 2 2 2 3 2" xfId="1183" xr:uid="{D7654DD6-86C5-4B98-A280-02FF138F4590}"/>
    <cellStyle name="60% - 强调文字颜色 2 2 2 3 2 2" xfId="1184" xr:uid="{D37C820F-3CC2-4FB3-A5B2-22F2DBF4EF15}"/>
    <cellStyle name="60% - 强调文字颜色 2 2 2 3 3" xfId="1185" xr:uid="{63157FF9-54AA-4217-A35C-73583528D820}"/>
    <cellStyle name="60% - 强调文字颜色 2 2 2 4" xfId="1186" xr:uid="{792C6557-D443-4C0F-8BE5-53BA63F07C96}"/>
    <cellStyle name="60% - 强调文字颜色 2 2 2 4 2" xfId="1187" xr:uid="{AEB78A53-7FD1-4EE0-B83B-654284DCD8EE}"/>
    <cellStyle name="60% - 强调文字颜色 2 2 2 5" xfId="1188" xr:uid="{E9CD17F1-05EC-4383-97D5-DC26C96B6F29}"/>
    <cellStyle name="60% - 强调文字颜色 2 2 3" xfId="1189" xr:uid="{1753CB98-CCC2-4D86-9329-9BDBCA1542E0}"/>
    <cellStyle name="60% - 强调文字颜色 2 2 3 2" xfId="1190" xr:uid="{05B8923D-9DF6-4F03-B6FF-A25904066569}"/>
    <cellStyle name="60% - 强调文字颜色 2 2 3 2 2" xfId="1191" xr:uid="{BC7FB145-EAC1-4520-AA54-71DD49FA1D2F}"/>
    <cellStyle name="60% - 强调文字颜色 2 2 3 2 2 2" xfId="1192" xr:uid="{860406A3-A9CB-461C-893A-3BC657B2783C}"/>
    <cellStyle name="60% - 强调文字颜色 2 2 3 2 3" xfId="1193" xr:uid="{A833C327-E48F-4964-B658-73A4C23E281F}"/>
    <cellStyle name="60% - 强调文字颜色 2 2 3 2 4" xfId="1194" xr:uid="{7C0A5EE3-72FA-4F0E-9653-6A7975D0B4C4}"/>
    <cellStyle name="60% - 强调文字颜色 2 2 3 3" xfId="1195" xr:uid="{F158E865-C122-4ED0-8C8B-58BC9EB1F19B}"/>
    <cellStyle name="60% - 强调文字颜色 2 2 3 3 2" xfId="1196" xr:uid="{A2F1A3C5-E138-4430-8156-A26953D51CEB}"/>
    <cellStyle name="60% - 强调文字颜色 2 2 3 4" xfId="1197" xr:uid="{69C3ED3A-B8C9-46AD-ACFD-76B231875C71}"/>
    <cellStyle name="60% - 强调文字颜色 2 2 3 5" xfId="1198" xr:uid="{04E5CF79-1591-4C0A-8809-4B461B491186}"/>
    <cellStyle name="60% - 强调文字颜色 2 2 4" xfId="1199" xr:uid="{177EB93B-859A-4722-94D1-9ED21C68CD38}"/>
    <cellStyle name="60% - 强调文字颜色 2 2 4 2" xfId="1200" xr:uid="{A9D7480F-2EB0-488B-B2A5-35D48A5111D5}"/>
    <cellStyle name="60% - 强调文字颜色 2 2 4 2 2" xfId="1201" xr:uid="{99284956-AE4B-4E82-9299-F5F17D6DBE05}"/>
    <cellStyle name="60% - 强调文字颜色 2 2 4 3" xfId="1202" xr:uid="{02F7B7EC-1583-48E5-BD39-2773CABB85AA}"/>
    <cellStyle name="60% - 强调文字颜色 2 2 4 3 2" xfId="1203" xr:uid="{A5354A25-6524-4FD3-9425-3A8FB4C659EC}"/>
    <cellStyle name="60% - 强调文字颜色 2 2 4 4" xfId="1204" xr:uid="{17BDF3F3-1756-4E26-9A69-0F2F2322160F}"/>
    <cellStyle name="60% - 强调文字颜色 2 2 4 5" xfId="1205" xr:uid="{432E9441-FD74-4B70-B0DB-EA307AD170A7}"/>
    <cellStyle name="60% - 强调文字颜色 2 2 5" xfId="1206" xr:uid="{B4006DA4-966B-498B-B73C-4FB89A37C32D}"/>
    <cellStyle name="60% - 强调文字颜色 2 2 5 2" xfId="1207" xr:uid="{42581CA4-DD86-4801-8EC5-B31C25C14565}"/>
    <cellStyle name="60% - 强调文字颜色 2 2 6" xfId="1208" xr:uid="{F96FB678-05CA-4997-881E-9EEAEAF93F96}"/>
    <cellStyle name="60% - 强调文字颜色 2 2 6 2" xfId="1209" xr:uid="{3B77AF52-1081-43E3-BA37-E60C487E0A33}"/>
    <cellStyle name="60% - 强调文字颜色 2 2 7" xfId="1210" xr:uid="{55FC3799-A155-480C-B01C-9AB92A57895A}"/>
    <cellStyle name="60% - 强调文字颜色 2 2 8" xfId="1211" xr:uid="{163D1F08-D0DB-484C-9664-D08A8A7C092F}"/>
    <cellStyle name="60% - 强调文字颜色 2 2 9" xfId="1212" xr:uid="{4D2975E5-361E-45C2-BAB7-0D37EA8E3449}"/>
    <cellStyle name="60% - 强调文字颜色 2 3" xfId="1213" xr:uid="{58E70C4E-F7D1-47E8-802F-E5F0689A5417}"/>
    <cellStyle name="60% - 强调文字颜色 2 3 2" xfId="1214" xr:uid="{AD382A6A-0F56-4675-9C48-9DC6420DDA73}"/>
    <cellStyle name="60% - 强调文字颜色 2 3 2 2" xfId="1215" xr:uid="{0D72CB5F-29AC-4462-9407-1AF6D12929FE}"/>
    <cellStyle name="60% - 强调文字颜色 2 3 2 2 2" xfId="1216" xr:uid="{2F7D93C8-4BCA-4DC7-9EEA-8210AAE4BE9B}"/>
    <cellStyle name="60% - 强调文字颜色 2 3 2 2 2 2" xfId="1217" xr:uid="{02297095-D2CC-4FCD-B70D-09DB79AD21CF}"/>
    <cellStyle name="60% - 强调文字颜色 2 3 2 2 2 2 2" xfId="1218" xr:uid="{DD01B754-AE1C-4FE6-A69D-F7D647669334}"/>
    <cellStyle name="60% - 强调文字颜色 2 3 2 2 2 3" xfId="1219" xr:uid="{A0A0C011-BC71-4FFB-8334-58041DCE8EE7}"/>
    <cellStyle name="60% - 强调文字颜色 2 3 2 2 3" xfId="1220" xr:uid="{F3F27C6B-0796-4724-BF58-F5CDE25651F1}"/>
    <cellStyle name="60% - 强调文字颜色 2 3 2 2 3 2" xfId="1221" xr:uid="{46474D1A-459E-455C-861A-502E37E905C0}"/>
    <cellStyle name="60% - 强调文字颜色 2 3 2 2 4" xfId="1222" xr:uid="{0A18BBED-4DCF-4D52-BB94-86A6A231F175}"/>
    <cellStyle name="60% - 强调文字颜色 2 3 2 3" xfId="1223" xr:uid="{C388A049-E0DE-4B48-9538-66E4BEA82105}"/>
    <cellStyle name="60% - 强调文字颜色 2 3 2 3 2" xfId="1224" xr:uid="{F20A0014-0E71-418F-AF0E-3CD1309EB69F}"/>
    <cellStyle name="60% - 强调文字颜色 2 3 2 3 2 2" xfId="1225" xr:uid="{EA5A2FA1-1F89-48A9-AAB8-D61580A4896A}"/>
    <cellStyle name="60% - 强调文字颜色 2 3 2 3 3" xfId="1226" xr:uid="{CA2FC8C1-9BBC-4151-BA87-B4DD54B34FC3}"/>
    <cellStyle name="60% - 强调文字颜色 2 3 2 4" xfId="1227" xr:uid="{5AB48279-2727-48A6-B5A9-6EB9853CD16B}"/>
    <cellStyle name="60% - 强调文字颜色 2 3 2 4 2" xfId="1228" xr:uid="{EDA688B7-CB64-4F81-A5DB-BCC3468D981A}"/>
    <cellStyle name="60% - 强调文字颜色 2 3 2 5" xfId="1229" xr:uid="{BADF92A7-5404-4C39-8CB1-FF485CA49434}"/>
    <cellStyle name="60% - 强调文字颜色 2 3 3" xfId="1230" xr:uid="{0DB773C3-52CC-4E24-A42D-B72B7FDF11C2}"/>
    <cellStyle name="60% - 强调文字颜色 2 3 3 2" xfId="1231" xr:uid="{6E9349B5-86BE-4EE0-A977-77A011B6F734}"/>
    <cellStyle name="60% - 强调文字颜色 2 3 3 2 2" xfId="1232" xr:uid="{24CBBEC7-0E2F-4F5B-A4CA-8A64E4DE7039}"/>
    <cellStyle name="60% - 强调文字颜色 2 3 3 3" xfId="1233" xr:uid="{0B00E640-124C-4AE7-BE2D-3AE9B712DBDC}"/>
    <cellStyle name="60% - 强调文字颜色 2 3 4" xfId="1234" xr:uid="{B9E60AA7-47C4-41BB-81FC-257118F4326B}"/>
    <cellStyle name="60% - 强调文字颜色 2 3 4 2" xfId="1235" xr:uid="{26BB0908-E23F-4849-869C-4EDE62FCEC3A}"/>
    <cellStyle name="60% - 强调文字颜色 2 3 5" xfId="1236" xr:uid="{FD6D82CD-988E-42D5-9441-F5B4C14AA207}"/>
    <cellStyle name="60% - 强调文字颜色 2 4" xfId="1237" xr:uid="{9E6601E3-7869-449B-8384-4AF8ACDC8269}"/>
    <cellStyle name="60% - 强调文字颜色 2 4 2" xfId="1238" xr:uid="{EB1A5C3A-0681-4B5F-8188-53C76AA2966E}"/>
    <cellStyle name="60% - 强调文字颜色 2 4 2 2" xfId="1239" xr:uid="{DC32E5DD-3DBD-43F0-85BF-3AAE48524F04}"/>
    <cellStyle name="60% - 强调文字颜色 2 4 3" xfId="1240" xr:uid="{7B6317D4-3F65-463A-BB42-94CCBBD28CAB}"/>
    <cellStyle name="60% - 强调文字颜色 2 5" xfId="1241" xr:uid="{CF67D2A2-59DB-43E4-B4B8-BC9E8E9F5AD5}"/>
    <cellStyle name="60% - 强调文字颜色 2 5 2" xfId="1242" xr:uid="{3954F161-B151-4503-AA50-208FE173C559}"/>
    <cellStyle name="60% - 强调文字颜色 2 5 2 2" xfId="1243" xr:uid="{0CEC5A9C-312E-46A6-BDCB-5BC2E83B83B6}"/>
    <cellStyle name="60% - 强调文字颜色 2 5 3" xfId="1244" xr:uid="{CF33126B-E53A-45D3-AF1F-30F65DB2814A}"/>
    <cellStyle name="60% - 强调文字颜色 2 6" xfId="1245" xr:uid="{DCFF9824-3205-45CC-9927-03B5C0769900}"/>
    <cellStyle name="60% - 强调文字颜色 2 6 2" xfId="1246" xr:uid="{BD9D2E72-29DA-4926-BB05-A643BD8F1B83}"/>
    <cellStyle name="60% - 强调文字颜色 2 7" xfId="1247" xr:uid="{D5FEAD68-4B52-467F-B0B5-D2706251C63F}"/>
    <cellStyle name="60% - 强调文字颜色 2 7 2" xfId="1248" xr:uid="{0171D39A-7B40-48AB-B52E-36E4D790F3DC}"/>
    <cellStyle name="60% - 强调文字颜色 2 8" xfId="1249" xr:uid="{675B39F2-1EF0-44C1-A5D9-D0744285501B}"/>
    <cellStyle name="60% - 强调文字颜色 2 8 2" xfId="1250" xr:uid="{B923F275-987D-4193-91A9-835CD8E08183}"/>
    <cellStyle name="60% - 强调文字颜色 2 9" xfId="1251" xr:uid="{14ACDDD5-972F-44C4-A571-DAD26B84B857}"/>
    <cellStyle name="60% - 强调文字颜色 3 10" xfId="1252" xr:uid="{B6CAB895-58BF-4B67-AB0C-69AA71BF0DBE}"/>
    <cellStyle name="60% - 强调文字颜色 3 11" xfId="1253" xr:uid="{9AC82F48-AB84-4899-8102-7C8929899A84}"/>
    <cellStyle name="60% - 强调文字颜色 3 2" xfId="1254" xr:uid="{751BAEBC-2BB4-494B-B478-02B32333C6FA}"/>
    <cellStyle name="60% - 强调文字颜色 3 2 2" xfId="1255" xr:uid="{3B79E69B-FD51-4C93-B89B-1D8547DD29A0}"/>
    <cellStyle name="60% - 强调文字颜色 3 2 2 2" xfId="1256" xr:uid="{86A31BF0-B8DB-4E93-90A1-08E629ECB212}"/>
    <cellStyle name="60% - 强调文字颜色 3 2 2 2 2" xfId="1257" xr:uid="{CF31514F-0F0E-4B3C-A15A-CAE841E5EAD2}"/>
    <cellStyle name="60% - 强调文字颜色 3 2 2 2 2 2" xfId="1258" xr:uid="{F463EAD5-80B7-42B9-AF30-13E4CA9D8346}"/>
    <cellStyle name="60% - 强调文字颜色 3 2 2 2 2 2 2" xfId="1259" xr:uid="{3956D695-7172-4C20-9643-F22159CF0F09}"/>
    <cellStyle name="60% - 强调文字颜色 3 2 2 2 2 3" xfId="1260" xr:uid="{04E5EEFB-3E4F-4541-9026-850134E49D0A}"/>
    <cellStyle name="60% - 强调文字颜色 3 2 2 2 3" xfId="1261" xr:uid="{62605051-8476-4628-B81F-6F30C09F2E26}"/>
    <cellStyle name="60% - 强调文字颜色 3 2 2 2 3 2" xfId="1262" xr:uid="{2752034A-5F4A-42C4-A991-EA9E1FD16863}"/>
    <cellStyle name="60% - 强调文字颜色 3 2 2 2 4" xfId="1263" xr:uid="{35B85F59-CCFE-4510-974B-771D997451AB}"/>
    <cellStyle name="60% - 强调文字颜色 3 2 2 3" xfId="1264" xr:uid="{97E0B06F-8612-4EA1-9328-2B18F0D96854}"/>
    <cellStyle name="60% - 强调文字颜色 3 2 2 3 2" xfId="1265" xr:uid="{F0215625-15AB-4A6E-95D6-ED69438222E8}"/>
    <cellStyle name="60% - 强调文字颜色 3 2 2 3 2 2" xfId="1266" xr:uid="{C75CABFD-ECD2-4C07-B35A-90CEA076D94F}"/>
    <cellStyle name="60% - 强调文字颜色 3 2 2 3 3" xfId="1267" xr:uid="{E649F4E3-AF7A-4E7E-8BA8-72F782CEDDE9}"/>
    <cellStyle name="60% - 强调文字颜色 3 2 2 4" xfId="1268" xr:uid="{E04CFABF-72CE-49E5-A0A8-75B73E1BDA4D}"/>
    <cellStyle name="60% - 强调文字颜色 3 2 2 4 2" xfId="1269" xr:uid="{799656AB-7AFD-4D6F-8B80-667CB7C2C587}"/>
    <cellStyle name="60% - 强调文字颜色 3 2 2 5" xfId="1270" xr:uid="{CCFEC2F4-A617-448D-A497-8E04C6D07D54}"/>
    <cellStyle name="60% - 强调文字颜色 3 2 3" xfId="1271" xr:uid="{DAA0E70E-5D87-43F5-AA13-9E17BD2F922D}"/>
    <cellStyle name="60% - 强调文字颜色 3 2 3 2" xfId="1272" xr:uid="{F070016E-638D-42A7-B28A-A3BB111C133C}"/>
    <cellStyle name="60% - 强调文字颜色 3 2 3 2 2" xfId="1273" xr:uid="{4762CEAE-AFF9-4C59-ABFC-0EDCFB31C050}"/>
    <cellStyle name="60% - 强调文字颜色 3 2 3 2 2 2" xfId="1274" xr:uid="{35252BE4-A1ED-4C8C-84B8-1E487CEA1F78}"/>
    <cellStyle name="60% - 强调文字颜色 3 2 3 2 3" xfId="1275" xr:uid="{FB9849D8-FBF5-4ACD-80E9-3A63F0F25DA9}"/>
    <cellStyle name="60% - 强调文字颜色 3 2 3 2 4" xfId="1276" xr:uid="{9E8028D8-2A73-408F-81CA-1CAF9BC06A8F}"/>
    <cellStyle name="60% - 强调文字颜色 3 2 3 3" xfId="1277" xr:uid="{86F1AE74-62F5-4FF4-BDBE-9F997DE69AB3}"/>
    <cellStyle name="60% - 强调文字颜色 3 2 3 3 2" xfId="1278" xr:uid="{B8F2B9B9-AC76-4C46-8C42-C7B3D72FD01A}"/>
    <cellStyle name="60% - 强调文字颜色 3 2 3 4" xfId="1279" xr:uid="{D7815B3B-4158-4254-AFF8-88C5D80280F9}"/>
    <cellStyle name="60% - 强调文字颜色 3 2 3 5" xfId="1280" xr:uid="{C235061E-36BA-432E-85AB-D26DF1E112C1}"/>
    <cellStyle name="60% - 强调文字颜色 3 2 4" xfId="1281" xr:uid="{7C56EFAB-4986-42C1-A870-23FBA3AEB2D1}"/>
    <cellStyle name="60% - 强调文字颜色 3 2 4 2" xfId="1282" xr:uid="{FC066BA6-5040-42D2-A941-7B05B402DE00}"/>
    <cellStyle name="60% - 强调文字颜色 3 2 4 2 2" xfId="1283" xr:uid="{7CC22062-7081-4FA8-82C3-0DF886D62CB1}"/>
    <cellStyle name="60% - 强调文字颜色 3 2 4 3" xfId="1284" xr:uid="{1AD0717D-BFA0-416A-854E-20B3A3BD07CE}"/>
    <cellStyle name="60% - 强调文字颜色 3 2 4 3 2" xfId="1285" xr:uid="{53F3B466-E6EC-41BA-86A0-03944B4B063D}"/>
    <cellStyle name="60% - 强调文字颜色 3 2 4 4" xfId="1286" xr:uid="{DC19ED0E-4392-4EDE-AFDF-28B2FD8FD595}"/>
    <cellStyle name="60% - 强调文字颜色 3 2 4 5" xfId="1287" xr:uid="{94A8E869-4808-482C-96B5-BE641DDD5AE7}"/>
    <cellStyle name="60% - 强调文字颜色 3 2 5" xfId="1288" xr:uid="{9C9875F3-6394-4C03-AE29-DC55DE63CDE3}"/>
    <cellStyle name="60% - 强调文字颜色 3 2 5 2" xfId="1289" xr:uid="{E4300133-0EF0-48D6-982A-1E1C5C5B8F14}"/>
    <cellStyle name="60% - 强调文字颜色 3 2 6" xfId="1290" xr:uid="{9D291A9A-62AF-443F-9617-85E1B53E8E09}"/>
    <cellStyle name="60% - 强调文字颜色 3 2 6 2" xfId="1291" xr:uid="{CF969951-809B-4CCB-BE9A-8A67C04D7DA2}"/>
    <cellStyle name="60% - 强调文字颜色 3 2 7" xfId="1292" xr:uid="{1EA04827-1260-432F-9566-9C519BBF78BE}"/>
    <cellStyle name="60% - 强调文字颜色 3 2 8" xfId="1293" xr:uid="{E4B45D11-1CE4-489F-B65B-561C234A4A70}"/>
    <cellStyle name="60% - 强调文字颜色 3 2 9" xfId="1294" xr:uid="{25C08BFA-7AD9-44CD-942D-50A76B32210C}"/>
    <cellStyle name="60% - 强调文字颜色 3 3" xfId="1295" xr:uid="{873E7154-5BB2-4738-BE0B-912ED1D8AE62}"/>
    <cellStyle name="60% - 强调文字颜色 3 3 2" xfId="1296" xr:uid="{6F498E70-CF97-4E31-A2BD-F25DCE321CAE}"/>
    <cellStyle name="60% - 强调文字颜色 3 3 2 2" xfId="1297" xr:uid="{F05CC10C-1E09-49FB-9192-D91D5D78FCB4}"/>
    <cellStyle name="60% - 强调文字颜色 3 3 2 2 2" xfId="1298" xr:uid="{E1EBEF0F-FEB6-410C-96F5-9137DC6D2D76}"/>
    <cellStyle name="60% - 强调文字颜色 3 3 2 2 2 2" xfId="1299" xr:uid="{D9AEDDEC-C03A-407D-A524-09B74CEA6BE4}"/>
    <cellStyle name="60% - 强调文字颜色 3 3 2 2 2 2 2" xfId="1300" xr:uid="{96D624E6-23FD-4E6D-B1CE-92A0D779CD5E}"/>
    <cellStyle name="60% - 强调文字颜色 3 3 2 2 2 3" xfId="1301" xr:uid="{2B1BA945-2A67-4FF9-B557-4EB66E595413}"/>
    <cellStyle name="60% - 强调文字颜色 3 3 2 2 3" xfId="1302" xr:uid="{6AC0BA01-B88E-4FE8-A175-95D59E1812B8}"/>
    <cellStyle name="60% - 强调文字颜色 3 3 2 2 3 2" xfId="1303" xr:uid="{CC010260-895C-43D9-AB72-55345AB49468}"/>
    <cellStyle name="60% - 强调文字颜色 3 3 2 2 4" xfId="1304" xr:uid="{1D073B72-0660-46C0-A7F2-11B1431C00F8}"/>
    <cellStyle name="60% - 强调文字颜色 3 3 2 3" xfId="1305" xr:uid="{34C5C5B6-7B47-4D40-B1C3-CDE6AD01F9D4}"/>
    <cellStyle name="60% - 强调文字颜色 3 3 2 3 2" xfId="1306" xr:uid="{C4E84606-FCD9-415A-A09B-44222CCA2A5D}"/>
    <cellStyle name="60% - 强调文字颜色 3 3 2 3 2 2" xfId="1307" xr:uid="{AA38F00C-B8D2-44B2-B8F1-AD3330CAF9F9}"/>
    <cellStyle name="60% - 强调文字颜色 3 3 2 3 3" xfId="1308" xr:uid="{7B4092C4-064A-44C4-A9AB-CBF4A4999E06}"/>
    <cellStyle name="60% - 强调文字颜色 3 3 2 4" xfId="1309" xr:uid="{30070722-C22C-4D4A-8F3A-4FB1C3364E07}"/>
    <cellStyle name="60% - 强调文字颜色 3 3 2 4 2" xfId="1310" xr:uid="{9D1B0C33-51C2-46A1-B31E-E5E18E169C81}"/>
    <cellStyle name="60% - 强调文字颜色 3 3 2 5" xfId="1311" xr:uid="{4DF5D035-42B0-453A-B347-794D78C12937}"/>
    <cellStyle name="60% - 强调文字颜色 3 3 3" xfId="1312" xr:uid="{C7832757-5963-4951-9B4D-3C6B95181219}"/>
    <cellStyle name="60% - 强调文字颜色 3 3 3 2" xfId="1313" xr:uid="{83E5AD54-1ADA-4F47-92A0-89FCF5C0C7B3}"/>
    <cellStyle name="60% - 强调文字颜色 3 3 3 2 2" xfId="1314" xr:uid="{ADA5D6D1-4EB7-41C2-948A-3C2BA0DD9989}"/>
    <cellStyle name="60% - 强调文字颜色 3 3 3 3" xfId="1315" xr:uid="{8333478A-1AF1-408B-9149-B54EFC07CADB}"/>
    <cellStyle name="60% - 强调文字颜色 3 3 4" xfId="1316" xr:uid="{3E63490F-5595-4E8E-83A4-49A182F51C6E}"/>
    <cellStyle name="60% - 强调文字颜色 3 3 4 2" xfId="1317" xr:uid="{DFBF5C94-CAE0-4942-9499-22F39C416F01}"/>
    <cellStyle name="60% - 强调文字颜色 3 3 5" xfId="1318" xr:uid="{F702DD4A-015B-4A50-863B-D0CD8FF3596F}"/>
    <cellStyle name="60% - 强调文字颜色 3 4" xfId="1319" xr:uid="{F676C1EB-354C-4D57-9A12-803D8E59ABB4}"/>
    <cellStyle name="60% - 强调文字颜色 3 4 2" xfId="1320" xr:uid="{1BB031CA-697A-4464-975A-F448EECDD21A}"/>
    <cellStyle name="60% - 强调文字颜色 3 4 2 2" xfId="1321" xr:uid="{CAD65AEA-F5CC-418F-A097-9E872AFF49E0}"/>
    <cellStyle name="60% - 强调文字颜色 3 4 3" xfId="1322" xr:uid="{A40B5788-4A92-4E9C-A1F2-C68981605751}"/>
    <cellStyle name="60% - 强调文字颜色 3 5" xfId="1323" xr:uid="{8142366B-9870-4721-AC94-D4BC82E591E5}"/>
    <cellStyle name="60% - 强调文字颜色 3 5 2" xfId="1324" xr:uid="{393A235B-75A2-4B76-A160-7A98D0165ACE}"/>
    <cellStyle name="60% - 强调文字颜色 3 5 2 2" xfId="1325" xr:uid="{0FFDAEE1-C766-43A3-903E-CAF69AC979ED}"/>
    <cellStyle name="60% - 强调文字颜色 3 5 3" xfId="1326" xr:uid="{F27BE260-B641-416D-A713-B4A288021050}"/>
    <cellStyle name="60% - 强调文字颜色 3 6" xfId="1327" xr:uid="{16372510-5C95-4FA1-B788-76368AC5377E}"/>
    <cellStyle name="60% - 强调文字颜色 3 6 2" xfId="1328" xr:uid="{E98095ED-25FF-4DD4-82F0-3CE1105313A2}"/>
    <cellStyle name="60% - 强调文字颜色 3 7" xfId="1329" xr:uid="{9960417B-320E-4CFD-BF13-794ADE2E6986}"/>
    <cellStyle name="60% - 强调文字颜色 3 7 2" xfId="1330" xr:uid="{65139E8E-BA09-416C-85FD-B42E18A6ACC9}"/>
    <cellStyle name="60% - 强调文字颜色 3 8" xfId="1331" xr:uid="{0A2E9F9F-C182-4BE5-86C6-35D40396077D}"/>
    <cellStyle name="60% - 强调文字颜色 3 8 2" xfId="1332" xr:uid="{6A04041C-1E21-4306-A2A0-700DE732E3F7}"/>
    <cellStyle name="60% - 强调文字颜色 3 9" xfId="1333" xr:uid="{EE7E7CB9-C08F-48DB-ADCD-7299850B0DCB}"/>
    <cellStyle name="60% - 强调文字颜色 4 10" xfId="1334" xr:uid="{0CEDE624-960E-41CE-B53F-FF34DCA20A06}"/>
    <cellStyle name="60% - 强调文字颜色 4 11" xfId="1335" xr:uid="{E55D8CDE-31FA-455B-A469-D62D27752DC0}"/>
    <cellStyle name="60% - 强调文字颜色 4 2" xfId="1336" xr:uid="{3EF3DD78-564F-4B42-83CE-42B71FED8EEB}"/>
    <cellStyle name="60% - 强调文字颜色 4 2 2" xfId="1337" xr:uid="{5405D6E6-86FC-4BA8-882C-A9D28BD9993B}"/>
    <cellStyle name="60% - 强调文字颜色 4 2 2 2" xfId="1338" xr:uid="{6DA8568F-9AD0-401A-BBCF-3725BBD53955}"/>
    <cellStyle name="60% - 强调文字颜色 4 2 2 2 2" xfId="1339" xr:uid="{41A81902-CC71-42DD-9CE7-B4EF2A993EF8}"/>
    <cellStyle name="60% - 强调文字颜色 4 2 2 2 2 2" xfId="1340" xr:uid="{3D4994A2-528E-46D2-AD8A-A6C7933F2FAF}"/>
    <cellStyle name="60% - 强调文字颜色 4 2 2 2 2 2 2" xfId="1341" xr:uid="{67D56334-BCD4-42D3-B69C-465E6E582818}"/>
    <cellStyle name="60% - 强调文字颜色 4 2 2 2 2 3" xfId="1342" xr:uid="{8B39BA08-A634-4F1D-81D0-08209B072FF7}"/>
    <cellStyle name="60% - 强调文字颜色 4 2 2 2 3" xfId="1343" xr:uid="{61A7C298-4024-45DA-B55A-7D4E76B64746}"/>
    <cellStyle name="60% - 强调文字颜色 4 2 2 2 3 2" xfId="1344" xr:uid="{BEB3115C-E6E0-465B-88FA-9B1E05153F5E}"/>
    <cellStyle name="60% - 强调文字颜色 4 2 2 2 4" xfId="1345" xr:uid="{D9190390-0359-4611-9CD1-6495B211FBBC}"/>
    <cellStyle name="60% - 强调文字颜色 4 2 2 3" xfId="1346" xr:uid="{169DFFC7-5641-4FAC-90E6-0DAEC4D652BA}"/>
    <cellStyle name="60% - 强调文字颜色 4 2 2 3 2" xfId="1347" xr:uid="{2EB97CF3-C862-4E64-B447-81BB90D8A81D}"/>
    <cellStyle name="60% - 强调文字颜色 4 2 2 3 2 2" xfId="1348" xr:uid="{F3E57C27-6A9E-4240-BEC9-E39B6915E28A}"/>
    <cellStyle name="60% - 强调文字颜色 4 2 2 3 3" xfId="1349" xr:uid="{7FA6DF40-9147-45B3-B982-704F0806765B}"/>
    <cellStyle name="60% - 强调文字颜色 4 2 2 4" xfId="1350" xr:uid="{7F2FDB09-EBA5-4678-8D70-7071658FDD73}"/>
    <cellStyle name="60% - 强调文字颜色 4 2 2 4 2" xfId="1351" xr:uid="{44EC5B62-36B1-462F-A268-DAF4D5D010E2}"/>
    <cellStyle name="60% - 强调文字颜色 4 2 2 5" xfId="1352" xr:uid="{BDABF891-3161-4AC3-80F9-E918DA799E00}"/>
    <cellStyle name="60% - 强调文字颜色 4 2 3" xfId="1353" xr:uid="{11A6EFDB-93EE-4A71-870E-CC2080432C66}"/>
    <cellStyle name="60% - 强调文字颜色 4 2 3 2" xfId="1354" xr:uid="{E70382B8-0577-47E3-A1F5-DD696B1C9BEA}"/>
    <cellStyle name="60% - 强调文字颜色 4 2 3 2 2" xfId="1355" xr:uid="{9621655E-5F14-446B-A83B-02B3F257CBAD}"/>
    <cellStyle name="60% - 强调文字颜色 4 2 3 2 2 2" xfId="1356" xr:uid="{4A1E3258-6774-498B-863C-96080495F5CC}"/>
    <cellStyle name="60% - 强调文字颜色 4 2 3 2 3" xfId="1357" xr:uid="{7FBB8659-F903-4B42-834D-518F20D599A1}"/>
    <cellStyle name="60% - 强调文字颜色 4 2 3 2 4" xfId="1358" xr:uid="{E6EA5394-3CD0-4038-8ACD-01F0C1295261}"/>
    <cellStyle name="60% - 强调文字颜色 4 2 3 3" xfId="1359" xr:uid="{0AF146ED-2F40-4134-9A90-687E9F7861C9}"/>
    <cellStyle name="60% - 强调文字颜色 4 2 3 3 2" xfId="1360" xr:uid="{DBC36F2C-8D36-4440-ABF9-819198D81D05}"/>
    <cellStyle name="60% - 强调文字颜色 4 2 3 4" xfId="1361" xr:uid="{6AA260D5-BC86-4CFD-BA45-E8BCE3B487AE}"/>
    <cellStyle name="60% - 强调文字颜色 4 2 3 5" xfId="1362" xr:uid="{19F06918-888C-48AC-91B6-268D12C77020}"/>
    <cellStyle name="60% - 强调文字颜色 4 2 4" xfId="1363" xr:uid="{B4BC37E9-5860-48C1-AF2B-8D2D5C3EB400}"/>
    <cellStyle name="60% - 强调文字颜色 4 2 4 2" xfId="1364" xr:uid="{635166A9-94CF-4D06-BF39-010C69AD332F}"/>
    <cellStyle name="60% - 强调文字颜色 4 2 4 2 2" xfId="1365" xr:uid="{25179B6E-86EC-4015-B4FA-72C805F668F5}"/>
    <cellStyle name="60% - 强调文字颜色 4 2 4 3" xfId="1366" xr:uid="{79C93F20-6A77-4A5D-B243-CD1D58AACF5C}"/>
    <cellStyle name="60% - 强调文字颜色 4 2 4 3 2" xfId="1367" xr:uid="{02390348-E564-47F9-955E-1B385ACE9770}"/>
    <cellStyle name="60% - 强调文字颜色 4 2 4 4" xfId="1368" xr:uid="{6AD9DBBC-F2B3-4DAC-BC2E-DB6391194FE1}"/>
    <cellStyle name="60% - 强调文字颜色 4 2 4 5" xfId="1369" xr:uid="{38C420B9-EDEB-41C8-BED0-B6BA4B75C33F}"/>
    <cellStyle name="60% - 强调文字颜色 4 2 5" xfId="1370" xr:uid="{6F2C8CE5-DCF3-45C1-B30F-6BDE253BD7B4}"/>
    <cellStyle name="60% - 强调文字颜色 4 2 5 2" xfId="1371" xr:uid="{294EB876-6524-486B-BE7E-35908E36D676}"/>
    <cellStyle name="60% - 强调文字颜色 4 2 6" xfId="1372" xr:uid="{56ECAEC6-694F-4337-9F2D-0A355D5BF890}"/>
    <cellStyle name="60% - 强调文字颜色 4 2 6 2" xfId="1373" xr:uid="{D44CFF2A-ABBC-45C0-BFD8-86931BADF9BC}"/>
    <cellStyle name="60% - 强调文字颜色 4 2 7" xfId="1374" xr:uid="{EBDD9894-EB35-432E-9A12-06CFC8CF8307}"/>
    <cellStyle name="60% - 强调文字颜色 4 2 8" xfId="1375" xr:uid="{793356FB-FBC9-43AB-B439-EBF13A219E2C}"/>
    <cellStyle name="60% - 强调文字颜色 4 2 9" xfId="1376" xr:uid="{19F0FFC2-4C3C-4B8F-93FD-2B433E7A2F23}"/>
    <cellStyle name="60% - 强调文字颜色 4 3" xfId="1377" xr:uid="{84396199-8EA3-49ED-A885-5DC6E9CC91D1}"/>
    <cellStyle name="60% - 强调文字颜色 4 3 2" xfId="1378" xr:uid="{D048BD14-DDD5-41FD-9D49-EAC62B349396}"/>
    <cellStyle name="60% - 强调文字颜色 4 3 2 2" xfId="1379" xr:uid="{DEA944F1-3995-439D-9672-FFC58625E166}"/>
    <cellStyle name="60% - 强调文字颜色 4 3 2 2 2" xfId="1380" xr:uid="{525665D0-9D8A-4E79-8BEB-798F4348E1AB}"/>
    <cellStyle name="60% - 强调文字颜色 4 3 2 2 2 2" xfId="1381" xr:uid="{59D53313-EF37-457C-A800-27B7DCD5B523}"/>
    <cellStyle name="60% - 强调文字颜色 4 3 2 2 2 2 2" xfId="1382" xr:uid="{4754F3BE-D9F0-45D7-8CF1-27F2D757C6EF}"/>
    <cellStyle name="60% - 强调文字颜色 4 3 2 2 2 3" xfId="1383" xr:uid="{FD796CCB-2A63-425B-9206-3FD6904CA4F7}"/>
    <cellStyle name="60% - 强调文字颜色 4 3 2 2 3" xfId="1384" xr:uid="{201B7E56-8E9B-4904-A404-D82CEDF9BC8D}"/>
    <cellStyle name="60% - 强调文字颜色 4 3 2 2 3 2" xfId="1385" xr:uid="{5A956915-3F3B-4F2A-B353-BAD6B5CA5621}"/>
    <cellStyle name="60% - 强调文字颜色 4 3 2 2 4" xfId="1386" xr:uid="{A77C124C-01AB-472C-9106-ADE6B8AEFD77}"/>
    <cellStyle name="60% - 强调文字颜色 4 3 2 3" xfId="1387" xr:uid="{A9E2A70A-8F2D-4036-AC5A-E71F7C58CC8A}"/>
    <cellStyle name="60% - 强调文字颜色 4 3 2 3 2" xfId="1388" xr:uid="{758D3379-0DA5-47CB-9AA4-474673546787}"/>
    <cellStyle name="60% - 强调文字颜色 4 3 2 3 2 2" xfId="1389" xr:uid="{CFC696D8-F5EC-4EC5-9BA1-415F1C75B97A}"/>
    <cellStyle name="60% - 强调文字颜色 4 3 2 3 3" xfId="1390" xr:uid="{D85412F4-9B5C-48B8-B248-C25E4E90E55A}"/>
    <cellStyle name="60% - 强调文字颜色 4 3 2 4" xfId="1391" xr:uid="{D65920ED-C94C-40F3-813E-B9F9D2E43D3C}"/>
    <cellStyle name="60% - 强调文字颜色 4 3 2 4 2" xfId="1392" xr:uid="{CFA404DE-E516-45A4-9BF6-6679A86BAC3B}"/>
    <cellStyle name="60% - 强调文字颜色 4 3 2 5" xfId="1393" xr:uid="{3A6B27FD-4B62-42B8-ABCD-F8BEE3CE18FC}"/>
    <cellStyle name="60% - 强调文字颜色 4 3 3" xfId="1394" xr:uid="{7A3F6916-3458-4192-BE5A-C00365B383FB}"/>
    <cellStyle name="60% - 强调文字颜色 4 3 3 2" xfId="1395" xr:uid="{5FF4AC25-CD24-42B3-AA25-B1D687A214EF}"/>
    <cellStyle name="60% - 强调文字颜色 4 3 3 2 2" xfId="1396" xr:uid="{5E68CDBC-AB4A-4B3C-9ACE-109C29C57C5E}"/>
    <cellStyle name="60% - 强调文字颜色 4 3 3 3" xfId="1397" xr:uid="{5414C7DE-A432-4BAA-A9BD-82733C3D9D29}"/>
    <cellStyle name="60% - 强调文字颜色 4 3 4" xfId="1398" xr:uid="{6C8AE07D-88F1-426D-9913-44DBC451C56D}"/>
    <cellStyle name="60% - 强调文字颜色 4 3 4 2" xfId="1399" xr:uid="{02BB0590-4CE5-40B1-ACCF-700095BA12FB}"/>
    <cellStyle name="60% - 强调文字颜色 4 3 5" xfId="1400" xr:uid="{6048E155-FDEC-461A-9E80-221763DDD32E}"/>
    <cellStyle name="60% - 强调文字颜色 4 4" xfId="1401" xr:uid="{0E4883A8-03CA-4A93-8A86-8DFBD4B03AC5}"/>
    <cellStyle name="60% - 强调文字颜色 4 4 2" xfId="1402" xr:uid="{75948416-3198-4150-87E0-610CD5591DBB}"/>
    <cellStyle name="60% - 强调文字颜色 4 4 2 2" xfId="1403" xr:uid="{1EEB967C-FDE0-4D80-AD78-9A7B66668E59}"/>
    <cellStyle name="60% - 强调文字颜色 4 4 3" xfId="1404" xr:uid="{7458128B-F42D-47F5-AD2F-DE6DD6EDDA24}"/>
    <cellStyle name="60% - 强调文字颜色 4 5" xfId="1405" xr:uid="{07ADE7EA-538B-49C5-ABC5-6A2F5907E621}"/>
    <cellStyle name="60% - 强调文字颜色 4 5 2" xfId="1406" xr:uid="{E4224ACD-33E2-4E34-92A9-ACCD0419C2FC}"/>
    <cellStyle name="60% - 强调文字颜色 4 5 2 2" xfId="1407" xr:uid="{7FE547FC-F92F-418F-BDC3-F0BEBE2BA27B}"/>
    <cellStyle name="60% - 强调文字颜色 4 5 3" xfId="1408" xr:uid="{60E4490B-66E8-4E7A-9EAC-3724D7630E14}"/>
    <cellStyle name="60% - 强调文字颜色 4 6" xfId="1409" xr:uid="{6E559994-262A-484C-9739-CE1D56AA0B1E}"/>
    <cellStyle name="60% - 强调文字颜色 4 6 2" xfId="1410" xr:uid="{DD019CFD-21CF-4B8F-BD3A-CBBF8DD02D82}"/>
    <cellStyle name="60% - 强调文字颜色 4 7" xfId="1411" xr:uid="{1A008E84-3D31-4A4E-8F39-1965131EE67E}"/>
    <cellStyle name="60% - 强调文字颜色 4 7 2" xfId="1412" xr:uid="{1738F81C-DCF4-4257-A05D-B44A1979DFE7}"/>
    <cellStyle name="60% - 强调文字颜色 4 8" xfId="1413" xr:uid="{88957602-267F-40D4-B491-6A285CFB0E62}"/>
    <cellStyle name="60% - 强调文字颜色 4 8 2" xfId="1414" xr:uid="{3B338DAA-4BDF-4C72-BBCF-BAD9F466D0A0}"/>
    <cellStyle name="60% - 强调文字颜色 4 9" xfId="1415" xr:uid="{5E6690AF-E011-4EB2-8EC7-30CCAC18668E}"/>
    <cellStyle name="60% - 强调文字颜色 5 10" xfId="1416" xr:uid="{779E28ED-126B-49F9-B155-BFEE8CDD5DA3}"/>
    <cellStyle name="60% - 强调文字颜色 5 11" xfId="1417" xr:uid="{27CA213F-2F5C-4749-8849-1D20EC5F24DE}"/>
    <cellStyle name="60% - 强调文字颜色 5 2" xfId="1418" xr:uid="{041CAC84-C23F-4816-A48C-6201D8C8540A}"/>
    <cellStyle name="60% - 强调文字颜色 5 2 2" xfId="1419" xr:uid="{2C0C5F37-DD36-4609-878E-17925CC8C182}"/>
    <cellStyle name="60% - 强调文字颜色 5 2 2 2" xfId="1420" xr:uid="{230890DE-56A1-4F83-BEC2-347F62D43701}"/>
    <cellStyle name="60% - 强调文字颜色 5 2 2 2 2" xfId="1421" xr:uid="{2082E682-97E6-4397-9505-8584D9567ED0}"/>
    <cellStyle name="60% - 强调文字颜色 5 2 2 2 2 2" xfId="1422" xr:uid="{3E79BB23-1035-426D-ADFA-3C5A22E149EB}"/>
    <cellStyle name="60% - 强调文字颜色 5 2 2 2 2 2 2" xfId="1423" xr:uid="{47B8AE8C-200E-4ACA-97E3-6FC5B06EBBD1}"/>
    <cellStyle name="60% - 强调文字颜色 5 2 2 2 2 3" xfId="1424" xr:uid="{44A6FB06-C149-42F9-99AB-B989056EB7E0}"/>
    <cellStyle name="60% - 强调文字颜色 5 2 2 2 3" xfId="1425" xr:uid="{E40B9048-82B3-4EA6-8843-C72BEEB6B545}"/>
    <cellStyle name="60% - 强调文字颜色 5 2 2 2 3 2" xfId="1426" xr:uid="{DE354725-ECA0-435D-8675-2D40CD9E5CDD}"/>
    <cellStyle name="60% - 强调文字颜色 5 2 2 2 4" xfId="1427" xr:uid="{349BDBB7-CD73-4CFE-825C-148AED5EF080}"/>
    <cellStyle name="60% - 强调文字颜色 5 2 2 3" xfId="1428" xr:uid="{F97F8B3B-BF85-4472-A4F2-069C38B14613}"/>
    <cellStyle name="60% - 强调文字颜色 5 2 2 3 2" xfId="1429" xr:uid="{B01F42B4-8868-4B62-92AE-646AB718534F}"/>
    <cellStyle name="60% - 强调文字颜色 5 2 2 3 2 2" xfId="1430" xr:uid="{E899F10F-4D70-4745-AAD6-9815F10E24CB}"/>
    <cellStyle name="60% - 强调文字颜色 5 2 2 3 3" xfId="1431" xr:uid="{A0478A6D-58D5-4EE5-8F9B-92FF5B0861CE}"/>
    <cellStyle name="60% - 强调文字颜色 5 2 2 4" xfId="1432" xr:uid="{41DA36F0-D39F-4ECF-87FA-C8FC162E1D76}"/>
    <cellStyle name="60% - 强调文字颜色 5 2 2 4 2" xfId="1433" xr:uid="{5679D9BB-39CB-4094-9ADA-4AC6BCE53807}"/>
    <cellStyle name="60% - 强调文字颜色 5 2 2 5" xfId="1434" xr:uid="{6B5829B9-FBFC-42B3-9225-6FA2221B3E6E}"/>
    <cellStyle name="60% - 强调文字颜色 5 2 3" xfId="1435" xr:uid="{4ECD2FEE-69FA-4C66-B897-5F01FD7FCE47}"/>
    <cellStyle name="60% - 强调文字颜色 5 2 3 2" xfId="1436" xr:uid="{F0458FDF-AEAC-44E3-AE6E-0378774623BD}"/>
    <cellStyle name="60% - 强调文字颜色 5 2 3 2 2" xfId="1437" xr:uid="{A3994390-9A3A-47FF-BBAB-D13CC5ACBF2F}"/>
    <cellStyle name="60% - 强调文字颜色 5 2 3 2 2 2" xfId="1438" xr:uid="{1CD1EF8E-84FF-4479-A6C8-4AA86AFF2500}"/>
    <cellStyle name="60% - 强调文字颜色 5 2 3 2 3" xfId="1439" xr:uid="{05F1B42E-9176-428E-8CC2-4B74B8B01034}"/>
    <cellStyle name="60% - 强调文字颜色 5 2 3 2 4" xfId="1440" xr:uid="{0D35276B-994A-4C52-9A1B-B97BB9474C94}"/>
    <cellStyle name="60% - 强调文字颜色 5 2 3 3" xfId="1441" xr:uid="{BDE0F7B5-C5E8-4F1A-9370-A96AE5BEF182}"/>
    <cellStyle name="60% - 强调文字颜色 5 2 3 3 2" xfId="1442" xr:uid="{6BEC75D6-FEA3-4C8A-A08B-F301B4287E25}"/>
    <cellStyle name="60% - 强调文字颜色 5 2 3 4" xfId="1443" xr:uid="{E0914F01-64EB-4544-912F-77EA0964386E}"/>
    <cellStyle name="60% - 强调文字颜色 5 2 3 5" xfId="1444" xr:uid="{DCE05CC7-C6C8-449D-8F0C-84A5DA2C4B5C}"/>
    <cellStyle name="60% - 强调文字颜色 5 2 4" xfId="1445" xr:uid="{2A3E83E6-8234-4F77-BA5A-E90A682C46EC}"/>
    <cellStyle name="60% - 强调文字颜色 5 2 4 2" xfId="1446" xr:uid="{A1DADA14-42D5-4FCB-9CFC-7D921D28B913}"/>
    <cellStyle name="60% - 强调文字颜色 5 2 4 2 2" xfId="1447" xr:uid="{1F397A6C-9766-450C-A6CC-C0FFC2127FC3}"/>
    <cellStyle name="60% - 强调文字颜色 5 2 4 3" xfId="1448" xr:uid="{FB933E0C-F46D-453B-A503-48C6A857A0B2}"/>
    <cellStyle name="60% - 强调文字颜色 5 2 4 3 2" xfId="1449" xr:uid="{A5F73F0F-F92E-4F56-992A-D373B1DEA6CC}"/>
    <cellStyle name="60% - 强调文字颜色 5 2 4 4" xfId="1450" xr:uid="{DD60B400-C50E-43FC-AC2C-7593B2B9799B}"/>
    <cellStyle name="60% - 强调文字颜色 5 2 4 5" xfId="1451" xr:uid="{179A3073-A87A-4CFF-B12B-3BC0E9DC2C4A}"/>
    <cellStyle name="60% - 强调文字颜色 5 2 5" xfId="1452" xr:uid="{9FDDDA28-7826-4BA7-B052-E765D28092E7}"/>
    <cellStyle name="60% - 强调文字颜色 5 2 5 2" xfId="1453" xr:uid="{A7894CC2-9DC5-4801-A245-5293B64BEB52}"/>
    <cellStyle name="60% - 强调文字颜色 5 2 6" xfId="1454" xr:uid="{C1DC2E2B-22DE-44C9-8502-A05DBCFA6252}"/>
    <cellStyle name="60% - 强调文字颜色 5 2 6 2" xfId="1455" xr:uid="{E329273A-EA35-488E-B2A2-1025F110A67B}"/>
    <cellStyle name="60% - 强调文字颜色 5 2 7" xfId="1456" xr:uid="{DAF515F9-9943-4BE8-AFB6-7941FF05EBE7}"/>
    <cellStyle name="60% - 强调文字颜色 5 2 8" xfId="1457" xr:uid="{D5AC3347-7259-44D8-8C51-37434817EC5A}"/>
    <cellStyle name="60% - 强调文字颜色 5 2 9" xfId="1458" xr:uid="{2656C72D-3314-4FBE-9050-AF51EE4E62E1}"/>
    <cellStyle name="60% - 强调文字颜色 5 3" xfId="1459" xr:uid="{85971046-0356-4E34-8B00-194D438A9BC2}"/>
    <cellStyle name="60% - 强调文字颜色 5 3 2" xfId="1460" xr:uid="{36C2104A-A5F7-4D71-99C4-81BF18D8E5C9}"/>
    <cellStyle name="60% - 强调文字颜色 5 3 2 2" xfId="1461" xr:uid="{44973808-7F2A-4001-8FB6-541D79706003}"/>
    <cellStyle name="60% - 强调文字颜色 5 3 2 2 2" xfId="1462" xr:uid="{AC71B65F-003B-47BB-8E8B-A8D42519EDCB}"/>
    <cellStyle name="60% - 强调文字颜色 5 3 2 2 2 2" xfId="1463" xr:uid="{7FD0BAEE-BC8D-4114-84B1-23967BEE5959}"/>
    <cellStyle name="60% - 强调文字颜色 5 3 2 2 2 2 2" xfId="1464" xr:uid="{812B447F-2467-4AB5-91A7-667B7C46CEC9}"/>
    <cellStyle name="60% - 强调文字颜色 5 3 2 2 2 3" xfId="1465" xr:uid="{60446E59-50EB-43D6-A7C6-1544BF983349}"/>
    <cellStyle name="60% - 强调文字颜色 5 3 2 2 3" xfId="1466" xr:uid="{B8887BC1-E320-4782-828A-B9CA24AA426F}"/>
    <cellStyle name="60% - 强调文字颜色 5 3 2 2 3 2" xfId="1467" xr:uid="{2380CBF9-F8C0-42B9-A909-724EF3EC988C}"/>
    <cellStyle name="60% - 强调文字颜色 5 3 2 2 4" xfId="1468" xr:uid="{88CC46EA-1ACB-4660-B5A3-09D71BEBB52D}"/>
    <cellStyle name="60% - 强调文字颜色 5 3 2 3" xfId="1469" xr:uid="{88BD7D36-F988-4703-9757-EABD1CECA8E0}"/>
    <cellStyle name="60% - 强调文字颜色 5 3 2 3 2" xfId="1470" xr:uid="{D5709FE1-87A4-421B-A754-2D41CF65065A}"/>
    <cellStyle name="60% - 强调文字颜色 5 3 2 3 2 2" xfId="1471" xr:uid="{EB2409E5-CC50-46E4-BDE2-CF3565CAA2BF}"/>
    <cellStyle name="60% - 强调文字颜色 5 3 2 3 3" xfId="1472" xr:uid="{55E071FC-3E68-4316-A332-07072925CCF6}"/>
    <cellStyle name="60% - 强调文字颜色 5 3 2 4" xfId="1473" xr:uid="{4C29E82D-D552-4874-BA10-8A536EC9FE7B}"/>
    <cellStyle name="60% - 强调文字颜色 5 3 2 4 2" xfId="1474" xr:uid="{4BFB6E9E-D83D-45D5-A03F-8498BFBC18DB}"/>
    <cellStyle name="60% - 强调文字颜色 5 3 2 5" xfId="1475" xr:uid="{7C036F81-764F-48E2-9380-99644A7B4B02}"/>
    <cellStyle name="60% - 强调文字颜色 5 3 3" xfId="1476" xr:uid="{F93C5AEE-FB65-41E0-9862-9F0AA041DF70}"/>
    <cellStyle name="60% - 强调文字颜色 5 3 3 2" xfId="1477" xr:uid="{0637D755-255B-4AEA-A2A4-108DAA985045}"/>
    <cellStyle name="60% - 强调文字颜色 5 3 3 2 2" xfId="1478" xr:uid="{885F7E19-9D76-42E3-AF82-8C0112377A04}"/>
    <cellStyle name="60% - 强调文字颜色 5 3 3 3" xfId="1479" xr:uid="{0268F515-29F2-4E86-AB07-1691005EC82C}"/>
    <cellStyle name="60% - 强调文字颜色 5 3 4" xfId="1480" xr:uid="{D2589007-26E5-4467-BF0E-1AEEF0295594}"/>
    <cellStyle name="60% - 强调文字颜色 5 3 4 2" xfId="1481" xr:uid="{F08F045E-B438-4AFC-9BB8-D1704991577D}"/>
    <cellStyle name="60% - 强调文字颜色 5 3 5" xfId="1482" xr:uid="{485A7AA7-BA55-40E5-91CE-82DE1FF2850F}"/>
    <cellStyle name="60% - 强调文字颜色 5 4" xfId="1483" xr:uid="{A504600D-6B4C-484B-BCAD-B1CB9AFCD489}"/>
    <cellStyle name="60% - 强调文字颜色 5 4 2" xfId="1484" xr:uid="{0387074B-C00E-4016-B91A-49CD27A22416}"/>
    <cellStyle name="60% - 强调文字颜色 5 4 2 2" xfId="1485" xr:uid="{A45D6A62-BEF2-4C04-99AD-B732429157E0}"/>
    <cellStyle name="60% - 强调文字颜色 5 4 3" xfId="1486" xr:uid="{2C4A516C-6E48-4E81-AD4B-8012699D028E}"/>
    <cellStyle name="60% - 强调文字颜色 5 5" xfId="1487" xr:uid="{9FED689E-950E-4FEC-A547-AB992301DDED}"/>
    <cellStyle name="60% - 强调文字颜色 5 5 2" xfId="1488" xr:uid="{2DF8C227-2882-4800-A05B-93812E4A08F0}"/>
    <cellStyle name="60% - 强调文字颜色 5 5 2 2" xfId="1489" xr:uid="{3EB0F14B-FE15-4610-B943-BA3563EA6CCF}"/>
    <cellStyle name="60% - 强调文字颜色 5 5 3" xfId="1490" xr:uid="{65B216C3-842A-4B1D-81F3-AD5E55216513}"/>
    <cellStyle name="60% - 强调文字颜色 5 6" xfId="1491" xr:uid="{F74142E5-2DC3-4FFF-AE44-0B7CA9E94FA3}"/>
    <cellStyle name="60% - 强调文字颜色 5 6 2" xfId="1492" xr:uid="{310A22D7-2D7B-4B51-8AA8-EB83C72DC3EF}"/>
    <cellStyle name="60% - 强调文字颜色 5 7" xfId="1493" xr:uid="{99BCC295-47BB-498A-A024-AFE1C4F684D6}"/>
    <cellStyle name="60% - 强调文字颜色 5 7 2" xfId="1494" xr:uid="{CE9C5BFE-55CD-4B5B-B92E-456B178A47D5}"/>
    <cellStyle name="60% - 强调文字颜色 5 8" xfId="1495" xr:uid="{031510D1-A933-4B43-9FAA-A3A71E1D95B8}"/>
    <cellStyle name="60% - 强调文字颜色 5 8 2" xfId="1496" xr:uid="{777854FE-6CBC-4940-89F3-4FFBA2D80125}"/>
    <cellStyle name="60% - 强调文字颜色 5 9" xfId="1497" xr:uid="{48FFFAE5-633C-4462-A3BB-BA472708C7B5}"/>
    <cellStyle name="60% - 强调文字颜色 6 10" xfId="1498" xr:uid="{973891EB-3C8A-4BC1-BD50-717691D57ADF}"/>
    <cellStyle name="60% - 强调文字颜色 6 11" xfId="1499" xr:uid="{85B9FB89-A284-4C92-905D-339E09A501E9}"/>
    <cellStyle name="60% - 强调文字颜色 6 2" xfId="1500" xr:uid="{F56F08B9-2FEF-4436-AE60-174BC41B3AD7}"/>
    <cellStyle name="60% - 强调文字颜色 6 2 2" xfId="1501" xr:uid="{8C9B53F4-DAF4-444F-95D0-C53E4671D3B6}"/>
    <cellStyle name="60% - 强调文字颜色 6 2 2 2" xfId="1502" xr:uid="{212C6BC1-8731-43B9-97FE-F67B2C94EFD1}"/>
    <cellStyle name="60% - 强调文字颜色 6 2 2 2 2" xfId="1503" xr:uid="{B7464165-3640-4837-9429-D615DF4C01C1}"/>
    <cellStyle name="60% - 强调文字颜色 6 2 2 2 2 2" xfId="1504" xr:uid="{A7AB3FA5-7973-49B8-A88D-0FC99C30FA77}"/>
    <cellStyle name="60% - 强调文字颜色 6 2 2 2 2 2 2" xfId="1505" xr:uid="{A2CCC343-00A6-4645-A294-DF533DADD849}"/>
    <cellStyle name="60% - 强调文字颜色 6 2 2 2 2 3" xfId="1506" xr:uid="{1B5778F0-6B60-48DC-851E-DB711D6EBBB1}"/>
    <cellStyle name="60% - 强调文字颜色 6 2 2 2 3" xfId="1507" xr:uid="{076E26B9-A89C-42B9-B6F6-F88AE2EC0F74}"/>
    <cellStyle name="60% - 强调文字颜色 6 2 2 2 3 2" xfId="1508" xr:uid="{090732D6-EB9B-49F3-87CC-736DC3D36B9D}"/>
    <cellStyle name="60% - 强调文字颜色 6 2 2 2 4" xfId="1509" xr:uid="{55729677-A95C-45FE-9D11-597E9624CE04}"/>
    <cellStyle name="60% - 强调文字颜色 6 2 2 3" xfId="1510" xr:uid="{280209A3-93A5-4617-B915-CA04DD13AC68}"/>
    <cellStyle name="60% - 强调文字颜色 6 2 2 3 2" xfId="1511" xr:uid="{DCCB071C-E4A8-49FE-831E-F25E99CD909F}"/>
    <cellStyle name="60% - 强调文字颜色 6 2 2 3 2 2" xfId="1512" xr:uid="{97AB1853-7DB6-47BB-9B10-A9E57F88F24A}"/>
    <cellStyle name="60% - 强调文字颜色 6 2 2 3 3" xfId="1513" xr:uid="{D073A6A1-3D81-486D-86C2-84541F0B2642}"/>
    <cellStyle name="60% - 强调文字颜色 6 2 2 4" xfId="1514" xr:uid="{68573A22-0E79-4C88-9AF0-FC312E748A10}"/>
    <cellStyle name="60% - 强调文字颜色 6 2 2 4 2" xfId="1515" xr:uid="{DB7E442E-F2DD-4A92-81BF-895720221994}"/>
    <cellStyle name="60% - 强调文字颜色 6 2 2 5" xfId="1516" xr:uid="{148428E3-D244-423F-B017-D4A9C4124E85}"/>
    <cellStyle name="60% - 强调文字颜色 6 2 3" xfId="1517" xr:uid="{F8ACD12A-A994-49B1-834B-847B20E0C7E7}"/>
    <cellStyle name="60% - 强调文字颜色 6 2 3 2" xfId="1518" xr:uid="{4B9F38C3-64B2-42FC-B635-66C0BB2D0C20}"/>
    <cellStyle name="60% - 强调文字颜色 6 2 3 2 2" xfId="1519" xr:uid="{9219C520-FC9B-484D-A8C3-44407EEB429A}"/>
    <cellStyle name="60% - 强调文字颜色 6 2 3 2 2 2" xfId="1520" xr:uid="{9057E92C-4043-4774-A422-D39D65FD98E7}"/>
    <cellStyle name="60% - 强调文字颜色 6 2 3 2 3" xfId="1521" xr:uid="{2CE468C4-6C61-4A8D-A31E-2ABC35EAE707}"/>
    <cellStyle name="60% - 强调文字颜色 6 2 3 2 4" xfId="1522" xr:uid="{F3D9AE53-BEC1-49FC-AAA7-84ABA23F4CEA}"/>
    <cellStyle name="60% - 强调文字颜色 6 2 3 3" xfId="1523" xr:uid="{519675FB-441F-4B78-860D-23DF6443F210}"/>
    <cellStyle name="60% - 强调文字颜色 6 2 3 3 2" xfId="1524" xr:uid="{C0831A98-7482-4754-8D6E-FDDC9ABB6E84}"/>
    <cellStyle name="60% - 强调文字颜色 6 2 3 4" xfId="1525" xr:uid="{FE1D9FFB-63F9-4D8E-BB79-819F4BD7FFE7}"/>
    <cellStyle name="60% - 强调文字颜色 6 2 3 5" xfId="1526" xr:uid="{DC1D9FD2-926B-46EE-9A18-139313F8F943}"/>
    <cellStyle name="60% - 强调文字颜色 6 2 4" xfId="1527" xr:uid="{3CCA8F66-E93C-4B32-865A-E525C1360A92}"/>
    <cellStyle name="60% - 强调文字颜色 6 2 4 2" xfId="1528" xr:uid="{EE3AF490-FA3A-4A55-B1BF-BB31FE25F05A}"/>
    <cellStyle name="60% - 强调文字颜色 6 2 4 2 2" xfId="1529" xr:uid="{6A6A84B6-9B95-40DC-9BE3-C6895481830E}"/>
    <cellStyle name="60% - 强调文字颜色 6 2 4 3" xfId="1530" xr:uid="{CD74844F-2D00-479E-8780-54F6299EF73B}"/>
    <cellStyle name="60% - 强调文字颜色 6 2 4 3 2" xfId="1531" xr:uid="{B9E8A8B0-B6AF-44E4-8947-8D46D229D75F}"/>
    <cellStyle name="60% - 强调文字颜色 6 2 4 4" xfId="1532" xr:uid="{BE81319D-DEC7-4CF3-B712-E38F0ACC0680}"/>
    <cellStyle name="60% - 强调文字颜色 6 2 4 5" xfId="1533" xr:uid="{98505BA4-6C79-4F68-BB91-A9A55E55E39F}"/>
    <cellStyle name="60% - 强调文字颜色 6 2 5" xfId="1534" xr:uid="{729EB3A2-0C9B-4B3A-BD5D-8FAF0BB65B57}"/>
    <cellStyle name="60% - 强调文字颜色 6 2 5 2" xfId="1535" xr:uid="{94A6D3F2-7E5D-42B3-BAE4-153E34E2F33A}"/>
    <cellStyle name="60% - 强调文字颜色 6 2 6" xfId="1536" xr:uid="{7E465017-8525-4352-82C0-EDF23D4C0D7A}"/>
    <cellStyle name="60% - 强调文字颜色 6 2 6 2" xfId="1537" xr:uid="{B2F69B55-0F2A-4DB8-8A16-810460FC09F3}"/>
    <cellStyle name="60% - 强调文字颜色 6 2 7" xfId="1538" xr:uid="{7CAAC9A2-5C59-4369-9E9F-8517CB029656}"/>
    <cellStyle name="60% - 强调文字颜色 6 2 8" xfId="1539" xr:uid="{A222ACD5-6AF6-417F-AD37-013CD9255BA2}"/>
    <cellStyle name="60% - 强调文字颜色 6 2 9" xfId="1540" xr:uid="{40BB351A-A3FA-4FF9-BBD8-7D7C79242A57}"/>
    <cellStyle name="60% - 强调文字颜色 6 3" xfId="1541" xr:uid="{A363DDC4-7A02-4F7B-9832-7851236C6089}"/>
    <cellStyle name="60% - 强调文字颜色 6 3 2" xfId="1542" xr:uid="{7C7BAA62-2A9A-4573-A187-B493E92D0574}"/>
    <cellStyle name="60% - 强调文字颜色 6 3 2 2" xfId="1543" xr:uid="{3A7A82FF-AFC1-4B03-84D1-65941AE1689D}"/>
    <cellStyle name="60% - 强调文字颜色 6 3 2 2 2" xfId="1544" xr:uid="{1FBEC1B0-46DA-4F15-AFF3-DB1DDE3DFD48}"/>
    <cellStyle name="60% - 强调文字颜色 6 3 2 2 2 2" xfId="1545" xr:uid="{33281438-0D23-4082-AE7C-08AD3C0A8BA1}"/>
    <cellStyle name="60% - 强调文字颜色 6 3 2 2 2 2 2" xfId="1546" xr:uid="{4D3A8E97-66AF-44F3-B242-61E5A7CDE95C}"/>
    <cellStyle name="60% - 强调文字颜色 6 3 2 2 2 3" xfId="1547" xr:uid="{275ED5DC-15A4-4C03-B91F-0D966C4D01A7}"/>
    <cellStyle name="60% - 强调文字颜色 6 3 2 2 3" xfId="1548" xr:uid="{D2F045A1-F629-47FE-9A2A-1890540D209D}"/>
    <cellStyle name="60% - 强调文字颜色 6 3 2 2 3 2" xfId="1549" xr:uid="{FCD4743C-0AE2-47B3-B785-936F5C97D2B1}"/>
    <cellStyle name="60% - 强调文字颜色 6 3 2 2 4" xfId="1550" xr:uid="{7B26DE67-6BD7-4152-880D-1B0CE459F75E}"/>
    <cellStyle name="60% - 强调文字颜色 6 3 2 3" xfId="1551" xr:uid="{6823DBB3-1C5A-44F2-ACB4-ABEDAEFFC07F}"/>
    <cellStyle name="60% - 强调文字颜色 6 3 2 3 2" xfId="1552" xr:uid="{DC8F99D8-264C-4A85-8C9E-C1772336C378}"/>
    <cellStyle name="60% - 强调文字颜色 6 3 2 3 2 2" xfId="1553" xr:uid="{65C6D0D8-6472-4D25-B19B-F45FDE2C920C}"/>
    <cellStyle name="60% - 强调文字颜色 6 3 2 3 3" xfId="1554" xr:uid="{B2FFAF57-B79F-41A7-8D67-4E15B0C42289}"/>
    <cellStyle name="60% - 强调文字颜色 6 3 2 4" xfId="1555" xr:uid="{D2A6E8CE-0959-4B92-993F-6518B9091F4B}"/>
    <cellStyle name="60% - 强调文字颜色 6 3 2 4 2" xfId="1556" xr:uid="{9F8A99AC-0B97-42FB-89F3-21BC1774543D}"/>
    <cellStyle name="60% - 强调文字颜色 6 3 2 5" xfId="1557" xr:uid="{D0C181AA-753D-4E3C-A5C1-F5F27E3F8BC9}"/>
    <cellStyle name="60% - 强调文字颜色 6 3 3" xfId="1558" xr:uid="{33B19971-8302-49D1-A5FA-1F0E876D05AE}"/>
    <cellStyle name="60% - 强调文字颜色 6 3 3 2" xfId="1559" xr:uid="{2657E677-EEBF-494F-B8FF-DAF6C019317B}"/>
    <cellStyle name="60% - 强调文字颜色 6 3 3 2 2" xfId="1560" xr:uid="{849E2E9D-8C6D-4510-B19C-44F9483F3DD7}"/>
    <cellStyle name="60% - 强调文字颜色 6 3 3 3" xfId="1561" xr:uid="{BDE7B4BA-4367-40B8-855D-C68D45A662B9}"/>
    <cellStyle name="60% - 强调文字颜色 6 3 4" xfId="1562" xr:uid="{ED8893DA-A794-4AAA-81AD-90EA51AA6429}"/>
    <cellStyle name="60% - 强调文字颜色 6 3 4 2" xfId="1563" xr:uid="{B845CFCC-875D-4A8E-A25F-8E5AF7BC77E4}"/>
    <cellStyle name="60% - 强调文字颜色 6 3 5" xfId="1564" xr:uid="{4E5ACCDA-D296-40A1-B74E-BDF57E74BCB6}"/>
    <cellStyle name="60% - 强调文字颜色 6 4" xfId="1565" xr:uid="{63AF6B26-9296-4C1C-BED4-B3CE88006F8A}"/>
    <cellStyle name="60% - 强调文字颜色 6 4 2" xfId="1566" xr:uid="{DD640712-0706-4489-B04F-C4362690387E}"/>
    <cellStyle name="60% - 强调文字颜色 6 4 2 2" xfId="1567" xr:uid="{4F06C17B-798C-444D-9809-668F79D890D2}"/>
    <cellStyle name="60% - 强调文字颜色 6 4 3" xfId="1568" xr:uid="{23B981B9-0EE8-41D1-AD79-2AF69E995095}"/>
    <cellStyle name="60% - 强调文字颜色 6 5" xfId="1569" xr:uid="{8EB3C47B-ED85-4C47-A51D-CEA8EF6429E9}"/>
    <cellStyle name="60% - 强调文字颜色 6 5 2" xfId="1570" xr:uid="{F6FF5148-7A38-4B5B-8557-DCC4045A45A5}"/>
    <cellStyle name="60% - 强调文字颜色 6 5 2 2" xfId="1571" xr:uid="{F6B8F682-7C27-4C8D-A1F6-B4009B1A389C}"/>
    <cellStyle name="60% - 强调文字颜色 6 5 3" xfId="1572" xr:uid="{BC1A710D-7A8E-4E00-94B1-711CFF63CAD3}"/>
    <cellStyle name="60% - 强调文字颜色 6 6" xfId="1573" xr:uid="{A7095E0C-988E-4B0C-A966-7CA91BCDA71F}"/>
    <cellStyle name="60% - 强调文字颜色 6 6 2" xfId="1574" xr:uid="{121C757C-8866-4846-9CEF-ED828C2A8A5C}"/>
    <cellStyle name="60% - 强调文字颜色 6 7" xfId="1575" xr:uid="{7EA3D97F-965E-4184-A1FF-A8753102C2CC}"/>
    <cellStyle name="60% - 强调文字颜色 6 7 2" xfId="1576" xr:uid="{124C4C6D-C44C-4577-A3C3-079036A1F490}"/>
    <cellStyle name="60% - 强调文字颜色 6 8" xfId="1577" xr:uid="{2B840210-B79B-41AD-9225-D9885E38EACA}"/>
    <cellStyle name="60% - 强调文字颜色 6 8 2" xfId="1578" xr:uid="{B44843AC-9B55-4BFB-94AE-AD06CC6516D3}"/>
    <cellStyle name="60% - 强调文字颜色 6 9" xfId="1579" xr:uid="{8058C644-1137-40E3-912D-ABC14CD5D884}"/>
    <cellStyle name="Accent1" xfId="20" builtinId="29" customBuiltin="1"/>
    <cellStyle name="Accent1 2" xfId="1580" xr:uid="{C4B118B4-35C9-4D5D-A0BC-8D539C90A798}"/>
    <cellStyle name="Accent2" xfId="24" builtinId="33" customBuiltin="1"/>
    <cellStyle name="Accent2 2" xfId="1581" xr:uid="{CAC131AD-3D2A-4095-B47B-782A2ED8430D}"/>
    <cellStyle name="Accent3" xfId="28" builtinId="37" customBuiltin="1"/>
    <cellStyle name="Accent3 2" xfId="1582" xr:uid="{CC340FB4-4824-4E0D-A313-C986F4B802F8}"/>
    <cellStyle name="Accent4" xfId="32" builtinId="41" customBuiltin="1"/>
    <cellStyle name="Accent4 2" xfId="1583" xr:uid="{110F33CA-F833-4950-99DD-5CB666F159CA}"/>
    <cellStyle name="Accent5" xfId="36" builtinId="45" customBuiltin="1"/>
    <cellStyle name="Accent5 2" xfId="1584" xr:uid="{9D477E74-B681-4DCD-913B-B7A0C3197178}"/>
    <cellStyle name="Accent6" xfId="40" builtinId="49" customBuiltin="1"/>
    <cellStyle name="Accent6 2" xfId="1585" xr:uid="{5B3AA7A0-D451-42CE-B5AE-51ECF67249A8}"/>
    <cellStyle name="Bad" xfId="10" builtinId="27" customBuiltin="1"/>
    <cellStyle name="Bad 2" xfId="1586" xr:uid="{420E0E76-A5CC-4133-B4F3-FB4117D7CEB1}"/>
    <cellStyle name="Calculation" xfId="14" builtinId="22" customBuiltin="1"/>
    <cellStyle name="Calculation 2" xfId="1587" xr:uid="{F7FDB1F7-9D7B-4C30-88EC-3EB9CF085C5F}"/>
    <cellStyle name="Calculation 2 2" xfId="1588" xr:uid="{B8351C09-B21B-4235-A058-C70068393CA5}"/>
    <cellStyle name="Calculation 3" xfId="1589" xr:uid="{F7868B4E-C6BE-4447-9273-049ED63C7E11}"/>
    <cellStyle name="Check Cell" xfId="16" builtinId="23" customBuiltin="1"/>
    <cellStyle name="Check Cell 2" xfId="1590" xr:uid="{F431B4D1-930F-41FB-8F77-A8112191FBB0}"/>
    <cellStyle name="Comma" xfId="79" builtinId="3"/>
    <cellStyle name="Currency" xfId="47" builtinId="4"/>
    <cellStyle name="Currency 2" xfId="73" xr:uid="{0350FF40-9482-4EDF-8741-B47A47322C11}"/>
    <cellStyle name="Explanatory Text" xfId="18" builtinId="53" customBuiltin="1"/>
    <cellStyle name="Good" xfId="9" builtinId="26" customBuiltin="1"/>
    <cellStyle name="Good 2" xfId="1591" xr:uid="{7AF46372-DBD0-4B79-9BC2-05B54B5B2308}"/>
    <cellStyle name="Grey" xfId="1592" xr:uid="{C9B295E8-289E-456D-9FA0-A736EFADFFCF}"/>
    <cellStyle name="Heading 1" xfId="5" builtinId="16" customBuiltin="1"/>
    <cellStyle name="Heading 2" xfId="6" builtinId="17" customBuiltin="1"/>
    <cellStyle name="Heading 3" xfId="7" builtinId="18" customBuiltin="1"/>
    <cellStyle name="Heading 4" xfId="8" builtinId="19" customBuiltin="1"/>
    <cellStyle name="Hyperlink" xfId="1" xr:uid="{00000000-000B-0000-0000-000008000000}"/>
    <cellStyle name="Hyperlink 2" xfId="4038" xr:uid="{5D97FC9D-7A4D-4D02-8B63-5B8E2C97C6E9}"/>
    <cellStyle name="Input" xfId="12" builtinId="20" customBuiltin="1"/>
    <cellStyle name="Input [yellow]" xfId="1593" xr:uid="{3B96C29B-4E91-48E9-A50B-246067803730}"/>
    <cellStyle name="Input [yellow] 2" xfId="1594" xr:uid="{D83CE486-6E30-4B3F-A39A-F000D11EB5CB}"/>
    <cellStyle name="Input [yellow] 2 2" xfId="4063" xr:uid="{ABC39A9D-5959-4D2C-B53E-C9BC6656C377}"/>
    <cellStyle name="Input [yellow] 3" xfId="4062" xr:uid="{7FA2F1B6-E08F-4851-8D8A-3575943A5F35}"/>
    <cellStyle name="Input 10" xfId="1595" xr:uid="{F7A52F69-6D78-4CA2-9A27-92EC34BAFDEB}"/>
    <cellStyle name="Input 10 2" xfId="1596" xr:uid="{F544A5D8-1EAA-4F9B-8D64-766ED06EBBAF}"/>
    <cellStyle name="Input 11" xfId="1597" xr:uid="{4A23B628-1C99-4071-9D4F-38B560EBC453}"/>
    <cellStyle name="Input 11 2" xfId="1598" xr:uid="{03C3B464-2BA0-4CC6-BF07-5E23C276D355}"/>
    <cellStyle name="Input 12" xfId="1599" xr:uid="{7E162A26-0642-4FA4-927D-5F258C6DDA5C}"/>
    <cellStyle name="Input 12 2" xfId="1600" xr:uid="{C37CA3DB-937C-4F29-AEC1-CED813B2F9F6}"/>
    <cellStyle name="Input 13" xfId="1601" xr:uid="{3B4570A1-71F7-40A4-8526-CB612E93AEC5}"/>
    <cellStyle name="Input 13 2" xfId="1602" xr:uid="{C4C44B0C-BFD2-48E2-9C12-F5244C217364}"/>
    <cellStyle name="Input 14" xfId="1603" xr:uid="{AB1B8372-095C-4E9F-8EFB-F12EF10F10DA}"/>
    <cellStyle name="Input 14 2" xfId="1604" xr:uid="{71825243-29F4-4213-A7E2-807EC42B4E7C}"/>
    <cellStyle name="Input 15" xfId="1605" xr:uid="{2D6B0F56-3CE3-4D7F-80F9-4BC44125B018}"/>
    <cellStyle name="Input 15 2" xfId="1606" xr:uid="{9E7D693A-C519-4589-8587-8B47CA9000D0}"/>
    <cellStyle name="Input 16" xfId="1607" xr:uid="{0DF9B28F-DFF4-42A0-9FAE-62597F75543B}"/>
    <cellStyle name="Input 16 2" xfId="1608" xr:uid="{27138700-C042-43A6-94D9-AF3E8FC7C41E}"/>
    <cellStyle name="Input 17" xfId="1609" xr:uid="{899844E5-C898-4332-8877-1E49508D6F56}"/>
    <cellStyle name="Input 2" xfId="1610" xr:uid="{E992A618-7C23-4C73-87F9-65072488936C}"/>
    <cellStyle name="Input 2 2" xfId="1611" xr:uid="{0C0506EE-5395-4F65-9780-40139472AA3D}"/>
    <cellStyle name="Input 3" xfId="1612" xr:uid="{7A370D41-D79C-4ED0-A677-8DDC5E00BB0E}"/>
    <cellStyle name="Input 3 2" xfId="1613" xr:uid="{17394F28-82A7-433A-BB37-A7CFA2D12115}"/>
    <cellStyle name="Input 4" xfId="1614" xr:uid="{18D624E4-375C-4719-BB11-FF127074C3B3}"/>
    <cellStyle name="Input 4 2" xfId="1615" xr:uid="{53ED4D1F-1F16-46CC-AFCF-A84B2CB85C59}"/>
    <cellStyle name="Input 5" xfId="1616" xr:uid="{E9C60D24-1CF4-4AA7-BB67-6E1C1992EAB4}"/>
    <cellStyle name="Input 5 2" xfId="1617" xr:uid="{69E5C2B1-CD15-4167-A85E-D441C4B4EE62}"/>
    <cellStyle name="Input 6" xfId="1618" xr:uid="{103C9AC7-ED39-4B07-8A17-C8C67EF943EB}"/>
    <cellStyle name="Input 6 2" xfId="1619" xr:uid="{BC5966AF-8025-4F05-BCAF-89A30919AB0E}"/>
    <cellStyle name="Input 7" xfId="1620" xr:uid="{840FA29E-ED85-47B9-9ABC-37BE43B66BE9}"/>
    <cellStyle name="Input 7 2" xfId="1621" xr:uid="{D8F4BEDE-EB13-4683-8905-D5A5B33A5AE3}"/>
    <cellStyle name="Input 8" xfId="1622" xr:uid="{817A336E-1D9D-400A-B760-E808A59F4257}"/>
    <cellStyle name="Input 8 2" xfId="1623" xr:uid="{EF22A8DF-C987-469C-8162-C4650E32E8D4}"/>
    <cellStyle name="Input 9" xfId="1624" xr:uid="{A3D5AAD2-73A5-4D16-9656-D8BD5FA691A2}"/>
    <cellStyle name="Input 9 2" xfId="1625" xr:uid="{4D974C81-22FD-4F00-98C4-6767E856D3DE}"/>
    <cellStyle name="Linked Cell" xfId="15" builtinId="24" customBuiltin="1"/>
    <cellStyle name="Neutral" xfId="11" builtinId="28" customBuiltin="1"/>
    <cellStyle name="Neutral 2" xfId="1626" xr:uid="{934D70FC-62DA-4EA6-9569-67D844729446}"/>
    <cellStyle name="Normal" xfId="0" builtinId="0"/>
    <cellStyle name="Normal - Style1" xfId="1627" xr:uid="{2D4FDD1C-6A3B-4F0E-98F2-5A2BA86B5436}"/>
    <cellStyle name="Normal 10" xfId="83" xr:uid="{46D892B4-FF66-4467-9007-3242BCD11D6B}"/>
    <cellStyle name="Normal 10 2" xfId="4039" xr:uid="{EC1D1ED4-8686-4B14-9F88-B5B8279CEEFD}"/>
    <cellStyle name="Normal 11" xfId="84" xr:uid="{92334D21-0631-43F4-9DC7-DBF75DB9BAF8}"/>
    <cellStyle name="Normal 11 2" xfId="4040" xr:uid="{006A3BB1-7A9C-4226-9264-6163E9BEA172}"/>
    <cellStyle name="Normal 12" xfId="85" xr:uid="{BDF9F5F4-E91C-47AA-B487-09F4C73C0E2C}"/>
    <cellStyle name="Normal 12 2" xfId="4041" xr:uid="{713E23DE-52FB-466D-B6E6-A8AE8D733752}"/>
    <cellStyle name="Normal 13" xfId="86" xr:uid="{D723936C-A747-44A1-A6BD-240169828582}"/>
    <cellStyle name="Normal 13 2" xfId="4042" xr:uid="{BDE14DCE-9C1E-45D8-BE43-C4A9C0A156E1}"/>
    <cellStyle name="Normal 14" xfId="87" xr:uid="{D31051FA-3EF5-4477-9C79-243BE11AA295}"/>
    <cellStyle name="Normal 14 2" xfId="4043" xr:uid="{8BBC3739-F728-4C5B-A9EF-137B21BFBE59}"/>
    <cellStyle name="Normal 15" xfId="88" xr:uid="{3ABB87D9-BD6C-4B57-979E-97D999B5BC0F}"/>
    <cellStyle name="Normal 15 2" xfId="4044" xr:uid="{67E00C64-8B22-4C08-9CAF-2BAD630C61D7}"/>
    <cellStyle name="Normal 16" xfId="89" xr:uid="{3F7D6EF6-07CC-484A-94B1-5C6218C04094}"/>
    <cellStyle name="Normal 17" xfId="90" xr:uid="{06D6F172-6B52-4E50-BB0E-E44A40A6E941}"/>
    <cellStyle name="Normal 18" xfId="4036" xr:uid="{82F6DB9E-FDBF-4892-9974-4ACE05D6C370}"/>
    <cellStyle name="Normal 19" xfId="4037" xr:uid="{E56444A9-F61B-4AC4-AD54-2AE95F8EA307}"/>
    <cellStyle name="Normal 2" xfId="2" xr:uid="{29D87212-A4E4-40CD-8964-617C04EDD1F0}"/>
    <cellStyle name="Normal 2 2" xfId="52" xr:uid="{867F7C9A-874F-4032-822D-FAC694CB6CA0}"/>
    <cellStyle name="Normal 2 3" xfId="4045" xr:uid="{4C8C581F-9009-427B-8CBD-81D91F1BB8DA}"/>
    <cellStyle name="Normal 20" xfId="4046" xr:uid="{D2E83B0A-3002-4543-A955-E486581B0B04}"/>
    <cellStyle name="Normal 21" xfId="4054" xr:uid="{8781C55E-35A5-4383-9A4E-0A1E482C5701}"/>
    <cellStyle name="Normal 22" xfId="4055" xr:uid="{DABA8FA1-86C7-436A-B0AA-218BBCA418BC}"/>
    <cellStyle name="Normal 23" xfId="4056" xr:uid="{8BE5E232-F196-4BDA-8679-E49964C71275}"/>
    <cellStyle name="Normal 24" xfId="4057" xr:uid="{AE78B458-4070-4514-863F-966D09A4F95E}"/>
    <cellStyle name="Normal 25" xfId="4058" xr:uid="{5C89B9EE-6F03-4771-9E53-7642E98FBB8D}"/>
    <cellStyle name="Normal 26" xfId="4059" xr:uid="{EDF6783C-EE3B-413F-8100-65BFD0668C08}"/>
    <cellStyle name="Normal 27" xfId="4060" xr:uid="{E9A67DD9-0990-4387-9DFF-8C9649DF610E}"/>
    <cellStyle name="Normal 28" xfId="4061" xr:uid="{F6F657AD-3979-487F-99E6-10D019E948A2}"/>
    <cellStyle name="Normal 29" xfId="4064" xr:uid="{1A636958-07E4-4926-8CB7-8DB6FD08971B}"/>
    <cellStyle name="Normal 3" xfId="46" xr:uid="{95DF4797-7FA2-478B-B5FE-8C9AB3CFFA96}"/>
    <cellStyle name="Normal 3 2" xfId="4047" xr:uid="{FD826397-E666-4A8F-BCFA-4D3B46537AE6}"/>
    <cellStyle name="Normal 30" xfId="4065" xr:uid="{F3A95C55-B5BB-4E56-8CA4-4592DC72FE39}"/>
    <cellStyle name="Normal 31" xfId="4066" xr:uid="{499DE839-3DD7-4EFB-96B3-F037C0EEF449}"/>
    <cellStyle name="Normal 32" xfId="4067" xr:uid="{45D7F8A4-43D8-48EC-BA80-26C51E8C62D9}"/>
    <cellStyle name="Normal 33" xfId="4068" xr:uid="{83AED770-024F-48A4-9F4F-5C1D5EFFC641}"/>
    <cellStyle name="Normal 34" xfId="4069" xr:uid="{BE4C15CA-3AEC-491C-A132-175ADB9E76D5}"/>
    <cellStyle name="Normal 35" xfId="4070" xr:uid="{216A0C98-719F-4ACC-A56E-B8A38977F529}"/>
    <cellStyle name="Normal 36" xfId="4071" xr:uid="{BBBA5941-E906-43D7-843B-DD1EE9F10103}"/>
    <cellStyle name="Normal 4" xfId="48" xr:uid="{B36B1C29-0BF8-4A38-9104-C8E82EEE0170}"/>
    <cellStyle name="Normal 4 2" xfId="74" xr:uid="{BE72BB03-46D7-4648-A40C-6A64DFAA9E2D}"/>
    <cellStyle name="Normal 4 3" xfId="4048" xr:uid="{BE4F0531-3900-4C20-A065-758FE54D9A2A}"/>
    <cellStyle name="Normal 5" xfId="51" xr:uid="{6109424B-FEDC-4F9B-BC6C-4F4CA06917C3}"/>
    <cellStyle name="Normal 5 2" xfId="4049" xr:uid="{ECCB0F92-D3C5-462F-967A-27041CF28680}"/>
    <cellStyle name="Normal 6" xfId="78" xr:uid="{0AEB5E6F-C08C-46B6-939E-2C2821CA73CE}"/>
    <cellStyle name="Normal 6 2" xfId="4050" xr:uid="{D7FB4675-08F4-49CB-89F3-C7599B39ADDF}"/>
    <cellStyle name="Normal 7" xfId="80" xr:uid="{6D228A03-C406-4E0E-8268-B7028D318B24}"/>
    <cellStyle name="Normal 7 2" xfId="4051" xr:uid="{E6A4FC0E-016A-4975-8D3C-522203C9B935}"/>
    <cellStyle name="Normal 8" xfId="81" xr:uid="{A5C33D03-66D6-4AC0-BC9B-0541FA2E4CA8}"/>
    <cellStyle name="Normal 8 2" xfId="4052" xr:uid="{9FD58A8C-666A-4E66-81DF-17D38C49168E}"/>
    <cellStyle name="Normal 9" xfId="82" xr:uid="{3EBB3F47-9834-4519-A920-92599CF6BDE7}"/>
    <cellStyle name="Normal 9 2" xfId="4053" xr:uid="{6DBCB6BC-938F-44BD-9FA7-2774BB812E9E}"/>
    <cellStyle name="Note 2" xfId="1628" xr:uid="{7FAC86B1-BEA1-47B8-9715-A49BAB450679}"/>
    <cellStyle name="Note 2 2" xfId="1629" xr:uid="{F93699D0-0B0B-476B-A474-286FB6FA2487}"/>
    <cellStyle name="Note 2 2 2" xfId="1630" xr:uid="{FB1DA359-3ADA-4C36-8AC3-3ADE832525EA}"/>
    <cellStyle name="Note 2 2 2 2" xfId="1631" xr:uid="{CACF09C8-C58C-4433-9178-A7945C7AFFEB}"/>
    <cellStyle name="Note 2 2 3" xfId="1632" xr:uid="{159D1096-8A72-409B-AE04-1DDCE049F773}"/>
    <cellStyle name="Note 2 3" xfId="1633" xr:uid="{1D0AC5A6-AF81-43CD-BFC5-5F433C6FDB6D}"/>
    <cellStyle name="Note 2 3 2" xfId="1634" xr:uid="{BD2578A6-D42D-471C-9346-80E0B3301F4D}"/>
    <cellStyle name="Note 2 4" xfId="1635" xr:uid="{6A13406F-B60C-4CDF-AE06-B87BCD4D5FC4}"/>
    <cellStyle name="Note 3" xfId="1636" xr:uid="{78B7DF43-9451-4579-BC63-B987E9AA7FED}"/>
    <cellStyle name="Note 3 2" xfId="1637" xr:uid="{94B167C1-9B42-401B-B177-488100105BE0}"/>
    <cellStyle name="Note 3 2 2" xfId="1638" xr:uid="{732776A6-2235-4A2B-9964-52EBBEA13218}"/>
    <cellStyle name="Note 3 2 2 2" xfId="1639" xr:uid="{30AE3C35-9536-45A8-ADA6-F87F5AA23259}"/>
    <cellStyle name="Note 3 2 3" xfId="1640" xr:uid="{CDBC5257-C45C-4AA6-8F47-558F561293D9}"/>
    <cellStyle name="Note 3 3" xfId="1641" xr:uid="{DED99950-ED49-4690-B671-DC189F977D06}"/>
    <cellStyle name="Note 3 3 2" xfId="1642" xr:uid="{5CBF9AFE-2E91-47AB-BED2-63B71330F118}"/>
    <cellStyle name="Note 3 4" xfId="1643" xr:uid="{F209DFDF-D3A2-404E-BEC2-4F308D1CBA8F}"/>
    <cellStyle name="Note 4" xfId="1644" xr:uid="{1CC68DBB-AE94-4C75-A034-AE27D03F20BF}"/>
    <cellStyle name="Note 4 2" xfId="1645" xr:uid="{CBC4EEE4-3732-47F4-96B4-CCA2166E7FCA}"/>
    <cellStyle name="Note 4 2 2" xfId="1646" xr:uid="{9B803B1A-B3AD-440E-8751-8399632D9740}"/>
    <cellStyle name="Note 4 3" xfId="1647" xr:uid="{4DBA8478-3AD4-42E0-8C8A-ABA0CFE84FFE}"/>
    <cellStyle name="Note 5" xfId="1648" xr:uid="{7E0D2155-1037-4875-88CF-AC4FB3B1CE9D}"/>
    <cellStyle name="Note 5 2" xfId="1649" xr:uid="{D5A653F0-DC05-4118-BD9D-13E8E0422E48}"/>
    <cellStyle name="Note 5 2 2" xfId="1650" xr:uid="{719A5EE4-7F55-438C-9ADC-F2A831D3FD5E}"/>
    <cellStyle name="Note 5 3" xfId="1651" xr:uid="{2A960528-12E4-4A0A-807B-79434A5393B7}"/>
    <cellStyle name="Note 6" xfId="1652" xr:uid="{D44FFE0C-77DB-4C64-A3F8-5BBEF81E2279}"/>
    <cellStyle name="Note 6 2" xfId="1653" xr:uid="{F939D4CA-827E-416B-9AD7-75AA84B8EE82}"/>
    <cellStyle name="Note 6 2 2" xfId="1654" xr:uid="{63C3E0D1-86DD-4E4C-A9CA-EA4AD193EF3D}"/>
    <cellStyle name="Note 6 3" xfId="1655" xr:uid="{0E335E09-6CFA-4561-8D84-722F72B04C8A}"/>
    <cellStyle name="Note 7" xfId="1656" xr:uid="{4C0A3043-37FF-48F7-9421-19CC2408D002}"/>
    <cellStyle name="Note 7 2" xfId="1657" xr:uid="{8D752204-6388-4023-B594-FF1EB4A3A5A1}"/>
    <cellStyle name="Note 8" xfId="1658" xr:uid="{E8C9F541-E8D5-4454-9CA1-8035CB2390C9}"/>
    <cellStyle name="Note 8 2" xfId="1659" xr:uid="{C123B33E-59D4-4C58-8C1A-00B85302B66E}"/>
    <cellStyle name="Note 9" xfId="1660" xr:uid="{BDBBA02C-9F4A-4FAB-8252-5A6629BB143F}"/>
    <cellStyle name="Output" xfId="13" builtinId="21" customBuiltin="1"/>
    <cellStyle name="Output 2" xfId="1661" xr:uid="{B3308ADD-1D65-412B-90D1-3197903C32A0}"/>
    <cellStyle name="Output 2 2" xfId="1662" xr:uid="{E693EC1C-7D2F-4A96-97C7-0B317715D843}"/>
    <cellStyle name="Output 3" xfId="1663" xr:uid="{CEE2F16E-432B-4C4C-902A-D3609349AE4F}"/>
    <cellStyle name="Percent" xfId="77" builtinId="5"/>
    <cellStyle name="Percent [2]" xfId="1664" xr:uid="{D1CC295E-7C1E-45D7-A8AD-49596EE4F33B}"/>
    <cellStyle name="Percent [2] 2" xfId="1665" xr:uid="{4874321C-8EB5-4107-86CC-66388AFA224E}"/>
    <cellStyle name="S1-0" xfId="1666" xr:uid="{DC3AC395-F064-4EAD-85C4-373C1A39C071}"/>
    <cellStyle name="S1-0 2" xfId="1667" xr:uid="{222998F0-8A4D-4B0F-A5DD-6A4D6C224EE6}"/>
    <cellStyle name="S1-1" xfId="1668" xr:uid="{B9335F99-8A27-425F-A166-0487A67DA8C3}"/>
    <cellStyle name="S1-1 2" xfId="1669" xr:uid="{7106FB3E-3B7D-4625-BD45-AAD33BC8D706}"/>
    <cellStyle name="S1-1 2 2" xfId="1670" xr:uid="{2A71FA3C-464B-45FB-B795-4E1E1F5204CE}"/>
    <cellStyle name="S1-1 2 2 2" xfId="1671" xr:uid="{FBDD93A9-1BAF-4BF0-ABEF-CC8AEB191719}"/>
    <cellStyle name="S1-1 2 3" xfId="1672" xr:uid="{8364B3DB-9C94-4756-8F87-9322C2ABFA29}"/>
    <cellStyle name="S1-1 3" xfId="1673" xr:uid="{05758E6A-EE86-49DD-AA3D-19B735E89333}"/>
    <cellStyle name="S1-1 3 2" xfId="1674" xr:uid="{A99B4218-4DF6-4E12-8E61-C729A4373197}"/>
    <cellStyle name="S1-1 3 2 2" xfId="1675" xr:uid="{52AEF95F-4E9D-46C0-B2AA-34F1975C00E9}"/>
    <cellStyle name="S1-1 3 3" xfId="1676" xr:uid="{98D9BA30-48B0-433B-BC81-5C00586FAB9C}"/>
    <cellStyle name="S1-1 4" xfId="1677" xr:uid="{EEC2D641-9DBB-4A4E-B731-F5DB1D8CAE06}"/>
    <cellStyle name="S1-1 4 2" xfId="1678" xr:uid="{D85187A1-41A4-4705-A71A-E61051529B2A}"/>
    <cellStyle name="S1-1 5" xfId="1679" xr:uid="{E5C0BE2C-2616-4F44-A99E-005A4FCFE9F2}"/>
    <cellStyle name="S1-1 5 2" xfId="1680" xr:uid="{739F1D4C-B21E-4DFE-884B-AA4254A676A8}"/>
    <cellStyle name="S1-1 6" xfId="1681" xr:uid="{254E21DD-99B7-4F45-8F96-673A5B6CF815}"/>
    <cellStyle name="S1-1 6 2" xfId="1682" xr:uid="{4BE12A0F-653B-4881-AAEB-54E9A8C08DFA}"/>
    <cellStyle name="S1-1 7" xfId="1683" xr:uid="{63307328-2B52-48E1-AA4E-88B794934B59}"/>
    <cellStyle name="S1-1 8" xfId="1684" xr:uid="{211020BE-2902-456F-9810-5D5A466F08CC}"/>
    <cellStyle name="S1-2" xfId="1685" xr:uid="{C2C4D3B2-C0B6-4E37-A25D-5BB480741FE4}"/>
    <cellStyle name="S1-2 2" xfId="1686" xr:uid="{7345F617-6767-409C-B9DF-839EBA6E0E03}"/>
    <cellStyle name="S1-2 2 2" xfId="1687" xr:uid="{5EF4D22C-CE83-450C-9BDE-BA2C5B5C7BFB}"/>
    <cellStyle name="S1-2 2 2 2" xfId="1688" xr:uid="{25221FF6-35FA-4E24-B3F2-0CDDD447FDE8}"/>
    <cellStyle name="S1-2 2 3" xfId="1689" xr:uid="{95E1BE30-874E-4C47-9BF2-C31A01A54920}"/>
    <cellStyle name="S1-2 3" xfId="1690" xr:uid="{A014FB27-070D-4C98-9171-832FDDBF00FD}"/>
    <cellStyle name="S1-2 3 2" xfId="1691" xr:uid="{08527871-A9B3-45E1-BADF-9AEE3B341F9D}"/>
    <cellStyle name="S1-2 3 2 2" xfId="1692" xr:uid="{572FDB0A-A2A3-47B5-B071-5E84322E5D13}"/>
    <cellStyle name="S1-2 3 3" xfId="1693" xr:uid="{40B42D2D-3E3D-4608-92BC-9682526E3A22}"/>
    <cellStyle name="S1-2 4" xfId="1694" xr:uid="{BF1B2311-3817-4984-AA24-56C38BB562EE}"/>
    <cellStyle name="S1-2 4 2" xfId="1695" xr:uid="{941873B4-E95F-4BFB-9663-7905F0C2BC36}"/>
    <cellStyle name="S1-2 5" xfId="1696" xr:uid="{84B35AB6-DF2F-4D7B-AE47-AEC2447CB355}"/>
    <cellStyle name="S1-2 5 2" xfId="1697" xr:uid="{D6337777-EA53-42A1-9E86-08ED09CE7113}"/>
    <cellStyle name="S1-2 6" xfId="1698" xr:uid="{B1C37808-C008-46B2-BD74-ECC157E587E9}"/>
    <cellStyle name="S1-2 6 2" xfId="1699" xr:uid="{E697A4B3-4FB7-49F2-972B-15A95B152F8D}"/>
    <cellStyle name="S1-2 7" xfId="1700" xr:uid="{3891A0CF-B3F6-4B8C-A1A0-485D5AACF4C5}"/>
    <cellStyle name="S1-2 8" xfId="1701" xr:uid="{86C6895D-E851-465D-8FEB-022F2B83F312}"/>
    <cellStyle name="S1-3" xfId="1702" xr:uid="{FBF43F41-BF00-460A-BECD-FFADB2D9E7EE}"/>
    <cellStyle name="S1-3 2" xfId="1703" xr:uid="{519D5EAC-0F11-483B-8693-DF0FD990E251}"/>
    <cellStyle name="S1-4" xfId="1704" xr:uid="{6585022C-41F6-4634-8267-43EF93AE74F3}"/>
    <cellStyle name="S1-4 2" xfId="1705" xr:uid="{C0C1D95A-1CA2-4A5E-BA3E-FDC011A56E42}"/>
    <cellStyle name="S1-4 2 2" xfId="1706" xr:uid="{23096AFD-78B3-44D2-BDA1-FE85B1155129}"/>
    <cellStyle name="S1-4 2 2 2" xfId="1707" xr:uid="{C235A8A4-DA85-445C-9F8D-81EB1B851583}"/>
    <cellStyle name="S1-4 2 3" xfId="1708" xr:uid="{EA050EF0-D658-47DB-9ED5-E113C81713E6}"/>
    <cellStyle name="S1-4 3" xfId="1709" xr:uid="{3E4BB51F-CCB7-4B8B-B618-A28355E4C621}"/>
    <cellStyle name="S1-4 3 2" xfId="1710" xr:uid="{91337B09-B5F3-43E9-BC1D-2A7F25290EC6}"/>
    <cellStyle name="S1-4 3 2 2" xfId="1711" xr:uid="{26134E51-85F4-4F80-8249-DF6E175EDEEB}"/>
    <cellStyle name="S1-4 3 3" xfId="1712" xr:uid="{B5EA19E9-AF70-4806-9578-076523CE2AA0}"/>
    <cellStyle name="S1-4 4" xfId="1713" xr:uid="{AA5380B5-74A0-4E89-8A40-6FF2139AD7FE}"/>
    <cellStyle name="S1-4 4 2" xfId="1714" xr:uid="{622D1279-956B-4078-B5C7-EA704F84591A}"/>
    <cellStyle name="S1-4 5" xfId="1715" xr:uid="{55C1A822-B135-4DFC-8EB9-EF02E749FB13}"/>
    <cellStyle name="S1-4 5 2" xfId="1716" xr:uid="{E129A37C-84EA-4749-B10A-D43FE9246570}"/>
    <cellStyle name="S1-4 6" xfId="1717" xr:uid="{214B4818-DE45-4E1B-8614-7F74926E1A15}"/>
    <cellStyle name="S1-4 6 2" xfId="1718" xr:uid="{6DD565B9-9687-44E5-A717-75808A9EE9D2}"/>
    <cellStyle name="S1-4 7" xfId="1719" xr:uid="{07524F12-7A86-4919-A030-64AB33FBB193}"/>
    <cellStyle name="S1-4 8" xfId="1720" xr:uid="{50162C0E-59EC-4E99-B907-C2BF8CB501B4}"/>
    <cellStyle name="S1-5" xfId="1721" xr:uid="{AEA36BD9-0EF8-4350-AFC2-4BCA210EC297}"/>
    <cellStyle name="S1-5 2" xfId="1722" xr:uid="{B0F75043-3FBF-4574-AA95-322459403AFF}"/>
    <cellStyle name="S1-5 2 2" xfId="1723" xr:uid="{4CA6F365-A250-442E-B0B5-AD40BE52C623}"/>
    <cellStyle name="S1-5 2 2 2" xfId="1724" xr:uid="{8351C8D6-337A-43AB-8F72-78C0A0D13C29}"/>
    <cellStyle name="S1-5 2 3" xfId="1725" xr:uid="{08289860-256B-497E-B597-AD441CF917CB}"/>
    <cellStyle name="S1-5 3" xfId="1726" xr:uid="{2DB8A2BA-1C10-48FF-A404-76F87B119144}"/>
    <cellStyle name="S1-5 3 2" xfId="1727" xr:uid="{F2A3C051-D444-440A-B5C6-2C78B31D1B18}"/>
    <cellStyle name="S1-5 3 2 2" xfId="1728" xr:uid="{A78D2C42-F4DC-4B33-A264-AF67A8EAE5B7}"/>
    <cellStyle name="S1-5 3 3" xfId="1729" xr:uid="{7F170B33-21DF-49F5-9025-F3BA909CF349}"/>
    <cellStyle name="S1-5 4" xfId="1730" xr:uid="{283C0A48-2241-476A-A1E8-1193BDBBC649}"/>
    <cellStyle name="S1-5 4 2" xfId="1731" xr:uid="{9AC1D294-EF21-491B-B08B-889B4BBF992F}"/>
    <cellStyle name="S1-5 5" xfId="1732" xr:uid="{2F8A031D-C8DC-42D0-AEEB-83B7F0CFC010}"/>
    <cellStyle name="S1-5 5 2" xfId="1733" xr:uid="{6781F796-D315-41D6-8E5A-6C7B1324D4B1}"/>
    <cellStyle name="S1-5 6" xfId="1734" xr:uid="{2BBFBDA3-9125-45DA-BD3D-B35B1DA8AD17}"/>
    <cellStyle name="S1-5 6 2" xfId="1735" xr:uid="{789270CF-BCF9-41FC-92C7-A8B20CE1FFE7}"/>
    <cellStyle name="S1-5 7" xfId="1736" xr:uid="{4A38ECEA-4F09-46BE-BC81-479603E5EF0E}"/>
    <cellStyle name="S1-5 8" xfId="1737" xr:uid="{6A77A257-951A-4F43-B252-0BCBAEEC9DA5}"/>
    <cellStyle name="S1-6" xfId="1738" xr:uid="{3203E228-0092-4514-B268-5BA2DB8155E2}"/>
    <cellStyle name="S1-6 2" xfId="1739" xr:uid="{47FF943D-C983-47F6-93CB-25FA26EBB0DD}"/>
    <cellStyle name="S1-6 2 2" xfId="1740" xr:uid="{9FB6210C-FD9D-4253-94B2-8CD241C46B2F}"/>
    <cellStyle name="S1-6 2 2 2" xfId="1741" xr:uid="{3252EEEB-AC31-4E5E-ABD7-5798EB19556B}"/>
    <cellStyle name="S1-6 2 3" xfId="1742" xr:uid="{F0A4D938-D4BA-42FB-8DF0-2D8CAF6AE790}"/>
    <cellStyle name="S1-6 3" xfId="1743" xr:uid="{5E78AE03-76EC-47B2-AE6F-A6C0BF3CBE56}"/>
    <cellStyle name="S1-6 3 2" xfId="1744" xr:uid="{484A62A8-F321-485D-AB83-F29E5138B6E5}"/>
    <cellStyle name="S1-6 3 2 2" xfId="1745" xr:uid="{1F188A28-ED0C-45F8-8D69-C98D7138A263}"/>
    <cellStyle name="S1-6 3 3" xfId="1746" xr:uid="{D525272C-0BA9-4EAD-9880-C961AD15B233}"/>
    <cellStyle name="S1-6 4" xfId="1747" xr:uid="{E734FE71-B240-4EB6-96A9-0C9E1A2CD478}"/>
    <cellStyle name="S1-6 4 2" xfId="1748" xr:uid="{F49928BC-8F3E-4E99-90FE-16E163FE0CEC}"/>
    <cellStyle name="S1-6 5" xfId="1749" xr:uid="{9C6AEB0F-5F1F-45AF-B713-1186E96EB891}"/>
    <cellStyle name="S1-6 5 2" xfId="1750" xr:uid="{E8403476-045F-4E36-ABE3-59F0E13BA690}"/>
    <cellStyle name="S1-6 6" xfId="1751" xr:uid="{FD45D345-CBC5-48D8-AC38-5086E0DE60B0}"/>
    <cellStyle name="S1-6 6 2" xfId="1752" xr:uid="{C5EA0598-C1B8-4B10-A2A9-AF77AE3C72DA}"/>
    <cellStyle name="S1-6 7" xfId="1753" xr:uid="{D0B345DA-A354-41EC-B858-EA2B1819D6FB}"/>
    <cellStyle name="S1-6 8" xfId="1754" xr:uid="{524EA78B-5BDF-4309-9B8C-91EB54C733A0}"/>
    <cellStyle name="Title" xfId="4" builtinId="15" customBuiltin="1"/>
    <cellStyle name="Total" xfId="19" builtinId="25" customBuiltin="1"/>
    <cellStyle name="Total 2" xfId="1755" xr:uid="{4A29AE87-0098-4856-8976-95FC095C0E82}"/>
    <cellStyle name="Warning Text" xfId="17" builtinId="11" customBuiltin="1"/>
    <cellStyle name="千位[0]_laroux" xfId="1756" xr:uid="{41B9965E-DCEA-4C1E-AB44-2EB2EC83DCBC}"/>
    <cellStyle name="千位_laroux" xfId="1757" xr:uid="{A70502EF-8A2D-4E55-8D72-53211B34258E}"/>
    <cellStyle name="千分位[0]_ 白土" xfId="1758" xr:uid="{6180B75F-B30B-4ED3-AEE6-68DC06639C84}"/>
    <cellStyle name="千分位_ 白土" xfId="1759" xr:uid="{B5EDBDA0-F1EA-4C31-81E7-46D42C34B61D}"/>
    <cellStyle name="好 10" xfId="1760" xr:uid="{446D1C53-E2CE-42DC-8BE8-D0A0DDFA0198}"/>
    <cellStyle name="好 11" xfId="1761" xr:uid="{95397877-7AE3-49B7-BAE6-777E1064FB62}"/>
    <cellStyle name="好 2" xfId="1762" xr:uid="{D7EF10EB-2084-4B76-81EB-614A608C2B01}"/>
    <cellStyle name="好 2 2" xfId="1763" xr:uid="{D30E0088-B3C8-4300-8AD7-9E3490CB8D7A}"/>
    <cellStyle name="好 2 2 2" xfId="1764" xr:uid="{40980F21-5DE0-4CFD-8FCB-5C5EFE82BA96}"/>
    <cellStyle name="好 2 2 2 2" xfId="1765" xr:uid="{B6439E05-F87E-46EE-B053-EE8A585E7E31}"/>
    <cellStyle name="好 2 2 2 2 2" xfId="1766" xr:uid="{C117363B-9539-401C-BD3E-E16A877B6DCA}"/>
    <cellStyle name="好 2 2 2 2 2 2" xfId="1767" xr:uid="{A26F0DCE-7303-492D-B861-5C611CC55E19}"/>
    <cellStyle name="好 2 2 2 2 3" xfId="1768" xr:uid="{C7DDC114-9514-4520-BDD2-484DD98D0BAF}"/>
    <cellStyle name="好 2 2 2 3" xfId="1769" xr:uid="{08262691-3DB8-427C-A628-FEB9A1B8B634}"/>
    <cellStyle name="好 2 2 2 3 2" xfId="1770" xr:uid="{5A485DBB-40D4-41DA-B02E-098565A1A2B1}"/>
    <cellStyle name="好 2 2 2 4" xfId="1771" xr:uid="{C65DCB7E-2123-4C92-8FEC-FEC4E729B349}"/>
    <cellStyle name="好 2 2 3" xfId="1772" xr:uid="{81A9BC23-CEAE-4A15-B2DE-453F4DB55875}"/>
    <cellStyle name="好 2 2 3 2" xfId="1773" xr:uid="{C2731945-CF31-473D-A389-FEB6BE8D2BD7}"/>
    <cellStyle name="好 2 2 3 2 2" xfId="1774" xr:uid="{18AFE6F5-E3FB-4146-89AD-9F493794AC1C}"/>
    <cellStyle name="好 2 2 3 3" xfId="1775" xr:uid="{020961DD-2A76-4E11-8399-983C9DAB2B98}"/>
    <cellStyle name="好 2 2 4" xfId="1776" xr:uid="{D60E3C7D-7DFF-4F12-8603-12DBA7AAB11D}"/>
    <cellStyle name="好 2 2 4 2" xfId="1777" xr:uid="{DA99A033-6143-4776-B106-B17D2C4FFFF2}"/>
    <cellStyle name="好 2 2 5" xfId="1778" xr:uid="{D63D60EA-D349-4957-A177-18BCF6EEEEAC}"/>
    <cellStyle name="好 2 3" xfId="1779" xr:uid="{5E611C5F-0C7A-4CED-8F1D-258D4BA6761B}"/>
    <cellStyle name="好 2 3 2" xfId="1780" xr:uid="{0124052D-E4BD-4759-9FDF-7A7AA55D958E}"/>
    <cellStyle name="好 2 3 2 2" xfId="1781" xr:uid="{A6F5A1E0-51EA-4DF6-BC43-9C354F268BD6}"/>
    <cellStyle name="好 2 3 2 2 2" xfId="1782" xr:uid="{10632A1E-36A9-418B-A1F3-7FB9423B5D54}"/>
    <cellStyle name="好 2 3 2 3" xfId="1783" xr:uid="{680579CF-B511-485B-ABFB-76CEA5FC7C3F}"/>
    <cellStyle name="好 2 3 2 4" xfId="1784" xr:uid="{30290565-8566-49F8-A736-68242DCD32F0}"/>
    <cellStyle name="好 2 3 3" xfId="1785" xr:uid="{FA7098A8-1072-4503-9C32-FDDACAE978C2}"/>
    <cellStyle name="好 2 3 3 2" xfId="1786" xr:uid="{3822DE1A-F6B4-4524-A963-7163977A3276}"/>
    <cellStyle name="好 2 3 4" xfId="1787" xr:uid="{17CDAA3A-F79A-4051-9500-8B5C24043C04}"/>
    <cellStyle name="好 2 3 5" xfId="1788" xr:uid="{80E951E9-2B72-41AE-B44C-2FF7353C72A1}"/>
    <cellStyle name="好 2 4" xfId="1789" xr:uid="{5A4046E6-09E0-4722-9AF7-B2CDA2018475}"/>
    <cellStyle name="好 2 4 2" xfId="1790" xr:uid="{011C620E-253C-433E-A775-55EB029B62D4}"/>
    <cellStyle name="好 2 4 2 2" xfId="1791" xr:uid="{3AEF2949-1ACE-45CC-BEFD-D4C0835FFBCB}"/>
    <cellStyle name="好 2 4 3" xfId="1792" xr:uid="{57521BB3-00A5-49DC-A5DF-FE187859071F}"/>
    <cellStyle name="好 2 4 3 2" xfId="1793" xr:uid="{7ACDEE5A-DFA4-404B-99DA-592ACEBB1498}"/>
    <cellStyle name="好 2 4 4" xfId="1794" xr:uid="{6C4B286E-2674-42E2-AAFC-1613D9E9F1D9}"/>
    <cellStyle name="好 2 4 5" xfId="1795" xr:uid="{68A29DF5-B484-486D-81EA-94C824BBA649}"/>
    <cellStyle name="好 2 5" xfId="1796" xr:uid="{98574B1E-2051-44A3-B205-157ED110B10F}"/>
    <cellStyle name="好 2 5 2" xfId="1797" xr:uid="{35787902-66B0-4577-8519-E2D6A2CA7234}"/>
    <cellStyle name="好 2 6" xfId="1798" xr:uid="{EAF2B603-24A0-4009-AB07-397F02EA4C3B}"/>
    <cellStyle name="好 2 7" xfId="1799" xr:uid="{A65CED04-7A75-4E2C-9701-F1E68E693489}"/>
    <cellStyle name="好 3" xfId="1800" xr:uid="{454D23CF-639F-49AA-A583-4A05E10DB9FC}"/>
    <cellStyle name="好 3 2" xfId="1801" xr:uid="{DD0ADE47-6601-41F3-BDD1-2AE94041E72E}"/>
    <cellStyle name="好 3 2 2" xfId="1802" xr:uid="{AD7F2672-4F83-402C-8187-C247FCA24A74}"/>
    <cellStyle name="好 3 2 2 2" xfId="1803" xr:uid="{664463AF-7A2C-4AA2-A574-E905000CD1B9}"/>
    <cellStyle name="好 3 2 2 2 2" xfId="1804" xr:uid="{023DD56E-44AF-40FD-963D-52D990703ED7}"/>
    <cellStyle name="好 3 2 2 2 2 2" xfId="1805" xr:uid="{AF5FD01A-9F52-44C8-8AF5-24505782BDE2}"/>
    <cellStyle name="好 3 2 2 2 3" xfId="1806" xr:uid="{4C3FC1E5-481F-4572-BE69-3B6411B30F8E}"/>
    <cellStyle name="好 3 2 2 3" xfId="1807" xr:uid="{74D58021-8AC1-4500-A5EF-8E4188A48C2B}"/>
    <cellStyle name="好 3 2 2 3 2" xfId="1808" xr:uid="{27EB869D-CD71-48FD-89CF-DB24838E8E48}"/>
    <cellStyle name="好 3 2 2 4" xfId="1809" xr:uid="{B3735038-C838-42FB-B35F-5D1A647CEFC9}"/>
    <cellStyle name="好 3 2 3" xfId="1810" xr:uid="{5C0FB5FE-A777-4F36-B628-FE0A30275DE0}"/>
    <cellStyle name="好 3 2 3 2" xfId="1811" xr:uid="{94251134-708A-4A3A-B866-4ED1C4635599}"/>
    <cellStyle name="好 3 2 3 2 2" xfId="1812" xr:uid="{ABA9A061-66C6-40C5-8BB6-C0B3F0338045}"/>
    <cellStyle name="好 3 2 3 3" xfId="1813" xr:uid="{A89AF2B5-B8F7-4A92-963F-51263CF87B72}"/>
    <cellStyle name="好 3 2 4" xfId="1814" xr:uid="{27DC6545-1AFF-4451-8A0C-37D696B1F726}"/>
    <cellStyle name="好 3 2 4 2" xfId="1815" xr:uid="{C1836B09-BDD2-4C37-BB6B-8578EF851718}"/>
    <cellStyle name="好 3 2 5" xfId="1816" xr:uid="{8F84A290-D782-42DC-9232-043A9337F084}"/>
    <cellStyle name="好 3 3" xfId="1817" xr:uid="{8B4CB5F4-84BB-4344-A06A-28A252E55D71}"/>
    <cellStyle name="好 3 3 2" xfId="1818" xr:uid="{FE9CECA1-6897-412C-9A97-6036D9775FBB}"/>
    <cellStyle name="好 3 3 2 2" xfId="1819" xr:uid="{9269C691-ED03-4790-9DBB-134BCC9FCAA3}"/>
    <cellStyle name="好 3 3 3" xfId="1820" xr:uid="{1FD6DB03-81D6-4540-B9DD-02702F960A86}"/>
    <cellStyle name="好 3 4" xfId="1821" xr:uid="{10C39581-360F-4A7C-8064-45DA26D53FEB}"/>
    <cellStyle name="好 3 4 2" xfId="1822" xr:uid="{02533D67-DA00-4014-93C5-FDB13E486705}"/>
    <cellStyle name="好 3 5" xfId="1823" xr:uid="{8F938A53-4E4F-4139-9046-E89DE42495B9}"/>
    <cellStyle name="好 4" xfId="1824" xr:uid="{BC8DDB33-1DAE-41BF-8A41-74BA55E666B3}"/>
    <cellStyle name="好 4 2" xfId="1825" xr:uid="{5CF73F69-7E10-4F40-A60D-F30BD4320C0C}"/>
    <cellStyle name="好 4 2 2" xfId="1826" xr:uid="{35816B47-DE35-47EB-B436-8A1E75616DED}"/>
    <cellStyle name="好 4 3" xfId="1827" xr:uid="{7D8EA433-4D14-4DF9-96C9-051AB18A4D85}"/>
    <cellStyle name="好 5" xfId="1828" xr:uid="{206D651A-F860-46B2-A5BC-0D88AD563775}"/>
    <cellStyle name="好 5 2" xfId="1829" xr:uid="{A4035C05-130E-4FE4-815F-E1656BF8AA0A}"/>
    <cellStyle name="好 5 2 2" xfId="1830" xr:uid="{996B4718-E677-4E94-92B2-7F69EC788FC8}"/>
    <cellStyle name="好 5 3" xfId="1831" xr:uid="{27FD5D26-00CF-44EB-806F-8D6D50EF69AF}"/>
    <cellStyle name="好 6" xfId="1832" xr:uid="{9838A0F6-89B4-4412-A501-460B23AB58A9}"/>
    <cellStyle name="好 6 2" xfId="1833" xr:uid="{B78C6E01-EAB1-4136-9832-3AC007402C39}"/>
    <cellStyle name="好 7" xfId="1834" xr:uid="{73D52F7D-335E-43C6-AB9D-3F4016D45208}"/>
    <cellStyle name="好 7 2" xfId="1835" xr:uid="{3DFC38D3-BCFA-4358-9CA1-F284FFD34C0D}"/>
    <cellStyle name="好 8" xfId="1836" xr:uid="{F2CFC78B-7E31-478E-80A7-6CAEC68B91AD}"/>
    <cellStyle name="好 8 2" xfId="1837" xr:uid="{CC5D6332-9975-4891-9BDA-DED857812735}"/>
    <cellStyle name="好 9" xfId="1838" xr:uid="{841A39DE-FB45-4F10-89E0-2A79992544D3}"/>
    <cellStyle name="好_Book1" xfId="1839" xr:uid="{5D7CD76D-1495-4B78-971E-90582ABEBCE2}"/>
    <cellStyle name="好_Book1 2" xfId="1840" xr:uid="{70BF698E-480C-4528-9AA9-B6A6F4BD91AA}"/>
    <cellStyle name="好_Book1 2 2" xfId="1841" xr:uid="{8D25E078-4655-47F3-AB5D-31C06BBEEE50}"/>
    <cellStyle name="好_Book1 2 2 2" xfId="1842" xr:uid="{E82EF4E9-6FF9-4562-81F0-2C1CE2401A03}"/>
    <cellStyle name="好_Book1 2 3" xfId="1843" xr:uid="{AFD540A1-C16D-4AB2-A7A7-82EE7032C27D}"/>
    <cellStyle name="好_Book1 2 3 2" xfId="1844" xr:uid="{BD4157E4-B975-472A-A2F3-15E433542645}"/>
    <cellStyle name="好_Book1 2 4" xfId="1845" xr:uid="{862FF7F4-7E41-488E-908C-AD99919CA24E}"/>
    <cellStyle name="好_Book1 2 4 2" xfId="1846" xr:uid="{DE554BB0-05AA-4A74-921C-7E9F10B5E6A9}"/>
    <cellStyle name="好_Book1 2 5" xfId="1847" xr:uid="{B4362580-21C2-4FBD-9811-CA2C461B398F}"/>
    <cellStyle name="好_Book1 2 5 2" xfId="1848" xr:uid="{0A2103B8-B9CB-4731-A83D-0C898EF4A986}"/>
    <cellStyle name="好_Book1 2 6" xfId="1849" xr:uid="{0A2B12D3-B07B-46A7-9DFF-AE2EC1356EAD}"/>
    <cellStyle name="好_Book1 3" xfId="1850" xr:uid="{CC93F62C-B1E4-4E87-82B2-3958F036D348}"/>
    <cellStyle name="好_Book1 3 2" xfId="1851" xr:uid="{62BBAAA5-C678-4CB7-9765-E508A35BC5D8}"/>
    <cellStyle name="好_Book1 3 2 2" xfId="1852" xr:uid="{C1B7973D-BD09-4407-BB4E-BD410DB0EF52}"/>
    <cellStyle name="好_Book1 3 3" xfId="1853" xr:uid="{E8AFEC77-F259-4E42-9A85-0EBD8BDF405D}"/>
    <cellStyle name="好_Book1 4" xfId="1854" xr:uid="{C23115B9-B935-49A2-B3B6-6F2E7CA5DDB3}"/>
    <cellStyle name="好_Book1 4 2" xfId="1855" xr:uid="{DBB08CFB-67E2-4BE2-811C-A0DC0F06EE92}"/>
    <cellStyle name="好_Book1 5" xfId="1856" xr:uid="{D46C43EA-61F7-4EC5-A9D8-EDF929EE8A06}"/>
    <cellStyle name="差 10" xfId="1857" xr:uid="{A3446B22-8B1E-4F9E-891C-AE1E85294378}"/>
    <cellStyle name="差 11" xfId="1858" xr:uid="{45D3BCCA-416B-452B-B5D3-99491236214B}"/>
    <cellStyle name="差 2" xfId="1859" xr:uid="{4C445BDD-9E9D-4856-A0AC-A8060B9B1353}"/>
    <cellStyle name="差 2 2" xfId="1860" xr:uid="{26DA738D-6A06-4C6E-8639-F12D44A4B7F9}"/>
    <cellStyle name="差 2 2 2" xfId="1861" xr:uid="{DB1E07A8-4BCB-481C-AC00-3B1C3040B400}"/>
    <cellStyle name="差 2 2 2 2" xfId="1862" xr:uid="{EAEBBE21-7728-4BD1-B9D5-0AEAB74952DB}"/>
    <cellStyle name="差 2 2 2 2 2" xfId="1863" xr:uid="{A3E9A8AB-9F19-41F3-AD61-3441574A810F}"/>
    <cellStyle name="差 2 2 2 2 2 2" xfId="1864" xr:uid="{FE4CB4A8-416D-4F16-9B44-475A07B98E36}"/>
    <cellStyle name="差 2 2 2 2 3" xfId="1865" xr:uid="{3EE9CCE7-B348-4ED6-AD0F-EB2BFB1B8910}"/>
    <cellStyle name="差 2 2 2 3" xfId="1866" xr:uid="{83ED4737-E224-41A7-94BC-0BCE79461AC9}"/>
    <cellStyle name="差 2 2 2 3 2" xfId="1867" xr:uid="{C324E2D8-5933-4F65-BF1B-F6186772D5BF}"/>
    <cellStyle name="差 2 2 2 4" xfId="1868" xr:uid="{A6F4557D-6FAB-4020-80D0-70132C11E46C}"/>
    <cellStyle name="差 2 2 3" xfId="1869" xr:uid="{D4AE889B-2484-4AF4-9208-D027A0E7648A}"/>
    <cellStyle name="差 2 2 3 2" xfId="1870" xr:uid="{C43AC0B6-F41A-4274-B50B-5553B0D2A462}"/>
    <cellStyle name="差 2 2 3 2 2" xfId="1871" xr:uid="{E8C20657-C320-46D7-A127-CCFB465734D7}"/>
    <cellStyle name="差 2 2 3 3" xfId="1872" xr:uid="{52947448-6388-4D32-B93F-A21C02BB9969}"/>
    <cellStyle name="差 2 2 4" xfId="1873" xr:uid="{AC21D390-8E4D-4D74-A2DD-7CBC36F1D05F}"/>
    <cellStyle name="差 2 2 4 2" xfId="1874" xr:uid="{02EB9120-36C4-47F5-8628-6C61FA61832D}"/>
    <cellStyle name="差 2 2 5" xfId="1875" xr:uid="{B34F0E4E-53D5-4949-8CFB-C59B1EAAA7A9}"/>
    <cellStyle name="差 2 3" xfId="1876" xr:uid="{9CEB2666-2488-4BA3-97F9-DCB64B75469F}"/>
    <cellStyle name="差 2 3 2" xfId="1877" xr:uid="{4134FD2E-2684-457E-9562-5564AC28BAFF}"/>
    <cellStyle name="差 2 3 2 2" xfId="1878" xr:uid="{433A7625-8940-47B6-A14D-D557FD2D5B27}"/>
    <cellStyle name="差 2 3 2 2 2" xfId="1879" xr:uid="{51831208-DD48-474F-ACE3-6F6CBF69A262}"/>
    <cellStyle name="差 2 3 2 3" xfId="1880" xr:uid="{728540F3-8E19-4099-8F20-FCDC4846B599}"/>
    <cellStyle name="差 2 3 2 4" xfId="1881" xr:uid="{DC691634-9A43-4D0E-BAA4-5E1CEB215B59}"/>
    <cellStyle name="差 2 3 3" xfId="1882" xr:uid="{5A575046-9202-4EB7-8E89-E4A0EB34D2E1}"/>
    <cellStyle name="差 2 3 3 2" xfId="1883" xr:uid="{C2398E39-68A2-4121-AD7B-44FF22A86228}"/>
    <cellStyle name="差 2 3 4" xfId="1884" xr:uid="{9009C5F3-28AA-4987-AD46-10962DB1C842}"/>
    <cellStyle name="差 2 3 5" xfId="1885" xr:uid="{DF238337-E4D2-4051-8365-E9C952BC524D}"/>
    <cellStyle name="差 2 4" xfId="1886" xr:uid="{E216FA69-B528-4C42-BEBF-2EDBBB83EAC7}"/>
    <cellStyle name="差 2 4 2" xfId="1887" xr:uid="{4D7BA880-B5C9-4FD9-B86F-5436A3436E48}"/>
    <cellStyle name="差 2 4 2 2" xfId="1888" xr:uid="{1F3EE689-5A1D-4446-BC39-A2EB7EF1DAF8}"/>
    <cellStyle name="差 2 4 3" xfId="1889" xr:uid="{320E4B53-0A15-40E5-AC0E-79166B208CFB}"/>
    <cellStyle name="差 2 4 3 2" xfId="1890" xr:uid="{48EB48F5-C57D-4F5C-B51F-A5801D69E654}"/>
    <cellStyle name="差 2 4 4" xfId="1891" xr:uid="{B0025F6D-9481-4957-AB0B-7FAEBCC2A5BE}"/>
    <cellStyle name="差 2 4 5" xfId="1892" xr:uid="{B18C2F64-1657-4F65-B923-E4F6CA8D03F7}"/>
    <cellStyle name="差 2 5" xfId="1893" xr:uid="{656355BF-4D40-4123-ACD5-153986550245}"/>
    <cellStyle name="差 2 5 2" xfId="1894" xr:uid="{33A0526E-5318-4333-8C74-5371985FDB9D}"/>
    <cellStyle name="差 2 6" xfId="1895" xr:uid="{39C1AD56-440D-4B54-9BE0-4A242F8D453B}"/>
    <cellStyle name="差 2 7" xfId="1896" xr:uid="{91C98B53-0E84-4AEF-BD50-25EF720F7D0E}"/>
    <cellStyle name="差 3" xfId="1897" xr:uid="{EE8D109B-33EF-4A82-BA77-F2297589DC50}"/>
    <cellStyle name="差 3 2" xfId="1898" xr:uid="{9090E642-0410-4802-BCF8-2E931CCB90FF}"/>
    <cellStyle name="差 3 2 2" xfId="1899" xr:uid="{1C9C81C4-4984-43C6-9C17-A32967F7E726}"/>
    <cellStyle name="差 3 2 2 2" xfId="1900" xr:uid="{105AF158-6E8B-4F20-A3E0-8C616DB8FC58}"/>
    <cellStyle name="差 3 2 2 2 2" xfId="1901" xr:uid="{361F73E7-C23C-42B8-9E7E-8E6371BB2E89}"/>
    <cellStyle name="差 3 2 2 2 2 2" xfId="1902" xr:uid="{C4966641-621F-47DC-87C2-A3BDBA232457}"/>
    <cellStyle name="差 3 2 2 2 3" xfId="1903" xr:uid="{BA2A2C93-52D9-490E-ABF2-8E4F04A135F9}"/>
    <cellStyle name="差 3 2 2 3" xfId="1904" xr:uid="{E47F5485-21AF-47B0-873C-1E05275E1EBE}"/>
    <cellStyle name="差 3 2 2 3 2" xfId="1905" xr:uid="{671C904B-4CB9-423C-960F-2443A8043397}"/>
    <cellStyle name="差 3 2 2 4" xfId="1906" xr:uid="{1AF8A481-3B75-458C-9985-AA618A5AD0AA}"/>
    <cellStyle name="差 3 2 3" xfId="1907" xr:uid="{52E382CD-9852-4688-B9D3-EDC4969A9DD7}"/>
    <cellStyle name="差 3 2 3 2" xfId="1908" xr:uid="{7A286145-19AD-4428-8FB6-5E7AFCB5C910}"/>
    <cellStyle name="差 3 2 3 2 2" xfId="1909" xr:uid="{C851227D-3568-4E48-B2E4-024284E41E53}"/>
    <cellStyle name="差 3 2 3 3" xfId="1910" xr:uid="{5A6B1F7D-AB30-4EEB-A8C7-E445C9A1BE38}"/>
    <cellStyle name="差 3 2 4" xfId="1911" xr:uid="{4F7F0652-9BFA-4A77-AE9F-3A9FD9609737}"/>
    <cellStyle name="差 3 2 4 2" xfId="1912" xr:uid="{E0D5B911-854F-4BF8-AB5A-67789C7D24DF}"/>
    <cellStyle name="差 3 2 5" xfId="1913" xr:uid="{1A9DF482-72C6-46F2-AB55-65B12ED742AF}"/>
    <cellStyle name="差 3 3" xfId="1914" xr:uid="{964B54A2-88E6-41F5-BF8A-30094D96B62A}"/>
    <cellStyle name="差 3 3 2" xfId="1915" xr:uid="{168191F1-63D3-443B-8DC9-FD56713707B3}"/>
    <cellStyle name="差 3 3 2 2" xfId="1916" xr:uid="{B0010BCD-361D-4FD6-B911-E3E20313B9D0}"/>
    <cellStyle name="差 3 3 3" xfId="1917" xr:uid="{EA09C6EF-A8F1-426F-B338-2941FAC9052C}"/>
    <cellStyle name="差 3 4" xfId="1918" xr:uid="{E678EC71-E352-469D-B8F7-502B0F69A485}"/>
    <cellStyle name="差 3 4 2" xfId="1919" xr:uid="{3BCD2AD8-A4C8-4C32-B8D4-B768E778AAAC}"/>
    <cellStyle name="差 3 5" xfId="1920" xr:uid="{94A4AD78-B130-4074-BFFB-CDF79A7692A2}"/>
    <cellStyle name="差 4" xfId="1921" xr:uid="{8654D07E-BA4B-4015-A34A-864C26E44258}"/>
    <cellStyle name="差 4 2" xfId="1922" xr:uid="{B74FFCE8-5873-4C01-A604-7F7A79390E7B}"/>
    <cellStyle name="差 4 2 2" xfId="1923" xr:uid="{6F4A6D78-85E8-41CC-BF56-5EF6C0757D14}"/>
    <cellStyle name="差 4 3" xfId="1924" xr:uid="{B88FE0AB-5994-4D6C-AAB8-D5FC19C97551}"/>
    <cellStyle name="差 5" xfId="1925" xr:uid="{1D60E23C-C448-46CC-A5A8-6E1182650C26}"/>
    <cellStyle name="差 5 2" xfId="1926" xr:uid="{2CB2B580-AF77-4DC0-BFC9-BCCF4F3883F7}"/>
    <cellStyle name="差 5 2 2" xfId="1927" xr:uid="{D8A9456C-E9B1-4738-BC0F-6E029E09AC04}"/>
    <cellStyle name="差 5 3" xfId="1928" xr:uid="{F14EF84C-8DE8-4116-B56A-CA0922AF4802}"/>
    <cellStyle name="差 6" xfId="1929" xr:uid="{1246D993-050A-405F-943E-C7928D5B299A}"/>
    <cellStyle name="差 6 2" xfId="1930" xr:uid="{49672FC3-C23D-4800-9E85-D0181A7A86FD}"/>
    <cellStyle name="差 7" xfId="1931" xr:uid="{F4DA2929-2DD0-43D5-A475-849E98D78556}"/>
    <cellStyle name="差 7 2" xfId="1932" xr:uid="{87BE66ED-E0AC-4E44-A8A0-01244123BC5B}"/>
    <cellStyle name="差 8" xfId="1933" xr:uid="{CF85DAFB-BFCB-46A3-BB33-99C8DAF11861}"/>
    <cellStyle name="差 8 2" xfId="1934" xr:uid="{9B3FF87E-29A8-4ABE-A1E2-2F7238F3305B}"/>
    <cellStyle name="差 9" xfId="1935" xr:uid="{4088B161-56B5-444A-BF8A-174E11CC3824}"/>
    <cellStyle name="差_Book1" xfId="1936" xr:uid="{90B354B3-7082-4F75-9431-5C39FD4F2044}"/>
    <cellStyle name="差_Book1 2" xfId="1937" xr:uid="{35AE2CC1-C05D-48AB-A9DF-DF22E59CBECF}"/>
    <cellStyle name="差_Book1 2 2" xfId="1938" xr:uid="{C5A72740-8D7B-4CC4-9135-05223C99207A}"/>
    <cellStyle name="差_Book1 2 2 2" xfId="1939" xr:uid="{8494A0BB-614D-4A65-9BF7-1FB3DE2BA74D}"/>
    <cellStyle name="差_Book1 2 3" xfId="1940" xr:uid="{35B00D23-C247-4150-9401-8ED2DC1DC233}"/>
    <cellStyle name="差_Book1 2 3 2" xfId="1941" xr:uid="{B550FBC2-4A35-472B-BEEE-A9AF46E5692F}"/>
    <cellStyle name="差_Book1 2 4" xfId="1942" xr:uid="{6604E9B1-5EF2-4EF7-A947-0CD36C98B1AA}"/>
    <cellStyle name="差_Book1 2 4 2" xfId="1943" xr:uid="{46404E36-A7B0-4D3A-89DA-DC2963AF9649}"/>
    <cellStyle name="差_Book1 2 5" xfId="1944" xr:uid="{E5495625-FCC6-4141-B529-F8A80F1D9B3D}"/>
    <cellStyle name="差_Book1 2 5 2" xfId="1945" xr:uid="{EE036A74-1DC2-4FAE-894E-8217C46D1C96}"/>
    <cellStyle name="差_Book1 2 6" xfId="1946" xr:uid="{997FD1EC-C925-4EC0-9660-EB46BF735959}"/>
    <cellStyle name="差_Book1 3" xfId="1947" xr:uid="{E347EFC3-1A0A-4369-B567-4F788549E583}"/>
    <cellStyle name="差_Book1 3 2" xfId="1948" xr:uid="{27781BB1-DACB-4DE6-B738-DB6A10E26BBB}"/>
    <cellStyle name="差_Book1 3 2 2" xfId="1949" xr:uid="{CE16C89B-4250-4B03-B943-3483A91CAE58}"/>
    <cellStyle name="差_Book1 3 3" xfId="1950" xr:uid="{220E4767-FD42-4F62-B61A-4B3987B51DE0}"/>
    <cellStyle name="差_Book1 4" xfId="1951" xr:uid="{A69AFCEC-118F-4833-86CB-6A72FFE3144E}"/>
    <cellStyle name="差_Book1 4 2" xfId="1952" xr:uid="{278AE5F2-0EE7-4D4B-9D98-E0CA21ED5BA2}"/>
    <cellStyle name="差_Book1 5" xfId="1953" xr:uid="{FEE09207-833A-454F-AF32-CA3EADEE1431}"/>
    <cellStyle name="常规 10" xfId="1954" xr:uid="{02C84DFD-22F8-48F6-A7E4-69AE87933C9D}"/>
    <cellStyle name="常规 10 2" xfId="1955" xr:uid="{917024D1-72F3-4137-9773-D17B8BD9C4CE}"/>
    <cellStyle name="常规 10 2 2" xfId="1956" xr:uid="{60EE8D2E-6C99-44BB-A846-7B82E8B46B4F}"/>
    <cellStyle name="常规 10 2 2 2" xfId="1957" xr:uid="{7D8C91F6-EFF1-4E85-8EC6-CDBF7276F047}"/>
    <cellStyle name="常规 10 2 3" xfId="1958" xr:uid="{F644D095-A76D-4445-AB4C-309F2D4A68D4}"/>
    <cellStyle name="常规 10 3" xfId="1959" xr:uid="{A4EBDC66-D37E-491C-9A62-266F8D0A9224}"/>
    <cellStyle name="常规 10 3 2" xfId="1960" xr:uid="{93307332-1780-487F-8145-5697FE111BC4}"/>
    <cellStyle name="常规 10 4" xfId="1961" xr:uid="{5BB2B4D3-6650-4775-BB4C-5452AC47345D}"/>
    <cellStyle name="常规 11" xfId="1962" xr:uid="{3BF352D9-4A75-4DD0-98AE-8D8CDEF63517}"/>
    <cellStyle name="常规 11 2" xfId="1963" xr:uid="{7392C752-4E32-4E37-8784-F7A27B71B886}"/>
    <cellStyle name="常规 11 2 2" xfId="1964" xr:uid="{5451C093-E9D2-4AC9-8665-B133ED09C974}"/>
    <cellStyle name="常规 11 2 2 2" xfId="1965" xr:uid="{77F726C1-EA87-4AEC-A88C-C3EF524679F4}"/>
    <cellStyle name="常规 11 2 3" xfId="1966" xr:uid="{52F0915C-C6EE-4A8C-A1A2-43B2C70B6448}"/>
    <cellStyle name="常规 11 3" xfId="1967" xr:uid="{DA237AAA-4D59-4361-A2DC-C6A04CCF669C}"/>
    <cellStyle name="常规 11 3 2" xfId="1968" xr:uid="{32B9F6CA-0499-472D-877D-17887B914ACC}"/>
    <cellStyle name="常规 11 4" xfId="1969" xr:uid="{181AFAFE-50A7-4F15-A53F-3A03BD616F3D}"/>
    <cellStyle name="常规 12" xfId="1970" xr:uid="{2B8DCE0A-AB3A-4CEC-896C-048D9EAA875F}"/>
    <cellStyle name="常规 12 2" xfId="1971" xr:uid="{210C4261-9521-49BE-9BB5-839476642E93}"/>
    <cellStyle name="常规 12 2 2" xfId="1972" xr:uid="{32170366-D0EF-440F-84B0-B9D65001ED4A}"/>
    <cellStyle name="常规 12 2 2 2" xfId="1973" xr:uid="{776DBCE8-3966-48BB-A82D-BA9CA5BACF4B}"/>
    <cellStyle name="常规 12 2 3" xfId="1974" xr:uid="{5A8D80A6-BF1A-410C-95F0-7446C6F729BC}"/>
    <cellStyle name="常规 12 3" xfId="1975" xr:uid="{961E303C-AC8D-4DD7-AE6F-DF3277C88331}"/>
    <cellStyle name="常规 12 3 2" xfId="1976" xr:uid="{F4085C48-5B31-4244-9360-F4CFF3DDD4B8}"/>
    <cellStyle name="常规 12 4" xfId="1977" xr:uid="{C6CEDA76-A154-42AA-B8BC-735546C06E05}"/>
    <cellStyle name="常规 13" xfId="1978" xr:uid="{4CBFC5BC-88A6-4CF5-BEC1-87B0E950248E}"/>
    <cellStyle name="常规 13 2" xfId="1979" xr:uid="{28A1D9F1-A021-4090-886F-D7DF8A951EBC}"/>
    <cellStyle name="常规 13 2 2" xfId="1980" xr:uid="{C1413DCD-1FB4-4134-8F96-6807D5F4568E}"/>
    <cellStyle name="常规 13 2 2 2" xfId="1981" xr:uid="{C67E686D-4A52-4945-81F4-7CAE7262AAC9}"/>
    <cellStyle name="常规 13 2 3" xfId="1982" xr:uid="{C1CD736B-BEBB-465A-BEEA-43016BC63ABC}"/>
    <cellStyle name="常规 13 3" xfId="1983" xr:uid="{A1B68880-A1CC-4F12-9C1C-19F7C9D7344F}"/>
    <cellStyle name="常规 13 3 2" xfId="1984" xr:uid="{87EC519B-12CD-4A8C-B0DC-BADF4319483C}"/>
    <cellStyle name="常规 13 4" xfId="1985" xr:uid="{356FDBDE-8447-42E7-A6ED-4D0D754F2512}"/>
    <cellStyle name="常规 14" xfId="1986" xr:uid="{56CD3900-1F25-41EB-8AC1-A1F15ACB49FD}"/>
    <cellStyle name="常规 14 2" xfId="1987" xr:uid="{A256160E-6229-43A6-B3CB-F2D9239D8584}"/>
    <cellStyle name="常规 14 2 2" xfId="1988" xr:uid="{BCEF2E7B-BB0C-4FF5-8F25-B242A2A77657}"/>
    <cellStyle name="常规 14 2 2 2" xfId="1989" xr:uid="{EE52039B-3450-479C-977F-4E863CC0B965}"/>
    <cellStyle name="常规 14 2 3" xfId="1990" xr:uid="{497AA86D-2848-4D67-B157-84FC9E120433}"/>
    <cellStyle name="常规 14 3" xfId="1991" xr:uid="{C1557ECE-6CE2-4C68-80E2-972542A7FC99}"/>
    <cellStyle name="常规 14 3 2" xfId="1992" xr:uid="{3AE64720-DCE8-45A2-A666-0D0C743874F3}"/>
    <cellStyle name="常规 14 4" xfId="1993" xr:uid="{81AB231C-B6D5-418C-BC96-CDFF551476D4}"/>
    <cellStyle name="常规 15" xfId="1994" xr:uid="{EEF14FC7-8A0A-4471-ACA2-37ABFEE4B361}"/>
    <cellStyle name="常规 15 2" xfId="1995" xr:uid="{DE2BE597-49FE-4789-AB03-4C29E10E246E}"/>
    <cellStyle name="常规 15 2 2" xfId="1996" xr:uid="{8B543116-59CB-48DD-919C-85A0D63C6E74}"/>
    <cellStyle name="常规 15 2 2 2" xfId="1997" xr:uid="{93DCE125-C56A-44C1-9107-33A5E8C0F114}"/>
    <cellStyle name="常规 15 2 3" xfId="1998" xr:uid="{2F46A769-0B2A-4CAB-A29C-4A66210E3AAF}"/>
    <cellStyle name="常规 15 3" xfId="1999" xr:uid="{5D2A5E5E-F9AE-42A0-85F1-C541B606B727}"/>
    <cellStyle name="常规 15 3 2" xfId="2000" xr:uid="{057ECF62-D047-48EB-8E62-3C975C6B0CE4}"/>
    <cellStyle name="常规 15 4" xfId="2001" xr:uid="{5E7D7E66-CA82-4909-A121-7F4F2D86EAC6}"/>
    <cellStyle name="常规 16" xfId="2002" xr:uid="{578FD2CF-DC8C-45E5-8A81-D0554DA494EC}"/>
    <cellStyle name="常规 16 2" xfId="2003" xr:uid="{26C05DD1-B353-42BE-9FF0-84FC6E745DB1}"/>
    <cellStyle name="常规 16 2 2" xfId="2004" xr:uid="{5E0F63E6-4239-4886-982A-F4050A9F32EF}"/>
    <cellStyle name="常规 16 2 2 2" xfId="2005" xr:uid="{6DEE5D4D-C5FC-4AD6-B8B2-EA12BDA869E9}"/>
    <cellStyle name="常规 16 2 3" xfId="2006" xr:uid="{8B57BFFA-3656-4BBF-A6C0-67A3377A6A23}"/>
    <cellStyle name="常规 16 3" xfId="2007" xr:uid="{1A006BDA-8FF0-443E-97A6-D2CAA0A74F74}"/>
    <cellStyle name="常规 16 3 2" xfId="2008" xr:uid="{2811DB4C-E1D4-4E28-9DB0-CF7F728DD550}"/>
    <cellStyle name="常规 16 4" xfId="2009" xr:uid="{F91402F8-FA76-4C22-A99F-526E369FC17F}"/>
    <cellStyle name="常规 17" xfId="2010" xr:uid="{5EAD52D4-2D7B-4CF3-B0A3-7C60E7A990B8}"/>
    <cellStyle name="常规 17 2" xfId="2011" xr:uid="{025C1C05-2432-477E-89C0-C6B504BD1024}"/>
    <cellStyle name="常规 17 2 2" xfId="2012" xr:uid="{8F17B19E-D8F1-451D-8A47-8921171CBB4F}"/>
    <cellStyle name="常规 17 2 2 2" xfId="2013" xr:uid="{FA1EFF9B-AFE1-4FDA-B091-FA8ACC379374}"/>
    <cellStyle name="常规 17 2 3" xfId="2014" xr:uid="{1206D0AA-7577-4E83-ADEC-A6B10C201095}"/>
    <cellStyle name="常规 17 3" xfId="2015" xr:uid="{7F98D0CC-82A4-4F96-A3C0-6776D92960E6}"/>
    <cellStyle name="常规 17 3 2" xfId="2016" xr:uid="{6E5A10EB-34E0-47C3-A880-A5265D4AB6B2}"/>
    <cellStyle name="常规 17 4" xfId="2017" xr:uid="{66C69036-2912-47B0-9532-CA9BE2C2A4B5}"/>
    <cellStyle name="常规 18" xfId="2018" xr:uid="{AC30CEF5-3B10-4582-9163-6D6C2E26D8B7}"/>
    <cellStyle name="常规 18 2" xfId="2019" xr:uid="{646FBB52-22A4-453A-867C-7ECC58E7F7E4}"/>
    <cellStyle name="常规 18 2 2" xfId="2020" xr:uid="{61661AEF-4103-45AC-B94B-57B475DF6E0F}"/>
    <cellStyle name="常规 18 2 2 2" xfId="2021" xr:uid="{D12D1AD9-91DF-4CC5-8A0D-A9949DA611E1}"/>
    <cellStyle name="常规 18 2 3" xfId="2022" xr:uid="{29B3ECB9-4C3D-4E15-AD88-6BA80091D5F4}"/>
    <cellStyle name="常规 18 3" xfId="2023" xr:uid="{F2CF7425-B3DA-457A-9A13-833D329F33B4}"/>
    <cellStyle name="常规 18 3 2" xfId="2024" xr:uid="{ABFC6B6B-DE18-48BC-BF6E-32AD7CC26AC0}"/>
    <cellStyle name="常规 18 4" xfId="2025" xr:uid="{3468C1BF-6A51-445B-8F79-34AE9E59D8A0}"/>
    <cellStyle name="常规 19" xfId="2026" xr:uid="{306EFBC6-EE1D-4CCE-AC4F-BA8F936D6D03}"/>
    <cellStyle name="常规 19 2" xfId="2027" xr:uid="{F49671BE-C7F6-40C7-BECB-B707F268E5B3}"/>
    <cellStyle name="常规 19 2 2" xfId="2028" xr:uid="{24829651-A987-477E-843B-095664F14209}"/>
    <cellStyle name="常规 19 3" xfId="2029" xr:uid="{F411863A-CB5C-4387-AD92-FDE8AB8FC920}"/>
    <cellStyle name="常规 2" xfId="3" xr:uid="{B816A686-224B-460F-92E7-7083DC731FA3}"/>
    <cellStyle name="常规 2 10" xfId="2031" xr:uid="{E7502B4A-3CDE-4E85-ACE4-0D5586F88FFB}"/>
    <cellStyle name="常规 2 10 2" xfId="2032" xr:uid="{61DC695D-6625-4DE6-92D4-10DC62828D98}"/>
    <cellStyle name="常规 2 11" xfId="2033" xr:uid="{BCBE7DE0-C654-48C2-B880-E1D06806B2A1}"/>
    <cellStyle name="常规 2 11 2" xfId="2034" xr:uid="{06546321-25FB-4216-8828-1399D9D9C518}"/>
    <cellStyle name="常规 2 12" xfId="2035" xr:uid="{CA28776C-2E12-41D2-8BE2-19B6FC52FC88}"/>
    <cellStyle name="常规 2 13" xfId="2036" xr:uid="{79DB3EA1-4505-4EB1-BD4C-616A990F219D}"/>
    <cellStyle name="常规 2 14" xfId="2030" xr:uid="{9B2150EB-4E38-4BF1-90D8-BBA91235C348}"/>
    <cellStyle name="常规 2 2" xfId="2037" xr:uid="{927A2380-8F71-4938-A70D-F1C338809D5B}"/>
    <cellStyle name="常规 2 2 2" xfId="2038" xr:uid="{89F13E99-51DB-440B-802C-F823E3A7A72F}"/>
    <cellStyle name="常规 2 2 2 2" xfId="2039" xr:uid="{A24CB546-C1F2-48A0-9FE5-24EB1972AF35}"/>
    <cellStyle name="常规 2 2 2 2 2" xfId="2040" xr:uid="{803AF2CC-E6DF-4CF0-ACB7-BDD04C4DA88C}"/>
    <cellStyle name="常规 2 2 2 3" xfId="2041" xr:uid="{E358B4EA-B67F-45A6-8B77-ECFD187FE59E}"/>
    <cellStyle name="常规 2 2 2 3 2" xfId="2042" xr:uid="{CE341BF2-C0EC-4438-9037-83A7DAA56F6D}"/>
    <cellStyle name="常规 2 2 2 4" xfId="2043" xr:uid="{3A1A9F46-0ADA-4BCA-AA92-1EECE86F08C7}"/>
    <cellStyle name="常规 2 2 3" xfId="2044" xr:uid="{B6BF192D-7E78-4248-A8C4-F5DB3A0AAABC}"/>
    <cellStyle name="常规 2 2 3 2" xfId="2045" xr:uid="{3DF82D0A-594E-4A74-AB1B-68F1F5BC55AC}"/>
    <cellStyle name="常规 2 2 4" xfId="2046" xr:uid="{04897967-133A-4B95-A5A2-8EBF69EE88C1}"/>
    <cellStyle name="常规 2 2 4 2" xfId="2047" xr:uid="{1E5337A8-40DB-458C-B0D3-99B73F0C0EBF}"/>
    <cellStyle name="常规 2 2 5" xfId="2048" xr:uid="{0BDF1569-58FC-44C1-A4C3-1F91BA1C02C0}"/>
    <cellStyle name="常规 2 3" xfId="2049" xr:uid="{36365402-7F06-471E-B068-4EB51D8DA6A3}"/>
    <cellStyle name="常规 2 3 2" xfId="2050" xr:uid="{D2646B82-C89C-4413-9988-0F745E771A2F}"/>
    <cellStyle name="常规 2 3 2 2" xfId="2051" xr:uid="{57A5A4F0-BBB8-42A6-A9D7-F010F826A4F5}"/>
    <cellStyle name="常规 2 3 2 2 2" xfId="2052" xr:uid="{B0E0E957-32C9-43E5-BB95-400EB12FD6CF}"/>
    <cellStyle name="常规 2 3 2 2 2 2" xfId="2053" xr:uid="{8F54EE32-3068-485A-9AC6-186F8976AA76}"/>
    <cellStyle name="常规 2 3 2 2 3" xfId="2054" xr:uid="{73D1E76A-4115-4505-9AA4-2CDD8826418E}"/>
    <cellStyle name="常规 2 3 2 2 3 2" xfId="2055" xr:uid="{79992A4B-1227-4B30-A4CB-DF3E37E9C2BA}"/>
    <cellStyle name="常规 2 3 2 2 4" xfId="2056" xr:uid="{918FE5B5-6CDE-4AA6-B442-DCB53FD16E5B}"/>
    <cellStyle name="常规 2 3 2 2 5" xfId="2057" xr:uid="{E6EA4B2B-A782-47C2-8A83-0005E6955D15}"/>
    <cellStyle name="常规 2 3 2 3" xfId="2058" xr:uid="{86AA003C-EAF3-4142-B364-5C329847BE16}"/>
    <cellStyle name="常规 2 3 2 3 2" xfId="2059" xr:uid="{9ADED1C3-F831-4235-91DE-5EBEFE835317}"/>
    <cellStyle name="常规 2 3 2 4" xfId="2060" xr:uid="{C82B950C-02D6-4F8D-A8C2-7A2808ADBB8A}"/>
    <cellStyle name="常规 2 3 2 4 2" xfId="2061" xr:uid="{493B88FE-7F9E-4929-8179-DD9BDDFAE28D}"/>
    <cellStyle name="常规 2 3 2 5" xfId="2062" xr:uid="{64A02083-F7E1-4830-A2FE-8FE1D8E51294}"/>
    <cellStyle name="常规 2 3 2 6" xfId="2063" xr:uid="{6CA9922F-2386-4F36-9B23-D8E8805CC7B9}"/>
    <cellStyle name="常规 2 3 3" xfId="2064" xr:uid="{839FE903-DE1C-4A41-B5D2-EDE841C39792}"/>
    <cellStyle name="常规 2 3 3 2" xfId="2065" xr:uid="{04DEF0C0-FBD5-40CB-B0FF-06DE5595C656}"/>
    <cellStyle name="常规 2 3 3 2 2" xfId="2066" xr:uid="{22249F18-D4C7-4091-B548-13BD4D66DD9E}"/>
    <cellStyle name="常规 2 3 3 3" xfId="2067" xr:uid="{4129BD60-0779-4090-BCD2-099BF87D3FA5}"/>
    <cellStyle name="常规 2 3 3 3 2" xfId="2068" xr:uid="{DF9D1816-4A93-49F2-A635-EA68EE918FC1}"/>
    <cellStyle name="常规 2 3 3 4" xfId="2069" xr:uid="{1131D6A5-3DAA-44BA-A120-7D5A76CE2A0B}"/>
    <cellStyle name="常规 2 3 3 5" xfId="2070" xr:uid="{E676803D-E04D-4BFF-99D7-6E8DE2D8027D}"/>
    <cellStyle name="常规 2 3 4" xfId="2071" xr:uid="{83AA5B81-B76D-4FD0-87C3-979412610D29}"/>
    <cellStyle name="常规 2 3 4 2" xfId="2072" xr:uid="{B40C8C6F-779D-4CAB-8A43-181F6B99BECC}"/>
    <cellStyle name="常规 2 3 5" xfId="2073" xr:uid="{414EAAF8-7800-41B0-A2F3-7BD140E3BBB7}"/>
    <cellStyle name="常规 2 3 5 2" xfId="2074" xr:uid="{F14C77DA-60C4-4085-8F74-AD6AEBB8353D}"/>
    <cellStyle name="常规 2 3 6" xfId="2075" xr:uid="{F746B5DC-042E-446F-8EFD-C10582B94853}"/>
    <cellStyle name="常规 2 3 7" xfId="2076" xr:uid="{271DF3C3-78CB-462E-9253-A51BBE9F38BE}"/>
    <cellStyle name="常规 2 4" xfId="2077" xr:uid="{BE6D0F46-D4DF-437A-9EB8-0F8EECD4C1D4}"/>
    <cellStyle name="常规 2 4 2" xfId="2078" xr:uid="{C8BC3256-4D72-4330-8C32-0F4A0D5EECB9}"/>
    <cellStyle name="常规 2 4 2 2" xfId="2079" xr:uid="{D1542139-8B45-4277-9D35-195FDFD156C9}"/>
    <cellStyle name="常规 2 4 2 2 2" xfId="2080" xr:uid="{E327BB5F-203B-4FFA-BC52-77677ADD9C71}"/>
    <cellStyle name="常规 2 4 2 3" xfId="2081" xr:uid="{E2992869-3C1A-4388-8E00-80EFF4A3D381}"/>
    <cellStyle name="常规 2 4 2 3 2" xfId="2082" xr:uid="{028B3C3C-3C2C-408A-9D77-3796BF6A5C3E}"/>
    <cellStyle name="常规 2 4 2 4" xfId="2083" xr:uid="{754DFEDE-32A7-4E2D-8A89-7156701891E9}"/>
    <cellStyle name="常规 2 4 2 5" xfId="2084" xr:uid="{90210AC5-3988-4FB6-96F9-6C1B0DAB0E65}"/>
    <cellStyle name="常规 2 4 3" xfId="2085" xr:uid="{0CBF7542-CC2F-43DD-B144-0C423DC5504F}"/>
    <cellStyle name="常规 2 4 3 2" xfId="2086" xr:uid="{811F420B-AF3A-4EC9-A348-DD6F2C6E654B}"/>
    <cellStyle name="常规 2 4 4" xfId="2087" xr:uid="{F46929C2-9A52-4995-8E58-F69F7E02E989}"/>
    <cellStyle name="常规 2 4 4 2" xfId="2088" xr:uid="{82211136-6F65-4D61-AD3D-410499FB796F}"/>
    <cellStyle name="常规 2 4 5" xfId="2089" xr:uid="{FD39EDFC-7008-4256-BF5C-EC44AEAB46B4}"/>
    <cellStyle name="常规 2 4 6" xfId="2090" xr:uid="{CCB3B715-2D77-4186-8303-4C67D9F14C2B}"/>
    <cellStyle name="常规 2 5" xfId="2091" xr:uid="{155A4902-2C6E-4393-AFE8-D779E4355B0C}"/>
    <cellStyle name="常规 2 5 2" xfId="2092" xr:uid="{3028F6DF-A0B1-4C53-9B65-A1B1445B90A8}"/>
    <cellStyle name="常规 2 5 2 2" xfId="2093" xr:uid="{6D94EC95-7358-4127-B76F-C60F72ECCF4F}"/>
    <cellStyle name="常规 2 5 2 2 2" xfId="2094" xr:uid="{DC2886BC-2E83-4991-B614-CD39308F24A1}"/>
    <cellStyle name="常规 2 5 2 3" xfId="2095" xr:uid="{379A1F50-A66F-4BBE-A4D0-F3B0CFB8B059}"/>
    <cellStyle name="常规 2 5 3" xfId="2096" xr:uid="{1E3B57DF-E10C-43A6-AC44-7B1092F0D224}"/>
    <cellStyle name="常规 2 5 3 2" xfId="2097" xr:uid="{66395FF2-BC11-4683-A5E2-A8CFE3C7F548}"/>
    <cellStyle name="常规 2 5 4" xfId="2098" xr:uid="{1A6BB43F-A866-4E8F-A276-90D1D897418A}"/>
    <cellStyle name="常规 2 5 4 2" xfId="2099" xr:uid="{9CF4AE45-861A-492C-A574-2D7AC4F41475}"/>
    <cellStyle name="常规 2 5 5" xfId="2100" xr:uid="{124A03DA-0B70-4A43-B486-15FF5C39160F}"/>
    <cellStyle name="常规 2 5 6" xfId="2101" xr:uid="{D0BB9CC5-D39E-47F1-A0C4-11DA89AC5292}"/>
    <cellStyle name="常规 2 6" xfId="2102" xr:uid="{8A78BA8A-FE89-4598-81FA-253A645AA199}"/>
    <cellStyle name="常规 2 6 2" xfId="2103" xr:uid="{4D361610-6AC5-46D8-9247-48B84BD93D02}"/>
    <cellStyle name="常规 2 6 2 2" xfId="2104" xr:uid="{BBD41200-1415-42CD-8867-975F5B11FD34}"/>
    <cellStyle name="常规 2 6 2 2 2" xfId="2105" xr:uid="{2839B0AA-51C9-420F-B761-EAE66B4F7201}"/>
    <cellStyle name="常规 2 6 2 3" xfId="2106" xr:uid="{0F445071-CF30-4125-AE74-1DDA0F94E43C}"/>
    <cellStyle name="常规 2 6 3" xfId="2107" xr:uid="{ECC745DB-37A2-406A-80E3-E047F527AF81}"/>
    <cellStyle name="常规 2 6 3 2" xfId="2108" xr:uid="{5427BAF6-AE78-4D2B-80A3-6C04E127A3F0}"/>
    <cellStyle name="常规 2 6 4" xfId="2109" xr:uid="{10B4C8BB-9992-4982-8E49-1A6AAA4D10F0}"/>
    <cellStyle name="常规 2 7" xfId="2110" xr:uid="{4E3797F8-D6C3-4DEC-875A-1FD68561FCBE}"/>
    <cellStyle name="常规 2 7 2" xfId="2111" xr:uid="{3619BBD8-2B13-44C4-9B75-F56AB5B0427D}"/>
    <cellStyle name="常规 2 7 2 2" xfId="2112" xr:uid="{FD868A86-26AE-41DA-9CCA-40AFF9DC94E0}"/>
    <cellStyle name="常规 2 7 3" xfId="2113" xr:uid="{3F1C1FA4-E55D-4D4E-9DFC-166975024F17}"/>
    <cellStyle name="常规 2 8" xfId="2114" xr:uid="{8809DB8A-EAC0-4291-AC50-8FD54D9A573F}"/>
    <cellStyle name="常规 2 8 2" xfId="2115" xr:uid="{2E736D56-6F21-4F74-96BD-62E6C4451015}"/>
    <cellStyle name="常规 2 8 2 2" xfId="2116" xr:uid="{DB4C0BD6-05FA-4F62-957C-46D227967368}"/>
    <cellStyle name="常规 2 8 3" xfId="2117" xr:uid="{A211F131-C367-4E00-9A49-9B70D69AF143}"/>
    <cellStyle name="常规 2 9" xfId="2118" xr:uid="{ACCA1B2D-DF73-409A-9F6F-179EB69510A5}"/>
    <cellStyle name="常规 2 9 2" xfId="2119" xr:uid="{37F64D27-C04F-4368-8711-3B42774E3133}"/>
    <cellStyle name="常规 20" xfId="2120" xr:uid="{FE353872-F736-40F6-8A22-BFF748713967}"/>
    <cellStyle name="常规 20 2" xfId="2121" xr:uid="{9694C0E3-E42F-45DE-B4B8-4AF2194D9F81}"/>
    <cellStyle name="常规 20 2 2" xfId="2122" xr:uid="{A065D669-D7EC-4AA1-8FB1-988D1A4F6FE5}"/>
    <cellStyle name="常规 20 3" xfId="2123" xr:uid="{ABBB296B-6253-45AF-86A2-5E480F8D7367}"/>
    <cellStyle name="常规 21" xfId="2124" xr:uid="{C7821F85-BEB5-46BD-BB1B-E948BE196385}"/>
    <cellStyle name="常规 21 2" xfId="2125" xr:uid="{29664D18-EA08-44BD-97F9-6D568F339728}"/>
    <cellStyle name="常规 22" xfId="2126" xr:uid="{542A58F5-6776-4E2B-84C9-910C5455DC85}"/>
    <cellStyle name="常规 22 2" xfId="2127" xr:uid="{F86457F2-330D-4528-A0A6-B16ACE7046D5}"/>
    <cellStyle name="常规 23" xfId="2128" xr:uid="{CAC8B703-23EA-4223-930B-E7F37325483D}"/>
    <cellStyle name="常规 23 2" xfId="2129" xr:uid="{86A526A2-BBB4-4409-BC53-53D03D4C5DCB}"/>
    <cellStyle name="常规 24" xfId="2130" xr:uid="{C8D3A60A-2BD8-4858-B6C6-15C88F87C1F7}"/>
    <cellStyle name="常规 24 2" xfId="2131" xr:uid="{3AF89540-E229-4C6A-859A-232ED96B1ABC}"/>
    <cellStyle name="常规 25" xfId="2132" xr:uid="{7CA7E723-F6A9-4C38-8E76-34E935E4611E}"/>
    <cellStyle name="常规 25 2" xfId="2133" xr:uid="{97E384D0-71EE-4D2D-8F11-2D515E5FC866}"/>
    <cellStyle name="常规 26" xfId="2134" xr:uid="{25C0D9DC-0EBE-4556-B467-86C27824D1D5}"/>
    <cellStyle name="常规 27" xfId="2135" xr:uid="{0051862F-1AF6-4559-84F3-6693BB65A875}"/>
    <cellStyle name="常规 28" xfId="2136" xr:uid="{06D98789-E9C0-4191-89EA-68C2758F00BC}"/>
    <cellStyle name="常规 29" xfId="2137" xr:uid="{138846F2-D988-466B-B913-3E930BBE5FE4}"/>
    <cellStyle name="常规 3" xfId="44" xr:uid="{E78DAB07-7321-4CB6-A901-31C063A76ECB}"/>
    <cellStyle name="常规 3 2" xfId="71" xr:uid="{FA2830CA-62D2-4FB6-A886-4D682C4B535D}"/>
    <cellStyle name="常规 3 2 2" xfId="2140" xr:uid="{89ED5166-E22E-4D75-8A21-C2547AE23B10}"/>
    <cellStyle name="常规 3 2 2 2" xfId="2141" xr:uid="{7DDB583F-C701-48CF-B6FC-8504AFD3C350}"/>
    <cellStyle name="常规 3 2 2 2 2" xfId="2142" xr:uid="{936D907C-BA5D-4555-A372-EBDB6692F29E}"/>
    <cellStyle name="常规 3 2 2 2 2 2" xfId="2143" xr:uid="{5C2C1EE8-45BB-4552-B8A8-8C0C158C32DD}"/>
    <cellStyle name="常规 3 2 2 2 3" xfId="2144" xr:uid="{E093D776-1F78-4D58-9957-778916C3BE0D}"/>
    <cellStyle name="常规 3 2 2 2 4" xfId="2145" xr:uid="{75150094-1B3D-4682-8027-67319342C2B6}"/>
    <cellStyle name="常规 3 2 2 3" xfId="2146" xr:uid="{C0290446-3793-41B7-B703-723D587140F4}"/>
    <cellStyle name="常规 3 2 2 3 2" xfId="2147" xr:uid="{BE59A469-97EC-4A3A-98BD-904E426B72C6}"/>
    <cellStyle name="常规 3 2 2 4" xfId="2148" xr:uid="{4AEA9B9E-02E4-417F-8A4F-2D94189CDC61}"/>
    <cellStyle name="常规 3 2 2 5" xfId="2149" xr:uid="{032DADF8-933E-4AB7-8C4A-FBBEA4615867}"/>
    <cellStyle name="常规 3 2 3" xfId="2150" xr:uid="{55C14F37-293D-44DE-8067-A7B3F1C3F972}"/>
    <cellStyle name="常规 3 2 3 2" xfId="2151" xr:uid="{82CD19DB-BB98-49EA-ACB1-8E95909248EE}"/>
    <cellStyle name="常规 3 2 3 2 2" xfId="2152" xr:uid="{E8B3F08B-74A7-4CA6-BFA6-99CDB194DC04}"/>
    <cellStyle name="常规 3 2 3 3" xfId="2153" xr:uid="{EE843338-365E-4B26-8158-A1B172C9A233}"/>
    <cellStyle name="常规 3 2 3 4" xfId="2154" xr:uid="{0D90C682-0F8B-4001-805B-67D8237C4FCD}"/>
    <cellStyle name="常规 3 2 4" xfId="2155" xr:uid="{9C94C2C7-F18E-41FB-A2E7-5A1AE0B7AA3D}"/>
    <cellStyle name="常规 3 2 4 2" xfId="2156" xr:uid="{C00FC389-967C-41A3-8BC8-C58EA98A8669}"/>
    <cellStyle name="常规 3 2 5" xfId="2157" xr:uid="{87BC65DC-1951-475A-A7E8-E93B6374832C}"/>
    <cellStyle name="常规 3 2 6" xfId="2158" xr:uid="{12F6423A-C980-438D-A1C2-BE309DB49628}"/>
    <cellStyle name="常规 3 2 7" xfId="2139" xr:uid="{4F83DBDA-5DDA-4739-B51D-A47893A78C54}"/>
    <cellStyle name="常规 3 3" xfId="2159" xr:uid="{E42831ED-8D7B-4927-A48F-D3CEA81FD874}"/>
    <cellStyle name="常规 3 3 2" xfId="2160" xr:uid="{20A2B745-5A0F-447D-902B-7EB9B90C48AF}"/>
    <cellStyle name="常规 3 3 2 2" xfId="2161" xr:uid="{7A3150A4-CDCE-4C5F-89B6-053EE7DE92B1}"/>
    <cellStyle name="常规 3 3 3" xfId="2162" xr:uid="{C4DB671A-DA4F-42A2-A494-D5192C7BCF5F}"/>
    <cellStyle name="常规 3 4" xfId="2163" xr:uid="{84BEB526-1123-429E-915F-82A3A509F780}"/>
    <cellStyle name="常规 3 4 2" xfId="2164" xr:uid="{B429824F-F3EB-430D-B01C-6F5511C173D4}"/>
    <cellStyle name="常规 3 4 2 2" xfId="2165" xr:uid="{787F9D27-3BC2-42CF-8FE5-1C225557186D}"/>
    <cellStyle name="常规 3 4 3" xfId="2166" xr:uid="{13C45628-849B-4FF7-961F-0D4C63D4E5AA}"/>
    <cellStyle name="常规 3 5" xfId="2167" xr:uid="{E7561C77-9504-44F2-BB78-3AEF2FF451C3}"/>
    <cellStyle name="常规 3 5 2" xfId="2168" xr:uid="{EB0822B1-EB64-4D02-9CE1-0675E79520EB}"/>
    <cellStyle name="常规 3 6" xfId="2169" xr:uid="{9C0ED1AF-609B-404D-B84A-D523AF0BF87D}"/>
    <cellStyle name="常规 3 6 2" xfId="2170" xr:uid="{F3EAA9A2-781D-4E35-9871-E4C58F5CA47B}"/>
    <cellStyle name="常规 3 7" xfId="2171" xr:uid="{3FCF848A-87FA-4375-9720-DDE521893409}"/>
    <cellStyle name="常规 3 8" xfId="2138" xr:uid="{68445C7A-C82F-48E2-AEC3-0F0465BA7E83}"/>
    <cellStyle name="常规 30" xfId="2172" xr:uid="{F9B1EABB-0923-48AA-98F8-E48B56BD2903}"/>
    <cellStyle name="常规 31" xfId="2173" xr:uid="{22F8CA48-89F5-4FF7-AE20-43127DBAB92E}"/>
    <cellStyle name="常规 4" xfId="2174" xr:uid="{B60FBA40-62A9-4CCD-B261-F593EDBF9BDC}"/>
    <cellStyle name="常规 4 2" xfId="2175" xr:uid="{C4A2CEAC-E7BB-42F9-B61B-2086C9C8866C}"/>
    <cellStyle name="常规 4 2 2" xfId="2176" xr:uid="{20129872-ECD5-4795-BD45-299691A6D0F3}"/>
    <cellStyle name="常规 4 2 2 2" xfId="2177" xr:uid="{CBD83FBA-FCA1-40A2-876B-F35BA1C35ABC}"/>
    <cellStyle name="常规 4 2 2 2 2" xfId="2178" xr:uid="{86882B96-F72E-42E2-84C2-59B6F995439D}"/>
    <cellStyle name="常规 4 2 2 3" xfId="2179" xr:uid="{D980BCC1-A077-4A20-AE95-530823F1311C}"/>
    <cellStyle name="常规 4 2 3" xfId="2180" xr:uid="{9C7EF5A5-8EF6-49C2-88A2-239C7BEAF56B}"/>
    <cellStyle name="常规 4 2 3 2" xfId="2181" xr:uid="{00088809-6E9C-40AE-B199-88080F981E5B}"/>
    <cellStyle name="常规 4 2 4" xfId="2182" xr:uid="{D304F040-00F7-464E-BFA4-C7259450AFFC}"/>
    <cellStyle name="常规 4 2 4 2" xfId="2183" xr:uid="{B31A530A-B758-4655-89E7-EAA6071A29BD}"/>
    <cellStyle name="常规 4 2 5" xfId="2184" xr:uid="{C26CC649-3348-41A2-AAE1-B9B29FDD1A98}"/>
    <cellStyle name="常规 4 2 6" xfId="2185" xr:uid="{23BB8169-EA94-4749-A1D0-C76B1A0F75F3}"/>
    <cellStyle name="常规 4 3" xfId="2186" xr:uid="{4B9F689A-8BD1-4F98-BEC7-F0D657A95F38}"/>
    <cellStyle name="常规 4 3 2" xfId="2187" xr:uid="{DDB00B40-115C-4327-ACA3-9F435A353F13}"/>
    <cellStyle name="常规 4 3 2 2" xfId="2188" xr:uid="{7745F0A9-6F46-4DCB-8CFB-20857F847E5A}"/>
    <cellStyle name="常规 4 3 3" xfId="2189" xr:uid="{3A30637D-C276-42DF-A0F1-C46961EECE63}"/>
    <cellStyle name="常规 4 4" xfId="2190" xr:uid="{717C4F1B-0A5A-4BED-A1CB-A5E5657FAEEF}"/>
    <cellStyle name="常规 4 4 2" xfId="2191" xr:uid="{9CD1507D-5616-4D19-AC56-F835391822D7}"/>
    <cellStyle name="常规 4 4 2 2" xfId="2192" xr:uid="{D7C2F5B7-6D15-432F-928E-F0EBDE83A695}"/>
    <cellStyle name="常规 4 4 3" xfId="2193" xr:uid="{ED7D3FA5-EAC8-4598-B9DB-FDF443646761}"/>
    <cellStyle name="常规 4 5" xfId="2194" xr:uid="{B2636254-6F2A-44EC-80D6-D63E8E359C10}"/>
    <cellStyle name="常规 4 5 2" xfId="2195" xr:uid="{0FE7A6F7-D0AE-4FCB-A29A-2BFA4E9F7BA3}"/>
    <cellStyle name="常规 4 6" xfId="2196" xr:uid="{F75601AC-54F2-419E-8DEA-52E40ECCFE20}"/>
    <cellStyle name="常规 4 6 2" xfId="2197" xr:uid="{8A17F454-F069-40B9-B7BA-18A0033B192D}"/>
    <cellStyle name="常规 4 7" xfId="2198" xr:uid="{7C830269-1FE0-41A7-B723-44B46DB86936}"/>
    <cellStyle name="常规 4 8" xfId="2199" xr:uid="{A75A4746-A7CC-4BFB-8D6E-CD363AF9E9B7}"/>
    <cellStyle name="常规 5" xfId="49" xr:uid="{1F9B487A-FC29-47FD-8845-5ADC1F252796}"/>
    <cellStyle name="常规 5 2" xfId="50" xr:uid="{D4FDD96E-1F9E-4DF8-8991-295CFBB50B55}"/>
    <cellStyle name="常规 5 2 2" xfId="76" xr:uid="{E0B2DEC4-F362-4603-B9F4-645A1A152711}"/>
    <cellStyle name="常规 5 2 2 2" xfId="2202" xr:uid="{BE7E10C1-19F1-4030-BCB0-C97B2082A92F}"/>
    <cellStyle name="常规 5 2 3" xfId="2201" xr:uid="{AF094C46-432B-4FEB-A7DC-9AD390566782}"/>
    <cellStyle name="常规 5 3" xfId="75" xr:uid="{BF111E53-FF29-4F40-AEFB-297520E01206}"/>
    <cellStyle name="常规 5 3 2" xfId="2204" xr:uid="{7846EBEC-F4F8-4DC9-95E9-2FC717CA5F08}"/>
    <cellStyle name="常规 5 3 2 2" xfId="2205" xr:uid="{724D96A4-3A33-48D5-9A7A-84F47DCF7EAA}"/>
    <cellStyle name="常规 5 3 3" xfId="2206" xr:uid="{BDFDFFA7-B333-498B-AAE6-01F23566AE25}"/>
    <cellStyle name="常规 5 3 4" xfId="2203" xr:uid="{F7228950-5DAF-4E5A-B4D4-B5C41AC272AE}"/>
    <cellStyle name="常规 5 4" xfId="2207" xr:uid="{A5276D15-8DCF-405C-8318-B84D0B26A801}"/>
    <cellStyle name="常规 5 4 2" xfId="2208" xr:uid="{28D4A88E-423B-470A-81B7-CF71C5B5E266}"/>
    <cellStyle name="常规 5 5" xfId="2209" xr:uid="{25117B3E-54B7-4D46-8DD8-9F130631B54E}"/>
    <cellStyle name="常规 5 5 2" xfId="2210" xr:uid="{0159031E-4703-4F83-892A-ED5DA5BF6C3E}"/>
    <cellStyle name="常规 5 6" xfId="2211" xr:uid="{3CE2E1E8-7B79-4A1B-AE2B-3A2A375D816B}"/>
    <cellStyle name="常规 5 6 2" xfId="2212" xr:uid="{F46926FA-4814-488A-99AE-7440F1584607}"/>
    <cellStyle name="常规 5 7" xfId="2213" xr:uid="{07A47B56-A6C0-4388-8C3A-832E6BA3DB64}"/>
    <cellStyle name="常规 5 8" xfId="2214" xr:uid="{58BFCAA3-1609-4305-BA2E-7BE4059F43FE}"/>
    <cellStyle name="常规 5 9" xfId="2200" xr:uid="{8F4D964C-1D25-40B8-9851-56A5AB5EABB4}"/>
    <cellStyle name="常规 6" xfId="2215" xr:uid="{7026CBF8-5519-489F-8BF1-96FA14026126}"/>
    <cellStyle name="常规 6 2" xfId="2216" xr:uid="{401BD71D-4872-4994-9C02-05366CB7C7F4}"/>
    <cellStyle name="常规 6 2 2" xfId="2217" xr:uid="{81EA8302-1D25-4A14-8BEE-7E483C05E5A8}"/>
    <cellStyle name="常规 6 2 2 2" xfId="2218" xr:uid="{F9C2FDB9-B319-42B9-91B6-9F9A15799993}"/>
    <cellStyle name="常规 6 2 3" xfId="2219" xr:uid="{A363E3A9-43CB-4C44-A78D-24F1764E80FD}"/>
    <cellStyle name="常规 6 3" xfId="2220" xr:uid="{B7275F2E-DE24-4E94-B17A-CC2036CE39BF}"/>
    <cellStyle name="常规 6 3 2" xfId="2221" xr:uid="{32316B5F-117E-417E-9050-D7FAE49308D7}"/>
    <cellStyle name="常规 6 4" xfId="2222" xr:uid="{0C2D9D6F-9441-4D65-B1AC-DD2054EA23C9}"/>
    <cellStyle name="常规 6 4 2" xfId="2223" xr:uid="{53682640-56F2-4243-AF2F-BBB28EB5B30D}"/>
    <cellStyle name="常规 6 5" xfId="2224" xr:uid="{E4651783-FA4A-4E26-A733-D5C6F6E99854}"/>
    <cellStyle name="常规 7" xfId="2225" xr:uid="{A64DAE08-B8EE-4AD1-93F3-E1554C6A54AF}"/>
    <cellStyle name="常规 7 2" xfId="2226" xr:uid="{1512CE4C-8927-4F2F-8199-1DF87173C6B7}"/>
    <cellStyle name="常规 7 2 2" xfId="2227" xr:uid="{F83A4474-1C55-4C90-9E56-1F5E9540B397}"/>
    <cellStyle name="常规 7 2 2 2" xfId="2228" xr:uid="{3EE72D0C-AE11-4974-B6CA-D2BAE9185FDD}"/>
    <cellStyle name="常规 7 2 3" xfId="2229" xr:uid="{C2E2453B-AABF-427D-8E02-F4CF85319F43}"/>
    <cellStyle name="常规 7 3" xfId="2230" xr:uid="{915E5CA6-BDCE-411B-9ABB-B805C0C2B102}"/>
    <cellStyle name="常规 7 3 2" xfId="2231" xr:uid="{70D07273-B204-42B1-AB36-CB716603543A}"/>
    <cellStyle name="常规 7 4" xfId="2232" xr:uid="{64E37FAE-31D6-4B6F-83D9-20ED2F15529A}"/>
    <cellStyle name="常规 8" xfId="2233" xr:uid="{22903DB0-EC7F-4970-9842-32D18D536FEE}"/>
    <cellStyle name="常规 8 2" xfId="2234" xr:uid="{90AD57C2-288B-4365-9EEC-9373FD5B9AEA}"/>
    <cellStyle name="常规 8 2 2" xfId="2235" xr:uid="{E14C708F-FEF4-4566-9010-6F2F0F619E2D}"/>
    <cellStyle name="常规 8 2 2 2" xfId="2236" xr:uid="{8F3BB0CA-0D27-47FF-AD8E-4A29CA98DDE0}"/>
    <cellStyle name="常规 8 2 3" xfId="2237" xr:uid="{FECA925E-0A86-4519-A157-E11F6556F0C6}"/>
    <cellStyle name="常规 8 3" xfId="2238" xr:uid="{DFC5EDF9-B8FE-4A49-BFDD-D342801408FC}"/>
    <cellStyle name="常规 8 3 2" xfId="2239" xr:uid="{143C9CB9-DBB2-4771-812B-D92A6FD24D79}"/>
    <cellStyle name="常规 8 4" xfId="2240" xr:uid="{CE985755-3E99-4CF2-AD81-5A1B0F1CB430}"/>
    <cellStyle name="常规 9" xfId="2241" xr:uid="{40644BAA-13C9-439B-945B-BA584745B96F}"/>
    <cellStyle name="常规 9 2" xfId="2242" xr:uid="{E42991CF-2CEE-49B7-A908-3FFE7908A917}"/>
    <cellStyle name="常规 9 2 2" xfId="2243" xr:uid="{CC5BE4CC-C355-45DA-8981-2326A802839E}"/>
    <cellStyle name="常规 9 2 2 2" xfId="2244" xr:uid="{2F82B919-B625-430D-BA87-4159327CA151}"/>
    <cellStyle name="常规 9 2 3" xfId="2245" xr:uid="{BB7E3235-4990-454A-A8EF-D81A73897FFE}"/>
    <cellStyle name="常规 9 3" xfId="2246" xr:uid="{6E26E59C-82F3-47C1-B1FD-984EDF8C3472}"/>
    <cellStyle name="常规 9 3 2" xfId="2247" xr:uid="{578AE719-732D-4A1D-BA3C-2CDB439186B0}"/>
    <cellStyle name="常规 9 4" xfId="2248" xr:uid="{5708649A-0DDC-4C87-A47F-089501B6F496}"/>
    <cellStyle name="强调文字颜色 1 10" xfId="2249" xr:uid="{1CAAC4AE-BB59-46D1-A5BE-75386C7B6574}"/>
    <cellStyle name="强调文字颜色 1 11" xfId="2250" xr:uid="{A4A39CBA-EC01-4FCF-B091-BF7FA7A7C6CE}"/>
    <cellStyle name="强调文字颜色 1 2" xfId="2251" xr:uid="{CFD3C21E-CF21-4854-A28F-418770E0B59A}"/>
    <cellStyle name="强调文字颜色 1 2 2" xfId="2252" xr:uid="{437FAD7D-FE12-4BA2-B750-5EEE3CF23204}"/>
    <cellStyle name="强调文字颜色 1 2 2 2" xfId="2253" xr:uid="{E31C50DE-E8EF-428B-8C4C-5CB1B265EEFD}"/>
    <cellStyle name="强调文字颜色 1 2 2 2 2" xfId="2254" xr:uid="{A6F0370C-DF99-4268-8374-71BB9EDCACD5}"/>
    <cellStyle name="强调文字颜色 1 2 2 2 2 2" xfId="2255" xr:uid="{885A53C7-B842-4CC3-9186-C6635E6735F4}"/>
    <cellStyle name="强调文字颜色 1 2 2 2 2 2 2" xfId="2256" xr:uid="{9EEEF932-0469-45C5-8602-8894A6EBC995}"/>
    <cellStyle name="强调文字颜色 1 2 2 2 2 3" xfId="2257" xr:uid="{BC79E5D4-7B98-4817-817A-76EC55096D5C}"/>
    <cellStyle name="强调文字颜色 1 2 2 2 3" xfId="2258" xr:uid="{0021C748-57CA-4870-B248-FAF8FAE8668C}"/>
    <cellStyle name="强调文字颜色 1 2 2 2 3 2" xfId="2259" xr:uid="{D0503454-0BE1-4109-A20D-A65132F8053A}"/>
    <cellStyle name="强调文字颜色 1 2 2 2 4" xfId="2260" xr:uid="{52420608-51F4-48CD-8D72-C24EBD7E3AFE}"/>
    <cellStyle name="强调文字颜色 1 2 2 3" xfId="2261" xr:uid="{9B124549-AA19-4BF7-8291-F9AC37A26920}"/>
    <cellStyle name="强调文字颜色 1 2 2 3 2" xfId="2262" xr:uid="{73AEAE5B-0EC1-4D7C-903E-FF894AFDEFBC}"/>
    <cellStyle name="强调文字颜色 1 2 2 3 2 2" xfId="2263" xr:uid="{48FC8438-F54A-4E92-A6D7-E93995AF68F5}"/>
    <cellStyle name="强调文字颜色 1 2 2 3 3" xfId="2264" xr:uid="{1D5802C4-E1D4-4379-90CE-2FBFDC927361}"/>
    <cellStyle name="强调文字颜色 1 2 2 4" xfId="2265" xr:uid="{F6DABAF5-C9A7-4736-988D-5F3B9BA6C034}"/>
    <cellStyle name="强调文字颜色 1 2 2 4 2" xfId="2266" xr:uid="{34475514-EBAA-4EA3-A8CD-9F86A35D240E}"/>
    <cellStyle name="强调文字颜色 1 2 2 5" xfId="2267" xr:uid="{5E5A508C-94E9-41E3-B354-7A46B3F056F0}"/>
    <cellStyle name="强调文字颜色 1 2 3" xfId="2268" xr:uid="{54C3DAD1-CE94-49F7-868B-4B0DB85BFD8D}"/>
    <cellStyle name="强调文字颜色 1 2 3 2" xfId="2269" xr:uid="{A50B4BB2-8DF4-4B2B-8C79-388C660EE77C}"/>
    <cellStyle name="强调文字颜色 1 2 3 2 2" xfId="2270" xr:uid="{0DBC789E-C783-4B11-9A05-284C70786AC2}"/>
    <cellStyle name="强调文字颜色 1 2 3 2 2 2" xfId="2271" xr:uid="{BF5B8A38-45C3-428D-BD76-E8EC0D45B3AB}"/>
    <cellStyle name="强调文字颜色 1 2 3 2 3" xfId="2272" xr:uid="{912E3C63-66DD-45E2-A6DF-CE27F01372E2}"/>
    <cellStyle name="强调文字颜色 1 2 3 2 4" xfId="2273" xr:uid="{D03E27E6-6651-4D30-8171-F132DFA87AE7}"/>
    <cellStyle name="强调文字颜色 1 2 3 3" xfId="2274" xr:uid="{E0A1542A-2836-426E-ABF8-F3A99C03F6EF}"/>
    <cellStyle name="强调文字颜色 1 2 3 3 2" xfId="2275" xr:uid="{1DC42667-1264-45EF-8D37-1FAB8CF95D33}"/>
    <cellStyle name="强调文字颜色 1 2 3 4" xfId="2276" xr:uid="{40731E8E-C3D0-4525-B944-CFDC4477D6CE}"/>
    <cellStyle name="强调文字颜色 1 2 3 5" xfId="2277" xr:uid="{70FB4C84-7AC0-4A0F-A005-3BC8A02D37E2}"/>
    <cellStyle name="强调文字颜色 1 2 4" xfId="2278" xr:uid="{F7BAF975-91C3-43C3-B36B-54D5E08F59AD}"/>
    <cellStyle name="强调文字颜色 1 2 4 2" xfId="2279" xr:uid="{7DAF9AA8-B838-4291-AE28-991AC26847B1}"/>
    <cellStyle name="强调文字颜色 1 2 4 2 2" xfId="2280" xr:uid="{4AEB7919-AB0D-4D4D-9F6F-3D37FD40C70D}"/>
    <cellStyle name="强调文字颜色 1 2 4 3" xfId="2281" xr:uid="{51602090-F0DB-43C8-B918-A97746B4BDC3}"/>
    <cellStyle name="强调文字颜色 1 2 4 3 2" xfId="2282" xr:uid="{9EC226D3-1266-4896-BF77-C149EACB5E77}"/>
    <cellStyle name="强调文字颜色 1 2 4 4" xfId="2283" xr:uid="{05B2977D-A7DC-4F24-A5CC-3AF2BEB9C3BD}"/>
    <cellStyle name="强调文字颜色 1 2 4 5" xfId="2284" xr:uid="{F69C4A5E-F149-4AD3-81AA-28B1A6CE50DB}"/>
    <cellStyle name="强调文字颜色 1 2 5" xfId="2285" xr:uid="{59E8A804-AE79-4B00-B053-F43E1ECEBA0C}"/>
    <cellStyle name="强调文字颜色 1 2 5 2" xfId="2286" xr:uid="{25212EB9-C3AF-47F7-8E65-F0E7ED4D5E13}"/>
    <cellStyle name="强调文字颜色 1 2 6" xfId="2287" xr:uid="{26148C4E-EC9C-46FF-9087-6025DDA49504}"/>
    <cellStyle name="强调文字颜色 1 2 6 2" xfId="2288" xr:uid="{9D5C3ABC-8B99-4960-8CC9-F3054BBE8048}"/>
    <cellStyle name="强调文字颜色 1 2 7" xfId="2289" xr:uid="{328AD8F3-AE66-40D8-83B8-9C7A56C70E32}"/>
    <cellStyle name="强调文字颜色 1 2 8" xfId="2290" xr:uid="{D9638CA0-7756-4C74-9174-E68226664159}"/>
    <cellStyle name="强调文字颜色 1 2 9" xfId="2291" xr:uid="{35AB0B1C-6B9F-4341-8505-1871CAFEDDBF}"/>
    <cellStyle name="强调文字颜色 1 3" xfId="2292" xr:uid="{4D1FB4B2-C2D5-43E3-8EB9-1A302A572355}"/>
    <cellStyle name="强调文字颜色 1 3 2" xfId="2293" xr:uid="{96EC9F3F-E391-4E32-84F3-A43FD7544B1A}"/>
    <cellStyle name="强调文字颜色 1 3 2 2" xfId="2294" xr:uid="{55BE628A-529E-4A17-B122-56D36894A07E}"/>
    <cellStyle name="强调文字颜色 1 3 2 2 2" xfId="2295" xr:uid="{09169DF8-5568-478F-A90D-207EB2BE586A}"/>
    <cellStyle name="强调文字颜色 1 3 2 2 2 2" xfId="2296" xr:uid="{D9429AE4-BEC9-4378-81D0-8634B5F13149}"/>
    <cellStyle name="强调文字颜色 1 3 2 2 2 2 2" xfId="2297" xr:uid="{CE2EB4A1-B611-4CEC-9637-C784228117E1}"/>
    <cellStyle name="强调文字颜色 1 3 2 2 2 3" xfId="2298" xr:uid="{BE415BAF-E273-4EEE-96D3-4B5824BDF356}"/>
    <cellStyle name="强调文字颜色 1 3 2 2 3" xfId="2299" xr:uid="{1DEE79F7-2AEE-4880-B038-EA3D279A87C5}"/>
    <cellStyle name="强调文字颜色 1 3 2 2 3 2" xfId="2300" xr:uid="{ED71A086-EE65-45A8-9AD3-D2B58740DF0A}"/>
    <cellStyle name="强调文字颜色 1 3 2 2 4" xfId="2301" xr:uid="{AC037919-3E1E-4754-B7AC-B3F88DED6EED}"/>
    <cellStyle name="强调文字颜色 1 3 2 3" xfId="2302" xr:uid="{AA66ED35-D38C-462E-B3BD-F8169FB7BA3D}"/>
    <cellStyle name="强调文字颜色 1 3 2 3 2" xfId="2303" xr:uid="{EDF1E746-3A56-4A21-BEC7-A9543DE2B78E}"/>
    <cellStyle name="强调文字颜色 1 3 2 3 2 2" xfId="2304" xr:uid="{E8751FB4-9ECF-4F18-8E72-8D2B8239C1A2}"/>
    <cellStyle name="强调文字颜色 1 3 2 3 3" xfId="2305" xr:uid="{EBFEB71A-C737-4774-AA08-B1A34C8BF3DE}"/>
    <cellStyle name="强调文字颜色 1 3 2 4" xfId="2306" xr:uid="{8FC1CCCA-9180-4A7E-91B1-A9BABF942276}"/>
    <cellStyle name="强调文字颜色 1 3 2 4 2" xfId="2307" xr:uid="{A21BC068-3F69-455C-9C18-7A28749EF812}"/>
    <cellStyle name="强调文字颜色 1 3 2 5" xfId="2308" xr:uid="{B9799D54-6828-4F1B-8CC3-17AE22868437}"/>
    <cellStyle name="强调文字颜色 1 3 3" xfId="2309" xr:uid="{9E282592-D237-40BA-BF6C-F9CE9E66DB0C}"/>
    <cellStyle name="强调文字颜色 1 3 3 2" xfId="2310" xr:uid="{D9227E78-8781-415C-8EFD-6F8A33F0219B}"/>
    <cellStyle name="强调文字颜色 1 3 3 2 2" xfId="2311" xr:uid="{BF8AB4A5-787E-4F3D-BEE4-FB8E3DF14916}"/>
    <cellStyle name="强调文字颜色 1 3 3 3" xfId="2312" xr:uid="{3DF60146-E80A-448E-92D3-A5CF9DED3583}"/>
    <cellStyle name="强调文字颜色 1 3 4" xfId="2313" xr:uid="{72CF948B-557E-4C01-AE2E-271AF70B336D}"/>
    <cellStyle name="强调文字颜色 1 3 4 2" xfId="2314" xr:uid="{5763A69F-5D2D-47B7-A02E-78B3C32E5A38}"/>
    <cellStyle name="强调文字颜色 1 3 5" xfId="2315" xr:uid="{9070A3BC-073F-4ECA-87FF-090802635E03}"/>
    <cellStyle name="强调文字颜色 1 4" xfId="2316" xr:uid="{59E10518-26D5-4743-B307-2951FF1BC424}"/>
    <cellStyle name="强调文字颜色 1 4 2" xfId="2317" xr:uid="{2BEF823A-B3ED-4AD9-940C-10DFE4962EED}"/>
    <cellStyle name="强调文字颜色 1 4 2 2" xfId="2318" xr:uid="{1A133E2D-A66B-4435-92CD-9CFF5B1A805C}"/>
    <cellStyle name="强调文字颜色 1 4 3" xfId="2319" xr:uid="{29D3C06A-59F8-4B17-A87F-3B6A02229128}"/>
    <cellStyle name="强调文字颜色 1 5" xfId="2320" xr:uid="{B7F2124E-6564-409A-AC36-6468774D381C}"/>
    <cellStyle name="强调文字颜色 1 5 2" xfId="2321" xr:uid="{0AD75419-7EDF-49C7-A2E3-C821E793E461}"/>
    <cellStyle name="强调文字颜色 1 5 2 2" xfId="2322" xr:uid="{1B80AE57-999D-4B9F-A8E1-A2CD4F70EAD2}"/>
    <cellStyle name="强调文字颜色 1 5 3" xfId="2323" xr:uid="{E1E40F0A-65A2-4F78-89E0-368AAAB53ECD}"/>
    <cellStyle name="强调文字颜色 1 6" xfId="2324" xr:uid="{44781629-EAD2-4F56-A935-51694FD0CCED}"/>
    <cellStyle name="强调文字颜色 1 6 2" xfId="2325" xr:uid="{C03BDF29-AF8F-47FF-BCB0-F3017D8863ED}"/>
    <cellStyle name="强调文字颜色 1 7" xfId="2326" xr:uid="{FDC532DD-5F31-4A14-96FD-84BC1A749049}"/>
    <cellStyle name="强调文字颜色 1 7 2" xfId="2327" xr:uid="{2CA0637E-EA2B-4A5F-9B4F-E1AF792C8BBF}"/>
    <cellStyle name="强调文字颜色 1 8" xfId="2328" xr:uid="{E339F31D-7A14-47EB-94BB-5B808F082C33}"/>
    <cellStyle name="强调文字颜色 1 8 2" xfId="2329" xr:uid="{0F31F637-0302-4C81-BFF7-E208A010DA31}"/>
    <cellStyle name="强调文字颜色 1 9" xfId="2330" xr:uid="{342A40CB-A606-4D24-8861-19BB44D8C5BB}"/>
    <cellStyle name="强调文字颜色 2 10" xfId="2331" xr:uid="{2D40896D-5D3D-45DD-90F7-F1656388861F}"/>
    <cellStyle name="强调文字颜色 2 11" xfId="2332" xr:uid="{5B91326A-8995-4D6D-BBBB-F46364D730EB}"/>
    <cellStyle name="强调文字颜色 2 2" xfId="2333" xr:uid="{ACF077AC-2464-4206-B27C-8B72318973F2}"/>
    <cellStyle name="强调文字颜色 2 2 2" xfId="2334" xr:uid="{EED43CB8-4896-4204-9497-336A2CD93F00}"/>
    <cellStyle name="强调文字颜色 2 2 2 2" xfId="2335" xr:uid="{06BC6188-89F5-4175-AACB-694FF4B9B9BB}"/>
    <cellStyle name="强调文字颜色 2 2 2 2 2" xfId="2336" xr:uid="{2780498B-BCEF-4B4B-A11C-1891F5397A4E}"/>
    <cellStyle name="强调文字颜色 2 2 2 2 2 2" xfId="2337" xr:uid="{4B0EA49B-2ADF-4E06-BB37-52EB7DD814D0}"/>
    <cellStyle name="强调文字颜色 2 2 2 2 2 2 2" xfId="2338" xr:uid="{72308D04-9DE1-4218-A82F-EE608E6736B1}"/>
    <cellStyle name="强调文字颜色 2 2 2 2 2 3" xfId="2339" xr:uid="{CE16F9F6-BB44-463A-BCFC-60028D66E973}"/>
    <cellStyle name="强调文字颜色 2 2 2 2 3" xfId="2340" xr:uid="{81C3B727-E8B7-47EE-BD08-9349E129F53D}"/>
    <cellStyle name="强调文字颜色 2 2 2 2 3 2" xfId="2341" xr:uid="{82F552A5-54F1-4BB6-B8A9-C9F717A41E63}"/>
    <cellStyle name="强调文字颜色 2 2 2 2 4" xfId="2342" xr:uid="{B52B2B72-7745-4F09-9832-F2AC7F24C34A}"/>
    <cellStyle name="强调文字颜色 2 2 2 3" xfId="2343" xr:uid="{ED772C5B-2068-45DE-A702-E4C4817AC0A9}"/>
    <cellStyle name="强调文字颜色 2 2 2 3 2" xfId="2344" xr:uid="{4213FAE2-8DD9-4858-A15C-4C7E4118F493}"/>
    <cellStyle name="强调文字颜色 2 2 2 3 2 2" xfId="2345" xr:uid="{3BC5707B-4784-4459-A931-CD0F863A57ED}"/>
    <cellStyle name="强调文字颜色 2 2 2 3 3" xfId="2346" xr:uid="{3FD69229-1B44-4729-9118-EF0788F5A501}"/>
    <cellStyle name="强调文字颜色 2 2 2 4" xfId="2347" xr:uid="{A79C598B-D41A-4597-835D-0393F01ADB12}"/>
    <cellStyle name="强调文字颜色 2 2 2 4 2" xfId="2348" xr:uid="{283D6360-8B33-4D83-B3B4-8FC629180827}"/>
    <cellStyle name="强调文字颜色 2 2 2 5" xfId="2349" xr:uid="{93DF9F5F-2940-4099-A10B-205133B730C6}"/>
    <cellStyle name="强调文字颜色 2 2 3" xfId="2350" xr:uid="{F1641AA4-6DC3-46AD-AF65-9C0B19DA5661}"/>
    <cellStyle name="强调文字颜色 2 2 3 2" xfId="2351" xr:uid="{F480C155-5779-4C25-A498-5676AB60255F}"/>
    <cellStyle name="强调文字颜色 2 2 3 2 2" xfId="2352" xr:uid="{93ACDD70-A3AE-493C-AAC0-B5CF94643093}"/>
    <cellStyle name="强调文字颜色 2 2 3 2 2 2" xfId="2353" xr:uid="{88FAEAE1-1534-44C2-A860-0D38C9FFE071}"/>
    <cellStyle name="强调文字颜色 2 2 3 2 3" xfId="2354" xr:uid="{BD5C962F-AB64-467B-97B3-068E83359EF7}"/>
    <cellStyle name="强调文字颜色 2 2 3 2 4" xfId="2355" xr:uid="{B4B81E38-1D13-4E9B-90AE-60DA4FB581DE}"/>
    <cellStyle name="强调文字颜色 2 2 3 3" xfId="2356" xr:uid="{0654AC45-6356-42EB-BDAF-B3AA0AFE32C2}"/>
    <cellStyle name="强调文字颜色 2 2 3 3 2" xfId="2357" xr:uid="{CA729DC7-E4CB-431C-B869-7E8194DCC773}"/>
    <cellStyle name="强调文字颜色 2 2 3 4" xfId="2358" xr:uid="{55895BF7-5D6D-488E-B1BB-D0E17B5BB902}"/>
    <cellStyle name="强调文字颜色 2 2 3 5" xfId="2359" xr:uid="{00A81266-0836-4F7D-AC70-587017B487A7}"/>
    <cellStyle name="强调文字颜色 2 2 4" xfId="2360" xr:uid="{AB378741-FD33-4439-A8A2-C371662D6B65}"/>
    <cellStyle name="强调文字颜色 2 2 4 2" xfId="2361" xr:uid="{952AD411-61DD-46C7-A863-7C500636EC19}"/>
    <cellStyle name="强调文字颜色 2 2 4 2 2" xfId="2362" xr:uid="{E1DF7336-0FF1-40DA-9F8C-435D47ECF476}"/>
    <cellStyle name="强调文字颜色 2 2 4 3" xfId="2363" xr:uid="{193632B2-D6AF-46CF-A136-6DDDAFE403E0}"/>
    <cellStyle name="强调文字颜色 2 2 4 3 2" xfId="2364" xr:uid="{CBA8FD0A-DFA7-4D99-A6BB-23B9389C52C9}"/>
    <cellStyle name="强调文字颜色 2 2 4 4" xfId="2365" xr:uid="{27DA3500-DC21-4388-92DA-4BDBB10AE8D4}"/>
    <cellStyle name="强调文字颜色 2 2 4 5" xfId="2366" xr:uid="{3CF4BC9D-9F38-4485-BA6C-439F451C23AF}"/>
    <cellStyle name="强调文字颜色 2 2 5" xfId="2367" xr:uid="{4EF0888C-0419-4472-8377-FB47B881F72D}"/>
    <cellStyle name="强调文字颜色 2 2 5 2" xfId="2368" xr:uid="{80E8C0BB-6973-44F4-97F8-9EB3E1037D3E}"/>
    <cellStyle name="强调文字颜色 2 2 6" xfId="2369" xr:uid="{1F216E9D-C679-4987-A3AC-F4440E7E216F}"/>
    <cellStyle name="强调文字颜色 2 2 6 2" xfId="2370" xr:uid="{10CA4947-02CF-467A-80E3-CD786CF2B41E}"/>
    <cellStyle name="强调文字颜色 2 2 7" xfId="2371" xr:uid="{7D10493B-E3A0-4B7E-AB9C-AAA6EBD10BE0}"/>
    <cellStyle name="强调文字颜色 2 2 8" xfId="2372" xr:uid="{F2C09FC5-6892-4FFB-9434-511370C2AB7A}"/>
    <cellStyle name="强调文字颜色 2 2 9" xfId="2373" xr:uid="{E3A2283E-5D88-450B-B91B-665969BF7C52}"/>
    <cellStyle name="强调文字颜色 2 3" xfId="2374" xr:uid="{3AD9B537-F64A-4EA2-980B-3E15B314492B}"/>
    <cellStyle name="强调文字颜色 2 3 2" xfId="2375" xr:uid="{74472B3D-759D-4CCC-8D32-20B66ADFC5D9}"/>
    <cellStyle name="强调文字颜色 2 3 2 2" xfId="2376" xr:uid="{DC5C392F-FB33-4C8C-9647-55944CDFD2D3}"/>
    <cellStyle name="强调文字颜色 2 3 2 2 2" xfId="2377" xr:uid="{F868F948-F2D7-4452-BF3C-2278747260DB}"/>
    <cellStyle name="强调文字颜色 2 3 2 2 2 2" xfId="2378" xr:uid="{9C39F91A-2997-499D-865E-C25333D76484}"/>
    <cellStyle name="强调文字颜色 2 3 2 2 2 2 2" xfId="2379" xr:uid="{6A1CB9DA-FE2E-40EA-AC25-82223C7E16BF}"/>
    <cellStyle name="强调文字颜色 2 3 2 2 2 3" xfId="2380" xr:uid="{766E3B5A-1FEE-4613-ACA2-FA32C2A31B51}"/>
    <cellStyle name="强调文字颜色 2 3 2 2 3" xfId="2381" xr:uid="{AC3B5CE4-C159-4642-A6E1-3F2E80809A48}"/>
    <cellStyle name="强调文字颜色 2 3 2 2 3 2" xfId="2382" xr:uid="{A49C61D0-52AF-46DE-B956-A0EAB0ADE841}"/>
    <cellStyle name="强调文字颜色 2 3 2 2 4" xfId="2383" xr:uid="{AEF828B6-7E4C-46A2-B7B1-D88CBCE8EA2B}"/>
    <cellStyle name="强调文字颜色 2 3 2 3" xfId="2384" xr:uid="{B7127129-1319-4924-9BFE-03A39963C70C}"/>
    <cellStyle name="强调文字颜色 2 3 2 3 2" xfId="2385" xr:uid="{619C9040-D441-49E3-8509-76A3C0964220}"/>
    <cellStyle name="强调文字颜色 2 3 2 3 2 2" xfId="2386" xr:uid="{5B023699-11AC-443F-9952-2F1095DCBB65}"/>
    <cellStyle name="强调文字颜色 2 3 2 3 3" xfId="2387" xr:uid="{FB64D139-FD1B-428E-B0EA-22F46F9341DF}"/>
    <cellStyle name="强调文字颜色 2 3 2 4" xfId="2388" xr:uid="{22F4A120-1DC7-4477-915A-E0B8581AE50C}"/>
    <cellStyle name="强调文字颜色 2 3 2 4 2" xfId="2389" xr:uid="{4A3F05F4-4523-4378-ACA5-AF4179CE1E23}"/>
    <cellStyle name="强调文字颜色 2 3 2 5" xfId="2390" xr:uid="{DA99441E-30AE-4EFF-A008-968C64EA009C}"/>
    <cellStyle name="强调文字颜色 2 3 3" xfId="2391" xr:uid="{422F481F-6AC6-4982-9A68-B3A0B718400C}"/>
    <cellStyle name="强调文字颜色 2 3 3 2" xfId="2392" xr:uid="{298D3F6E-F290-42DA-B2E3-D3952CB18632}"/>
    <cellStyle name="强调文字颜色 2 3 3 2 2" xfId="2393" xr:uid="{BF8D4D5B-C4B0-479D-8879-6805F1F6ED32}"/>
    <cellStyle name="强调文字颜色 2 3 3 3" xfId="2394" xr:uid="{9753D479-2F30-400F-B54D-C562463B6C11}"/>
    <cellStyle name="强调文字颜色 2 3 4" xfId="2395" xr:uid="{39808DF6-1578-47F5-B24D-C8608A6B1FB2}"/>
    <cellStyle name="强调文字颜色 2 3 4 2" xfId="2396" xr:uid="{B6EF24CA-F086-4191-AEB2-2AC1C5AC76CB}"/>
    <cellStyle name="强调文字颜色 2 3 5" xfId="2397" xr:uid="{A871C24B-ED91-4E84-8360-C52AFABE0458}"/>
    <cellStyle name="强调文字颜色 2 4" xfId="2398" xr:uid="{BC461800-C1F1-46B7-BF3B-4D5E87048C29}"/>
    <cellStyle name="强调文字颜色 2 4 2" xfId="2399" xr:uid="{B0184A43-18FC-45C8-AB78-2CB879B0FF88}"/>
    <cellStyle name="强调文字颜色 2 4 2 2" xfId="2400" xr:uid="{23510045-FB59-4717-A453-95E49B9D40AE}"/>
    <cellStyle name="强调文字颜色 2 4 3" xfId="2401" xr:uid="{983885EC-7987-45F4-A458-9ECBC18C46E8}"/>
    <cellStyle name="强调文字颜色 2 5" xfId="2402" xr:uid="{C41AD90D-6BBF-408F-A0D8-2144F1548DC4}"/>
    <cellStyle name="强调文字颜色 2 5 2" xfId="2403" xr:uid="{627089E6-6271-4D4D-81EE-A82872CDCD6A}"/>
    <cellStyle name="强调文字颜色 2 5 2 2" xfId="2404" xr:uid="{EA5A4A25-467E-49A9-9A6A-E6A7A72A06F7}"/>
    <cellStyle name="强调文字颜色 2 5 3" xfId="2405" xr:uid="{1DD4751E-5098-4305-8D4F-CBA7FD6B4879}"/>
    <cellStyle name="强调文字颜色 2 6" xfId="2406" xr:uid="{56D4FE83-C8D4-49D2-9730-41D6E683D38C}"/>
    <cellStyle name="强调文字颜色 2 6 2" xfId="2407" xr:uid="{84B9CD47-C9BE-42A8-A6A1-0329B43AB67A}"/>
    <cellStyle name="强调文字颜色 2 7" xfId="2408" xr:uid="{3680E39F-9CC7-48E3-B7BB-CBBD97930C91}"/>
    <cellStyle name="强调文字颜色 2 7 2" xfId="2409" xr:uid="{4A5DE760-BC5A-442D-962A-60F7AD32E91C}"/>
    <cellStyle name="强调文字颜色 2 8" xfId="2410" xr:uid="{01A51055-0559-4287-8961-B150F86EBE70}"/>
    <cellStyle name="强调文字颜色 2 8 2" xfId="2411" xr:uid="{401CEFE8-AAAC-4FF1-85B8-2869E1188B9E}"/>
    <cellStyle name="强调文字颜色 2 9" xfId="2412" xr:uid="{102DEDD2-1E09-4272-9502-B0C26C405D7E}"/>
    <cellStyle name="强调文字颜色 3 10" xfId="2413" xr:uid="{E68DADE0-BE10-49B9-B759-3D27147F3BC5}"/>
    <cellStyle name="强调文字颜色 3 11" xfId="2414" xr:uid="{E34D5BA1-EE0A-4562-AF96-00B9DD47A227}"/>
    <cellStyle name="强调文字颜色 3 2" xfId="2415" xr:uid="{0E68F96D-C694-4712-8DB6-5CF79AD53EA6}"/>
    <cellStyle name="强调文字颜色 3 2 2" xfId="2416" xr:uid="{2143A341-A3A4-4B56-B9DD-E1BA565E4CDF}"/>
    <cellStyle name="强调文字颜色 3 2 2 2" xfId="2417" xr:uid="{19C98752-9B20-44AB-9F91-E22CCF1CFC32}"/>
    <cellStyle name="强调文字颜色 3 2 2 2 2" xfId="2418" xr:uid="{BDE4020B-FE08-4DE6-B224-0ACE8A391E5E}"/>
    <cellStyle name="强调文字颜色 3 2 2 2 2 2" xfId="2419" xr:uid="{2D5C0008-4D87-493C-988C-83E2414D38BD}"/>
    <cellStyle name="强调文字颜色 3 2 2 2 2 2 2" xfId="2420" xr:uid="{5A65E355-438B-4A2E-8662-50F743639B96}"/>
    <cellStyle name="强调文字颜色 3 2 2 2 2 3" xfId="2421" xr:uid="{3C15FEFE-F5D9-4942-AA9B-D7C1AADB7254}"/>
    <cellStyle name="强调文字颜色 3 2 2 2 3" xfId="2422" xr:uid="{7BFABFB4-577B-4E5B-A02C-6C97D8D29565}"/>
    <cellStyle name="强调文字颜色 3 2 2 2 3 2" xfId="2423" xr:uid="{3693D01B-7008-40C8-A187-C551F91B7915}"/>
    <cellStyle name="强调文字颜色 3 2 2 2 4" xfId="2424" xr:uid="{39F8E37C-7DE9-43FB-89C8-76C4FFBF4E85}"/>
    <cellStyle name="强调文字颜色 3 2 2 3" xfId="2425" xr:uid="{2BC564E0-C1AD-4F61-B7BA-39DDBC9E1A8C}"/>
    <cellStyle name="强调文字颜色 3 2 2 3 2" xfId="2426" xr:uid="{DE3CBCD7-0AE0-4458-B6CD-1044AE417774}"/>
    <cellStyle name="强调文字颜色 3 2 2 3 2 2" xfId="2427" xr:uid="{E71BDB8C-BC53-4492-8604-CC2FB912E31F}"/>
    <cellStyle name="强调文字颜色 3 2 2 3 3" xfId="2428" xr:uid="{6776DAC7-FD24-4EE5-8883-A72F1D8699FF}"/>
    <cellStyle name="强调文字颜色 3 2 2 4" xfId="2429" xr:uid="{4B7D598E-3EF5-4E16-B6FF-C8CFE33A2177}"/>
    <cellStyle name="强调文字颜色 3 2 2 4 2" xfId="2430" xr:uid="{8AB13F55-5407-4788-AA79-F90FC413C654}"/>
    <cellStyle name="强调文字颜色 3 2 2 5" xfId="2431" xr:uid="{7ADF120A-CF27-4F50-8110-BB3E42CF0F0D}"/>
    <cellStyle name="强调文字颜色 3 2 3" xfId="2432" xr:uid="{A10B9447-15AB-406B-9198-B5944DF2641B}"/>
    <cellStyle name="强调文字颜色 3 2 3 2" xfId="2433" xr:uid="{0A9AADF6-D485-4DDC-97B9-8C8D770605D3}"/>
    <cellStyle name="强调文字颜色 3 2 3 2 2" xfId="2434" xr:uid="{00024DF1-FC16-4C5B-B19D-F8F5FD06FEFC}"/>
    <cellStyle name="强调文字颜色 3 2 3 2 2 2" xfId="2435" xr:uid="{F254E299-F8CC-413D-A998-9138F99D432D}"/>
    <cellStyle name="强调文字颜色 3 2 3 2 3" xfId="2436" xr:uid="{07020296-3C57-447D-80A8-6C059AFC634D}"/>
    <cellStyle name="强调文字颜色 3 2 3 2 4" xfId="2437" xr:uid="{9AF427E0-A7EA-4F6F-ADEF-E11B290EC613}"/>
    <cellStyle name="强调文字颜色 3 2 3 3" xfId="2438" xr:uid="{1C28829F-251D-41F4-BB0D-38AFE93C2369}"/>
    <cellStyle name="强调文字颜色 3 2 3 3 2" xfId="2439" xr:uid="{6009DF32-6B89-4533-B589-36458A7E810A}"/>
    <cellStyle name="强调文字颜色 3 2 3 4" xfId="2440" xr:uid="{F2F6736E-C424-417A-BB14-611662BD0C6E}"/>
    <cellStyle name="强调文字颜色 3 2 3 5" xfId="2441" xr:uid="{C4C5D991-7296-4FDE-ADAA-D56F5CD9B875}"/>
    <cellStyle name="强调文字颜色 3 2 4" xfId="2442" xr:uid="{14F19174-3EE4-4EF1-A21B-0B2627A1B985}"/>
    <cellStyle name="强调文字颜色 3 2 4 2" xfId="2443" xr:uid="{FAE0424E-7203-430F-AF3D-CE8801A7536C}"/>
    <cellStyle name="强调文字颜色 3 2 4 2 2" xfId="2444" xr:uid="{F77735BD-A62D-4331-89AD-BEB35EC39E5A}"/>
    <cellStyle name="强调文字颜色 3 2 4 3" xfId="2445" xr:uid="{F6165993-ACB3-458C-8220-BEB52FBF37E9}"/>
    <cellStyle name="强调文字颜色 3 2 4 3 2" xfId="2446" xr:uid="{27B7FD21-B025-45E2-85E5-2AFB75DD9220}"/>
    <cellStyle name="强调文字颜色 3 2 4 4" xfId="2447" xr:uid="{C9627EF4-AAE6-4505-BE6B-9BD6FB15268A}"/>
    <cellStyle name="强调文字颜色 3 2 4 5" xfId="2448" xr:uid="{D17C8626-D8FE-4CE9-BBAF-8C76F56905CC}"/>
    <cellStyle name="强调文字颜色 3 2 5" xfId="2449" xr:uid="{AA228B5A-F429-483A-A2D6-6CB387658CBC}"/>
    <cellStyle name="强调文字颜色 3 2 5 2" xfId="2450" xr:uid="{4C248513-AF59-4A60-97C0-09F39993D6B5}"/>
    <cellStyle name="强调文字颜色 3 2 6" xfId="2451" xr:uid="{8B155C7C-5AAA-47C9-915E-0150418DADE5}"/>
    <cellStyle name="强调文字颜色 3 2 6 2" xfId="2452" xr:uid="{8EE3B7FA-603A-4254-B348-E364479A50CB}"/>
    <cellStyle name="强调文字颜色 3 2 7" xfId="2453" xr:uid="{AC971DDA-19F1-4772-89FF-F4FEBC115257}"/>
    <cellStyle name="强调文字颜色 3 2 8" xfId="2454" xr:uid="{724C470E-2FB6-4B0E-9A2F-F48510993D32}"/>
    <cellStyle name="强调文字颜色 3 2 9" xfId="2455" xr:uid="{88A3A0BB-289B-4C31-9265-A5111C885F7B}"/>
    <cellStyle name="强调文字颜色 3 3" xfId="2456" xr:uid="{33DC4603-3AAF-4FAE-917B-D7F16B6B2B40}"/>
    <cellStyle name="强调文字颜色 3 3 2" xfId="2457" xr:uid="{E86E0FA4-8B32-42EB-B2F7-2A256D35DBAD}"/>
    <cellStyle name="强调文字颜色 3 3 2 2" xfId="2458" xr:uid="{91CAC63C-D76C-46EB-84CA-22CC7F2797FD}"/>
    <cellStyle name="强调文字颜色 3 3 2 2 2" xfId="2459" xr:uid="{9DBB5278-5709-4A43-B822-80351796ED1F}"/>
    <cellStyle name="强调文字颜色 3 3 2 2 2 2" xfId="2460" xr:uid="{DAF9B467-3C65-489E-A9EF-CC1185E012D2}"/>
    <cellStyle name="强调文字颜色 3 3 2 2 2 2 2" xfId="2461" xr:uid="{02180938-EC53-4B80-A74A-F075CE12C993}"/>
    <cellStyle name="强调文字颜色 3 3 2 2 2 3" xfId="2462" xr:uid="{1EF547D3-7F8C-4918-854F-CBCB3FC2C69D}"/>
    <cellStyle name="强调文字颜色 3 3 2 2 3" xfId="2463" xr:uid="{4A0A4893-CE3E-4BD4-AFDC-95BFAD3E79EC}"/>
    <cellStyle name="强调文字颜色 3 3 2 2 3 2" xfId="2464" xr:uid="{36653B07-A30B-4B38-9601-D96EB4C0313B}"/>
    <cellStyle name="强调文字颜色 3 3 2 2 4" xfId="2465" xr:uid="{57C00665-ECF1-4234-A2F0-892B6A57EE74}"/>
    <cellStyle name="强调文字颜色 3 3 2 3" xfId="2466" xr:uid="{33E2B3A0-9635-4B2C-99FE-C2516C31F22F}"/>
    <cellStyle name="强调文字颜色 3 3 2 3 2" xfId="2467" xr:uid="{B4BFC964-D5F9-4D78-9A6D-FF908E9B72D0}"/>
    <cellStyle name="强调文字颜色 3 3 2 3 2 2" xfId="2468" xr:uid="{3C3A057B-BB37-4C61-92CD-95ECCA6FA37E}"/>
    <cellStyle name="强调文字颜色 3 3 2 3 3" xfId="2469" xr:uid="{D167FF58-F657-4FAC-8D06-B74CE448EF23}"/>
    <cellStyle name="强调文字颜色 3 3 2 4" xfId="2470" xr:uid="{F201CE45-F78C-469A-85F5-B1FC5189B8E1}"/>
    <cellStyle name="强调文字颜色 3 3 2 4 2" xfId="2471" xr:uid="{24AF3F4D-EA26-455D-9D7C-97DCDF294275}"/>
    <cellStyle name="强调文字颜色 3 3 2 5" xfId="2472" xr:uid="{7AE5F5D9-6FD6-4C3A-A05F-EDC5D79B484C}"/>
    <cellStyle name="强调文字颜色 3 3 3" xfId="2473" xr:uid="{A02386BB-D1CF-422E-B011-F0A33786851A}"/>
    <cellStyle name="强调文字颜色 3 3 3 2" xfId="2474" xr:uid="{1BE6B8AE-4C27-40C7-84D5-6D6EA9F8C34F}"/>
    <cellStyle name="强调文字颜色 3 3 3 2 2" xfId="2475" xr:uid="{8045742A-89FC-4369-9EFC-1CE02B7DC836}"/>
    <cellStyle name="强调文字颜色 3 3 3 3" xfId="2476" xr:uid="{645CB3A4-C73E-4AE6-B07F-D2AEE18B1ACC}"/>
    <cellStyle name="强调文字颜色 3 3 4" xfId="2477" xr:uid="{B0BA4EC8-24A3-4104-ABC9-BF6ED2935DB4}"/>
    <cellStyle name="强调文字颜色 3 3 4 2" xfId="2478" xr:uid="{9F7EB315-65F4-41D0-9D92-44ED4857E706}"/>
    <cellStyle name="强调文字颜色 3 3 5" xfId="2479" xr:uid="{DBC1FC68-57C3-4BF5-9CD2-A6C14926C6B0}"/>
    <cellStyle name="强调文字颜色 3 4" xfId="2480" xr:uid="{D187D1C5-DCAF-4DFC-B1BA-77C7774110E9}"/>
    <cellStyle name="强调文字颜色 3 4 2" xfId="2481" xr:uid="{9D57E1FA-F96B-47FD-8B9A-8E0B23B72162}"/>
    <cellStyle name="强调文字颜色 3 4 2 2" xfId="2482" xr:uid="{5263FA9F-A370-4B23-9252-B7968784596B}"/>
    <cellStyle name="强调文字颜色 3 4 3" xfId="2483" xr:uid="{23184218-460D-487E-BC4E-F69F3F4C137A}"/>
    <cellStyle name="强调文字颜色 3 5" xfId="2484" xr:uid="{22B0EBC0-CF50-4205-82E6-32CDBA65F3BF}"/>
    <cellStyle name="强调文字颜色 3 5 2" xfId="2485" xr:uid="{603044D3-0FD1-4430-A5DB-2328C3B7007E}"/>
    <cellStyle name="强调文字颜色 3 5 2 2" xfId="2486" xr:uid="{CDB0385E-F606-418E-9C75-B7E30FE42C10}"/>
    <cellStyle name="强调文字颜色 3 5 3" xfId="2487" xr:uid="{870884C6-97F3-4F18-9BEC-8C1118DDB7AA}"/>
    <cellStyle name="强调文字颜色 3 6" xfId="2488" xr:uid="{7EAB60F5-40AC-4C45-A849-DF61D85AF8E0}"/>
    <cellStyle name="强调文字颜色 3 6 2" xfId="2489" xr:uid="{A6FDD8FE-6312-450F-ABFC-0EC7B4ECB139}"/>
    <cellStyle name="强调文字颜色 3 7" xfId="2490" xr:uid="{67316447-3E6F-4D4F-A1FD-E8870FF1EC46}"/>
    <cellStyle name="强调文字颜色 3 7 2" xfId="2491" xr:uid="{BA6E9FC7-ED91-469E-9610-F6F1F4E9144A}"/>
    <cellStyle name="强调文字颜色 3 8" xfId="2492" xr:uid="{A35B100D-0BC6-4C56-B99F-74FCE48D938C}"/>
    <cellStyle name="强调文字颜色 3 8 2" xfId="2493" xr:uid="{66AC7336-FCD7-4153-A16F-EAB9B7B8D124}"/>
    <cellStyle name="强调文字颜色 3 9" xfId="2494" xr:uid="{B2BF0239-AC4D-4930-B221-A21E7F4DE921}"/>
    <cellStyle name="强调文字颜色 4 10" xfId="2495" xr:uid="{2D1ABA39-28C5-44C6-B843-2656D1567A88}"/>
    <cellStyle name="强调文字颜色 4 11" xfId="2496" xr:uid="{D2DD243F-E154-43BF-BB80-D1D2C900A726}"/>
    <cellStyle name="强调文字颜色 4 2" xfId="2497" xr:uid="{D8F50FC2-D397-4FF1-ADF6-F3427CE55934}"/>
    <cellStyle name="强调文字颜色 4 2 2" xfId="2498" xr:uid="{4FB3F6CD-66E2-44AD-AADA-50DF367407A2}"/>
    <cellStyle name="强调文字颜色 4 2 2 2" xfId="2499" xr:uid="{A2BB23B5-321E-42AD-AFBA-2BD5B1482693}"/>
    <cellStyle name="强调文字颜色 4 2 2 2 2" xfId="2500" xr:uid="{A4C35708-1A7D-42A9-8803-161918762EC7}"/>
    <cellStyle name="强调文字颜色 4 2 2 2 2 2" xfId="2501" xr:uid="{F35F281A-0DF1-420D-8215-D6CD0C1298D6}"/>
    <cellStyle name="强调文字颜色 4 2 2 2 2 2 2" xfId="2502" xr:uid="{AC116F0C-F6B7-453A-8DFA-8E0DE4A8A70C}"/>
    <cellStyle name="强调文字颜色 4 2 2 2 2 3" xfId="2503" xr:uid="{AA2B2BAC-F588-41D3-B9AC-ADB5B46974FB}"/>
    <cellStyle name="强调文字颜色 4 2 2 2 3" xfId="2504" xr:uid="{FD90C917-18AE-472B-9380-97DC7DB59B33}"/>
    <cellStyle name="强调文字颜色 4 2 2 2 3 2" xfId="2505" xr:uid="{97E675C7-9039-4DEB-82DF-308A6FA1D321}"/>
    <cellStyle name="强调文字颜色 4 2 2 2 4" xfId="2506" xr:uid="{0833F597-14E1-4C16-94E9-30C2E7D30B4B}"/>
    <cellStyle name="强调文字颜色 4 2 2 3" xfId="2507" xr:uid="{BFE92704-6D24-4216-B46B-2EEE0F87D739}"/>
    <cellStyle name="强调文字颜色 4 2 2 3 2" xfId="2508" xr:uid="{1D123391-A813-49C9-AB28-2580E1C99149}"/>
    <cellStyle name="强调文字颜色 4 2 2 3 2 2" xfId="2509" xr:uid="{7DAA0160-304B-4196-9ABC-A3E27F8DF26B}"/>
    <cellStyle name="强调文字颜色 4 2 2 3 3" xfId="2510" xr:uid="{E848D155-1B4F-4F17-8BA8-F19580AC1B19}"/>
    <cellStyle name="强调文字颜色 4 2 2 4" xfId="2511" xr:uid="{83524602-474C-4A67-833C-F676790662A8}"/>
    <cellStyle name="强调文字颜色 4 2 2 4 2" xfId="2512" xr:uid="{7324BF2E-EA6E-4384-BB5D-85EA2825396E}"/>
    <cellStyle name="强调文字颜色 4 2 2 5" xfId="2513" xr:uid="{0339DFFA-BE35-428D-8FEF-B3B8E0D6D3ED}"/>
    <cellStyle name="强调文字颜色 4 2 3" xfId="2514" xr:uid="{A9996232-EAA7-421C-A3E9-D3ACA0C0CC49}"/>
    <cellStyle name="强调文字颜色 4 2 3 2" xfId="2515" xr:uid="{C5DB0AC5-8F09-48FE-A3FB-9D2CE33F4BFD}"/>
    <cellStyle name="强调文字颜色 4 2 3 2 2" xfId="2516" xr:uid="{914C2887-A709-40B6-8B8E-6D0D8D2FC100}"/>
    <cellStyle name="强调文字颜色 4 2 3 2 2 2" xfId="2517" xr:uid="{5F46CBBB-E192-4A17-939C-49C87DD55F3A}"/>
    <cellStyle name="强调文字颜色 4 2 3 2 3" xfId="2518" xr:uid="{8DA242BA-DD07-4350-A767-6632DD3E7D28}"/>
    <cellStyle name="强调文字颜色 4 2 3 2 4" xfId="2519" xr:uid="{467B1203-E48D-43A6-9538-1C3D906FE2FD}"/>
    <cellStyle name="强调文字颜色 4 2 3 3" xfId="2520" xr:uid="{12506C2C-A132-468C-8E11-EFD645F40028}"/>
    <cellStyle name="强调文字颜色 4 2 3 3 2" xfId="2521" xr:uid="{0F12180D-70A9-4A8F-82DD-27B4BC258002}"/>
    <cellStyle name="强调文字颜色 4 2 3 4" xfId="2522" xr:uid="{D2F16483-830E-46D4-ADB2-DF437608F35C}"/>
    <cellStyle name="强调文字颜色 4 2 3 5" xfId="2523" xr:uid="{D89D5E53-980D-4022-A0B5-6E8BE256045F}"/>
    <cellStyle name="强调文字颜色 4 2 4" xfId="2524" xr:uid="{1865C5D9-0674-4636-8018-A56913D1D14D}"/>
    <cellStyle name="强调文字颜色 4 2 4 2" xfId="2525" xr:uid="{F80B1C32-69CC-4304-B723-05A51CCEFAC5}"/>
    <cellStyle name="强调文字颜色 4 2 4 2 2" xfId="2526" xr:uid="{367037DA-4BD2-4D01-8989-5ADDA5972705}"/>
    <cellStyle name="强调文字颜色 4 2 4 3" xfId="2527" xr:uid="{6F9511CA-5B42-4800-A897-C5F73BC9996F}"/>
    <cellStyle name="强调文字颜色 4 2 4 3 2" xfId="2528" xr:uid="{841FE800-B2C0-4F96-90F6-1DEDBACBEDD3}"/>
    <cellStyle name="强调文字颜色 4 2 4 4" xfId="2529" xr:uid="{34006199-096C-47D4-9827-238747EDDC9E}"/>
    <cellStyle name="强调文字颜色 4 2 4 5" xfId="2530" xr:uid="{37853590-187E-4F12-82C9-9794C4FC2F18}"/>
    <cellStyle name="强调文字颜色 4 2 5" xfId="2531" xr:uid="{44C53CD7-29BD-4DB9-B3F0-D386C4614EE1}"/>
    <cellStyle name="强调文字颜色 4 2 5 2" xfId="2532" xr:uid="{7DAC50F7-5F5E-4495-A17B-489202DEBA59}"/>
    <cellStyle name="强调文字颜色 4 2 6" xfId="2533" xr:uid="{8545A97D-9960-40D7-BACC-A0DB7C9365E2}"/>
    <cellStyle name="强调文字颜色 4 2 6 2" xfId="2534" xr:uid="{26D7C39D-220B-4DA2-8054-0762074A06C7}"/>
    <cellStyle name="强调文字颜色 4 2 7" xfId="2535" xr:uid="{659DD03C-0EB1-4B01-9695-CE5899032038}"/>
    <cellStyle name="强调文字颜色 4 2 8" xfId="2536" xr:uid="{1616DE6E-ABDD-4A58-AF31-580A1CB0A608}"/>
    <cellStyle name="强调文字颜色 4 2 9" xfId="2537" xr:uid="{0C0F42DD-55CF-495E-BD17-7035F1F2D513}"/>
    <cellStyle name="强调文字颜色 4 3" xfId="2538" xr:uid="{EC8A6016-51A1-42C6-A264-C509E59F71FB}"/>
    <cellStyle name="强调文字颜色 4 3 2" xfId="2539" xr:uid="{0B9C7489-4264-4EAD-B0E9-32374C8BFC34}"/>
    <cellStyle name="强调文字颜色 4 3 2 2" xfId="2540" xr:uid="{DA0A127F-AA74-4F31-B6A7-F303E03932C0}"/>
    <cellStyle name="强调文字颜色 4 3 2 2 2" xfId="2541" xr:uid="{83B86B87-7F7D-45D0-8095-00A9E38D89AA}"/>
    <cellStyle name="强调文字颜色 4 3 2 2 2 2" xfId="2542" xr:uid="{93307803-79BF-4B87-B19F-0D4DA246BD0B}"/>
    <cellStyle name="强调文字颜色 4 3 2 2 2 2 2" xfId="2543" xr:uid="{BFF1D635-3B57-4FBC-9135-29BD7330D8D7}"/>
    <cellStyle name="强调文字颜色 4 3 2 2 2 3" xfId="2544" xr:uid="{5E643C79-6BBC-45F5-AE0A-7FEC3F0848E8}"/>
    <cellStyle name="强调文字颜色 4 3 2 2 3" xfId="2545" xr:uid="{FB139F2B-FBE5-41E0-84FE-D197171FC3C5}"/>
    <cellStyle name="强调文字颜色 4 3 2 2 3 2" xfId="2546" xr:uid="{3C65A947-5F2A-44F6-A53F-79D24DEF205A}"/>
    <cellStyle name="强调文字颜色 4 3 2 2 4" xfId="2547" xr:uid="{D4F2791C-87FF-4265-A156-BF3E8680140F}"/>
    <cellStyle name="强调文字颜色 4 3 2 3" xfId="2548" xr:uid="{69BEDE4F-4F20-4E91-9184-004E4E41E9F7}"/>
    <cellStyle name="强调文字颜色 4 3 2 3 2" xfId="2549" xr:uid="{4063F2B2-F443-4E7C-AEC9-1C8545AAD911}"/>
    <cellStyle name="强调文字颜色 4 3 2 3 2 2" xfId="2550" xr:uid="{840E8006-0B1F-4816-BA60-43108C829A3C}"/>
    <cellStyle name="强调文字颜色 4 3 2 3 3" xfId="2551" xr:uid="{B9CD6917-ADC2-4A87-9A34-C7257A62CCDE}"/>
    <cellStyle name="强调文字颜色 4 3 2 4" xfId="2552" xr:uid="{F160EB22-2B76-4A24-865A-B8DCBEDD5F77}"/>
    <cellStyle name="强调文字颜色 4 3 2 4 2" xfId="2553" xr:uid="{2F9BE050-C38B-46DF-A8F3-252796C2AFF2}"/>
    <cellStyle name="强调文字颜色 4 3 2 5" xfId="2554" xr:uid="{12107C10-794C-4A39-8D46-3D5E929CD8FB}"/>
    <cellStyle name="强调文字颜色 4 3 3" xfId="2555" xr:uid="{83A3191D-C2B7-4840-9B17-AA246F1101A3}"/>
    <cellStyle name="强调文字颜色 4 3 3 2" xfId="2556" xr:uid="{1884F50A-7833-4BAF-8FCC-A97B2932AF70}"/>
    <cellStyle name="强调文字颜色 4 3 3 2 2" xfId="2557" xr:uid="{51C5A2F3-0B67-43C5-AA49-13CB2F79A39F}"/>
    <cellStyle name="强调文字颜色 4 3 3 3" xfId="2558" xr:uid="{090DDF31-90EC-4FD3-81A8-0909D3A492D2}"/>
    <cellStyle name="强调文字颜色 4 3 4" xfId="2559" xr:uid="{C393F29F-6B19-4214-B47D-98F3D59964D7}"/>
    <cellStyle name="强调文字颜色 4 3 4 2" xfId="2560" xr:uid="{05E17E8F-1E69-49D2-ADAC-F9C3239628FF}"/>
    <cellStyle name="强调文字颜色 4 3 5" xfId="2561" xr:uid="{7BA166BF-9EF0-4EC4-95B9-E13506CD102B}"/>
    <cellStyle name="强调文字颜色 4 4" xfId="2562" xr:uid="{E9F064C8-E76E-4972-8EE9-36CA209159DD}"/>
    <cellStyle name="强调文字颜色 4 4 2" xfId="2563" xr:uid="{D25DA9D6-5308-432D-9902-26278EF86BC5}"/>
    <cellStyle name="强调文字颜色 4 4 2 2" xfId="2564" xr:uid="{215CF6A5-D8D2-4D2A-8645-5433C1A414DC}"/>
    <cellStyle name="强调文字颜色 4 4 3" xfId="2565" xr:uid="{20DEB9EF-B369-4604-9139-0EF866A90649}"/>
    <cellStyle name="强调文字颜色 4 5" xfId="2566" xr:uid="{2F504626-6A4A-43FD-BAA3-10F8B7AF3563}"/>
    <cellStyle name="强调文字颜色 4 5 2" xfId="2567" xr:uid="{09A20EB8-C670-4F9D-B0E7-C32895E81CB8}"/>
    <cellStyle name="强调文字颜色 4 5 2 2" xfId="2568" xr:uid="{8CD45F43-CB8E-4338-BC11-CCCDCC8D6CFB}"/>
    <cellStyle name="强调文字颜色 4 5 3" xfId="2569" xr:uid="{A097E08D-A854-4172-8D8A-307ED6C59ECD}"/>
    <cellStyle name="强调文字颜色 4 6" xfId="2570" xr:uid="{7CE38EE6-A446-4A02-8262-9474C5087969}"/>
    <cellStyle name="强调文字颜色 4 6 2" xfId="2571" xr:uid="{402382BC-DA33-4D1A-AA26-42909A14CD5D}"/>
    <cellStyle name="强调文字颜色 4 7" xfId="2572" xr:uid="{4AA4FCD4-C636-4CED-B463-9FF87E6B5FC8}"/>
    <cellStyle name="强调文字颜色 4 7 2" xfId="2573" xr:uid="{25A05488-FBE8-41B6-9CF0-43332DD46313}"/>
    <cellStyle name="强调文字颜色 4 8" xfId="2574" xr:uid="{D65F8C72-EA75-496A-9662-E9BBD4C3B877}"/>
    <cellStyle name="强调文字颜色 4 8 2" xfId="2575" xr:uid="{2A541656-B3BC-484D-B6AD-3DCD02C92A1D}"/>
    <cellStyle name="强调文字颜色 4 9" xfId="2576" xr:uid="{EA580497-A7BA-4499-BBCF-FA0BAC6E1329}"/>
    <cellStyle name="强调文字颜色 5 10" xfId="2577" xr:uid="{332D7B23-AC15-4309-81B2-A3852DAE7121}"/>
    <cellStyle name="强调文字颜色 5 11" xfId="2578" xr:uid="{C757311A-5103-474B-BDF2-4CB565BA5EC7}"/>
    <cellStyle name="强调文字颜色 5 2" xfId="2579" xr:uid="{31FA2838-E1E9-4A9E-8DB0-66974BC968DC}"/>
    <cellStyle name="强调文字颜色 5 2 2" xfId="2580" xr:uid="{9BC680DB-0D65-4E24-B477-76B14CD8A8A9}"/>
    <cellStyle name="强调文字颜色 5 2 2 2" xfId="2581" xr:uid="{2D6C2783-A24E-43F8-A89E-5C7283B95FA1}"/>
    <cellStyle name="强调文字颜色 5 2 2 2 2" xfId="2582" xr:uid="{B3FEC3A8-1D13-4D4B-B61F-A77B9A14570B}"/>
    <cellStyle name="强调文字颜色 5 2 2 2 2 2" xfId="2583" xr:uid="{02ECABC6-D933-4C73-86A3-83679268F00B}"/>
    <cellStyle name="强调文字颜色 5 2 2 2 2 2 2" xfId="2584" xr:uid="{CE621268-89A2-42E1-AB98-9DFF8F0A7EFE}"/>
    <cellStyle name="强调文字颜色 5 2 2 2 2 3" xfId="2585" xr:uid="{CA35691A-132F-4815-96D6-9F98F308ECBF}"/>
    <cellStyle name="强调文字颜色 5 2 2 2 3" xfId="2586" xr:uid="{E1C9BC5C-45C7-46AA-A7EE-FD1B9A7D2DDC}"/>
    <cellStyle name="强调文字颜色 5 2 2 2 3 2" xfId="2587" xr:uid="{F0E29BD3-79E2-4EAC-9002-60C72FA06EA0}"/>
    <cellStyle name="强调文字颜色 5 2 2 2 4" xfId="2588" xr:uid="{2FA66C70-7685-4D02-81BE-68E82F874CBB}"/>
    <cellStyle name="强调文字颜色 5 2 2 3" xfId="2589" xr:uid="{06A18271-C710-48CD-927E-52929C16E943}"/>
    <cellStyle name="强调文字颜色 5 2 2 3 2" xfId="2590" xr:uid="{4C71D4E3-0C7F-47EE-AF49-FF71855B8B0C}"/>
    <cellStyle name="强调文字颜色 5 2 2 3 2 2" xfId="2591" xr:uid="{7C85F5C0-BDCD-4CDE-A3E4-9793C287CCFD}"/>
    <cellStyle name="强调文字颜色 5 2 2 3 3" xfId="2592" xr:uid="{9A3D5E1E-CDFF-4AA1-9AE4-5B18A4F1C669}"/>
    <cellStyle name="强调文字颜色 5 2 2 4" xfId="2593" xr:uid="{B9528682-6797-4873-A945-9E142FCD8C1D}"/>
    <cellStyle name="强调文字颜色 5 2 2 4 2" xfId="2594" xr:uid="{0CCB8927-1A3C-49FA-80B5-E1720B47D211}"/>
    <cellStyle name="强调文字颜色 5 2 2 5" xfId="2595" xr:uid="{670C1CBC-48B3-4FFD-AB57-2FCA4BA1C48B}"/>
    <cellStyle name="强调文字颜色 5 2 3" xfId="2596" xr:uid="{99C05B37-A815-436C-BB8C-397CE61F9FD6}"/>
    <cellStyle name="强调文字颜色 5 2 3 2" xfId="2597" xr:uid="{998DAEE7-FFA5-4017-A904-D26F8A6E9322}"/>
    <cellStyle name="强调文字颜色 5 2 3 2 2" xfId="2598" xr:uid="{00C0C940-8855-41C2-8717-BDCB4432E3E9}"/>
    <cellStyle name="强调文字颜色 5 2 3 2 2 2" xfId="2599" xr:uid="{2DE45FD0-AFBA-4517-BE4F-76B13620AC02}"/>
    <cellStyle name="强调文字颜色 5 2 3 2 3" xfId="2600" xr:uid="{3DB6D38A-B4B9-46EB-8E6B-8004AA56F72E}"/>
    <cellStyle name="强调文字颜色 5 2 3 2 4" xfId="2601" xr:uid="{23DC107D-D301-45F7-981E-A8B7BF58C692}"/>
    <cellStyle name="强调文字颜色 5 2 3 3" xfId="2602" xr:uid="{D1857FBD-E4F7-43B3-8A97-A378D687134A}"/>
    <cellStyle name="强调文字颜色 5 2 3 3 2" xfId="2603" xr:uid="{DA52B580-2833-4663-9005-17E454F6899C}"/>
    <cellStyle name="强调文字颜色 5 2 3 4" xfId="2604" xr:uid="{3D209A82-1B21-4F27-A72F-1352FA3E02FC}"/>
    <cellStyle name="强调文字颜色 5 2 3 5" xfId="2605" xr:uid="{EEFD34B0-E98F-4D1B-8731-70E4BEE994E2}"/>
    <cellStyle name="强调文字颜色 5 2 4" xfId="2606" xr:uid="{7A18EBAC-9F87-4511-831B-5BFC1B58E626}"/>
    <cellStyle name="强调文字颜色 5 2 4 2" xfId="2607" xr:uid="{A26146CB-38D7-46DE-BC1D-953BF71FF8EE}"/>
    <cellStyle name="强调文字颜色 5 2 4 2 2" xfId="2608" xr:uid="{C0EEFFAB-9EC4-4EAE-86B6-C175EC54F045}"/>
    <cellStyle name="强调文字颜色 5 2 4 3" xfId="2609" xr:uid="{06B5D85A-E844-43F0-A0A2-3C462B415C5A}"/>
    <cellStyle name="强调文字颜色 5 2 4 3 2" xfId="2610" xr:uid="{CB8434E3-9D3C-484F-A775-9DE43BD0E251}"/>
    <cellStyle name="强调文字颜色 5 2 4 4" xfId="2611" xr:uid="{662A9420-2628-48C5-844D-A36A410D2A2E}"/>
    <cellStyle name="强调文字颜色 5 2 4 5" xfId="2612" xr:uid="{B3C30A9C-A4B6-4F91-9ADA-49A2CABA1B17}"/>
    <cellStyle name="强调文字颜色 5 2 5" xfId="2613" xr:uid="{153A0546-00D4-4CC4-9A9C-0C8D46D9BC92}"/>
    <cellStyle name="强调文字颜色 5 2 5 2" xfId="2614" xr:uid="{C343A135-BB53-4769-87AC-5C53A6B82540}"/>
    <cellStyle name="强调文字颜色 5 2 6" xfId="2615" xr:uid="{CF17AB98-142B-4A7F-8067-7ED72BEACEBB}"/>
    <cellStyle name="强调文字颜色 5 2 6 2" xfId="2616" xr:uid="{E0047D42-6023-47D7-9696-DF43D408967E}"/>
    <cellStyle name="强调文字颜色 5 2 7" xfId="2617" xr:uid="{D919B75F-B4BE-4797-BD7D-D3E66AC14C17}"/>
    <cellStyle name="强调文字颜色 5 2 8" xfId="2618" xr:uid="{6BDCED90-1A1A-45CF-ABE3-B3372CCC3445}"/>
    <cellStyle name="强调文字颜色 5 2 9" xfId="2619" xr:uid="{B3BF4844-1780-4B68-B7D7-94CD88159EC1}"/>
    <cellStyle name="强调文字颜色 5 3" xfId="2620" xr:uid="{05E52AA4-7DC8-4D9E-BE62-8D39DB43BAA7}"/>
    <cellStyle name="强调文字颜色 5 3 2" xfId="2621" xr:uid="{947E64D1-81BC-4F9B-9783-93D1A9E66D9F}"/>
    <cellStyle name="强调文字颜色 5 3 2 2" xfId="2622" xr:uid="{BE4C2655-9259-44AD-8139-264896015099}"/>
    <cellStyle name="强调文字颜色 5 3 2 2 2" xfId="2623" xr:uid="{4E532BE6-4ED2-4EC1-953F-26FFF7893ED7}"/>
    <cellStyle name="强调文字颜色 5 3 2 2 2 2" xfId="2624" xr:uid="{4123F606-7595-490D-B7B7-E6B56A981C64}"/>
    <cellStyle name="强调文字颜色 5 3 2 2 2 2 2" xfId="2625" xr:uid="{1A2A6E20-EA7F-4858-8619-0A490FBD0A55}"/>
    <cellStyle name="强调文字颜色 5 3 2 2 2 3" xfId="2626" xr:uid="{690C6631-E2A8-45F9-BE3D-5FA39AE76F20}"/>
    <cellStyle name="强调文字颜色 5 3 2 2 3" xfId="2627" xr:uid="{2526B933-D273-4756-811B-2CE99BAE4397}"/>
    <cellStyle name="强调文字颜色 5 3 2 2 3 2" xfId="2628" xr:uid="{A62FFE8D-F50A-40E3-A1B5-EE286CF8C596}"/>
    <cellStyle name="强调文字颜色 5 3 2 2 4" xfId="2629" xr:uid="{5D158D9D-F6C5-45DF-8E70-72C2A95847D3}"/>
    <cellStyle name="强调文字颜色 5 3 2 3" xfId="2630" xr:uid="{5162B43B-D946-4F15-824A-CE826B560A8D}"/>
    <cellStyle name="强调文字颜色 5 3 2 3 2" xfId="2631" xr:uid="{147A94F1-22E6-42EE-A4BC-6DE8054526E6}"/>
    <cellStyle name="强调文字颜色 5 3 2 3 2 2" xfId="2632" xr:uid="{D7A2A3AB-E628-4C31-BDC6-F9DBB58047B7}"/>
    <cellStyle name="强调文字颜色 5 3 2 3 3" xfId="2633" xr:uid="{C488CEE3-6C81-437D-AAA4-53628189BD6B}"/>
    <cellStyle name="强调文字颜色 5 3 2 4" xfId="2634" xr:uid="{B6CE3FE5-CB29-4839-8242-92BB1D09C7DB}"/>
    <cellStyle name="强调文字颜色 5 3 2 4 2" xfId="2635" xr:uid="{E67DA60F-4A62-4F59-90C6-B2CB1712C229}"/>
    <cellStyle name="强调文字颜色 5 3 2 5" xfId="2636" xr:uid="{D1C9ADBA-2232-4326-A898-4B9DB3C6F7E2}"/>
    <cellStyle name="强调文字颜色 5 3 3" xfId="2637" xr:uid="{A21FFD2F-6EEB-4B79-8EB4-5282126EA8E5}"/>
    <cellStyle name="强调文字颜色 5 3 3 2" xfId="2638" xr:uid="{E0F52CDD-7881-45BF-8F2F-4936188E1F25}"/>
    <cellStyle name="强调文字颜色 5 3 3 2 2" xfId="2639" xr:uid="{3CDD534C-4C79-486A-9098-327C4048708A}"/>
    <cellStyle name="强调文字颜色 5 3 3 3" xfId="2640" xr:uid="{00CCD2D6-20FB-4C3C-A3E6-DA6696BB41FA}"/>
    <cellStyle name="强调文字颜色 5 3 4" xfId="2641" xr:uid="{7088190C-2324-4239-9AD4-7B0BD14C01BD}"/>
    <cellStyle name="强调文字颜色 5 3 4 2" xfId="2642" xr:uid="{730D4D65-F39A-4709-9A8A-8AE5295F4523}"/>
    <cellStyle name="强调文字颜色 5 3 5" xfId="2643" xr:uid="{4C2D37CA-4840-489D-B9A8-6076D5BE7241}"/>
    <cellStyle name="强调文字颜色 5 4" xfId="2644" xr:uid="{906FC0ED-C73F-4C87-B120-279F6824D0CF}"/>
    <cellStyle name="强调文字颜色 5 4 2" xfId="2645" xr:uid="{88EFCE37-D722-407D-8A9A-787944F2159E}"/>
    <cellStyle name="强调文字颜色 5 4 2 2" xfId="2646" xr:uid="{E4EF5A39-519D-4943-9091-33AB3B0593A9}"/>
    <cellStyle name="强调文字颜色 5 4 3" xfId="2647" xr:uid="{D8521610-CBB6-4F55-85C6-D3B33C97D4AF}"/>
    <cellStyle name="强调文字颜色 5 5" xfId="2648" xr:uid="{BEAC3505-F343-4DE4-BE83-29E0CCAE47FA}"/>
    <cellStyle name="强调文字颜色 5 5 2" xfId="2649" xr:uid="{7A151516-1548-4BE3-8737-5FBB48FC68BA}"/>
    <cellStyle name="强调文字颜色 5 5 2 2" xfId="2650" xr:uid="{E28B3800-C608-46D9-ACAC-E459BCA78F01}"/>
    <cellStyle name="强调文字颜色 5 5 3" xfId="2651" xr:uid="{1623955E-2DD2-44FD-98FF-AF8DCA2F686A}"/>
    <cellStyle name="强调文字颜色 5 6" xfId="2652" xr:uid="{847A3557-DAEA-4CCB-A68F-F4A05CA7C1AF}"/>
    <cellStyle name="强调文字颜色 5 6 2" xfId="2653" xr:uid="{E32DEAC8-19F2-43BB-A497-BF356B2E91DD}"/>
    <cellStyle name="强调文字颜色 5 7" xfId="2654" xr:uid="{8B9E8CE9-24F1-4AB3-8C33-E92659F860CC}"/>
    <cellStyle name="强调文字颜色 5 7 2" xfId="2655" xr:uid="{7CBFE8E6-8498-4C95-A904-19FEADC8F389}"/>
    <cellStyle name="强调文字颜色 5 8" xfId="2656" xr:uid="{D7D09AB8-203C-439D-AAD8-A3CBF5E15A0A}"/>
    <cellStyle name="强调文字颜色 5 8 2" xfId="2657" xr:uid="{A806997B-65C3-4E92-82DC-1206242A257D}"/>
    <cellStyle name="强调文字颜色 5 9" xfId="2658" xr:uid="{30896C26-7846-4484-B919-68A9EB6ADD21}"/>
    <cellStyle name="强调文字颜色 6 10" xfId="2659" xr:uid="{10A63D4D-DB38-43D7-B588-7F147B3A220A}"/>
    <cellStyle name="强调文字颜色 6 11" xfId="2660" xr:uid="{6F474646-6760-476E-93D5-7D898C49458C}"/>
    <cellStyle name="强调文字颜色 6 2" xfId="2661" xr:uid="{AFE2D681-6E5E-41D6-B6CD-2AA9CE1AB9F1}"/>
    <cellStyle name="强调文字颜色 6 2 2" xfId="2662" xr:uid="{C5544B7A-4EB2-481F-9741-34E13EDFFF6C}"/>
    <cellStyle name="强调文字颜色 6 2 2 2" xfId="2663" xr:uid="{FCF06259-5B3F-4BA8-9956-EC530C293699}"/>
    <cellStyle name="强调文字颜色 6 2 2 2 2" xfId="2664" xr:uid="{A156DE37-EAFB-49D8-80AD-63E9A74FB59B}"/>
    <cellStyle name="强调文字颜色 6 2 2 2 2 2" xfId="2665" xr:uid="{E9A0B36D-A0FC-411C-867D-AA124E45E1F7}"/>
    <cellStyle name="强调文字颜色 6 2 2 2 2 2 2" xfId="2666" xr:uid="{62FBA7F6-A190-4E90-BCB1-661A7C23FF9A}"/>
    <cellStyle name="强调文字颜色 6 2 2 2 2 3" xfId="2667" xr:uid="{EF051E27-E454-4404-88E0-36C57BAE033E}"/>
    <cellStyle name="强调文字颜色 6 2 2 2 3" xfId="2668" xr:uid="{D47BBDDA-AF7E-4A20-9D9C-734961EB68EA}"/>
    <cellStyle name="强调文字颜色 6 2 2 2 3 2" xfId="2669" xr:uid="{0132917D-6D41-471B-84D4-8A40AD12AEB1}"/>
    <cellStyle name="强调文字颜色 6 2 2 2 4" xfId="2670" xr:uid="{DAE7A5D1-A6A8-4814-B3C4-346FED577979}"/>
    <cellStyle name="强调文字颜色 6 2 2 3" xfId="2671" xr:uid="{455D3F4A-82BA-4940-9A00-55EF74106D8C}"/>
    <cellStyle name="强调文字颜色 6 2 2 3 2" xfId="2672" xr:uid="{09790570-970A-46C3-9762-D52572A6EF65}"/>
    <cellStyle name="强调文字颜色 6 2 2 3 2 2" xfId="2673" xr:uid="{750752EC-08F4-4EF7-9641-91EA7B1C78C2}"/>
    <cellStyle name="强调文字颜色 6 2 2 3 3" xfId="2674" xr:uid="{2C57CB3B-0302-48D4-B6A0-CA2003726EDA}"/>
    <cellStyle name="强调文字颜色 6 2 2 4" xfId="2675" xr:uid="{E36580AF-04CD-4002-9BD8-D0C19EEB3BD6}"/>
    <cellStyle name="强调文字颜色 6 2 2 4 2" xfId="2676" xr:uid="{A306AF59-56A3-4374-BDEA-E2493236C346}"/>
    <cellStyle name="强调文字颜色 6 2 2 5" xfId="2677" xr:uid="{E6243F32-C9DB-42D9-80A3-DBE12EB8EF58}"/>
    <cellStyle name="强调文字颜色 6 2 3" xfId="2678" xr:uid="{4E67FB7C-981D-49E3-B4CD-E040B9785538}"/>
    <cellStyle name="强调文字颜色 6 2 3 2" xfId="2679" xr:uid="{D58E1AD4-14F7-4DE0-8262-D6DD24268369}"/>
    <cellStyle name="强调文字颜色 6 2 3 2 2" xfId="2680" xr:uid="{23BAB4A7-8575-431D-9230-A943454D2AB3}"/>
    <cellStyle name="强调文字颜色 6 2 3 2 2 2" xfId="2681" xr:uid="{A3C730A0-314C-4EE5-BF1C-530E9EB822C8}"/>
    <cellStyle name="强调文字颜色 6 2 3 2 3" xfId="2682" xr:uid="{D16443F4-27F6-4A39-91D1-80C4EAF3B86F}"/>
    <cellStyle name="强调文字颜色 6 2 3 2 4" xfId="2683" xr:uid="{7F16D65E-8CFA-41C8-95AD-4D9A45127481}"/>
    <cellStyle name="强调文字颜色 6 2 3 3" xfId="2684" xr:uid="{709590A8-FBC4-4D96-825A-7FDC9A23231B}"/>
    <cellStyle name="强调文字颜色 6 2 3 3 2" xfId="2685" xr:uid="{12CE48B6-B261-4688-9B42-06ADA872BD1D}"/>
    <cellStyle name="强调文字颜色 6 2 3 4" xfId="2686" xr:uid="{86DD8D8C-712A-4037-8774-D8D21ABE996A}"/>
    <cellStyle name="强调文字颜色 6 2 3 5" xfId="2687" xr:uid="{44107071-0506-4B1D-B323-F67D2F508DFE}"/>
    <cellStyle name="强调文字颜色 6 2 4" xfId="2688" xr:uid="{A690805A-001A-4A01-A4E6-18C50D6EE49F}"/>
    <cellStyle name="强调文字颜色 6 2 4 2" xfId="2689" xr:uid="{73ADF4AF-037B-4161-9706-04D7DCE3F63C}"/>
    <cellStyle name="强调文字颜色 6 2 4 2 2" xfId="2690" xr:uid="{C1725DD2-6377-431C-9673-DA6E11DB74D6}"/>
    <cellStyle name="强调文字颜色 6 2 4 3" xfId="2691" xr:uid="{73BDD909-7A18-49E5-9C3C-CB46B420FB44}"/>
    <cellStyle name="强调文字颜色 6 2 4 3 2" xfId="2692" xr:uid="{E7935CE3-FAD6-4B90-92D6-470D4763F48A}"/>
    <cellStyle name="强调文字颜色 6 2 4 4" xfId="2693" xr:uid="{4F7DF077-CFD4-4996-9073-4325E2208B12}"/>
    <cellStyle name="强调文字颜色 6 2 4 5" xfId="2694" xr:uid="{EF34E777-774C-4209-81A8-0C3A084D04F0}"/>
    <cellStyle name="强调文字颜色 6 2 5" xfId="2695" xr:uid="{2B9A2315-DF48-462F-BA93-855D3B9A23ED}"/>
    <cellStyle name="强调文字颜色 6 2 5 2" xfId="2696" xr:uid="{3843ECDF-8F8D-4B38-BEC0-22307E6D5685}"/>
    <cellStyle name="强调文字颜色 6 2 6" xfId="2697" xr:uid="{2279D8E4-0F6F-4353-98EB-5EBCA4E083AC}"/>
    <cellStyle name="强调文字颜色 6 2 6 2" xfId="2698" xr:uid="{CBA88CF1-9939-4A13-8C76-3D895DE596FF}"/>
    <cellStyle name="强调文字颜色 6 2 7" xfId="2699" xr:uid="{9971DE79-8624-4DD4-96E7-06D743B1E960}"/>
    <cellStyle name="强调文字颜色 6 2 8" xfId="2700" xr:uid="{4F196E6C-26B9-4A87-8CD0-A9E8E692D229}"/>
    <cellStyle name="强调文字颜色 6 2 9" xfId="2701" xr:uid="{F4D79975-493A-4B45-BCEB-148BCEAC0444}"/>
    <cellStyle name="强调文字颜色 6 3" xfId="2702" xr:uid="{3CA9853F-D089-4634-96A5-39839AFC82DD}"/>
    <cellStyle name="强调文字颜色 6 3 2" xfId="2703" xr:uid="{5B36B04E-13FB-47B0-A33D-1AC8D6BEA781}"/>
    <cellStyle name="强调文字颜色 6 3 2 2" xfId="2704" xr:uid="{9A3CBD1D-7581-44DE-91FD-C534EBE2C8F5}"/>
    <cellStyle name="强调文字颜色 6 3 2 2 2" xfId="2705" xr:uid="{158FA9B2-4708-4503-B108-50D5AE8CA9CB}"/>
    <cellStyle name="强调文字颜色 6 3 2 2 2 2" xfId="2706" xr:uid="{0DE8154F-BDE7-4BC3-BDE6-A3B7F248A163}"/>
    <cellStyle name="强调文字颜色 6 3 2 2 2 2 2" xfId="2707" xr:uid="{B4B4FEBC-B96E-4D74-998B-72E80D0D3EE9}"/>
    <cellStyle name="强调文字颜色 6 3 2 2 2 3" xfId="2708" xr:uid="{2B71BFBE-AEEA-4B82-90CB-9434520B21DF}"/>
    <cellStyle name="强调文字颜色 6 3 2 2 3" xfId="2709" xr:uid="{B55EAF81-D9EB-4631-942B-4186A1DF15D6}"/>
    <cellStyle name="强调文字颜色 6 3 2 2 3 2" xfId="2710" xr:uid="{C06C562E-277D-43EE-B195-34508BFAA41C}"/>
    <cellStyle name="强调文字颜色 6 3 2 2 4" xfId="2711" xr:uid="{606313AC-4048-4D7F-B3EA-A8721E8704FA}"/>
    <cellStyle name="强调文字颜色 6 3 2 3" xfId="2712" xr:uid="{5475A424-D903-4FB0-A159-D6596CA1722A}"/>
    <cellStyle name="强调文字颜色 6 3 2 3 2" xfId="2713" xr:uid="{BD708513-9BE5-4595-8B4B-E2B230914973}"/>
    <cellStyle name="强调文字颜色 6 3 2 3 2 2" xfId="2714" xr:uid="{6DA5C544-3FA3-40FA-AAC2-4AD0EFA81636}"/>
    <cellStyle name="强调文字颜色 6 3 2 3 3" xfId="2715" xr:uid="{FC5BEAFD-103B-4552-9B65-5F3097DA601B}"/>
    <cellStyle name="强调文字颜色 6 3 2 4" xfId="2716" xr:uid="{E3FFAB71-7F40-4CE2-B9E8-DA2FC706848E}"/>
    <cellStyle name="强调文字颜色 6 3 2 4 2" xfId="2717" xr:uid="{D74A98E1-1A20-4B29-87F9-9BD82508D964}"/>
    <cellStyle name="强调文字颜色 6 3 2 5" xfId="2718" xr:uid="{E74DD21D-8397-4CA2-9C58-6856409AEA91}"/>
    <cellStyle name="强调文字颜色 6 3 3" xfId="2719" xr:uid="{1DF1F64C-224E-4F2F-B9C8-B15884D68D86}"/>
    <cellStyle name="强调文字颜色 6 3 3 2" xfId="2720" xr:uid="{738C7396-7E56-4D2E-B5DB-352B22E5487E}"/>
    <cellStyle name="强调文字颜色 6 3 3 2 2" xfId="2721" xr:uid="{2B6310C2-C449-413E-8CE1-5723F71CF6AA}"/>
    <cellStyle name="强调文字颜色 6 3 3 3" xfId="2722" xr:uid="{8AD5B27F-2EA5-4F32-847D-DF23AE61A938}"/>
    <cellStyle name="强调文字颜色 6 3 4" xfId="2723" xr:uid="{587C6644-CD81-4827-87D7-132883FB064B}"/>
    <cellStyle name="强调文字颜色 6 3 4 2" xfId="2724" xr:uid="{151D4442-63EA-42C0-B68E-4DBEBDE5D73C}"/>
    <cellStyle name="强调文字颜色 6 3 5" xfId="2725" xr:uid="{EF979B2E-91BE-417D-93C8-E81386AB3C8D}"/>
    <cellStyle name="强调文字颜色 6 4" xfId="2726" xr:uid="{5D9BFC16-5463-4249-A730-0CDD24CF0AFC}"/>
    <cellStyle name="强调文字颜色 6 4 2" xfId="2727" xr:uid="{2C862CF4-9C3A-4358-884A-763980EA4ACB}"/>
    <cellStyle name="强调文字颜色 6 4 2 2" xfId="2728" xr:uid="{82678557-EB41-4B8E-B5E8-710D9BE79B1D}"/>
    <cellStyle name="强调文字颜色 6 4 3" xfId="2729" xr:uid="{219D80EE-B314-4F3B-9D00-5D9628D4C5C8}"/>
    <cellStyle name="强调文字颜色 6 5" xfId="2730" xr:uid="{F5FC9C87-8150-459B-8688-903CFFC7E8FB}"/>
    <cellStyle name="强调文字颜色 6 5 2" xfId="2731" xr:uid="{D60D8BBE-52B3-4D19-AED4-6FA4B2177839}"/>
    <cellStyle name="强调文字颜色 6 5 2 2" xfId="2732" xr:uid="{D4F44706-2E6B-4406-B3EE-5B318AE736A0}"/>
    <cellStyle name="强调文字颜色 6 5 3" xfId="2733" xr:uid="{04B346E4-1D39-4699-8969-8FD35ACF4C8E}"/>
    <cellStyle name="强调文字颜色 6 6" xfId="2734" xr:uid="{D9081101-C77F-400D-B886-0AC6EC09549B}"/>
    <cellStyle name="强调文字颜色 6 6 2" xfId="2735" xr:uid="{2DA1E33F-B0CE-45D7-A2C2-893957C071BD}"/>
    <cellStyle name="强调文字颜色 6 7" xfId="2736" xr:uid="{1247774C-CA57-4395-AE10-9CCDB907F513}"/>
    <cellStyle name="强调文字颜色 6 7 2" xfId="2737" xr:uid="{911952CA-DE3A-4E74-B1F2-73E393615541}"/>
    <cellStyle name="强调文字颜色 6 8" xfId="2738" xr:uid="{0814CF17-C9D0-4058-B8CD-506E69FDA1E2}"/>
    <cellStyle name="强调文字颜色 6 8 2" xfId="2739" xr:uid="{2506B9E8-E5DC-4A5F-BFE1-5D93E39FFF12}"/>
    <cellStyle name="强调文字颜色 6 9" xfId="2740" xr:uid="{EC5C9595-F30E-4425-A063-DF7F10C00458}"/>
    <cellStyle name="普通_ 白土" xfId="2741" xr:uid="{B8023182-D591-4D5D-9AEB-3BD920692090}"/>
    <cellStyle name="标题 1 10" xfId="2742" xr:uid="{F5088BC5-1876-43F9-B838-B3DAAB0085BF}"/>
    <cellStyle name="标题 1 11" xfId="2743" xr:uid="{688D8583-87F9-4E71-A5BF-7B94DECEF02A}"/>
    <cellStyle name="标题 1 2" xfId="2744" xr:uid="{C12815E2-5A46-414D-A6E7-F93EB39C1D33}"/>
    <cellStyle name="标题 1 2 2" xfId="2745" xr:uid="{A7F2E93C-30C7-4DBA-87EA-04E41B901407}"/>
    <cellStyle name="标题 1 2 2 2" xfId="2746" xr:uid="{FDFAC5D5-DD6A-4353-A4CA-245A790C6275}"/>
    <cellStyle name="标题 1 2 2 2 2" xfId="2747" xr:uid="{71E7F9FC-750B-436E-A9AA-9A78BEC8D28E}"/>
    <cellStyle name="标题 1 2 2 2 2 2" xfId="2748" xr:uid="{08CBDCE6-89E0-4B8F-B704-77DE5D46BE83}"/>
    <cellStyle name="标题 1 2 2 2 2 2 2" xfId="2749" xr:uid="{F10A74E0-741B-4B6F-A021-6BE4F37E2B9F}"/>
    <cellStyle name="标题 1 2 2 2 2 3" xfId="2750" xr:uid="{BE42426D-2BC9-4E02-84A0-85D50BB2480C}"/>
    <cellStyle name="标题 1 2 2 2 3" xfId="2751" xr:uid="{2AF1617A-ADD3-4CBE-8CDD-12475D727936}"/>
    <cellStyle name="标题 1 2 2 2 3 2" xfId="2752" xr:uid="{BA931603-744F-411E-8E59-1FDA59919578}"/>
    <cellStyle name="标题 1 2 2 2 4" xfId="2753" xr:uid="{71CBC338-EF51-4D37-975A-8B6708DA6A31}"/>
    <cellStyle name="标题 1 2 2 3" xfId="2754" xr:uid="{4E1298BF-15A7-4AAF-92AF-AD24E1665220}"/>
    <cellStyle name="标题 1 2 2 3 2" xfId="2755" xr:uid="{880DBF4F-548F-4319-980B-096CF9E145D0}"/>
    <cellStyle name="标题 1 2 2 3 2 2" xfId="2756" xr:uid="{98C56F16-020F-421B-AC08-D463321F1FB7}"/>
    <cellStyle name="标题 1 2 2 3 3" xfId="2757" xr:uid="{EFC968A7-10CC-45C1-80A9-623BBF1485C5}"/>
    <cellStyle name="标题 1 2 2 4" xfId="2758" xr:uid="{E20B91DC-7AF0-4F30-B893-A26780FE9E2A}"/>
    <cellStyle name="标题 1 2 2 4 2" xfId="2759" xr:uid="{98D90CF4-ADF5-4772-8901-DF7BEDA33B8E}"/>
    <cellStyle name="标题 1 2 2 5" xfId="2760" xr:uid="{33FFEF49-E8F9-44DE-907F-A2C737D1437B}"/>
    <cellStyle name="标题 1 2 3" xfId="2761" xr:uid="{21A90DAC-7098-40CE-A571-9834121E2AFF}"/>
    <cellStyle name="标题 1 2 3 2" xfId="2762" xr:uid="{3A699E50-8CF0-44EF-B72D-18560E2AD9B0}"/>
    <cellStyle name="标题 1 2 3 2 2" xfId="2763" xr:uid="{E25B2DAF-C2C2-43D0-B56E-287657424235}"/>
    <cellStyle name="标题 1 2 3 2 2 2" xfId="2764" xr:uid="{D48B60DE-B6D6-41A6-A731-FDF3EBC68B0B}"/>
    <cellStyle name="标题 1 2 3 2 3" xfId="2765" xr:uid="{96F6248C-1C3F-421F-93BC-FFA04674D24C}"/>
    <cellStyle name="标题 1 2 3 2 4" xfId="2766" xr:uid="{479AE37C-3D00-4B4B-825C-F23206FBF511}"/>
    <cellStyle name="标题 1 2 3 3" xfId="2767" xr:uid="{10A914FF-FBD7-4FA3-AAE5-63B28FABB289}"/>
    <cellStyle name="标题 1 2 3 3 2" xfId="2768" xr:uid="{396375EC-C4AC-4082-B5CD-D4309A1E2ABE}"/>
    <cellStyle name="标题 1 2 3 4" xfId="2769" xr:uid="{D10855AB-D871-4A3B-B791-C84A536231B4}"/>
    <cellStyle name="标题 1 2 3 5" xfId="2770" xr:uid="{8E97172A-5425-40B5-92DE-0B3EB6663E27}"/>
    <cellStyle name="标题 1 2 4" xfId="2771" xr:uid="{7F09768F-EDC8-4905-8CE0-A3F98B47C48E}"/>
    <cellStyle name="标题 1 2 4 2" xfId="2772" xr:uid="{C89409FA-B3B5-4678-889B-069D0ED2B314}"/>
    <cellStyle name="标题 1 2 4 2 2" xfId="2773" xr:uid="{CDB682B6-1785-4F9C-8398-D84EEAAC1D72}"/>
    <cellStyle name="标题 1 2 4 3" xfId="2774" xr:uid="{D4D672F0-AE0B-4E14-8900-9CC8077D2104}"/>
    <cellStyle name="标题 1 2 4 3 2" xfId="2775" xr:uid="{FDF70E19-36D6-46F3-853F-B7DEEE1216A7}"/>
    <cellStyle name="标题 1 2 4 4" xfId="2776" xr:uid="{572BAE1F-FF60-4CFF-B7DF-D58E75D60923}"/>
    <cellStyle name="标题 1 2 4 5" xfId="2777" xr:uid="{1752C320-41F7-40C7-A30E-468FAB377083}"/>
    <cellStyle name="标题 1 2 5" xfId="2778" xr:uid="{DE6230D2-D937-49A8-93AB-7238DCC5423E}"/>
    <cellStyle name="标题 1 2 5 2" xfId="2779" xr:uid="{872D1E34-22E0-405B-9917-9CA191935C3E}"/>
    <cellStyle name="标题 1 2 6" xfId="2780" xr:uid="{CEDEFE3B-0F33-4F55-BC9A-DD590870F3F7}"/>
    <cellStyle name="标题 1 2 7" xfId="2781" xr:uid="{99054AC3-29A5-4555-867A-F29D2175F6BE}"/>
    <cellStyle name="标题 1 3" xfId="2782" xr:uid="{C04C4528-0C4B-4026-83CC-D9E80D355DA2}"/>
    <cellStyle name="标题 1 3 2" xfId="2783" xr:uid="{D96F9D47-A0EA-4891-A806-4429B4C37A13}"/>
    <cellStyle name="标题 1 3 2 2" xfId="2784" xr:uid="{9D4B8E2C-3E90-4FBB-A3BE-F2D7180920B3}"/>
    <cellStyle name="标题 1 3 2 2 2" xfId="2785" xr:uid="{1CA578F5-7437-4181-BD2D-16B37FF6E678}"/>
    <cellStyle name="标题 1 3 2 2 2 2" xfId="2786" xr:uid="{832DBD56-20EA-49D2-9D02-0D068E04F955}"/>
    <cellStyle name="标题 1 3 2 2 2 2 2" xfId="2787" xr:uid="{26E7EA44-C652-490B-AE3B-7B62107870E7}"/>
    <cellStyle name="标题 1 3 2 2 2 3" xfId="2788" xr:uid="{52FC2340-C052-460C-9BEA-3646315AFC4A}"/>
    <cellStyle name="标题 1 3 2 2 3" xfId="2789" xr:uid="{4DA18F8E-EA23-4C08-A095-B801361CFEF3}"/>
    <cellStyle name="标题 1 3 2 2 3 2" xfId="2790" xr:uid="{BFB1F179-7560-40B7-91D3-3CD76EFBEAE8}"/>
    <cellStyle name="标题 1 3 2 2 4" xfId="2791" xr:uid="{D159AB76-6240-4585-9217-F2369DA1E102}"/>
    <cellStyle name="标题 1 3 2 3" xfId="2792" xr:uid="{623BF5B5-DF5E-4B6F-AA7C-5B1AA08AAC49}"/>
    <cellStyle name="标题 1 3 2 3 2" xfId="2793" xr:uid="{F6510765-3846-4C88-942C-A3F75A94DD3B}"/>
    <cellStyle name="标题 1 3 2 3 2 2" xfId="2794" xr:uid="{F97E0009-BA8D-479F-9CB7-A84468822DED}"/>
    <cellStyle name="标题 1 3 2 3 3" xfId="2795" xr:uid="{9C623C2B-AE1B-459F-B526-DE9CBC119BE1}"/>
    <cellStyle name="标题 1 3 2 4" xfId="2796" xr:uid="{C6723214-7A3C-4634-9CBD-5B0FCDE12F50}"/>
    <cellStyle name="标题 1 3 2 4 2" xfId="2797" xr:uid="{4DFAB985-218D-4247-9EE6-2E791EBF7FEE}"/>
    <cellStyle name="标题 1 3 2 5" xfId="2798" xr:uid="{DB12747C-ECBD-4456-A07B-B5A063F6366B}"/>
    <cellStyle name="标题 1 3 3" xfId="2799" xr:uid="{EEB5E133-7DF1-4D92-B276-02D91AEE4DF2}"/>
    <cellStyle name="标题 1 3 3 2" xfId="2800" xr:uid="{9AAC9F55-8C7A-4A05-9F67-E6A4F8B75725}"/>
    <cellStyle name="标题 1 3 3 2 2" xfId="2801" xr:uid="{17B0FF1A-5F2A-4359-A1E1-C45DD96F72B1}"/>
    <cellStyle name="标题 1 3 3 3" xfId="2802" xr:uid="{C3D0CA63-8760-4C52-935D-A130006A3534}"/>
    <cellStyle name="标题 1 3 4" xfId="2803" xr:uid="{AEC75AD4-3051-4E77-9DE7-D666326F096D}"/>
    <cellStyle name="标题 1 3 4 2" xfId="2804" xr:uid="{71CE09B8-D3C3-4D33-B9F2-BD4D461F6BDE}"/>
    <cellStyle name="标题 1 3 5" xfId="2805" xr:uid="{1C237582-AA88-4DB4-9663-2CDD9C542022}"/>
    <cellStyle name="标题 1 4" xfId="2806" xr:uid="{437E2ED1-EF19-41BE-BF35-663E3A619E8A}"/>
    <cellStyle name="标题 1 4 2" xfId="2807" xr:uid="{F670864A-0492-4DA6-A14C-30422FA004C0}"/>
    <cellStyle name="标题 1 4 2 2" xfId="2808" xr:uid="{EB751D8A-4797-4F72-8B09-BD485BAF0BEA}"/>
    <cellStyle name="标题 1 4 3" xfId="2809" xr:uid="{20873DE3-F72F-4A94-BB20-BAF8FCFDE1C7}"/>
    <cellStyle name="标题 1 5" xfId="2810" xr:uid="{621B2ACD-DDB6-4651-AE09-9D30AECCB4B2}"/>
    <cellStyle name="标题 1 5 2" xfId="2811" xr:uid="{D194A83B-3CFA-42AB-8958-34729E94A757}"/>
    <cellStyle name="标题 1 5 2 2" xfId="2812" xr:uid="{CBE53B04-89A2-49EC-BEF6-BDB7DB9214D3}"/>
    <cellStyle name="标题 1 5 3" xfId="2813" xr:uid="{DA663E9D-8545-4325-9265-556FBEC18FAA}"/>
    <cellStyle name="标题 1 6" xfId="2814" xr:uid="{32A35683-CE26-4336-9A1D-79EEFA71A361}"/>
    <cellStyle name="标题 1 6 2" xfId="2815" xr:uid="{4FA6D912-5722-4EF4-8855-C230BD306DB3}"/>
    <cellStyle name="标题 1 7" xfId="2816" xr:uid="{B3F8B8A1-F49F-4B69-97D8-E4099B8E143C}"/>
    <cellStyle name="标题 1 7 2" xfId="2817" xr:uid="{35265294-796A-40B3-B842-17C7713D3F4B}"/>
    <cellStyle name="标题 1 8" xfId="2818" xr:uid="{018D30F9-9014-43F7-9451-4F08CAF0574D}"/>
    <cellStyle name="标题 1 8 2" xfId="2819" xr:uid="{C6766AB8-3F37-41D9-8D29-7319E108C5F2}"/>
    <cellStyle name="标题 1 9" xfId="2820" xr:uid="{202CE35B-58D6-47A6-9812-B056472161B6}"/>
    <cellStyle name="标题 10" xfId="2821" xr:uid="{D3743704-FCAE-41CF-9F11-AB134A325B10}"/>
    <cellStyle name="标题 10 2" xfId="2822" xr:uid="{B9EB76CB-324F-4ACC-9173-7D51B3372875}"/>
    <cellStyle name="标题 11" xfId="2823" xr:uid="{26AAA9F8-1284-463A-B1F4-D21DE3E0F9D9}"/>
    <cellStyle name="标题 11 2" xfId="2824" xr:uid="{A66F7B8E-B5AC-44B2-AE67-5E4AD3B16F17}"/>
    <cellStyle name="标题 12" xfId="2825" xr:uid="{681FC7F8-8054-43E4-9101-C1039CF1E80D}"/>
    <cellStyle name="标题 13" xfId="2826" xr:uid="{EDC7A373-76DB-4C8D-9027-B0CA3CE1DD60}"/>
    <cellStyle name="标题 14" xfId="2827" xr:uid="{14A7FB1B-9A30-4013-BA56-19F7DA2DE266}"/>
    <cellStyle name="标题 2 10" xfId="2828" xr:uid="{B333DF37-2C42-41BA-97DF-98B372AB81BB}"/>
    <cellStyle name="标题 2 11" xfId="2829" xr:uid="{C0F86C12-2261-4B0B-BFAF-BE0F60820A53}"/>
    <cellStyle name="标题 2 2" xfId="2830" xr:uid="{AB9765A5-2A9A-4EE1-A6D2-E2CDE6C68422}"/>
    <cellStyle name="标题 2 2 2" xfId="2831" xr:uid="{12F73770-A4F9-41A7-BF90-F0BC1D220614}"/>
    <cellStyle name="标题 2 2 2 2" xfId="2832" xr:uid="{E057DADA-D6A9-4CDC-9C89-55B85E978CD2}"/>
    <cellStyle name="标题 2 2 2 2 2" xfId="2833" xr:uid="{F232DAF0-4162-484C-94C7-AAB8569AAEDB}"/>
    <cellStyle name="标题 2 2 2 2 2 2" xfId="2834" xr:uid="{C84845FB-6DB9-4FD0-9904-EB68F0751BC6}"/>
    <cellStyle name="标题 2 2 2 2 2 2 2" xfId="2835" xr:uid="{4C02B4FF-1FC5-41A6-84FA-CD3AD9B732C9}"/>
    <cellStyle name="标题 2 2 2 2 2 3" xfId="2836" xr:uid="{B520808B-5282-4BDA-A4B6-C4F69F47D412}"/>
    <cellStyle name="标题 2 2 2 2 3" xfId="2837" xr:uid="{47452230-EDCD-4DB4-9326-24E7C90F8A92}"/>
    <cellStyle name="标题 2 2 2 2 3 2" xfId="2838" xr:uid="{7DFB737D-CC6E-42E7-84B1-61C972879E95}"/>
    <cellStyle name="标题 2 2 2 2 4" xfId="2839" xr:uid="{4BFCCA78-1B37-40F3-B159-0F9294370C24}"/>
    <cellStyle name="标题 2 2 2 3" xfId="2840" xr:uid="{15A0337B-1D7A-460C-AF26-638309C364BB}"/>
    <cellStyle name="标题 2 2 2 3 2" xfId="2841" xr:uid="{B43E8212-AD9C-4188-B260-126C4392D1F3}"/>
    <cellStyle name="标题 2 2 2 3 2 2" xfId="2842" xr:uid="{7FBF8A4E-463A-4ED2-BD41-4D7290EB561E}"/>
    <cellStyle name="标题 2 2 2 3 3" xfId="2843" xr:uid="{DE78AB3A-776F-4258-9EBB-C74627DC5F64}"/>
    <cellStyle name="标题 2 2 2 4" xfId="2844" xr:uid="{26AA6836-F4D6-46EB-AA11-EDE2378650FC}"/>
    <cellStyle name="标题 2 2 2 4 2" xfId="2845" xr:uid="{3C31AB68-61F2-444C-9BF3-AF9ABED19208}"/>
    <cellStyle name="标题 2 2 2 5" xfId="2846" xr:uid="{BEE8F22A-697F-472B-A0CB-7F963C7538E9}"/>
    <cellStyle name="标题 2 2 3" xfId="2847" xr:uid="{99692F71-5CD3-443E-96C7-2E3A6C9CD484}"/>
    <cellStyle name="标题 2 2 3 2" xfId="2848" xr:uid="{65EDEC90-5ADE-4B62-B0B8-F54510C56847}"/>
    <cellStyle name="标题 2 2 3 2 2" xfId="2849" xr:uid="{CE4D0ADF-28E0-4B58-B9D2-ACEDDE64A0C5}"/>
    <cellStyle name="标题 2 2 3 2 2 2" xfId="2850" xr:uid="{7AE44F37-FACE-4AF9-9554-4D68FA57A5D6}"/>
    <cellStyle name="标题 2 2 3 2 3" xfId="2851" xr:uid="{4A21A659-8474-4E28-9311-8766BACC030C}"/>
    <cellStyle name="标题 2 2 3 2 4" xfId="2852" xr:uid="{A423C8CD-3FAD-4813-95E6-509A6FB6C4EF}"/>
    <cellStyle name="标题 2 2 3 3" xfId="2853" xr:uid="{5730935E-F9A5-40FE-8107-D3D3014304CA}"/>
    <cellStyle name="标题 2 2 3 3 2" xfId="2854" xr:uid="{660FC6A0-8048-40C8-987B-FBEEF3325EDD}"/>
    <cellStyle name="标题 2 2 3 4" xfId="2855" xr:uid="{F25A8158-3132-47F3-BB8E-CF25F4C5799B}"/>
    <cellStyle name="标题 2 2 3 5" xfId="2856" xr:uid="{DC21B41D-B0A3-46A1-B5C1-3DE2EFC244F9}"/>
    <cellStyle name="标题 2 2 4" xfId="2857" xr:uid="{79BB0E26-0F33-41FE-9182-9BB810337C54}"/>
    <cellStyle name="标题 2 2 4 2" xfId="2858" xr:uid="{3E606458-CFB2-4E9C-9C7F-4DB9EB3D8DCF}"/>
    <cellStyle name="标题 2 2 4 2 2" xfId="2859" xr:uid="{220A2D70-E95E-4E6A-89B6-043787D0DCA2}"/>
    <cellStyle name="标题 2 2 4 3" xfId="2860" xr:uid="{3394B54A-869F-4F62-A55D-12814086ADAF}"/>
    <cellStyle name="标题 2 2 4 3 2" xfId="2861" xr:uid="{F48C46A9-839A-450E-99D0-DA12D1BEC8EC}"/>
    <cellStyle name="标题 2 2 4 4" xfId="2862" xr:uid="{09E285CE-6D32-4388-B2AD-21D464F55528}"/>
    <cellStyle name="标题 2 2 4 5" xfId="2863" xr:uid="{4F2A8B4B-891D-46DF-80C1-310F3F13FD2E}"/>
    <cellStyle name="标题 2 2 5" xfId="2864" xr:uid="{DB97742D-BCCD-4DE5-B487-9C5E67ED537E}"/>
    <cellStyle name="标题 2 2 5 2" xfId="2865" xr:uid="{73BAD85D-EAB8-460A-9FC5-C2BFC6ADC3FB}"/>
    <cellStyle name="标题 2 2 6" xfId="2866" xr:uid="{0ECC1445-87BB-4990-9D56-E722E91C258D}"/>
    <cellStyle name="标题 2 2 7" xfId="2867" xr:uid="{5D484BEE-0276-4967-B653-096A30B53439}"/>
    <cellStyle name="标题 2 3" xfId="2868" xr:uid="{D431415F-FA06-4783-8AA8-C6D829F25B79}"/>
    <cellStyle name="标题 2 3 2" xfId="2869" xr:uid="{765D1110-49D1-472A-AEEC-4CAF09A71FBC}"/>
    <cellStyle name="标题 2 3 2 2" xfId="2870" xr:uid="{A6B26D6A-0B91-4C9D-ACEF-00D8E1013111}"/>
    <cellStyle name="标题 2 3 2 2 2" xfId="2871" xr:uid="{9272C41C-661F-446F-A7D8-95818A437B78}"/>
    <cellStyle name="标题 2 3 2 2 2 2" xfId="2872" xr:uid="{04390DC4-64FC-4C30-9FE7-EDAE6FCBA705}"/>
    <cellStyle name="标题 2 3 2 2 2 2 2" xfId="2873" xr:uid="{FAACF8C6-C09A-48E6-B0E6-19615FBF55ED}"/>
    <cellStyle name="标题 2 3 2 2 2 3" xfId="2874" xr:uid="{20F3081B-1D6B-43B8-8FB5-7212287872C5}"/>
    <cellStyle name="标题 2 3 2 2 3" xfId="2875" xr:uid="{D2A5A2F9-0ECF-466B-A0E6-E65358034905}"/>
    <cellStyle name="标题 2 3 2 2 3 2" xfId="2876" xr:uid="{93F4008C-0D1A-4352-8B67-1C9F4677A2DF}"/>
    <cellStyle name="标题 2 3 2 2 4" xfId="2877" xr:uid="{76F9345E-F175-4776-83FB-CE5A1DFB86AA}"/>
    <cellStyle name="标题 2 3 2 3" xfId="2878" xr:uid="{222AACC4-3170-497D-B135-EE805F9E347C}"/>
    <cellStyle name="标题 2 3 2 3 2" xfId="2879" xr:uid="{D7B23E30-11F9-47D4-8A3B-BE47830FEE03}"/>
    <cellStyle name="标题 2 3 2 3 2 2" xfId="2880" xr:uid="{E9D61EC1-C1BD-486C-9CF9-EF3C0451375B}"/>
    <cellStyle name="标题 2 3 2 3 3" xfId="2881" xr:uid="{C1F1A6AE-E6E2-4C70-AE62-39231AEE3B9C}"/>
    <cellStyle name="标题 2 3 2 4" xfId="2882" xr:uid="{CEFA342F-7CA2-4E26-B458-77B679BB3D38}"/>
    <cellStyle name="标题 2 3 2 4 2" xfId="2883" xr:uid="{F52E39A3-5FF3-422A-9EBB-8A5A0FF2645C}"/>
    <cellStyle name="标题 2 3 2 5" xfId="2884" xr:uid="{F25FD5D0-4B63-408C-9A66-6E31FE3CA7DD}"/>
    <cellStyle name="标题 2 3 3" xfId="2885" xr:uid="{0F0F8BF4-C2D6-4C65-B15B-A7184F15E44A}"/>
    <cellStyle name="标题 2 3 3 2" xfId="2886" xr:uid="{926DBEFA-A3A4-4553-8B0E-5A5B673229F3}"/>
    <cellStyle name="标题 2 3 3 2 2" xfId="2887" xr:uid="{55B72DB9-CCA7-4AFC-9601-15B881489A16}"/>
    <cellStyle name="标题 2 3 3 3" xfId="2888" xr:uid="{F76B5954-A5A5-4E97-A634-C9FA15C36C54}"/>
    <cellStyle name="标题 2 3 4" xfId="2889" xr:uid="{B518AA55-2D4A-4D64-86AC-05AD58C0C885}"/>
    <cellStyle name="标题 2 3 4 2" xfId="2890" xr:uid="{FFB9FF0C-0F9D-4F02-86CB-3993433982A1}"/>
    <cellStyle name="标题 2 3 5" xfId="2891" xr:uid="{FE59172D-2779-4434-B609-46221A60BFA0}"/>
    <cellStyle name="标题 2 4" xfId="2892" xr:uid="{826DF538-50CF-4E33-BFDC-863B0BB5C26A}"/>
    <cellStyle name="标题 2 4 2" xfId="2893" xr:uid="{AD15B990-9DF3-461C-B3E2-72FAC468FAFD}"/>
    <cellStyle name="标题 2 4 2 2" xfId="2894" xr:uid="{FE497BF5-196C-4008-A61C-E5864C7569FE}"/>
    <cellStyle name="标题 2 4 3" xfId="2895" xr:uid="{4F7E866D-F897-48DD-A32E-E497B0DFB596}"/>
    <cellStyle name="标题 2 5" xfId="2896" xr:uid="{9293BA9D-DEB5-462D-AED1-EA61DA160157}"/>
    <cellStyle name="标题 2 5 2" xfId="2897" xr:uid="{3D90A94E-55B3-4BCC-8CB3-CFE3269DE94F}"/>
    <cellStyle name="标题 2 5 2 2" xfId="2898" xr:uid="{AE095955-C3DA-40FD-9D2E-9086933BB400}"/>
    <cellStyle name="标题 2 5 3" xfId="2899" xr:uid="{B2D10F61-656C-4C0F-A11B-C6A3CA208362}"/>
    <cellStyle name="标题 2 6" xfId="2900" xr:uid="{B50953F2-C289-4527-B54B-5EBDF0584FBC}"/>
    <cellStyle name="标题 2 6 2" xfId="2901" xr:uid="{A93D4A9F-A966-41B6-B9AA-EFF8752EC598}"/>
    <cellStyle name="标题 2 7" xfId="2902" xr:uid="{77055105-C642-4847-AAC5-0AFCCDE74C6B}"/>
    <cellStyle name="标题 2 7 2" xfId="2903" xr:uid="{7641EDE7-0DCE-4247-AFFF-38DB688FA26B}"/>
    <cellStyle name="标题 2 8" xfId="2904" xr:uid="{379B90BF-A49E-4DC9-9EA3-50939C6BAF09}"/>
    <cellStyle name="标题 2 8 2" xfId="2905" xr:uid="{63C148E9-CFE7-4593-91E7-CB27D50F0D00}"/>
    <cellStyle name="标题 2 9" xfId="2906" xr:uid="{306F1482-B823-46F7-A10F-823AEC5B78CB}"/>
    <cellStyle name="标题 3 10" xfId="2907" xr:uid="{04BF5FAF-2E94-4B1B-9350-3FE548AD3374}"/>
    <cellStyle name="标题 3 11" xfId="2908" xr:uid="{C153FA0F-4331-4745-B896-9C35EFEDFEE7}"/>
    <cellStyle name="标题 3 2" xfId="2909" xr:uid="{7CC07ADC-4E24-4505-8A99-938571F9FB7B}"/>
    <cellStyle name="标题 3 2 2" xfId="2910" xr:uid="{D015F8F7-35AB-416D-9A08-1FD8E607BD66}"/>
    <cellStyle name="标题 3 2 2 2" xfId="2911" xr:uid="{2AC1C937-1BD2-4A90-A389-85DC866225B3}"/>
    <cellStyle name="标题 3 2 2 2 2" xfId="2912" xr:uid="{56CE42A3-D68A-408A-8D43-00A1F42F2C91}"/>
    <cellStyle name="标题 3 2 2 2 2 2" xfId="2913" xr:uid="{60B4292E-DBC2-4EB0-BECA-6EC0527BBD7E}"/>
    <cellStyle name="标题 3 2 2 2 2 2 2" xfId="2914" xr:uid="{0FE87CDA-06D9-4C9B-91B3-87E0FABBD149}"/>
    <cellStyle name="标题 3 2 2 2 2 3" xfId="2915" xr:uid="{24E7CF7E-8162-4EBE-AEB2-808BBEEAB723}"/>
    <cellStyle name="标题 3 2 2 2 3" xfId="2916" xr:uid="{F1FDE614-F424-46E1-AC1B-1B72FBC43895}"/>
    <cellStyle name="标题 3 2 2 2 3 2" xfId="2917" xr:uid="{7530D5DA-27F1-486F-9EBD-30EFF70DAD1E}"/>
    <cellStyle name="标题 3 2 2 2 4" xfId="2918" xr:uid="{4F34B21B-303D-4D0F-973B-CBAECEB7ED69}"/>
    <cellStyle name="标题 3 2 2 3" xfId="2919" xr:uid="{A4C332A2-5C54-4846-8EF4-40B14C235385}"/>
    <cellStyle name="标题 3 2 2 3 2" xfId="2920" xr:uid="{01D11594-6ECD-41F0-A255-2B7505E3A428}"/>
    <cellStyle name="标题 3 2 2 3 2 2" xfId="2921" xr:uid="{C3C95223-2496-4B61-8D23-82B8435C52D3}"/>
    <cellStyle name="标题 3 2 2 3 3" xfId="2922" xr:uid="{539FD428-DE34-4DDC-88F2-49F4DE984687}"/>
    <cellStyle name="标题 3 2 2 4" xfId="2923" xr:uid="{29DF9DEE-8ED1-49B9-A4BC-F4ADFE6FC776}"/>
    <cellStyle name="标题 3 2 2 4 2" xfId="2924" xr:uid="{29071F29-F0E2-4BD0-9903-7B4C125DF9AC}"/>
    <cellStyle name="标题 3 2 2 5" xfId="2925" xr:uid="{A2006D32-AF6A-4D4B-A618-13AA6C7ED01E}"/>
    <cellStyle name="标题 3 2 3" xfId="2926" xr:uid="{1049D5BF-52A6-4B22-9FDF-04D87E7A4579}"/>
    <cellStyle name="标题 3 2 3 2" xfId="2927" xr:uid="{31E8DF88-9366-478D-A5AE-25A8C0468F8A}"/>
    <cellStyle name="标题 3 2 3 2 2" xfId="2928" xr:uid="{9364F327-3E82-4F1E-9C7F-B6D24CD54F80}"/>
    <cellStyle name="标题 3 2 3 2 2 2" xfId="2929" xr:uid="{3B892E62-AB0D-4657-A74A-39A3210EDB72}"/>
    <cellStyle name="标题 3 2 3 2 3" xfId="2930" xr:uid="{00640FD3-9173-4C1E-BB3F-90AA8AB4D8F7}"/>
    <cellStyle name="标题 3 2 3 2 4" xfId="2931" xr:uid="{111BE60E-C07B-4186-B34C-A3DA7C47CEF0}"/>
    <cellStyle name="标题 3 2 3 3" xfId="2932" xr:uid="{2D71882B-71A8-4DD9-86BE-3CEA55BD9545}"/>
    <cellStyle name="标题 3 2 3 3 2" xfId="2933" xr:uid="{B225F753-27B4-4FAC-B184-CEF9C5380555}"/>
    <cellStyle name="标题 3 2 3 4" xfId="2934" xr:uid="{21BCF5F2-D6EC-48E8-A81A-8F9CA99B4F6A}"/>
    <cellStyle name="标题 3 2 3 5" xfId="2935" xr:uid="{5EECFF1E-38EB-49B8-BBE1-A6BBD7A07908}"/>
    <cellStyle name="标题 3 2 4" xfId="2936" xr:uid="{B0ACE639-1C6B-4ECE-A1C9-5E0CCFF14856}"/>
    <cellStyle name="标题 3 2 4 2" xfId="2937" xr:uid="{E415EE86-245D-4464-83EE-92DAE5E5A7F5}"/>
    <cellStyle name="标题 3 2 4 2 2" xfId="2938" xr:uid="{57062E9D-042C-4725-B395-EC3F4A72BC39}"/>
    <cellStyle name="标题 3 2 4 3" xfId="2939" xr:uid="{1746ACC4-DA27-4659-A147-A4D656B0F381}"/>
    <cellStyle name="标题 3 2 4 3 2" xfId="2940" xr:uid="{C3465BDB-AB8D-478A-B559-933A6958064F}"/>
    <cellStyle name="标题 3 2 4 4" xfId="2941" xr:uid="{EA2EC31B-6761-4CD1-B97F-713084FC7560}"/>
    <cellStyle name="标题 3 2 4 5" xfId="2942" xr:uid="{3FF5FC6A-7D51-4788-BFFC-7C62805776E1}"/>
    <cellStyle name="标题 3 2 5" xfId="2943" xr:uid="{80051FBA-9D91-4CC6-A703-A771369369CC}"/>
    <cellStyle name="标题 3 2 5 2" xfId="2944" xr:uid="{F98C23AA-893A-438D-8AC2-544A9A6888B4}"/>
    <cellStyle name="标题 3 2 6" xfId="2945" xr:uid="{08CB7F18-B7E7-4415-AACA-00B84642B5C0}"/>
    <cellStyle name="标题 3 2 7" xfId="2946" xr:uid="{FD7883CE-DB60-4FF6-B160-1501BC150AF7}"/>
    <cellStyle name="标题 3 3" xfId="2947" xr:uid="{867B0051-2B83-4E45-B106-25BC98340892}"/>
    <cellStyle name="标题 3 3 2" xfId="2948" xr:uid="{E24834D8-84E1-4E61-B2F6-BFE5C0F8BAC3}"/>
    <cellStyle name="标题 3 3 2 2" xfId="2949" xr:uid="{35B276DC-F49E-41B7-8C96-BE04D0AD754F}"/>
    <cellStyle name="标题 3 3 2 2 2" xfId="2950" xr:uid="{72D0207C-60C0-4EAC-B68E-B86F38818AF3}"/>
    <cellStyle name="标题 3 3 2 2 2 2" xfId="2951" xr:uid="{AE17F315-3A60-4492-BB29-C7E639CDD486}"/>
    <cellStyle name="标题 3 3 2 2 2 2 2" xfId="2952" xr:uid="{2B5D5CDE-E09E-402E-A82A-E355E97E53EC}"/>
    <cellStyle name="标题 3 3 2 2 2 3" xfId="2953" xr:uid="{57585915-4B64-460A-BC84-0B8AB88A6D0C}"/>
    <cellStyle name="标题 3 3 2 2 3" xfId="2954" xr:uid="{C62CFA96-69AA-40E3-BD76-B48F65A08F47}"/>
    <cellStyle name="标题 3 3 2 2 3 2" xfId="2955" xr:uid="{4793E472-DA16-4352-B44C-C685F090BD47}"/>
    <cellStyle name="标题 3 3 2 2 4" xfId="2956" xr:uid="{A616578B-3005-48AF-8969-137D9D67EA52}"/>
    <cellStyle name="标题 3 3 2 3" xfId="2957" xr:uid="{B1657951-F3BC-4B34-BAD0-4D20548EE1E4}"/>
    <cellStyle name="标题 3 3 2 3 2" xfId="2958" xr:uid="{5DBC75F1-279D-46FA-ABCE-72EED7A7600D}"/>
    <cellStyle name="标题 3 3 2 3 2 2" xfId="2959" xr:uid="{00DA09ED-74BD-4C05-A535-43BA7D154090}"/>
    <cellStyle name="标题 3 3 2 3 3" xfId="2960" xr:uid="{D34DE88A-B6D8-452F-B5C8-4378D36DF919}"/>
    <cellStyle name="标题 3 3 2 4" xfId="2961" xr:uid="{173DF5FE-80D4-4EE2-A561-44E4E034D961}"/>
    <cellStyle name="标题 3 3 2 4 2" xfId="2962" xr:uid="{2DFB2C55-AAF9-4F53-A6D1-3E4C5585A109}"/>
    <cellStyle name="标题 3 3 2 5" xfId="2963" xr:uid="{3B5B5E30-C623-4A22-8FCE-014A05709094}"/>
    <cellStyle name="标题 3 3 3" xfId="2964" xr:uid="{CEBAD80C-FC88-4F90-8599-637C1D2016B4}"/>
    <cellStyle name="标题 3 3 3 2" xfId="2965" xr:uid="{433866D1-B582-4F4B-8AFC-512AB790D88E}"/>
    <cellStyle name="标题 3 3 3 2 2" xfId="2966" xr:uid="{104463FC-1B51-4026-88E7-D28029F22D11}"/>
    <cellStyle name="标题 3 3 3 3" xfId="2967" xr:uid="{ADFAE800-6631-4595-8B50-490305025A49}"/>
    <cellStyle name="标题 3 3 4" xfId="2968" xr:uid="{FD292E98-EAB0-45C5-9E78-D148046735AA}"/>
    <cellStyle name="标题 3 3 4 2" xfId="2969" xr:uid="{9C863FF1-C913-45DB-8363-51C043D850B5}"/>
    <cellStyle name="标题 3 3 5" xfId="2970" xr:uid="{021482D5-0B63-4F6C-B526-CCFC11BA2400}"/>
    <cellStyle name="标题 3 4" xfId="2971" xr:uid="{AC4B4340-6408-4873-8FC4-73C7A9A368CD}"/>
    <cellStyle name="标题 3 4 2" xfId="2972" xr:uid="{FE60BBEC-354F-433F-BAAA-35720933EDDC}"/>
    <cellStyle name="标题 3 4 2 2" xfId="2973" xr:uid="{AB8C29E7-0ACC-4933-8ABA-E9D0C124DE23}"/>
    <cellStyle name="标题 3 4 3" xfId="2974" xr:uid="{31BAFFCC-1BDF-4DD7-AE40-AE5443D95592}"/>
    <cellStyle name="标题 3 5" xfId="2975" xr:uid="{883473AA-649B-4514-AA4E-9738E178D578}"/>
    <cellStyle name="标题 3 5 2" xfId="2976" xr:uid="{937B7A98-92A1-46DC-B2D6-CDFBFF2AE8EC}"/>
    <cellStyle name="标题 3 5 2 2" xfId="2977" xr:uid="{8C39F169-7FBF-4ADD-A096-6FCDE84A81A4}"/>
    <cellStyle name="标题 3 5 3" xfId="2978" xr:uid="{46D7E707-2C08-4F2C-9B91-7BF9DDE0C98B}"/>
    <cellStyle name="标题 3 6" xfId="2979" xr:uid="{2C337E82-8DF6-4CA2-8288-071668AAAFBD}"/>
    <cellStyle name="标题 3 6 2" xfId="2980" xr:uid="{9315E9DF-879B-42DC-AE46-81BD1C23FD08}"/>
    <cellStyle name="标题 3 7" xfId="2981" xr:uid="{9348062C-2426-49A0-B207-51FA7F3107CC}"/>
    <cellStyle name="标题 3 7 2" xfId="2982" xr:uid="{A2D79080-C3B7-4149-8526-F162555192BC}"/>
    <cellStyle name="标题 3 8" xfId="2983" xr:uid="{2140585A-2FAE-4A7D-B0E3-D57ABB71770D}"/>
    <cellStyle name="标题 3 8 2" xfId="2984" xr:uid="{7C6D35B3-CDCF-471F-8720-A5F39C1A1475}"/>
    <cellStyle name="标题 3 9" xfId="2985" xr:uid="{2E19532B-3417-4252-8A6F-ED48F698B7FE}"/>
    <cellStyle name="标题 4 10" xfId="2986" xr:uid="{C9AF6288-7446-42D6-86E2-B3EC371ABF4E}"/>
    <cellStyle name="标题 4 11" xfId="2987" xr:uid="{A863887D-48ED-42D6-8140-D9CE0DDEE947}"/>
    <cellStyle name="标题 4 2" xfId="2988" xr:uid="{A8DC290D-3B2F-4FA8-86CD-CCA9F8D92D47}"/>
    <cellStyle name="标题 4 2 2" xfId="2989" xr:uid="{7C0702B6-80E6-46EB-83C6-8292362674DA}"/>
    <cellStyle name="标题 4 2 2 2" xfId="2990" xr:uid="{040DA86E-A7C0-42E9-8BD4-C608D5D38C45}"/>
    <cellStyle name="标题 4 2 2 2 2" xfId="2991" xr:uid="{65A60363-94F1-4FFF-A4A2-24172F86E1D1}"/>
    <cellStyle name="标题 4 2 2 2 2 2" xfId="2992" xr:uid="{C4F63871-2813-49B8-A884-9A06FF950C46}"/>
    <cellStyle name="标题 4 2 2 2 2 2 2" xfId="2993" xr:uid="{2EBEA445-A683-4865-A45A-10F201FB1F69}"/>
    <cellStyle name="标题 4 2 2 2 2 3" xfId="2994" xr:uid="{01464388-417A-48C9-967A-4CC3EBC24B1C}"/>
    <cellStyle name="标题 4 2 2 2 3" xfId="2995" xr:uid="{7ED8929E-E881-4212-AFF7-43E1145D4162}"/>
    <cellStyle name="标题 4 2 2 2 3 2" xfId="2996" xr:uid="{3F1836F4-A79F-4E04-98BB-0926E2A966DE}"/>
    <cellStyle name="标题 4 2 2 2 4" xfId="2997" xr:uid="{71CCF957-441E-4FBB-A1DA-E4268579172F}"/>
    <cellStyle name="标题 4 2 2 3" xfId="2998" xr:uid="{2F77C2CD-B6F9-4DFB-8827-610170B749BA}"/>
    <cellStyle name="标题 4 2 2 3 2" xfId="2999" xr:uid="{DBAE56E5-5030-4113-9C7C-BEA6E771AAC3}"/>
    <cellStyle name="标题 4 2 2 3 2 2" xfId="3000" xr:uid="{9DA3F837-92A4-4142-942C-BFA75CD9B6DA}"/>
    <cellStyle name="标题 4 2 2 3 3" xfId="3001" xr:uid="{20C9A0CA-510A-451F-90E1-44A6DFC3E88C}"/>
    <cellStyle name="标题 4 2 2 4" xfId="3002" xr:uid="{F4A7AF9F-22DA-4F43-9E4E-C4454BA4DF7B}"/>
    <cellStyle name="标题 4 2 2 4 2" xfId="3003" xr:uid="{1BED7387-315A-46DC-833E-A7E52C1F8FF6}"/>
    <cellStyle name="标题 4 2 2 5" xfId="3004" xr:uid="{4EA32B61-E192-4A81-B7D8-1482AB070A4A}"/>
    <cellStyle name="标题 4 2 3" xfId="3005" xr:uid="{CBC82BBF-D97F-4302-A3E7-280212A917D8}"/>
    <cellStyle name="标题 4 2 3 2" xfId="3006" xr:uid="{C3658A9E-692C-45F6-B7CA-0A77153FE055}"/>
    <cellStyle name="标题 4 2 3 2 2" xfId="3007" xr:uid="{E0ECBB01-AA29-4F1B-BF83-EDA53889E3B3}"/>
    <cellStyle name="标题 4 2 3 2 2 2" xfId="3008" xr:uid="{E041E9AB-3974-4B02-8DCA-5F21CBC07254}"/>
    <cellStyle name="标题 4 2 3 2 3" xfId="3009" xr:uid="{8B0E75A5-831A-4C8B-8591-D25C2C889AB7}"/>
    <cellStyle name="标题 4 2 3 2 4" xfId="3010" xr:uid="{234B07A0-9268-4510-B038-4FC991CDB54D}"/>
    <cellStyle name="标题 4 2 3 3" xfId="3011" xr:uid="{1F2FCCE4-8302-4980-A4D9-8B42C928BC07}"/>
    <cellStyle name="标题 4 2 3 3 2" xfId="3012" xr:uid="{F6F84A31-046A-4D42-91D5-C1F39BE31C11}"/>
    <cellStyle name="标题 4 2 3 4" xfId="3013" xr:uid="{98F61601-99FD-49EE-9A3C-C5AAE5213EFA}"/>
    <cellStyle name="标题 4 2 3 5" xfId="3014" xr:uid="{D756C9C0-4717-437A-BB6C-AB3D7AD104A4}"/>
    <cellStyle name="标题 4 2 4" xfId="3015" xr:uid="{64F0B97D-AB8E-49AD-926B-F975F84E004B}"/>
    <cellStyle name="标题 4 2 4 2" xfId="3016" xr:uid="{6A68D8E1-36AC-4B9C-8B1E-78202321AED7}"/>
    <cellStyle name="标题 4 2 4 2 2" xfId="3017" xr:uid="{8CFA9637-E61F-4FB8-A2C3-E66B9C03F3E2}"/>
    <cellStyle name="标题 4 2 4 3" xfId="3018" xr:uid="{8EE8D1CB-097B-45BD-830C-1C348B7C8DEF}"/>
    <cellStyle name="标题 4 2 4 3 2" xfId="3019" xr:uid="{635FBD59-A0E8-454A-8609-2E3F9C61140F}"/>
    <cellStyle name="标题 4 2 4 4" xfId="3020" xr:uid="{4A03E87D-0F0E-4FB2-B900-2DA5976ED5ED}"/>
    <cellStyle name="标题 4 2 4 5" xfId="3021" xr:uid="{F0633BA9-4931-4C2E-8AB3-4B26DD563295}"/>
    <cellStyle name="标题 4 2 5" xfId="3022" xr:uid="{9B84BA74-25CD-4474-9EDB-578911A4B291}"/>
    <cellStyle name="标题 4 2 5 2" xfId="3023" xr:uid="{92A05B54-3664-4219-9CCF-0AE9EA515A2C}"/>
    <cellStyle name="标题 4 2 6" xfId="3024" xr:uid="{055B589B-3466-4EC8-85B6-42185186A220}"/>
    <cellStyle name="标题 4 2 7" xfId="3025" xr:uid="{654C044E-75C4-4656-86DA-4948BBADE967}"/>
    <cellStyle name="标题 4 3" xfId="3026" xr:uid="{4AB81D62-65EF-48B8-A9D5-E79BF80264C3}"/>
    <cellStyle name="标题 4 3 2" xfId="3027" xr:uid="{CCA11FF8-C584-46EE-94A7-919E38F93372}"/>
    <cellStyle name="标题 4 3 2 2" xfId="3028" xr:uid="{188F8072-80D6-4B1D-BDE6-2EF98F702ADB}"/>
    <cellStyle name="标题 4 3 2 2 2" xfId="3029" xr:uid="{2C340D9A-0E8C-4717-B23C-4BF4629B0F3F}"/>
    <cellStyle name="标题 4 3 2 2 2 2" xfId="3030" xr:uid="{17E4ED36-E58D-4E17-8172-BFA4673CF1FD}"/>
    <cellStyle name="标题 4 3 2 2 2 2 2" xfId="3031" xr:uid="{9A0206DB-BD5C-497E-AF6A-DC85FD6C4D0A}"/>
    <cellStyle name="标题 4 3 2 2 2 3" xfId="3032" xr:uid="{3FCDCEFE-10EC-4D25-B793-1ACE1F98247D}"/>
    <cellStyle name="标题 4 3 2 2 3" xfId="3033" xr:uid="{CE097AF3-391F-4C0A-98C8-80928BD6792B}"/>
    <cellStyle name="标题 4 3 2 2 3 2" xfId="3034" xr:uid="{E71A54BD-62A3-4173-9306-23FB3369FBB6}"/>
    <cellStyle name="标题 4 3 2 2 4" xfId="3035" xr:uid="{FC8440FF-B675-45C8-A860-3F7B24E14E9F}"/>
    <cellStyle name="标题 4 3 2 3" xfId="3036" xr:uid="{10FD68BB-D996-4B8E-98F9-6965851B62C0}"/>
    <cellStyle name="标题 4 3 2 3 2" xfId="3037" xr:uid="{73CEE434-1FD6-4FEF-B6D9-CEA0E1515448}"/>
    <cellStyle name="标题 4 3 2 3 2 2" xfId="3038" xr:uid="{4A2D6FDF-32D0-426E-9843-5AD78088D7D9}"/>
    <cellStyle name="标题 4 3 2 3 3" xfId="3039" xr:uid="{6940678B-7C07-4607-B2E1-6B0D059C5B65}"/>
    <cellStyle name="标题 4 3 2 4" xfId="3040" xr:uid="{5B563ACC-987D-47D6-A85D-954981AA17BA}"/>
    <cellStyle name="标题 4 3 2 4 2" xfId="3041" xr:uid="{97E49095-710D-49FD-BCC9-ED88DF62A79E}"/>
    <cellStyle name="标题 4 3 2 5" xfId="3042" xr:uid="{8C87EF2F-909D-40A7-BB53-173A5A2225B1}"/>
    <cellStyle name="标题 4 3 3" xfId="3043" xr:uid="{FF145FA2-A4B1-4DD7-BA79-1D1009A8EB65}"/>
    <cellStyle name="标题 4 3 3 2" xfId="3044" xr:uid="{B6A0FB6D-75AB-4BD4-9171-30F0BA21DD26}"/>
    <cellStyle name="标题 4 3 3 2 2" xfId="3045" xr:uid="{4A00E953-392E-4DD8-BAC5-5B0126F52D11}"/>
    <cellStyle name="标题 4 3 3 3" xfId="3046" xr:uid="{F2AF6F54-9DC0-4FE5-93AC-EA852CEF9809}"/>
    <cellStyle name="标题 4 3 4" xfId="3047" xr:uid="{8E5B4DA7-94A3-4442-A6E9-67A8CD70C06E}"/>
    <cellStyle name="标题 4 3 4 2" xfId="3048" xr:uid="{25BA7799-2CEB-418A-A23A-F0793DE1366F}"/>
    <cellStyle name="标题 4 3 5" xfId="3049" xr:uid="{38284546-5CBC-47FE-8F20-C8431F20D088}"/>
    <cellStyle name="标题 4 4" xfId="3050" xr:uid="{C8FB4484-E08C-4B04-A56F-56655BF60711}"/>
    <cellStyle name="标题 4 4 2" xfId="3051" xr:uid="{125795F2-C170-4FC1-903B-4C17CBDACB76}"/>
    <cellStyle name="标题 4 4 2 2" xfId="3052" xr:uid="{85D87747-AD0A-4937-9603-032339F15E35}"/>
    <cellStyle name="标题 4 4 3" xfId="3053" xr:uid="{46D9373B-8DC7-4F1A-80CC-F560E0FE4F1C}"/>
    <cellStyle name="标题 4 5" xfId="3054" xr:uid="{BE9ABE96-895A-44AA-B873-C2C5CB7B9BD7}"/>
    <cellStyle name="标题 4 5 2" xfId="3055" xr:uid="{26B2B3A2-7107-4ADE-9BC8-53A6B616EC0A}"/>
    <cellStyle name="标题 4 5 2 2" xfId="3056" xr:uid="{DC622A8C-FE54-43D4-BEEE-7784BC9FF4D2}"/>
    <cellStyle name="标题 4 5 3" xfId="3057" xr:uid="{26341FFA-97D0-4C5D-84F3-6AEBEE99A050}"/>
    <cellStyle name="标题 4 6" xfId="3058" xr:uid="{F1C7A7A2-D9F6-4B78-8E65-F90070F9723D}"/>
    <cellStyle name="标题 4 6 2" xfId="3059" xr:uid="{6752FAD6-2F95-4D64-A626-3BFC7CCDE79E}"/>
    <cellStyle name="标题 4 7" xfId="3060" xr:uid="{5A49DB78-4C69-4ECC-93FC-D630272E9C12}"/>
    <cellStyle name="标题 4 7 2" xfId="3061" xr:uid="{B92FD5A6-7F76-42EB-AFC8-B2BD5F3D268C}"/>
    <cellStyle name="标题 4 8" xfId="3062" xr:uid="{5668D743-4FDC-451A-BEF3-EF3428953B3B}"/>
    <cellStyle name="标题 4 8 2" xfId="3063" xr:uid="{76F57903-0DAD-470B-A8EE-21E6D7D0918B}"/>
    <cellStyle name="标题 4 9" xfId="3064" xr:uid="{2C500BE4-8B56-49EC-92B8-0AE6D7DB98ED}"/>
    <cellStyle name="标题 5" xfId="3065" xr:uid="{399B7BAF-C356-4F1A-BD04-22F1E893B148}"/>
    <cellStyle name="标题 5 2" xfId="3066" xr:uid="{C97A1861-C4C6-4E5B-AA50-9F422D05C7B7}"/>
    <cellStyle name="标题 5 2 2" xfId="3067" xr:uid="{6B51E485-0EB6-4E9F-A5DD-16AA1E99C0F0}"/>
    <cellStyle name="标题 5 2 2 2" xfId="3068" xr:uid="{2A7C25FF-FC93-4CD7-9C69-8B08981E244D}"/>
    <cellStyle name="标题 5 2 2 2 2" xfId="3069" xr:uid="{3E6FF0DD-96ED-4FF7-8389-A8EB16504016}"/>
    <cellStyle name="标题 5 2 2 2 2 2" xfId="3070" xr:uid="{4429FAD0-E018-48DD-AB82-FA19CF330294}"/>
    <cellStyle name="标题 5 2 2 2 3" xfId="3071" xr:uid="{006279A6-D3A1-4249-B496-E44D764B2CD9}"/>
    <cellStyle name="标题 5 2 2 3" xfId="3072" xr:uid="{F5158D0E-7073-42E1-B13E-494C3FEE4D41}"/>
    <cellStyle name="标题 5 2 2 3 2" xfId="3073" xr:uid="{9851C1C6-037E-433E-B034-C26E2556F402}"/>
    <cellStyle name="标题 5 2 2 4" xfId="3074" xr:uid="{14885AA6-98FE-477F-9704-54197DF42313}"/>
    <cellStyle name="标题 5 2 3" xfId="3075" xr:uid="{A15712DD-4114-472E-83BC-C36E64F2A6FB}"/>
    <cellStyle name="标题 5 2 3 2" xfId="3076" xr:uid="{0AAA0D47-3F00-478B-BCB4-8D46CBB1A10C}"/>
    <cellStyle name="标题 5 2 3 2 2" xfId="3077" xr:uid="{C7BC828A-FE5C-4F08-82F1-3E15BB213398}"/>
    <cellStyle name="标题 5 2 3 3" xfId="3078" xr:uid="{354C8E02-727C-41B1-ACAE-636BE603FABA}"/>
    <cellStyle name="标题 5 2 4" xfId="3079" xr:uid="{FF740240-6479-4E77-A1B1-9E1953A5A909}"/>
    <cellStyle name="标题 5 2 4 2" xfId="3080" xr:uid="{CEDEEB5E-4DEC-4483-9EFC-CEBC92050D37}"/>
    <cellStyle name="标题 5 2 5" xfId="3081" xr:uid="{AD626F8E-AEF8-4051-B62C-AECBC810DA39}"/>
    <cellStyle name="标题 5 3" xfId="3082" xr:uid="{0B74C91D-AF2D-4D45-AE97-486EF8360691}"/>
    <cellStyle name="标题 5 3 2" xfId="3083" xr:uid="{7333A814-E440-4605-B27B-4972F78FAB17}"/>
    <cellStyle name="标题 5 3 2 2" xfId="3084" xr:uid="{6FDDA2D5-54BC-4E57-86DE-C2D5857E65E6}"/>
    <cellStyle name="标题 5 3 2 2 2" xfId="3085" xr:uid="{137D1608-81E6-4CF1-B01C-1969B5737B35}"/>
    <cellStyle name="标题 5 3 2 3" xfId="3086" xr:uid="{3CC37EDA-4428-4AAB-9D73-16500D883204}"/>
    <cellStyle name="标题 5 3 2 4" xfId="3087" xr:uid="{10F5416D-2C29-4228-A351-A45241AA807F}"/>
    <cellStyle name="标题 5 3 3" xfId="3088" xr:uid="{006F6342-BEC6-4082-8D55-26EF49CF27AE}"/>
    <cellStyle name="标题 5 3 3 2" xfId="3089" xr:uid="{3A4C8D8F-8473-47E1-AFDC-9ABFA44F7CB3}"/>
    <cellStyle name="标题 5 3 4" xfId="3090" xr:uid="{8EDEC5A8-8877-434F-96AF-D6ED213AC2DA}"/>
    <cellStyle name="标题 5 3 5" xfId="3091" xr:uid="{6C396020-80FE-465C-857D-041F3D7566F3}"/>
    <cellStyle name="标题 5 4" xfId="3092" xr:uid="{C1E4FE70-2DAB-48DA-9AED-2BBB316A7122}"/>
    <cellStyle name="标题 5 4 2" xfId="3093" xr:uid="{24F44C04-83BC-4E7C-8E59-F12301BCE2D3}"/>
    <cellStyle name="标题 5 4 2 2" xfId="3094" xr:uid="{D84E115B-614C-4FD2-B811-FB655DD49EC4}"/>
    <cellStyle name="标题 5 4 3" xfId="3095" xr:uid="{40CC6277-A98D-4ACE-8DFF-FF92CEAD85B6}"/>
    <cellStyle name="标题 5 4 3 2" xfId="3096" xr:uid="{7A9B63F6-0A4D-46C9-BADB-08C948623992}"/>
    <cellStyle name="标题 5 4 4" xfId="3097" xr:uid="{59B9FAC8-F748-40AC-8EB4-8F6CE3863E28}"/>
    <cellStyle name="标题 5 4 5" xfId="3098" xr:uid="{055243CB-DA62-4E91-A43D-3A514168DF24}"/>
    <cellStyle name="标题 5 5" xfId="3099" xr:uid="{97197F68-5D8A-4E30-83F9-6604B8E1C915}"/>
    <cellStyle name="标题 5 5 2" xfId="3100" xr:uid="{4C704FE9-A3CD-43D7-AE24-FF45E58ADBF3}"/>
    <cellStyle name="标题 5 6" xfId="3101" xr:uid="{AE86558A-4E16-48EA-9203-D8F5575C1787}"/>
    <cellStyle name="标题 5 7" xfId="3102" xr:uid="{795533F1-2543-4BBC-ACA9-3A6F8CEE1372}"/>
    <cellStyle name="标题 6" xfId="3103" xr:uid="{D1C17F22-7C0E-49CA-A6CD-D8FC29BC1AEA}"/>
    <cellStyle name="标题 6 2" xfId="3104" xr:uid="{15F54319-45AE-4F69-9941-449D6F40AB0C}"/>
    <cellStyle name="标题 6 2 2" xfId="3105" xr:uid="{83390049-8BD9-4AC3-B87A-3B7AA2407715}"/>
    <cellStyle name="标题 6 2 2 2" xfId="3106" xr:uid="{D3469E92-1A3B-48CC-98E6-9513AB761E64}"/>
    <cellStyle name="标题 6 2 2 2 2" xfId="3107" xr:uid="{BC0829E3-5387-4609-BA37-47400D05B376}"/>
    <cellStyle name="标题 6 2 2 2 2 2" xfId="3108" xr:uid="{1BE44EDA-DD16-43F7-A4D8-1CD87412B8CD}"/>
    <cellStyle name="标题 6 2 2 2 3" xfId="3109" xr:uid="{E511B1E9-AB27-4CC2-A0E6-79E9920589FD}"/>
    <cellStyle name="标题 6 2 2 3" xfId="3110" xr:uid="{E96F67C5-0EF2-4BDE-AAF6-5A8B5120D0C3}"/>
    <cellStyle name="标题 6 2 2 3 2" xfId="3111" xr:uid="{464342B4-29DF-45F9-8369-8BF901B78DC2}"/>
    <cellStyle name="标题 6 2 2 4" xfId="3112" xr:uid="{CCFFFAB4-0F09-40EC-BB0D-4AC0FFCAA387}"/>
    <cellStyle name="标题 6 2 3" xfId="3113" xr:uid="{69B01021-C49A-4535-9698-D5ADF4F28E11}"/>
    <cellStyle name="标题 6 2 3 2" xfId="3114" xr:uid="{79958D28-BF61-4F5B-AF92-9DC96AE93468}"/>
    <cellStyle name="标题 6 2 3 2 2" xfId="3115" xr:uid="{CE660DC9-D683-4A9F-863A-E11F4BE98D6E}"/>
    <cellStyle name="标题 6 2 3 3" xfId="3116" xr:uid="{B57CAC52-E736-4165-B5AF-A6449F59EA7B}"/>
    <cellStyle name="标题 6 2 4" xfId="3117" xr:uid="{86A972CE-BEBB-4F96-BAF7-8E59841BBF23}"/>
    <cellStyle name="标题 6 2 4 2" xfId="3118" xr:uid="{F330BAF1-5EAE-40BD-8137-4DF9BB1A8B24}"/>
    <cellStyle name="标题 6 2 5" xfId="3119" xr:uid="{87F2D77B-F4BE-451C-AE75-EC6ED01377C8}"/>
    <cellStyle name="标题 6 3" xfId="3120" xr:uid="{6DDF4B8C-12F6-4EB0-9B00-34889272DE9C}"/>
    <cellStyle name="标题 6 3 2" xfId="3121" xr:uid="{E3C62F58-FDE4-4A48-8328-22A7BA3270E7}"/>
    <cellStyle name="标题 6 3 2 2" xfId="3122" xr:uid="{3FBD20F0-28AF-49E0-91C4-2199F97E9313}"/>
    <cellStyle name="标题 6 3 3" xfId="3123" xr:uid="{8061446A-5692-446F-9161-94800988DBC5}"/>
    <cellStyle name="标题 6 4" xfId="3124" xr:uid="{C91C5BFE-46A4-4FC4-96C1-20ECE546B9F0}"/>
    <cellStyle name="标题 6 4 2" xfId="3125" xr:uid="{E40D57CA-F460-49F1-B7F4-95AA3A4418A3}"/>
    <cellStyle name="标题 6 5" xfId="3126" xr:uid="{F80D03A2-1142-42B5-A6FF-B39C088A5616}"/>
    <cellStyle name="标题 7" xfId="3127" xr:uid="{CDFEC6F6-90B2-42BE-B59B-07AE52718F71}"/>
    <cellStyle name="标题 7 2" xfId="3128" xr:uid="{6319A5E1-4E6A-4FEB-ACEF-5372B4240001}"/>
    <cellStyle name="标题 7 2 2" xfId="3129" xr:uid="{52F774BC-ABA5-4AC2-83C6-02DFF36FE026}"/>
    <cellStyle name="标题 7 3" xfId="3130" xr:uid="{EE3F499F-0266-498E-9C4B-941CE7A4A5C5}"/>
    <cellStyle name="标题 8" xfId="3131" xr:uid="{10B8BDC2-45A6-4E6D-86D9-E58FAED071FD}"/>
    <cellStyle name="标题 8 2" xfId="3132" xr:uid="{E9C78180-2D12-4D2D-92FA-B90FDE7A32AB}"/>
    <cellStyle name="标题 8 2 2" xfId="3133" xr:uid="{73462590-91C6-4273-BE5D-69F650506B8D}"/>
    <cellStyle name="标题 8 3" xfId="3134" xr:uid="{A10958F8-CF48-405D-BF37-21B6F122EDAD}"/>
    <cellStyle name="标题 9" xfId="3135" xr:uid="{F4AAC79C-900C-4598-9800-DE85A23A70DA}"/>
    <cellStyle name="标题 9 2" xfId="3136" xr:uid="{AAE9CB95-E49B-43E2-BF57-1EEA894B3917}"/>
    <cellStyle name="检查单元格 10" xfId="3137" xr:uid="{1693EB9B-87FC-4112-9E88-2EF92AB4CE29}"/>
    <cellStyle name="检查单元格 11" xfId="3138" xr:uid="{61F6BCBE-BB10-4F04-A6DF-541650615FF4}"/>
    <cellStyle name="检查单元格 2" xfId="3139" xr:uid="{BB048C56-8271-44DD-A08A-B2A98E04051E}"/>
    <cellStyle name="检查单元格 2 2" xfId="3140" xr:uid="{4E726176-541F-4EF7-8F57-256AED584D7C}"/>
    <cellStyle name="检查单元格 2 2 2" xfId="3141" xr:uid="{2812D718-132F-45CC-893E-5FB2C3CD5B38}"/>
    <cellStyle name="检查单元格 2 2 2 2" xfId="3142" xr:uid="{73BB564E-3F33-4F8F-A2F0-AE27F5827578}"/>
    <cellStyle name="检查单元格 2 2 2 2 2" xfId="3143" xr:uid="{F80DD125-4FDF-4461-92A9-94B8F2376932}"/>
    <cellStyle name="检查单元格 2 2 2 2 2 2" xfId="3144" xr:uid="{E2DCCB0A-70E1-481C-93FC-385977712D22}"/>
    <cellStyle name="检查单元格 2 2 2 2 3" xfId="3145" xr:uid="{B6EA4019-424C-4DB6-A821-1DA64B7A8AA6}"/>
    <cellStyle name="检查单元格 2 2 2 3" xfId="3146" xr:uid="{773BFCDB-63DF-4E26-97BF-42342D60FA25}"/>
    <cellStyle name="检查单元格 2 2 2 3 2" xfId="3147" xr:uid="{A3F52A98-C71E-4F8E-83C0-6FB2E150D73B}"/>
    <cellStyle name="检查单元格 2 2 2 4" xfId="3148" xr:uid="{110A5971-BF74-49A7-8638-BDE95CEF8BE7}"/>
    <cellStyle name="检查单元格 2 2 3" xfId="3149" xr:uid="{262C6D7C-5403-4926-9CD1-CE449BE7E4BF}"/>
    <cellStyle name="检查单元格 2 2 3 2" xfId="3150" xr:uid="{A2A38E04-0266-4695-91C8-4770168A352D}"/>
    <cellStyle name="检查单元格 2 2 3 2 2" xfId="3151" xr:uid="{4674BD56-5C58-4788-ADBD-2DBFBB04693F}"/>
    <cellStyle name="检查单元格 2 2 3 3" xfId="3152" xr:uid="{04262AFE-8CE1-4456-9654-F7FF31CC2123}"/>
    <cellStyle name="检查单元格 2 2 4" xfId="3153" xr:uid="{D6191763-C1DB-467C-879F-401274BE04BB}"/>
    <cellStyle name="检查单元格 2 2 4 2" xfId="3154" xr:uid="{CCA9BD4F-944C-4660-B967-D444A42587C1}"/>
    <cellStyle name="检查单元格 2 2 5" xfId="3155" xr:uid="{0C76A0C7-4807-49F4-9E16-826531105353}"/>
    <cellStyle name="检查单元格 2 3" xfId="3156" xr:uid="{116BE0B5-6B25-4B01-BF8E-171DF3B183BB}"/>
    <cellStyle name="检查单元格 2 3 2" xfId="3157" xr:uid="{C727F94C-BE9C-470C-8225-B3A1FA744531}"/>
    <cellStyle name="检查单元格 2 3 2 2" xfId="3158" xr:uid="{337C7030-7C9C-4E99-886C-A0CC24EFA0D7}"/>
    <cellStyle name="检查单元格 2 3 2 2 2" xfId="3159" xr:uid="{C504A0D1-0FA5-4F01-AA33-E38DED2B7714}"/>
    <cellStyle name="检查单元格 2 3 2 3" xfId="3160" xr:uid="{C78F04C0-EC61-48C3-A282-823EF919BCBE}"/>
    <cellStyle name="检查单元格 2 3 2 4" xfId="3161" xr:uid="{4A4AC562-8E52-44C5-96F1-C0B10D680566}"/>
    <cellStyle name="检查单元格 2 3 3" xfId="3162" xr:uid="{47779741-A2D6-4888-BEC3-B5E75BA3EFCB}"/>
    <cellStyle name="检查单元格 2 3 3 2" xfId="3163" xr:uid="{B3E93BC1-1FD5-4A9C-B8EA-928C233594B7}"/>
    <cellStyle name="检查单元格 2 3 4" xfId="3164" xr:uid="{C16EF48F-A1ED-49A9-8F42-51541A79F238}"/>
    <cellStyle name="检查单元格 2 3 5" xfId="3165" xr:uid="{1ADD6D00-1F61-4DD7-BF18-5452B82FA158}"/>
    <cellStyle name="检查单元格 2 4" xfId="3166" xr:uid="{5C6B64ED-8DB6-462D-A8EE-0614F64FDFDD}"/>
    <cellStyle name="检查单元格 2 4 2" xfId="3167" xr:uid="{847C68F9-CA75-43CC-AD95-FC6CBBCC8EFB}"/>
    <cellStyle name="检查单元格 2 4 2 2" xfId="3168" xr:uid="{C3090C21-0BFC-493C-9DDB-6CB80EB59B11}"/>
    <cellStyle name="检查单元格 2 4 3" xfId="3169" xr:uid="{D808E9AD-E0D0-4E17-BDA7-E593B6DC2ECE}"/>
    <cellStyle name="检查单元格 2 4 3 2" xfId="3170" xr:uid="{121D8E64-0630-4E03-99FA-844DEC9A2485}"/>
    <cellStyle name="检查单元格 2 4 4" xfId="3171" xr:uid="{B9140F01-F950-41D1-B6F2-7349C559D037}"/>
    <cellStyle name="检查单元格 2 4 5" xfId="3172" xr:uid="{2023209F-E345-428D-9336-C36B4E07D08B}"/>
    <cellStyle name="检查单元格 2 5" xfId="3173" xr:uid="{079BF3BE-90FC-418F-A644-627A39E18152}"/>
    <cellStyle name="检查单元格 2 5 2" xfId="3174" xr:uid="{6D71A3B7-5DE0-4D2E-BFDA-63C066F76433}"/>
    <cellStyle name="检查单元格 2 6" xfId="3175" xr:uid="{DA36267A-D9C5-473A-B088-1E475E14A27C}"/>
    <cellStyle name="检查单元格 2 6 2" xfId="3176" xr:uid="{3BAB3FE1-C97F-43CD-8A2F-964455C3BBCB}"/>
    <cellStyle name="检查单元格 2 7" xfId="3177" xr:uid="{89A0EB10-E0C3-4A09-972B-90F9DE89868C}"/>
    <cellStyle name="检查单元格 2 8" xfId="3178" xr:uid="{4B4AC47D-451E-4EC7-82A1-763A4AA2C8B2}"/>
    <cellStyle name="检查单元格 2 9" xfId="3179" xr:uid="{012169D6-84E3-4B28-A6FF-ED7416F2159A}"/>
    <cellStyle name="检查单元格 3" xfId="3180" xr:uid="{53CFCD4C-CCFF-4BF8-86AA-090E4A88B3C5}"/>
    <cellStyle name="检查单元格 3 2" xfId="3181" xr:uid="{5158BDC1-1C0C-4B38-9D06-088C24A96D80}"/>
    <cellStyle name="检查单元格 3 2 2" xfId="3182" xr:uid="{D19AF6C3-0D44-4B8A-A31E-BEFF9C90473E}"/>
    <cellStyle name="检查单元格 3 2 2 2" xfId="3183" xr:uid="{C03E0003-9F38-4FDA-9857-090B607EDA1D}"/>
    <cellStyle name="检查单元格 3 2 2 2 2" xfId="3184" xr:uid="{1896A094-2D7B-431B-A9D4-EF144EF18FD8}"/>
    <cellStyle name="检查单元格 3 2 2 2 2 2" xfId="3185" xr:uid="{74CEA8E3-1948-481D-ADFC-B8EDF9723909}"/>
    <cellStyle name="检查单元格 3 2 2 2 3" xfId="3186" xr:uid="{20189BE5-3F84-456F-AB2F-5CAFB65963CD}"/>
    <cellStyle name="检查单元格 3 2 2 3" xfId="3187" xr:uid="{B60105E1-664B-4258-96D2-8183C5EC7076}"/>
    <cellStyle name="检查单元格 3 2 2 3 2" xfId="3188" xr:uid="{E6CD879E-DF8D-484D-BB65-352FB1BC52EB}"/>
    <cellStyle name="检查单元格 3 2 2 4" xfId="3189" xr:uid="{B3F8D3E9-D643-4519-832F-195E941F20AD}"/>
    <cellStyle name="检查单元格 3 2 3" xfId="3190" xr:uid="{0AF0C691-560E-4D3F-9DF0-2516F1C7A0E1}"/>
    <cellStyle name="检查单元格 3 2 3 2" xfId="3191" xr:uid="{36233B84-BD7D-4A0B-9A08-2A3B17B6C237}"/>
    <cellStyle name="检查单元格 3 2 3 2 2" xfId="3192" xr:uid="{9BC9F5E1-62F6-4541-8684-DD9024E130DC}"/>
    <cellStyle name="检查单元格 3 2 3 3" xfId="3193" xr:uid="{0700EEC4-937B-4B19-839B-628A850CF7DE}"/>
    <cellStyle name="检查单元格 3 2 4" xfId="3194" xr:uid="{F066DB07-C37C-4AC1-BF94-10A483B34C16}"/>
    <cellStyle name="检查单元格 3 2 4 2" xfId="3195" xr:uid="{5CE1AB17-5E3F-4902-8B3B-AB091854F84A}"/>
    <cellStyle name="检查单元格 3 2 5" xfId="3196" xr:uid="{20775A8C-253F-4C4C-BEFF-ED21CF01F19F}"/>
    <cellStyle name="检查单元格 3 3" xfId="3197" xr:uid="{CE738788-61F7-4317-918E-6BEDE080C02B}"/>
    <cellStyle name="检查单元格 3 3 2" xfId="3198" xr:uid="{753F9F7E-A0BF-4460-8311-D714B6370FA2}"/>
    <cellStyle name="检查单元格 3 3 2 2" xfId="3199" xr:uid="{2C0B3730-6675-48AF-880E-4641C2827EC4}"/>
    <cellStyle name="检查单元格 3 3 3" xfId="3200" xr:uid="{2982A373-BB79-479D-B18E-E7D57C54BE07}"/>
    <cellStyle name="检查单元格 3 4" xfId="3201" xr:uid="{8CFDF234-9A1C-43DD-94CA-1DADEB721520}"/>
    <cellStyle name="检查单元格 3 4 2" xfId="3202" xr:uid="{622194DE-2CBE-409E-9445-5E9F82913450}"/>
    <cellStyle name="检查单元格 3 5" xfId="3203" xr:uid="{D09393E3-1558-421E-9B08-2AD4C7E04DE8}"/>
    <cellStyle name="检查单元格 4" xfId="3204" xr:uid="{EBD45258-6DAB-4209-B223-282E1B1CE400}"/>
    <cellStyle name="检查单元格 4 2" xfId="3205" xr:uid="{C8D9F000-A2F8-4035-B28F-A326D7FC6D9F}"/>
    <cellStyle name="检查单元格 4 2 2" xfId="3206" xr:uid="{D5388518-6E77-4C3C-A8DE-23743CDA37F8}"/>
    <cellStyle name="检查单元格 4 3" xfId="3207" xr:uid="{8CBC4ACC-6F37-4B37-9D0A-534C952BA0E0}"/>
    <cellStyle name="检查单元格 5" xfId="3208" xr:uid="{E4CDBFDC-5166-4A35-A2C4-28B8D3E87029}"/>
    <cellStyle name="检查单元格 5 2" xfId="3209" xr:uid="{9CC3CD77-5A29-4776-8F4A-15E66BA4E0F0}"/>
    <cellStyle name="检查单元格 5 2 2" xfId="3210" xr:uid="{0CF9FF8F-4CF5-478B-A4DB-02DEA4B55447}"/>
    <cellStyle name="检查单元格 5 3" xfId="3211" xr:uid="{43D37870-9B23-436F-BA58-30F9D1B2CF4D}"/>
    <cellStyle name="检查单元格 6" xfId="3212" xr:uid="{05B55F4B-BB60-4CD4-B60E-6E6B768DCC5F}"/>
    <cellStyle name="检查单元格 6 2" xfId="3213" xr:uid="{33B1ABA8-3744-47BC-B2F9-DD7EAAABC82A}"/>
    <cellStyle name="检查单元格 7" xfId="3214" xr:uid="{CACDBAC0-052B-4A61-8F52-5E972E5EC48D}"/>
    <cellStyle name="检查单元格 7 2" xfId="3215" xr:uid="{300A964E-91B7-4F62-BF1C-675ACC220C7B}"/>
    <cellStyle name="检查单元格 8" xfId="3216" xr:uid="{E8DC184F-B83B-439F-9497-9A90128EA5FA}"/>
    <cellStyle name="检查单元格 8 2" xfId="3217" xr:uid="{4D5B13EB-7ECC-4F98-93EE-963D6CBA379D}"/>
    <cellStyle name="检查单元格 9" xfId="3218" xr:uid="{22320A17-81DA-4724-87BB-01DA49325B0E}"/>
    <cellStyle name="汇总 10" xfId="3219" xr:uid="{ED5ADC5A-0172-4725-8E78-5B3C09CC8FF9}"/>
    <cellStyle name="汇总 10 2" xfId="3220" xr:uid="{D7481302-A386-4FA2-A2B7-6CBD68562023}"/>
    <cellStyle name="汇总 11" xfId="3221" xr:uid="{4E433CC1-EE7C-4998-BEFD-2B5D55016F4D}"/>
    <cellStyle name="汇总 11 2" xfId="3222" xr:uid="{CADEDCBA-E70E-4F6A-991D-7C844F414192}"/>
    <cellStyle name="汇总 2" xfId="3223" xr:uid="{6CF06FC6-D59F-430E-8B83-FB2B0D61B6E2}"/>
    <cellStyle name="汇总 2 2" xfId="3224" xr:uid="{2E755453-87C2-4853-93BE-47B4C775E67D}"/>
    <cellStyle name="汇总 2 2 2" xfId="3225" xr:uid="{DC5B0CD1-3EAE-4CFC-B149-942AC983C2F2}"/>
    <cellStyle name="汇总 2 2 2 2" xfId="3226" xr:uid="{7637B972-7E60-468A-879A-5DAEC302FF29}"/>
    <cellStyle name="汇总 2 2 2 2 2" xfId="3227" xr:uid="{B425321C-99BE-4E2E-A496-FCB413FB8023}"/>
    <cellStyle name="汇总 2 2 2 2 2 2" xfId="3228" xr:uid="{FEF2B264-0DB4-4DD5-9C51-1A1E0BDDCEA3}"/>
    <cellStyle name="汇总 2 2 2 2 2 2 2" xfId="3229" xr:uid="{93C02A16-3DB6-4588-A323-0311852E06F0}"/>
    <cellStyle name="汇总 2 2 2 2 2 3" xfId="3230" xr:uid="{ED30B366-E8AB-405E-A524-B6984F79300C}"/>
    <cellStyle name="汇总 2 2 2 2 3" xfId="3231" xr:uid="{B0839B36-A59C-455E-BC6A-F6ED74FA3E0D}"/>
    <cellStyle name="汇总 2 2 2 2 3 2" xfId="3232" xr:uid="{E36B761B-8283-40C1-8035-74AF96548041}"/>
    <cellStyle name="汇总 2 2 2 2 4" xfId="3233" xr:uid="{AB895DD7-B2A4-42ED-AECA-712C57954F3E}"/>
    <cellStyle name="汇总 2 2 2 3" xfId="3234" xr:uid="{BF5AFF48-B7BA-4084-9C0B-8E5708C7EB2C}"/>
    <cellStyle name="汇总 2 2 2 3 2" xfId="3235" xr:uid="{D843B5F6-DC92-419D-9BCA-3CA2E002EA93}"/>
    <cellStyle name="汇总 2 2 2 3 2 2" xfId="3236" xr:uid="{C2DB149C-156A-4FA5-8AE3-308C93FF3C1D}"/>
    <cellStyle name="汇总 2 2 2 3 3" xfId="3237" xr:uid="{6B4C8813-0E7A-4D94-9711-C223CFAC4FC0}"/>
    <cellStyle name="汇总 2 2 2 4" xfId="3238" xr:uid="{69E37445-CB17-4E19-9250-8D7A4F2E512E}"/>
    <cellStyle name="汇总 2 2 2 4 2" xfId="3239" xr:uid="{31032A58-1FCA-411F-B4E2-D38019C8C6A3}"/>
    <cellStyle name="汇总 2 2 2 5" xfId="3240" xr:uid="{6B917437-7C7C-49D8-A607-2658168D4DDF}"/>
    <cellStyle name="汇总 2 2 3" xfId="3241" xr:uid="{D27A79A1-28CB-4748-81A9-46449F686CB9}"/>
    <cellStyle name="汇总 2 2 3 2" xfId="3242" xr:uid="{9795F9D8-45E5-48C2-A5A7-1D163CA41E47}"/>
    <cellStyle name="汇总 2 2 3 2 2" xfId="3243" xr:uid="{4E7D27D3-4A26-44C0-828D-DAAFD88244C8}"/>
    <cellStyle name="汇总 2 2 3 2 2 2" xfId="3244" xr:uid="{8CCC9734-BA61-4BBB-9AD4-3251DA85D78D}"/>
    <cellStyle name="汇总 2 2 3 2 3" xfId="3245" xr:uid="{2CF1D9D7-5112-44D8-AF1D-107217959270}"/>
    <cellStyle name="汇总 2 2 3 3" xfId="3246" xr:uid="{A094BCDD-B8EB-4BAF-AA1C-66B2AC2C7259}"/>
    <cellStyle name="汇总 2 2 3 3 2" xfId="3247" xr:uid="{DCF292EE-3F48-4EFD-9B97-2FD3AE01AA90}"/>
    <cellStyle name="汇总 2 2 3 4" xfId="3248" xr:uid="{28307F22-A58D-42EA-B47B-4C1F747A6638}"/>
    <cellStyle name="汇总 2 2 4" xfId="3249" xr:uid="{4608E87D-FFBE-4A85-8D73-956A98DED8CF}"/>
    <cellStyle name="汇总 2 2 4 2" xfId="3250" xr:uid="{5BE9A6AA-4650-4347-93C8-0631E5570C5C}"/>
    <cellStyle name="汇总 2 2 4 2 2" xfId="3251" xr:uid="{C07A33C8-F26E-4CE7-96B9-C2CA8AAA6BF9}"/>
    <cellStyle name="汇总 2 2 4 3" xfId="3252" xr:uid="{A58479DB-FF87-4037-A97B-0B03380525B7}"/>
    <cellStyle name="汇总 2 2 5" xfId="3253" xr:uid="{51AE7026-7DC2-4F91-8E65-4FBBB85851E9}"/>
    <cellStyle name="汇总 2 2 5 2" xfId="3254" xr:uid="{924AC4B8-27C0-4C70-AC36-BFF104E98EBA}"/>
    <cellStyle name="汇总 2 2 6" xfId="3255" xr:uid="{6C191331-7E8E-4B10-87D3-A12A6FF8072C}"/>
    <cellStyle name="汇总 2 3" xfId="3256" xr:uid="{007FE8EA-D3D4-42F8-8EEB-0EDF5B390F61}"/>
    <cellStyle name="汇总 2 3 2" xfId="3257" xr:uid="{C5322890-8022-4487-ABE8-15ABD63E4D0E}"/>
    <cellStyle name="汇总 2 3 2 2" xfId="3258" xr:uid="{8E2522F1-2524-40D4-ABE1-85E4595AA9A0}"/>
    <cellStyle name="汇总 2 3 2 2 2" xfId="3259" xr:uid="{3F630E02-A859-41A1-BFEB-910CE3EEF220}"/>
    <cellStyle name="汇总 2 3 2 2 2 2" xfId="3260" xr:uid="{F696BF25-C2CC-4AF6-ABD4-89E50C2D865C}"/>
    <cellStyle name="汇总 2 3 2 2 3" xfId="3261" xr:uid="{2283E1A7-8A33-43DA-B9FA-BC3262F92482}"/>
    <cellStyle name="汇总 2 3 2 3" xfId="3262" xr:uid="{782A5880-E58A-43AA-8891-F760E5D37B70}"/>
    <cellStyle name="汇总 2 3 2 3 2" xfId="3263" xr:uid="{4E088E25-D568-4AE8-A1C7-5EA006AFB9FF}"/>
    <cellStyle name="汇总 2 3 2 4" xfId="3264" xr:uid="{53C7A3C2-0529-4644-87FE-EB8A077BC29E}"/>
    <cellStyle name="汇总 2 3 2 4 2" xfId="3265" xr:uid="{AF7755F7-DA8A-4DF0-80B4-6E5AD369CBFB}"/>
    <cellStyle name="汇总 2 3 2 5" xfId="3266" xr:uid="{24FDF7D8-BF0C-459B-925D-C0E4B8224A5C}"/>
    <cellStyle name="汇总 2 3 3" xfId="3267" xr:uid="{5F148516-5F35-4477-B2BE-8F3F90B51A4A}"/>
    <cellStyle name="汇总 2 3 3 2" xfId="3268" xr:uid="{49F51DE7-4E72-4D22-B8DC-4EBB0DC3970C}"/>
    <cellStyle name="汇总 2 3 3 2 2" xfId="3269" xr:uid="{7F0233A8-D71A-4959-85B5-7EE712E945A6}"/>
    <cellStyle name="汇总 2 3 3 3" xfId="3270" xr:uid="{11513751-18A3-4B04-BA52-441A639E7390}"/>
    <cellStyle name="汇总 2 3 4" xfId="3271" xr:uid="{2E99623F-CCA0-4C22-9CF6-0113458A59F3}"/>
    <cellStyle name="汇总 2 3 4 2" xfId="3272" xr:uid="{B5465D00-856F-42CC-A907-BB5DB3BF1FFC}"/>
    <cellStyle name="汇总 2 3 5" xfId="3273" xr:uid="{EAF529F3-A340-4D29-A432-7A22C495ABA2}"/>
    <cellStyle name="汇总 2 3 5 2" xfId="3274" xr:uid="{599F7453-4B21-46D7-B87A-EFB3FCE90478}"/>
    <cellStyle name="汇总 2 3 6" xfId="3275" xr:uid="{88CA5532-1402-4D49-B68E-8940B7FF5F9C}"/>
    <cellStyle name="汇总 2 4" xfId="3276" xr:uid="{6973E6F2-845C-4D0D-9638-84E972FB3206}"/>
    <cellStyle name="汇总 2 4 2" xfId="3277" xr:uid="{03DB19C1-D0BE-4000-A84B-B774AF99D52C}"/>
    <cellStyle name="汇总 2 4 2 2" xfId="3278" xr:uid="{AD174E41-E15C-4144-A73A-0662AE5F2E28}"/>
    <cellStyle name="汇总 2 4 2 2 2" xfId="3279" xr:uid="{1A2AEA69-87D6-4840-A17F-DAEBB40137D8}"/>
    <cellStyle name="汇总 2 4 2 3" xfId="3280" xr:uid="{F8FBA8C9-489F-4686-8BF6-CE837B1BE8B7}"/>
    <cellStyle name="汇总 2 4 3" xfId="3281" xr:uid="{DF04013F-35E4-4866-9A6D-27161BCC333A}"/>
    <cellStyle name="汇总 2 4 3 2" xfId="3282" xr:uid="{786FF858-7A5E-4B18-ACBB-557973A57E83}"/>
    <cellStyle name="汇总 2 4 3 2 2" xfId="3283" xr:uid="{47467D05-84D6-465E-81D0-C2A527351333}"/>
    <cellStyle name="汇总 2 4 3 3" xfId="3284" xr:uid="{852626C5-16DF-4EF4-9714-CF73A6052B0B}"/>
    <cellStyle name="汇总 2 4 4" xfId="3285" xr:uid="{D38D9FD3-437A-4BD5-8FAD-1AF45F65B965}"/>
    <cellStyle name="汇总 2 4 4 2" xfId="3286" xr:uid="{4E020DE0-ADE5-40F4-AE43-FDD549E12C85}"/>
    <cellStyle name="汇总 2 4 5" xfId="3287" xr:uid="{62C8C13F-303C-41C9-9EE3-0392D0F4D1BD}"/>
    <cellStyle name="汇总 2 4 5 2" xfId="3288" xr:uid="{D7C89325-4219-4750-9319-0F41E63D8B6D}"/>
    <cellStyle name="汇总 2 4 6" xfId="3289" xr:uid="{E342F1C7-7F3F-49C0-8C1D-FD10468E5426}"/>
    <cellStyle name="汇总 2 5" xfId="3290" xr:uid="{C18D0803-F612-438C-BD3C-44CEE24EC3FB}"/>
    <cellStyle name="汇总 2 5 2" xfId="3291" xr:uid="{45BF4BCC-E08C-46ED-8FC9-231FB70816C7}"/>
    <cellStyle name="汇总 2 5 2 2" xfId="3292" xr:uid="{AF1CB6C1-60DE-4893-B737-82CD95F0A9BD}"/>
    <cellStyle name="汇总 2 5 3" xfId="3293" xr:uid="{1BAFAE81-C640-4705-B116-92369B03C11E}"/>
    <cellStyle name="汇总 2 6" xfId="3294" xr:uid="{198A04DC-8902-4480-A22E-5D54C4C87350}"/>
    <cellStyle name="汇总 2 6 2" xfId="3295" xr:uid="{1AE25CEB-9630-4982-AC50-4C3B08EE6242}"/>
    <cellStyle name="汇总 2 7" xfId="3296" xr:uid="{5ECB50FE-20BC-41BE-BE8C-32A353BE2331}"/>
    <cellStyle name="汇总 2 7 2" xfId="3297" xr:uid="{67E41C8B-5DE1-4768-B404-043EACEC1BB4}"/>
    <cellStyle name="汇总 2 8" xfId="3298" xr:uid="{07F8D2B7-60CC-4FEB-81CB-ADFE537164CB}"/>
    <cellStyle name="汇总 3" xfId="3299" xr:uid="{5961461C-D3A0-4873-8E0F-B50DAA190CC3}"/>
    <cellStyle name="汇总 3 2" xfId="3300" xr:uid="{3B36A253-10F6-44BD-8B37-6884B128DBA7}"/>
    <cellStyle name="汇总 3 2 2" xfId="3301" xr:uid="{59700F1E-FC0A-49CB-9A25-9DC42B331930}"/>
    <cellStyle name="汇总 3 2 2 2" xfId="3302" xr:uid="{7444F85C-2526-4081-A91E-C98231D132CE}"/>
    <cellStyle name="汇总 3 2 2 2 2" xfId="3303" xr:uid="{E3938601-15CA-48D7-9E7E-B430C87DDA49}"/>
    <cellStyle name="汇总 3 2 2 2 2 2" xfId="3304" xr:uid="{B55BA97C-1DDE-472A-9F50-695C1B21EE0A}"/>
    <cellStyle name="汇总 3 2 2 2 2 2 2" xfId="3305" xr:uid="{E9350BBA-6792-4E1D-8FAE-E34EC24280CD}"/>
    <cellStyle name="汇总 3 2 2 2 2 3" xfId="3306" xr:uid="{B78F1C64-794C-4172-8B6A-77086372FFC2}"/>
    <cellStyle name="汇总 3 2 2 2 3" xfId="3307" xr:uid="{AD343D4E-80CD-4537-983E-7ABAD49EE7A9}"/>
    <cellStyle name="汇总 3 2 2 2 3 2" xfId="3308" xr:uid="{94A277B6-9ADE-43C7-82F8-D3CD6961BC2D}"/>
    <cellStyle name="汇总 3 2 2 2 4" xfId="3309" xr:uid="{C19B9769-69DB-4C03-836A-11444242023E}"/>
    <cellStyle name="汇总 3 2 2 3" xfId="3310" xr:uid="{7C06612C-404A-4B40-8CAC-190B7267396F}"/>
    <cellStyle name="汇总 3 2 2 3 2" xfId="3311" xr:uid="{55EEEEC6-28FA-41B1-9356-0282675D5A78}"/>
    <cellStyle name="汇总 3 2 2 3 2 2" xfId="3312" xr:uid="{457F2A8D-625B-429A-AE0C-3C79D0382145}"/>
    <cellStyle name="汇总 3 2 2 3 3" xfId="3313" xr:uid="{B5A16630-007B-4E0C-A32F-13F44C6281D8}"/>
    <cellStyle name="汇总 3 2 2 4" xfId="3314" xr:uid="{AA4B993F-9E7B-4A6E-92AC-C75B5B322D2D}"/>
    <cellStyle name="汇总 3 2 2 4 2" xfId="3315" xr:uid="{05A78D6E-0632-42BA-A869-5A33DFA70636}"/>
    <cellStyle name="汇总 3 2 2 5" xfId="3316" xr:uid="{C84EC481-0D0B-4FA4-9328-B57178B0945D}"/>
    <cellStyle name="汇总 3 2 3" xfId="3317" xr:uid="{FD34A295-BE42-4476-A591-118670B3C232}"/>
    <cellStyle name="汇总 3 2 3 2" xfId="3318" xr:uid="{AE334CC5-1AA8-4BE0-ACDF-7892285E2A1A}"/>
    <cellStyle name="汇总 3 2 3 2 2" xfId="3319" xr:uid="{A9DB74E3-750A-4454-A647-47E5E0DC86FC}"/>
    <cellStyle name="汇总 3 2 3 2 2 2" xfId="3320" xr:uid="{C226D20B-A420-4F0B-A3A3-5EB9265C3655}"/>
    <cellStyle name="汇总 3 2 3 2 3" xfId="3321" xr:uid="{D0E24D02-62DA-49DF-88DB-41928B003C7C}"/>
    <cellStyle name="汇总 3 2 3 3" xfId="3322" xr:uid="{A55AEF34-8794-4567-8091-80B108F07C11}"/>
    <cellStyle name="汇总 3 2 3 3 2" xfId="3323" xr:uid="{2CA307AE-CBD6-467C-B48C-C0E352528238}"/>
    <cellStyle name="汇总 3 2 3 4" xfId="3324" xr:uid="{9224BCED-EC6D-4331-8009-BAEF5E46DB12}"/>
    <cellStyle name="汇总 3 2 4" xfId="3325" xr:uid="{23581A89-403B-474E-9273-27BB25BF9C82}"/>
    <cellStyle name="汇总 3 2 4 2" xfId="3326" xr:uid="{90D1D232-9FBC-43C9-BD8E-F772A3D661C3}"/>
    <cellStyle name="汇总 3 2 4 2 2" xfId="3327" xr:uid="{BB2B39E2-949D-4EDA-B632-EA987CDB067D}"/>
    <cellStyle name="汇总 3 2 4 3" xfId="3328" xr:uid="{B86217CF-14E3-4990-9204-EA0DF1F95168}"/>
    <cellStyle name="汇总 3 2 5" xfId="3329" xr:uid="{E2C8D47C-273F-4667-A165-AE605C449680}"/>
    <cellStyle name="汇总 3 2 5 2" xfId="3330" xr:uid="{A1A76610-110C-448F-BAC1-6C0BCFE9A01D}"/>
    <cellStyle name="汇总 3 2 6" xfId="3331" xr:uid="{4910D213-D260-42A6-BEB4-AA0253E82A60}"/>
    <cellStyle name="汇总 3 3" xfId="3332" xr:uid="{FF653459-9AFB-4244-9753-2BFAB3333438}"/>
    <cellStyle name="汇总 3 3 2" xfId="3333" xr:uid="{5A3CAA52-E7EC-4E92-80DE-61F5ED31765D}"/>
    <cellStyle name="汇总 3 3 2 2" xfId="3334" xr:uid="{D5A3E481-8507-423B-A521-F08972E754F5}"/>
    <cellStyle name="汇总 3 3 2 2 2" xfId="3335" xr:uid="{9EC98215-5F63-4743-8A64-ECDD6994F6A8}"/>
    <cellStyle name="汇总 3 3 2 3" xfId="3336" xr:uid="{C2F68B97-0A22-40A9-AE78-B719D441D781}"/>
    <cellStyle name="汇总 3 3 3" xfId="3337" xr:uid="{9AF54277-2E18-4E82-9CD5-5C96409622EF}"/>
    <cellStyle name="汇总 3 3 3 2" xfId="3338" xr:uid="{90F04731-5596-4107-829D-3CC21B1B76DC}"/>
    <cellStyle name="汇总 3 3 4" xfId="3339" xr:uid="{26C82FE2-8526-47FB-90FF-820D4D043DC1}"/>
    <cellStyle name="汇总 3 4" xfId="3340" xr:uid="{1C68E05A-38FF-4375-8A4B-DB800BFB50AC}"/>
    <cellStyle name="汇总 3 4 2" xfId="3341" xr:uid="{45A4AFF5-63BC-4C16-B4BF-A61939E0854E}"/>
    <cellStyle name="汇总 3 4 2 2" xfId="3342" xr:uid="{AAC4DBA4-6771-4001-AEE6-0041EE842ECB}"/>
    <cellStyle name="汇总 3 4 3" xfId="3343" xr:uid="{56997D17-807F-470E-87D8-804B04556DB9}"/>
    <cellStyle name="汇总 3 5" xfId="3344" xr:uid="{4011EEA7-A37B-4D03-BBBF-43AB8B7E7E63}"/>
    <cellStyle name="汇总 3 5 2" xfId="3345" xr:uid="{9BD0DAA1-1496-4D66-9A1E-86D27A44EC52}"/>
    <cellStyle name="汇总 3 6" xfId="3346" xr:uid="{DC0F829A-95D9-4E3F-8846-59E4724258FE}"/>
    <cellStyle name="汇总 4" xfId="3347" xr:uid="{0E2AF50F-8DDD-416F-B318-6FC8239FC990}"/>
    <cellStyle name="汇总 4 2" xfId="3348" xr:uid="{AA72C99F-9590-455E-A7E8-909AEF03F330}"/>
    <cellStyle name="汇总 4 2 2" xfId="3349" xr:uid="{B1A3A442-D1C7-48B4-A927-8042F5EF4E50}"/>
    <cellStyle name="汇总 4 2 2 2" xfId="3350" xr:uid="{743C8145-FC48-4B5E-B2B4-82C6C87875A9}"/>
    <cellStyle name="汇总 4 2 3" xfId="3351" xr:uid="{0CD7B208-BDB8-49E5-80E6-048533DFFF2F}"/>
    <cellStyle name="汇总 4 3" xfId="3352" xr:uid="{8BCDA393-B83C-4725-B1B2-779F564BA12F}"/>
    <cellStyle name="汇总 4 3 2" xfId="3353" xr:uid="{79C5FFAC-FB51-43BA-818A-5433534D257B}"/>
    <cellStyle name="汇总 4 4" xfId="3354" xr:uid="{BED7CDF8-51E1-426F-B766-1D77E3F1B6E0}"/>
    <cellStyle name="汇总 5" xfId="3355" xr:uid="{76143EC6-66B2-4BC9-9C26-2BEA000FC27F}"/>
    <cellStyle name="汇总 5 2" xfId="3356" xr:uid="{C68313FD-DAF1-45BB-8461-A399CEAD750B}"/>
    <cellStyle name="汇总 5 2 2" xfId="3357" xr:uid="{10C3EDC5-3D59-4290-AB1A-586E293628C9}"/>
    <cellStyle name="汇总 5 2 2 2" xfId="3358" xr:uid="{048E87E0-95A3-48B6-8374-F508262FB1F7}"/>
    <cellStyle name="汇总 5 2 3" xfId="3359" xr:uid="{9F0C34B1-FF72-40A2-BA91-A349D6835F0A}"/>
    <cellStyle name="汇总 5 3" xfId="3360" xr:uid="{9AAC6911-B181-4094-886A-0F6426409F90}"/>
    <cellStyle name="汇总 5 3 2" xfId="3361" xr:uid="{44FA3B3E-B3E8-4676-9687-AFE4AD5F3422}"/>
    <cellStyle name="汇总 5 4" xfId="3362" xr:uid="{513A244F-E78B-4562-A2BB-DFD0BFA320F1}"/>
    <cellStyle name="汇总 6" xfId="3363" xr:uid="{CDD2562E-A688-4292-AE66-C158E6907BAB}"/>
    <cellStyle name="汇总 6 2" xfId="3364" xr:uid="{183CD1F7-2CFD-40DC-8D1A-5591BD18F496}"/>
    <cellStyle name="汇总 6 2 2" xfId="3365" xr:uid="{8B82780B-6AA5-4566-B58F-4C8BA64A3EA3}"/>
    <cellStyle name="汇总 6 3" xfId="3366" xr:uid="{CD02174F-17ED-43D5-BFEE-7E5DB4E2BE8C}"/>
    <cellStyle name="汇总 7" xfId="3367" xr:uid="{8B49A47D-CDED-43CE-8907-C01548770EEE}"/>
    <cellStyle name="汇总 7 2" xfId="3368" xr:uid="{AFCDC5FC-3E6E-4074-9F05-1AA20E8DD071}"/>
    <cellStyle name="汇总 7 2 2" xfId="3369" xr:uid="{AF772B82-311C-408D-BF23-E8439E210CAF}"/>
    <cellStyle name="汇总 7 3" xfId="3370" xr:uid="{E69D08FC-6DE2-476A-9640-5170884E3EF3}"/>
    <cellStyle name="汇总 8" xfId="3371" xr:uid="{6F3637BC-ABB5-4220-877E-953513312DB1}"/>
    <cellStyle name="汇总 8 2" xfId="3372" xr:uid="{16FE7444-0F5A-43C0-BF99-0D086669D5B9}"/>
    <cellStyle name="汇总 8 2 2" xfId="3373" xr:uid="{E5EBBF74-8045-44E9-B32C-134285EEBD0F}"/>
    <cellStyle name="汇总 8 3" xfId="3374" xr:uid="{39A62A60-C87A-4D04-80CF-6F5F0918045A}"/>
    <cellStyle name="汇总 9" xfId="3375" xr:uid="{FF7601E1-02EE-4781-A31B-F7E4B6BF85FB}"/>
    <cellStyle name="汇总 9 2" xfId="3376" xr:uid="{40E1EE6C-BD1D-4C2E-98D0-8E75EC6D46B2}"/>
    <cellStyle name="注释 2" xfId="45" xr:uid="{AAD5CC1C-A84B-4A29-A517-5051467DA2E9}"/>
    <cellStyle name="注释 2 2" xfId="72" xr:uid="{74C7B0D8-D0F8-4B04-8B96-405632114842}"/>
    <cellStyle name="烹拳 [0]_97MBO" xfId="3377" xr:uid="{A00DDB0A-69C1-4F63-906D-AD918D5523FA}"/>
    <cellStyle name="烹拳_97MBO" xfId="3378" xr:uid="{A704F1C7-D4E9-478E-8D74-63FCDC43A284}"/>
    <cellStyle name="解释性文本 10" xfId="3379" xr:uid="{F0653AEB-BD00-4D37-858B-D4B7C0012E0F}"/>
    <cellStyle name="解释性文本 11" xfId="3380" xr:uid="{5E50E6C5-E3E7-4BD4-B029-D10ABEEFCD3C}"/>
    <cellStyle name="解释性文本 2" xfId="3381" xr:uid="{1D6155D0-015B-4355-AC4A-D61239007062}"/>
    <cellStyle name="解释性文本 2 2" xfId="3382" xr:uid="{1A829002-6B6A-4064-81AF-088D0731AE09}"/>
    <cellStyle name="解释性文本 2 2 2" xfId="3383" xr:uid="{A7647AF0-36E2-4116-A468-D0AC9B642D51}"/>
    <cellStyle name="解释性文本 2 2 2 2" xfId="3384" xr:uid="{A89E08B0-BDF8-4A9C-B124-8274B03F0852}"/>
    <cellStyle name="解释性文本 2 2 2 2 2" xfId="3385" xr:uid="{5E3BA0EF-2394-40C7-BE9C-22B1F4A6CB66}"/>
    <cellStyle name="解释性文本 2 2 2 2 2 2" xfId="3386" xr:uid="{B1C27FE7-C299-4F64-8AE3-C0F7104B3B37}"/>
    <cellStyle name="解释性文本 2 2 2 2 3" xfId="3387" xr:uid="{A22026F7-91E3-4B9C-ABB6-59B4808A54A8}"/>
    <cellStyle name="解释性文本 2 2 2 3" xfId="3388" xr:uid="{E8E30CD3-2CA5-40E6-90BA-714C28015A3A}"/>
    <cellStyle name="解释性文本 2 2 2 3 2" xfId="3389" xr:uid="{20D87F97-BB67-48A1-B019-E5B41CC55FF0}"/>
    <cellStyle name="解释性文本 2 2 2 4" xfId="3390" xr:uid="{2359FA5B-29B1-4BFC-8CB4-456487111B0B}"/>
    <cellStyle name="解释性文本 2 2 3" xfId="3391" xr:uid="{44BD39F5-4012-47AD-81EE-951D79F7F983}"/>
    <cellStyle name="解释性文本 2 2 3 2" xfId="3392" xr:uid="{3358388A-ADA2-496D-A352-8866EB005973}"/>
    <cellStyle name="解释性文本 2 2 3 2 2" xfId="3393" xr:uid="{DF4B407C-BED7-4609-B03F-96958650D2B9}"/>
    <cellStyle name="解释性文本 2 2 3 3" xfId="3394" xr:uid="{69E8BEF1-A272-4D76-8D80-3DD050C9C731}"/>
    <cellStyle name="解释性文本 2 2 4" xfId="3395" xr:uid="{72EBB176-AAE6-495C-B473-92DB9B90E0CE}"/>
    <cellStyle name="解释性文本 2 2 4 2" xfId="3396" xr:uid="{07ACA840-8911-4962-816A-BF299478A1BA}"/>
    <cellStyle name="解释性文本 2 2 5" xfId="3397" xr:uid="{BEA87156-9D55-4050-9D94-D951C3A99655}"/>
    <cellStyle name="解释性文本 2 3" xfId="3398" xr:uid="{7BCE3D3C-5F83-4E7C-8E24-56193FD02520}"/>
    <cellStyle name="解释性文本 2 3 2" xfId="3399" xr:uid="{A8497860-0295-4DDB-8EDF-F4C3C59D7C1A}"/>
    <cellStyle name="解释性文本 2 3 2 2" xfId="3400" xr:uid="{AAACFC4E-06ED-4BE5-A943-62EB303A9096}"/>
    <cellStyle name="解释性文本 2 3 3" xfId="3401" xr:uid="{5C68BECB-8850-4422-AA0A-A5AF364F202B}"/>
    <cellStyle name="解释性文本 2 4" xfId="3402" xr:uid="{C5D51583-3C31-4661-951E-06C04E248680}"/>
    <cellStyle name="解释性文本 2 4 2" xfId="3403" xr:uid="{7F91E50F-4960-40C6-8A80-9E11D6D1A71D}"/>
    <cellStyle name="解释性文本 2 5" xfId="3404" xr:uid="{74E2CC6C-20BF-4909-89EE-6CB2A42C7D86}"/>
    <cellStyle name="解释性文本 3" xfId="3405" xr:uid="{E3EFB67A-58C6-4D17-8175-FCA2D18C87D7}"/>
    <cellStyle name="解释性文本 3 2" xfId="3406" xr:uid="{EA2D16C4-6494-4219-888B-4C3A4BFCA554}"/>
    <cellStyle name="解释性文本 3 2 2" xfId="3407" xr:uid="{5EFEB787-F457-4989-B620-DF103C03DCEF}"/>
    <cellStyle name="解释性文本 3 2 2 2" xfId="3408" xr:uid="{747F6ED1-F47C-45EC-9120-9797E2DE4180}"/>
    <cellStyle name="解释性文本 3 2 2 2 2" xfId="3409" xr:uid="{CF1DD54E-0663-420E-A444-09FC39A9C687}"/>
    <cellStyle name="解释性文本 3 2 2 2 2 2" xfId="3410" xr:uid="{AE1F9224-37A4-4C9D-95A5-315D01E7F33D}"/>
    <cellStyle name="解释性文本 3 2 2 2 3" xfId="3411" xr:uid="{0B69D8E7-F3F8-4FB0-A176-2797B71624E2}"/>
    <cellStyle name="解释性文本 3 2 2 3" xfId="3412" xr:uid="{F05730DF-8AB8-4D09-B880-930DC02179F1}"/>
    <cellStyle name="解释性文本 3 2 2 3 2" xfId="3413" xr:uid="{B75471C9-B9A2-4E30-A147-C5850B11B608}"/>
    <cellStyle name="解释性文本 3 2 2 4" xfId="3414" xr:uid="{5FC64940-426A-481C-9D8E-85A84F28CFAB}"/>
    <cellStyle name="解释性文本 3 2 3" xfId="3415" xr:uid="{2A421A8D-BB90-48A5-9791-5B3A158C2FA8}"/>
    <cellStyle name="解释性文本 3 2 3 2" xfId="3416" xr:uid="{A495E3EF-43E8-40FE-A3C6-613A0F43B54C}"/>
    <cellStyle name="解释性文本 3 2 3 2 2" xfId="3417" xr:uid="{14C8358C-6CB5-49DC-B41D-CB59599E6B26}"/>
    <cellStyle name="解释性文本 3 2 3 3" xfId="3418" xr:uid="{5025D9CA-B65D-4BA4-8736-DA7B51729AE9}"/>
    <cellStyle name="解释性文本 3 2 4" xfId="3419" xr:uid="{F369137A-969E-41A4-8753-A6461C6A35DE}"/>
    <cellStyle name="解释性文本 3 2 4 2" xfId="3420" xr:uid="{C67CC102-1E4B-42B6-822E-3CBCCB4018AC}"/>
    <cellStyle name="解释性文本 3 2 5" xfId="3421" xr:uid="{D4133D50-2C4E-4E1D-9964-DD2C306767F4}"/>
    <cellStyle name="解释性文本 3 3" xfId="3422" xr:uid="{B7592495-BFE7-4E13-8EAE-AD802541C4EB}"/>
    <cellStyle name="解释性文本 3 3 2" xfId="3423" xr:uid="{896C63A3-8AFA-4CB9-A4E4-7C0BF1E7D26D}"/>
    <cellStyle name="解释性文本 3 3 2 2" xfId="3424" xr:uid="{22CF3914-F33C-479E-AF52-A98525464436}"/>
    <cellStyle name="解释性文本 3 3 3" xfId="3425" xr:uid="{D8414627-241C-4FE8-921F-B3E59CE7E3BB}"/>
    <cellStyle name="解释性文本 3 4" xfId="3426" xr:uid="{01732194-E0F8-46FA-A144-3EEB46A6DD41}"/>
    <cellStyle name="解释性文本 3 4 2" xfId="3427" xr:uid="{AD86F8E2-E333-4098-8BFB-3CEC2ECEA4F0}"/>
    <cellStyle name="解释性文本 3 5" xfId="3428" xr:uid="{77BCBE0F-E49B-4F13-A111-DA654C23FB89}"/>
    <cellStyle name="解释性文本 4" xfId="3429" xr:uid="{4ECDAACD-48C3-4F63-A581-834768917C36}"/>
    <cellStyle name="解释性文本 4 2" xfId="3430" xr:uid="{929D373D-E7B6-4147-B978-B0E9C939E705}"/>
    <cellStyle name="解释性文本 4 2 2" xfId="3431" xr:uid="{E0FF96E3-1C98-4615-BABB-3E5386F9A1BD}"/>
    <cellStyle name="解释性文本 4 3" xfId="3432" xr:uid="{58806B87-6213-4C16-9645-A6EA3FCB85A0}"/>
    <cellStyle name="解释性文本 5" xfId="3433" xr:uid="{F4FAECDD-A063-43AF-AD26-1BA1CD0FCA9C}"/>
    <cellStyle name="解释性文本 5 2" xfId="3434" xr:uid="{DB46C0DA-8470-48E7-B77E-45CF72DFD8C7}"/>
    <cellStyle name="解释性文本 5 2 2" xfId="3435" xr:uid="{5732A06E-8F07-42FA-A227-CFBE2B8466DB}"/>
    <cellStyle name="解释性文本 5 3" xfId="3436" xr:uid="{C1CF6E66-2167-458D-9265-80C29FDCA1F0}"/>
    <cellStyle name="解释性文本 6" xfId="3437" xr:uid="{4B507A4B-B834-4B34-9547-7F25EF2AB925}"/>
    <cellStyle name="解释性文本 6 2" xfId="3438" xr:uid="{32A20CF8-AAA9-4C88-A1EE-8F6B152157C7}"/>
    <cellStyle name="解释性文本 7" xfId="3439" xr:uid="{7BE535DA-6CCC-4353-9379-572798490437}"/>
    <cellStyle name="解释性文本 7 2" xfId="3440" xr:uid="{C4C8B4CA-A506-43A6-A362-B696345F4BEF}"/>
    <cellStyle name="解释性文本 8" xfId="3441" xr:uid="{A524A96B-EC93-4C46-87DF-EEC9DFB5F530}"/>
    <cellStyle name="解释性文本 8 2" xfId="3442" xr:uid="{FE494B66-B4C5-4C81-9A81-1F29A17A9606}"/>
    <cellStyle name="解释性文本 9" xfId="3443" xr:uid="{884C2990-3482-42D2-B384-2318FF3C3890}"/>
    <cellStyle name="警告文本 10" xfId="3444" xr:uid="{73B86E81-09AF-4CDE-8090-4C87306746AD}"/>
    <cellStyle name="警告文本 11" xfId="3445" xr:uid="{0E893EC6-F012-49DA-BFA3-9A67E7A5084A}"/>
    <cellStyle name="警告文本 2" xfId="3446" xr:uid="{B0604638-460D-4E2F-B5B6-4BA0EA92D547}"/>
    <cellStyle name="警告文本 2 2" xfId="3447" xr:uid="{E2CC23C1-5774-4D1F-871A-6AF6277F2523}"/>
    <cellStyle name="警告文本 2 2 2" xfId="3448" xr:uid="{7C2AC0A2-9ED4-4FD8-AC24-289E9253545A}"/>
    <cellStyle name="警告文本 2 2 2 2" xfId="3449" xr:uid="{0D9EA01B-F926-42F7-ADD3-8F87D77811ED}"/>
    <cellStyle name="警告文本 2 2 2 2 2" xfId="3450" xr:uid="{9E0A5624-1A0E-4A33-A114-A7990237801E}"/>
    <cellStyle name="警告文本 2 2 2 2 2 2" xfId="3451" xr:uid="{845BB275-17D2-4EFB-B83E-8B718EFD37F1}"/>
    <cellStyle name="警告文本 2 2 2 2 3" xfId="3452" xr:uid="{57713B00-B0DE-44F5-AA34-98F62AD88B58}"/>
    <cellStyle name="警告文本 2 2 2 3" xfId="3453" xr:uid="{FCFE03DE-A24B-4ABB-A355-E3008051B25E}"/>
    <cellStyle name="警告文本 2 2 2 3 2" xfId="3454" xr:uid="{C2E8CB79-CB1E-41A1-A51B-381D13970759}"/>
    <cellStyle name="警告文本 2 2 2 4" xfId="3455" xr:uid="{1C537B25-7EFC-4B61-AC8D-A6294828A031}"/>
    <cellStyle name="警告文本 2 2 3" xfId="3456" xr:uid="{9499B96B-2AA7-4435-8F49-5A56309C5938}"/>
    <cellStyle name="警告文本 2 2 3 2" xfId="3457" xr:uid="{BAE19CC5-E51F-475A-BAC3-46D747C2D853}"/>
    <cellStyle name="警告文本 2 2 3 2 2" xfId="3458" xr:uid="{FDC2C861-4985-481A-A7B2-1DF3DA525611}"/>
    <cellStyle name="警告文本 2 2 3 3" xfId="3459" xr:uid="{1BB7AA2C-EC10-4347-B04C-466C03F1E8E4}"/>
    <cellStyle name="警告文本 2 2 4" xfId="3460" xr:uid="{44A608BF-33D3-48A9-93BD-BA9C68322F2A}"/>
    <cellStyle name="警告文本 2 2 4 2" xfId="3461" xr:uid="{14B2067B-0134-44A5-A8D4-F992DB760BDF}"/>
    <cellStyle name="警告文本 2 2 5" xfId="3462" xr:uid="{ECD0155B-CE53-4C25-9A10-C22A8D87D572}"/>
    <cellStyle name="警告文本 2 3" xfId="3463" xr:uid="{CEC7F3C5-9505-4D83-9311-BDB4477A7A9A}"/>
    <cellStyle name="警告文本 2 3 2" xfId="3464" xr:uid="{3B7C3614-D731-4B3D-A716-36ECDED3737D}"/>
    <cellStyle name="警告文本 2 3 2 2" xfId="3465" xr:uid="{EE715421-13A6-4528-A75C-92A56E5DD2C7}"/>
    <cellStyle name="警告文本 2 3 3" xfId="3466" xr:uid="{BAB530DB-5DBD-45D0-8D0D-3E160B44E329}"/>
    <cellStyle name="警告文本 2 4" xfId="3467" xr:uid="{F882C905-3D74-4351-A884-DE573A16CB4C}"/>
    <cellStyle name="警告文本 2 4 2" xfId="3468" xr:uid="{4B3E7986-1C40-46FA-94C0-D783839E55B9}"/>
    <cellStyle name="警告文本 2 5" xfId="3469" xr:uid="{C8D70729-94A1-47EF-A90E-3189F1231EF1}"/>
    <cellStyle name="警告文本 3" xfId="3470" xr:uid="{777B37A5-431E-40B8-A710-13E07E865C35}"/>
    <cellStyle name="警告文本 3 2" xfId="3471" xr:uid="{F4193284-B6C5-4CA2-B116-254BD133A5C1}"/>
    <cellStyle name="警告文本 3 2 2" xfId="3472" xr:uid="{273E9151-86BE-4ABA-9A51-83A040D2C630}"/>
    <cellStyle name="警告文本 3 2 2 2" xfId="3473" xr:uid="{93C8A57F-89E4-4AE3-B85B-6B16E70E7B69}"/>
    <cellStyle name="警告文本 3 2 2 2 2" xfId="3474" xr:uid="{68F7B932-1E95-4CB4-9757-A8DD17DDB865}"/>
    <cellStyle name="警告文本 3 2 2 2 2 2" xfId="3475" xr:uid="{D7D93654-1DE9-4A7A-94DA-FF389C1840B3}"/>
    <cellStyle name="警告文本 3 2 2 2 3" xfId="3476" xr:uid="{9F00A6EC-95CC-4F0D-916A-8110FB5FA8DD}"/>
    <cellStyle name="警告文本 3 2 2 3" xfId="3477" xr:uid="{1504CE3A-C3AF-40DF-AC7C-343361D12F60}"/>
    <cellStyle name="警告文本 3 2 2 3 2" xfId="3478" xr:uid="{80D65527-B727-4374-A2A6-7315EA673E08}"/>
    <cellStyle name="警告文本 3 2 2 4" xfId="3479" xr:uid="{22A6E0BA-31A5-4A0B-BA78-5DCA527A2C28}"/>
    <cellStyle name="警告文本 3 2 3" xfId="3480" xr:uid="{A3890001-5418-4E58-8871-8288B5CEB9E9}"/>
    <cellStyle name="警告文本 3 2 3 2" xfId="3481" xr:uid="{EF879F1E-3860-482B-99F5-5E8FE1243712}"/>
    <cellStyle name="警告文本 3 2 3 2 2" xfId="3482" xr:uid="{79E2A988-3FFB-45AD-BA62-DDF85B74CD75}"/>
    <cellStyle name="警告文本 3 2 3 3" xfId="3483" xr:uid="{57758255-B38E-4D17-90B0-594278D9756B}"/>
    <cellStyle name="警告文本 3 2 4" xfId="3484" xr:uid="{70B1A152-77E8-4753-9164-56B4006DC9FC}"/>
    <cellStyle name="警告文本 3 2 4 2" xfId="3485" xr:uid="{208C6C29-22E2-4102-B132-F4EF52BB869E}"/>
    <cellStyle name="警告文本 3 2 5" xfId="3486" xr:uid="{F6493527-FF35-432F-AFEC-4B3DE8424841}"/>
    <cellStyle name="警告文本 3 3" xfId="3487" xr:uid="{EF4ADBED-CF0F-4DD9-B98C-655B763C9CF5}"/>
    <cellStyle name="警告文本 3 3 2" xfId="3488" xr:uid="{D1730584-8847-4B5D-82D4-AEC43671EE17}"/>
    <cellStyle name="警告文本 3 3 2 2" xfId="3489" xr:uid="{4F03C821-B8E5-41AA-8AD5-344C3AFE2A34}"/>
    <cellStyle name="警告文本 3 3 3" xfId="3490" xr:uid="{CB43054C-B949-4E5B-91FF-D69A86EFFB9F}"/>
    <cellStyle name="警告文本 3 4" xfId="3491" xr:uid="{4E139DA4-720F-4509-A7DD-C907F750FD5B}"/>
    <cellStyle name="警告文本 3 4 2" xfId="3492" xr:uid="{404D4F12-128E-4187-8D8D-BB95CB7A899A}"/>
    <cellStyle name="警告文本 3 5" xfId="3493" xr:uid="{3E479A50-93A4-4BA2-AB50-CABB1EC0A38E}"/>
    <cellStyle name="警告文本 4" xfId="3494" xr:uid="{3AFB4C81-56C6-4FE9-A8CE-35842B220363}"/>
    <cellStyle name="警告文本 4 2" xfId="3495" xr:uid="{889A15DD-8DA1-4D43-BF0D-87F675754419}"/>
    <cellStyle name="警告文本 4 2 2" xfId="3496" xr:uid="{14377409-5DF1-41AC-8FB7-6CE558E50865}"/>
    <cellStyle name="警告文本 4 3" xfId="3497" xr:uid="{B47831E4-18B1-4AC7-9D02-F2FC3CB30CB7}"/>
    <cellStyle name="警告文本 5" xfId="3498" xr:uid="{C44515F0-602B-458C-8F1B-3CC8FAC62B60}"/>
    <cellStyle name="警告文本 5 2" xfId="3499" xr:uid="{F9E54068-9D8C-4AD2-BBBC-DF1D01EAA3EF}"/>
    <cellStyle name="警告文本 5 2 2" xfId="3500" xr:uid="{3A39377C-ADFD-4330-9E6D-71841B6AF518}"/>
    <cellStyle name="警告文本 5 3" xfId="3501" xr:uid="{FBCFF6D6-7523-4AD1-8700-E84DF21A4F30}"/>
    <cellStyle name="警告文本 6" xfId="3502" xr:uid="{F8A949FC-F3B1-4DE6-B8E2-BF9EDE2F8B1D}"/>
    <cellStyle name="警告文本 6 2" xfId="3503" xr:uid="{0763B190-EB74-4C77-96BD-76A0E7F912A3}"/>
    <cellStyle name="警告文本 7" xfId="3504" xr:uid="{5121FBF9-6CE0-41D1-8ACA-F05F6F2353C6}"/>
    <cellStyle name="警告文本 7 2" xfId="3505" xr:uid="{BDE107DD-8FA1-4A5D-9858-A40A908EF829}"/>
    <cellStyle name="警告文本 8" xfId="3506" xr:uid="{6A74BDA0-7FBA-4A20-8B30-863EAC61920A}"/>
    <cellStyle name="警告文本 8 2" xfId="3507" xr:uid="{86A36C69-DBC9-44D2-8450-1BC090FCDF60}"/>
    <cellStyle name="警告文本 9" xfId="3508" xr:uid="{1E7DC83A-0B4A-44AA-8A76-BDE9A0B5FB3B}"/>
    <cellStyle name="计算 10" xfId="3509" xr:uid="{13720730-9749-431B-A48E-BA4047D223A6}"/>
    <cellStyle name="计算 10 2" xfId="3510" xr:uid="{30140B29-12A6-4FBB-A2C4-1947EB774E96}"/>
    <cellStyle name="计算 11" xfId="3511" xr:uid="{6A56697C-9177-4A41-93A0-BA97CAB11559}"/>
    <cellStyle name="计算 11 2" xfId="3512" xr:uid="{BEB37E34-38C6-41D2-8456-779E5152691A}"/>
    <cellStyle name="计算 2" xfId="3513" xr:uid="{048654FD-F5DD-4A19-83AF-89A0349A1733}"/>
    <cellStyle name="计算 2 10" xfId="3514" xr:uid="{600B3641-3237-4B0F-B35B-F32FA8107E0D}"/>
    <cellStyle name="计算 2 2" xfId="3515" xr:uid="{162B0C56-16CA-4B4A-AE2A-5244C3200B61}"/>
    <cellStyle name="计算 2 2 2" xfId="3516" xr:uid="{2003E72F-A88E-4B41-8F96-4F4C12D17A0E}"/>
    <cellStyle name="计算 2 2 2 2" xfId="3517" xr:uid="{37795B04-0189-47DF-A3D8-62B1D66C8EDE}"/>
    <cellStyle name="计算 2 2 2 2 2" xfId="3518" xr:uid="{748D6884-18E6-432E-8E92-E1435ED8EC60}"/>
    <cellStyle name="计算 2 2 2 2 2 2" xfId="3519" xr:uid="{2D60F4E1-26D6-44A1-9752-2BC2D7AA7D05}"/>
    <cellStyle name="计算 2 2 2 2 2 2 2" xfId="3520" xr:uid="{53A9C365-8DB3-4078-9A65-5C5A2015C156}"/>
    <cellStyle name="计算 2 2 2 2 2 3" xfId="3521" xr:uid="{BCDAE958-FFAD-4980-937F-859F9B768EBF}"/>
    <cellStyle name="计算 2 2 2 2 3" xfId="3522" xr:uid="{ED819064-F2DF-4EB8-B654-2B008D863766}"/>
    <cellStyle name="计算 2 2 2 2 3 2" xfId="3523" xr:uid="{586E6A14-9FA9-4575-B5E6-C5BAC210B5ED}"/>
    <cellStyle name="计算 2 2 2 2 4" xfId="3524" xr:uid="{2427A86C-7ED8-404A-A939-7592B226DF7C}"/>
    <cellStyle name="计算 2 2 2 3" xfId="3525" xr:uid="{B1C8AC2D-72C1-4A6F-9D5E-1A2EFCE0DD9A}"/>
    <cellStyle name="计算 2 2 2 3 2" xfId="3526" xr:uid="{AF72169E-8811-4B61-9F36-C0426CE6DB90}"/>
    <cellStyle name="计算 2 2 2 3 2 2" xfId="3527" xr:uid="{9E4CF010-8E5A-454E-A2E9-6B99BBA3D1F1}"/>
    <cellStyle name="计算 2 2 2 3 3" xfId="3528" xr:uid="{CC42D2BC-1C4D-44A4-B7DA-137C45AC5357}"/>
    <cellStyle name="计算 2 2 2 4" xfId="3529" xr:uid="{CE94D9F4-1A15-46BF-BE50-23786EAD013D}"/>
    <cellStyle name="计算 2 2 2 4 2" xfId="3530" xr:uid="{A065A70E-E978-4597-A8E3-8D1510CAE5E0}"/>
    <cellStyle name="计算 2 2 2 5" xfId="3531" xr:uid="{5CE450B6-5696-41A5-8F06-0E6EA4ABB0BD}"/>
    <cellStyle name="计算 2 2 3" xfId="3532" xr:uid="{3446877D-9193-44A4-9644-2B0481211EAA}"/>
    <cellStyle name="计算 2 2 3 2" xfId="3533" xr:uid="{341749A6-01DE-427B-A471-6134C731D4BA}"/>
    <cellStyle name="计算 2 2 3 2 2" xfId="3534" xr:uid="{B7B32D26-C904-479F-94DC-90436876EB58}"/>
    <cellStyle name="计算 2 2 3 2 2 2" xfId="3535" xr:uid="{9C375631-43E4-4BCB-B514-A3D3DE775AC8}"/>
    <cellStyle name="计算 2 2 3 2 3" xfId="3536" xr:uid="{4EEEA115-8D4F-4755-B701-EB8965BE2754}"/>
    <cellStyle name="计算 2 2 3 3" xfId="3537" xr:uid="{C98AA111-D2A5-4ED0-8CD4-42DBC7063DE0}"/>
    <cellStyle name="计算 2 2 3 3 2" xfId="3538" xr:uid="{9D40D88C-98BE-49FD-9493-D0D4843D76A3}"/>
    <cellStyle name="计算 2 2 3 4" xfId="3539" xr:uid="{F6E82E86-7568-4A4B-893C-DEF9F3CC3A0C}"/>
    <cellStyle name="计算 2 2 4" xfId="3540" xr:uid="{F99B90C5-D381-4F99-B574-191875EF9F83}"/>
    <cellStyle name="计算 2 2 4 2" xfId="3541" xr:uid="{28B528B9-63E3-4C6B-B77A-3C89BA1715C2}"/>
    <cellStyle name="计算 2 2 4 2 2" xfId="3542" xr:uid="{25AA3C19-277E-43DB-809B-8BEB17B6682F}"/>
    <cellStyle name="计算 2 2 4 3" xfId="3543" xr:uid="{ED45152D-421D-45C4-9AD9-8465C8871D5A}"/>
    <cellStyle name="计算 2 2 5" xfId="3544" xr:uid="{8FEFE33B-1B3F-4DF7-80D2-6149A66133EA}"/>
    <cellStyle name="计算 2 2 5 2" xfId="3545" xr:uid="{A408D14A-5C24-48B6-B6C1-6BCE84160992}"/>
    <cellStyle name="计算 2 2 6" xfId="3546" xr:uid="{EC0D6157-126A-4529-A2D5-230E4AF6A63F}"/>
    <cellStyle name="计算 2 3" xfId="3547" xr:uid="{2B47DE4F-1B96-45F1-93C1-DC776C35C66A}"/>
    <cellStyle name="计算 2 3 2" xfId="3548" xr:uid="{15277EE3-2441-4C9F-9939-31A4DD6C5506}"/>
    <cellStyle name="计算 2 3 2 2" xfId="3549" xr:uid="{3C1A0B4B-03CC-4558-91F3-CD98E7DECDF0}"/>
    <cellStyle name="计算 2 3 2 2 2" xfId="3550" xr:uid="{1772F1CD-075F-4C41-AE15-F7394CF48AE0}"/>
    <cellStyle name="计算 2 3 2 2 2 2" xfId="3551" xr:uid="{934F3558-E49D-467C-8809-57C9626FB935}"/>
    <cellStyle name="计算 2 3 2 2 3" xfId="3552" xr:uid="{24FDBB40-3773-45AF-9B76-A735346C5BDE}"/>
    <cellStyle name="计算 2 3 2 3" xfId="3553" xr:uid="{D634A498-2B8F-448A-BB2E-1ADFA861386D}"/>
    <cellStyle name="计算 2 3 2 3 2" xfId="3554" xr:uid="{B7F0237A-01DD-4F27-B816-9F21DF0102D4}"/>
    <cellStyle name="计算 2 3 2 4" xfId="3555" xr:uid="{5B80F32B-B971-4F66-A2B1-8D2B6789C1B2}"/>
    <cellStyle name="计算 2 3 2 4 2" xfId="3556" xr:uid="{009A18E4-D1CD-407F-98AF-E5CA5317A6B0}"/>
    <cellStyle name="计算 2 3 2 5" xfId="3557" xr:uid="{4E65600E-8B54-4602-BCE6-DD6ED3DDFBA2}"/>
    <cellStyle name="计算 2 3 3" xfId="3558" xr:uid="{1CB40208-8FFD-4DFD-A8F2-93BF1605249C}"/>
    <cellStyle name="计算 2 3 3 2" xfId="3559" xr:uid="{D7AAB586-8EBB-4084-9BF5-51780B8C2BF1}"/>
    <cellStyle name="计算 2 3 3 2 2" xfId="3560" xr:uid="{281201F8-C83F-4CE2-9757-60B22356B36D}"/>
    <cellStyle name="计算 2 3 3 3" xfId="3561" xr:uid="{DE015B41-8580-4134-99DD-1F4E4A7F95F3}"/>
    <cellStyle name="计算 2 3 4" xfId="3562" xr:uid="{443FDD7E-4429-475F-884C-4926C731DF32}"/>
    <cellStyle name="计算 2 3 4 2" xfId="3563" xr:uid="{B02098B6-487F-4C22-A9E9-16EFAD69042B}"/>
    <cellStyle name="计算 2 3 5" xfId="3564" xr:uid="{A92932C1-B532-4432-8101-A5FE1B883CD1}"/>
    <cellStyle name="计算 2 3 5 2" xfId="3565" xr:uid="{42464B7E-403A-4ACE-BAF9-A7F039611487}"/>
    <cellStyle name="计算 2 3 6" xfId="3566" xr:uid="{AEC34C27-6403-4927-BB7D-0A25666568ED}"/>
    <cellStyle name="计算 2 4" xfId="3567" xr:uid="{6A679282-FD01-4DD2-8D30-B154BCA70D35}"/>
    <cellStyle name="计算 2 4 2" xfId="3568" xr:uid="{CBE50FA9-9ABC-446A-BC4E-148275F7FDAC}"/>
    <cellStyle name="计算 2 4 2 2" xfId="3569" xr:uid="{F532D086-6DA4-4B8A-9EED-795CB82A9608}"/>
    <cellStyle name="计算 2 4 2 2 2" xfId="3570" xr:uid="{C2472883-42A6-4644-AA5E-BBA7877720B8}"/>
    <cellStyle name="计算 2 4 2 3" xfId="3571" xr:uid="{74B9473F-B6B0-4AB4-8B1F-55728A1B1607}"/>
    <cellStyle name="计算 2 4 3" xfId="3572" xr:uid="{AD9FCCB8-457A-4B68-A23A-8257F2064739}"/>
    <cellStyle name="计算 2 4 3 2" xfId="3573" xr:uid="{FB3E0B7C-D8C5-4829-8EAB-518252AD1CA1}"/>
    <cellStyle name="计算 2 4 3 2 2" xfId="3574" xr:uid="{14DAE05E-38D0-4E5F-8B23-56D0A372ED6B}"/>
    <cellStyle name="计算 2 4 3 3" xfId="3575" xr:uid="{6856D8DA-BBED-4220-8E80-5AEC5B35E307}"/>
    <cellStyle name="计算 2 4 4" xfId="3576" xr:uid="{98B13A97-8579-44E8-99B9-BA0A35899B7F}"/>
    <cellStyle name="计算 2 4 4 2" xfId="3577" xr:uid="{3A0DEF4E-2A34-4645-B179-B34BD3ECD8D5}"/>
    <cellStyle name="计算 2 4 5" xfId="3578" xr:uid="{EEB1EC97-3AF1-4432-87B7-671FBE92D566}"/>
    <cellStyle name="计算 2 4 5 2" xfId="3579" xr:uid="{0154BF6B-B555-4E13-945C-139F10D6895B}"/>
    <cellStyle name="计算 2 4 6" xfId="3580" xr:uid="{F3E58A3C-11F0-4084-BC17-8D6292FAB893}"/>
    <cellStyle name="计算 2 5" xfId="3581" xr:uid="{74212F48-43BA-4C2D-845C-AA463A9449A5}"/>
    <cellStyle name="计算 2 5 2" xfId="3582" xr:uid="{D88FECE8-ACCC-4690-801B-D3B6CF222387}"/>
    <cellStyle name="计算 2 5 2 2" xfId="3583" xr:uid="{2BF8886C-CAD1-46FA-8721-35DE93784716}"/>
    <cellStyle name="计算 2 5 3" xfId="3584" xr:uid="{22297E9F-E4EB-4B26-AEBA-A4E2D3208CB1}"/>
    <cellStyle name="计算 2 6" xfId="3585" xr:uid="{A3DE56FF-71B5-4EFB-933E-9C6754FD32F7}"/>
    <cellStyle name="计算 2 6 2" xfId="3586" xr:uid="{F6D7F5F6-E869-4544-8C05-42856DEC3382}"/>
    <cellStyle name="计算 2 6 2 2" xfId="3587" xr:uid="{3A2AA2F3-BF5E-478A-8272-D746C651C39B}"/>
    <cellStyle name="计算 2 6 3" xfId="3588" xr:uid="{C33D3208-893B-4685-A164-9514BF5CA571}"/>
    <cellStyle name="计算 2 7" xfId="3589" xr:uid="{F025F5BE-762B-4D4F-B185-38C34FDE4BC4}"/>
    <cellStyle name="计算 2 7 2" xfId="3590" xr:uid="{63473591-357B-46F5-A972-B905254D9133}"/>
    <cellStyle name="计算 2 8" xfId="3591" xr:uid="{452839E3-92E4-4916-98F9-CC21BB88A486}"/>
    <cellStyle name="计算 2 8 2" xfId="3592" xr:uid="{7BC092CF-5EB9-430D-92E4-42F243F58D6F}"/>
    <cellStyle name="计算 2 9" xfId="3593" xr:uid="{9430283D-E291-48B4-9F99-C6D027104E0D}"/>
    <cellStyle name="计算 2 9 2" xfId="3594" xr:uid="{DD042146-BAE9-45BD-82CF-AE2A001B9A32}"/>
    <cellStyle name="计算 3" xfId="3595" xr:uid="{5A15EC88-5840-4DBE-9311-7883422C9ADE}"/>
    <cellStyle name="计算 3 2" xfId="3596" xr:uid="{D6DC5380-F1C2-46D3-8E24-31757AE11F09}"/>
    <cellStyle name="计算 3 2 2" xfId="3597" xr:uid="{7E2E03A4-DAB3-4D00-B662-1A9E75D2ACA5}"/>
    <cellStyle name="计算 3 2 2 2" xfId="3598" xr:uid="{57E24759-C6B8-4709-9A3C-9EA5D092FF38}"/>
    <cellStyle name="计算 3 2 2 2 2" xfId="3599" xr:uid="{6DD83ED9-30D1-4EBB-AD10-26775D64D08B}"/>
    <cellStyle name="计算 3 2 2 2 2 2" xfId="3600" xr:uid="{F9135FB9-6139-4B2A-802F-ADE01C598DD8}"/>
    <cellStyle name="计算 3 2 2 2 2 2 2" xfId="3601" xr:uid="{11AF3DC5-416B-4CCB-8FF2-8363D9856F3A}"/>
    <cellStyle name="计算 3 2 2 2 2 3" xfId="3602" xr:uid="{9F86C09D-1E42-4E15-95AB-C9DE59B4BC17}"/>
    <cellStyle name="计算 3 2 2 2 3" xfId="3603" xr:uid="{4850FE6A-A121-4E1B-A2C7-037B61276CBA}"/>
    <cellStyle name="计算 3 2 2 2 3 2" xfId="3604" xr:uid="{4A4665A5-E5A1-4243-B297-BFDB8F5BCC20}"/>
    <cellStyle name="计算 3 2 2 2 4" xfId="3605" xr:uid="{3753B9D0-9B69-4EB4-92BA-3249D858AA96}"/>
    <cellStyle name="计算 3 2 2 3" xfId="3606" xr:uid="{940F14A5-CE70-4462-B2D8-B65C4131672C}"/>
    <cellStyle name="计算 3 2 2 3 2" xfId="3607" xr:uid="{228DC8E9-3E5A-46B3-8BC8-C705C1329A10}"/>
    <cellStyle name="计算 3 2 2 3 2 2" xfId="3608" xr:uid="{00D7A297-9EAE-4EFD-A5F4-2A97FE41B6CF}"/>
    <cellStyle name="计算 3 2 2 3 3" xfId="3609" xr:uid="{B91BB4D7-7261-49BB-BCCE-51DEB077DD56}"/>
    <cellStyle name="计算 3 2 2 4" xfId="3610" xr:uid="{3AC62ABB-4243-48DE-97E9-D1AF6C9113E8}"/>
    <cellStyle name="计算 3 2 2 4 2" xfId="3611" xr:uid="{FB5877CA-C87E-41F0-8D1F-8CDC8BB8D866}"/>
    <cellStyle name="计算 3 2 2 5" xfId="3612" xr:uid="{85C218A0-D3AC-46B4-A471-68EA3358063A}"/>
    <cellStyle name="计算 3 2 3" xfId="3613" xr:uid="{E82AA639-0C82-4418-98C8-EEA93A4EF97B}"/>
    <cellStyle name="计算 3 2 3 2" xfId="3614" xr:uid="{4EEE7402-4C34-4682-900D-D7E7DD189504}"/>
    <cellStyle name="计算 3 2 3 2 2" xfId="3615" xr:uid="{32354336-D5E6-4262-810B-B375EAB9E63A}"/>
    <cellStyle name="计算 3 2 3 2 2 2" xfId="3616" xr:uid="{32F9FCA2-17C4-4D92-9FCD-0FC58E3BBA94}"/>
    <cellStyle name="计算 3 2 3 2 3" xfId="3617" xr:uid="{EBE4E95C-49EC-402C-BECF-EBF6DEEF6F74}"/>
    <cellStyle name="计算 3 2 3 3" xfId="3618" xr:uid="{3A2622D9-6CB5-4DDF-A5C6-1DE6E036FF5D}"/>
    <cellStyle name="计算 3 2 3 3 2" xfId="3619" xr:uid="{490FD1F3-A386-4D49-B2EF-81691A30C726}"/>
    <cellStyle name="计算 3 2 3 4" xfId="3620" xr:uid="{BF617098-A0E0-4D40-9D46-F501CDB53852}"/>
    <cellStyle name="计算 3 2 4" xfId="3621" xr:uid="{96B3C3B8-7B12-4622-BB4A-FBCB734595CB}"/>
    <cellStyle name="计算 3 2 4 2" xfId="3622" xr:uid="{D931177D-8AE6-47D0-99BF-4015FFFA65B9}"/>
    <cellStyle name="计算 3 2 4 2 2" xfId="3623" xr:uid="{90131ED6-D376-401A-BD81-510EBBDE85B2}"/>
    <cellStyle name="计算 3 2 4 3" xfId="3624" xr:uid="{406FB071-E6D7-4AD2-8096-7F8539D0FCD3}"/>
    <cellStyle name="计算 3 2 5" xfId="3625" xr:uid="{89E6E9AA-808F-4C12-BC69-6F9AC09745CB}"/>
    <cellStyle name="计算 3 2 5 2" xfId="3626" xr:uid="{CF86E3C5-406D-43E6-9672-13E971FF669A}"/>
    <cellStyle name="计算 3 2 6" xfId="3627" xr:uid="{46388443-AFCF-4242-BEAD-E0D7D75B130B}"/>
    <cellStyle name="计算 3 3" xfId="3628" xr:uid="{82FEED97-36C0-4331-B491-542E52742687}"/>
    <cellStyle name="计算 3 3 2" xfId="3629" xr:uid="{27C7E692-8827-43C8-B50B-689F1B06192A}"/>
    <cellStyle name="计算 3 3 2 2" xfId="3630" xr:uid="{49E67C13-8AC2-4EE1-A894-77C78D272799}"/>
    <cellStyle name="计算 3 3 2 2 2" xfId="3631" xr:uid="{4D5AB8D4-3D63-4BDA-9255-44EFCB8802CD}"/>
    <cellStyle name="计算 3 3 2 3" xfId="3632" xr:uid="{0C377948-4C5F-4696-B562-2413B3291128}"/>
    <cellStyle name="计算 3 3 3" xfId="3633" xr:uid="{D155F735-B605-48AA-AEF6-40A9B513ACB5}"/>
    <cellStyle name="计算 3 3 3 2" xfId="3634" xr:uid="{287D38DA-05AB-43C8-92AC-AD14AED5D9D0}"/>
    <cellStyle name="计算 3 3 4" xfId="3635" xr:uid="{B6317B48-CA40-4AA7-B6BA-3F6DD37FFD51}"/>
    <cellStyle name="计算 3 4" xfId="3636" xr:uid="{E1DEACC1-9E0C-4290-8F87-E8F103098F0C}"/>
    <cellStyle name="计算 3 4 2" xfId="3637" xr:uid="{6C635BEE-2354-40A6-9371-2951A39A4478}"/>
    <cellStyle name="计算 3 4 2 2" xfId="3638" xr:uid="{52DF4500-4CC5-4C5C-9CBE-D1CEA0445CCD}"/>
    <cellStyle name="计算 3 4 3" xfId="3639" xr:uid="{4D640F08-EDD2-4B0F-B97A-8F53AB919428}"/>
    <cellStyle name="计算 3 5" xfId="3640" xr:uid="{ABF7845E-CB27-4EED-95AE-971E6D982C30}"/>
    <cellStyle name="计算 3 5 2" xfId="3641" xr:uid="{D1691BA1-052C-4762-8EBB-C543CF7EE969}"/>
    <cellStyle name="计算 3 6" xfId="3642" xr:uid="{6508A7B9-1C48-4238-90BE-1054D7B54C53}"/>
    <cellStyle name="计算 4" xfId="3643" xr:uid="{B35A8C21-C6BD-4350-BA28-C8CB3C416D1A}"/>
    <cellStyle name="计算 4 2" xfId="3644" xr:uid="{29AD38CB-2A0C-4127-9E4D-775AF9C40570}"/>
    <cellStyle name="计算 4 2 2" xfId="3645" xr:uid="{1F1BDD4B-6C91-43D8-9641-1B2A33851C8D}"/>
    <cellStyle name="计算 4 2 2 2" xfId="3646" xr:uid="{58D9D4A9-A977-4CAC-8CC8-49A50E0F72DB}"/>
    <cellStyle name="计算 4 2 3" xfId="3647" xr:uid="{EDA4AC06-3D4B-4F44-B7EA-DCDC5A556AF5}"/>
    <cellStyle name="计算 4 3" xfId="3648" xr:uid="{B40CC340-006D-4A2D-BD74-541019DCC10D}"/>
    <cellStyle name="计算 4 3 2" xfId="3649" xr:uid="{99426138-E492-4DB7-B164-6738A8210729}"/>
    <cellStyle name="计算 4 4" xfId="3650" xr:uid="{523EC199-E0A3-40E1-8462-28395E7894D9}"/>
    <cellStyle name="计算 5" xfId="3651" xr:uid="{55A302B9-4080-4C09-8551-82701504A4BD}"/>
    <cellStyle name="计算 5 2" xfId="3652" xr:uid="{378C135C-5F70-472A-9308-55FBD36A21E1}"/>
    <cellStyle name="计算 5 2 2" xfId="3653" xr:uid="{17A23C42-FB54-40A6-A925-9574B8FDB806}"/>
    <cellStyle name="计算 5 2 2 2" xfId="3654" xr:uid="{80D6A250-1064-4E82-85FC-0E44E03FFE09}"/>
    <cellStyle name="计算 5 2 3" xfId="3655" xr:uid="{1DEDCB6D-5C75-414F-A13A-8C692B726E3B}"/>
    <cellStyle name="计算 5 3" xfId="3656" xr:uid="{F29ABB11-3C20-42A9-B076-D8B4B3FCE011}"/>
    <cellStyle name="计算 5 3 2" xfId="3657" xr:uid="{84F1AE1D-244A-4D1D-8DEE-35C8B07E8096}"/>
    <cellStyle name="计算 5 4" xfId="3658" xr:uid="{C382E218-C4BA-4F04-845F-7C0C29F4DF1B}"/>
    <cellStyle name="计算 6" xfId="3659" xr:uid="{8905D190-9C79-4FA7-9DFE-D882E6E94BD4}"/>
    <cellStyle name="计算 6 2" xfId="3660" xr:uid="{6B4ED468-430A-46C2-90ED-0B072A5A19B2}"/>
    <cellStyle name="计算 6 2 2" xfId="3661" xr:uid="{366B2716-0F7C-4F36-9D94-7909D3D2BA27}"/>
    <cellStyle name="计算 6 3" xfId="3662" xr:uid="{7DEEBDB6-B265-4F1D-968A-487C44B72840}"/>
    <cellStyle name="计算 7" xfId="3663" xr:uid="{FFB50F16-F587-437F-815E-271F28678FC6}"/>
    <cellStyle name="计算 7 2" xfId="3664" xr:uid="{9B64908D-1E78-4C73-85B8-F8055B7EEEC2}"/>
    <cellStyle name="计算 7 2 2" xfId="3665" xr:uid="{061AE99D-2F9A-46D4-8AC4-328782E1B890}"/>
    <cellStyle name="计算 7 3" xfId="3666" xr:uid="{35015BED-0C7F-4BAE-83DF-ECD3EE7A71F8}"/>
    <cellStyle name="计算 8" xfId="3667" xr:uid="{E24D7585-F67F-416D-9069-AFB6D7421682}"/>
    <cellStyle name="计算 8 2" xfId="3668" xr:uid="{D41179FD-F601-4FD9-BC68-6F13F192A3C4}"/>
    <cellStyle name="计算 8 2 2" xfId="3669" xr:uid="{D51FC813-E204-4395-A2A0-312DBE7F6021}"/>
    <cellStyle name="计算 8 3" xfId="3670" xr:uid="{8FC3D498-2B0C-4F45-AEC1-99E0F2B93BE7}"/>
    <cellStyle name="计算 9" xfId="3671" xr:uid="{8ACB8CD5-DDF2-4CDA-94CD-6EE2CF6D97DD}"/>
    <cellStyle name="计算 9 2" xfId="3672" xr:uid="{B5B0785A-DBB1-4729-885F-E5CF6B92839E}"/>
    <cellStyle name="超链接 10" xfId="3673" xr:uid="{0E125420-A647-4671-A9FA-A29128B41674}"/>
    <cellStyle name="超链接 10 2" xfId="3674" xr:uid="{FD810499-BE14-4C2A-9F25-9AE9C2D3B977}"/>
    <cellStyle name="超链接 11" xfId="3675" xr:uid="{5BED9DD8-7F8C-49DE-BC4A-E6E3DA343403}"/>
    <cellStyle name="超链接 11 2" xfId="3676" xr:uid="{705021F6-DB96-4809-A3D2-CDB8977D62F9}"/>
    <cellStyle name="超链接 12" xfId="3677" xr:uid="{5414B2CE-C0BA-4FB2-8AC0-658EBBCD1870}"/>
    <cellStyle name="超链接 2" xfId="3678" xr:uid="{41FF2B47-C7E0-4043-8959-A8F666D266C6}"/>
    <cellStyle name="超链接 2 2" xfId="3679" xr:uid="{7ADD98AC-D44E-404A-9468-B9CFD916BBAE}"/>
    <cellStyle name="超链接 2 2 2" xfId="3680" xr:uid="{0E0EEEC0-7DC1-45D1-89B6-726E8C3248A3}"/>
    <cellStyle name="超链接 2 2 2 2" xfId="3681" xr:uid="{A1D1C54F-728D-4F7B-B1C6-F927C512963A}"/>
    <cellStyle name="超链接 2 2 3" xfId="3682" xr:uid="{0303080C-0E0B-4BC8-B2F0-BDF01FBCCDBC}"/>
    <cellStyle name="超链接 2 3" xfId="3683" xr:uid="{778998CC-F549-4257-B60A-4E770430D331}"/>
    <cellStyle name="超链接 2 3 2" xfId="3684" xr:uid="{18F9A208-77B1-4177-AC65-66189BC7F746}"/>
    <cellStyle name="超链接 2 4" xfId="3685" xr:uid="{5D418375-7FFD-40D7-98F9-622FE743677C}"/>
    <cellStyle name="超链接 3" xfId="3686" xr:uid="{11316848-278E-4826-98D2-C4E00C0A6875}"/>
    <cellStyle name="超链接 3 2" xfId="3687" xr:uid="{AE40751A-7D5C-4945-BEE2-28BADEF397D2}"/>
    <cellStyle name="超链接 3 2 2" xfId="3688" xr:uid="{FB18B1F4-A25B-4A43-B70F-27218C1903B0}"/>
    <cellStyle name="超链接 3 2 2 2" xfId="3689" xr:uid="{D7748929-53EA-4D84-8336-B17B99EBF2F1}"/>
    <cellStyle name="超链接 3 2 3" xfId="3690" xr:uid="{DC47799F-CE3C-4C0E-B17D-F9F4B69BBC87}"/>
    <cellStyle name="超链接 3 3" xfId="3691" xr:uid="{53428D9D-E595-448F-A8F6-DC8E91B1566D}"/>
    <cellStyle name="超链接 3 3 2" xfId="3692" xr:uid="{C33A624B-E4A6-4D58-AE9E-EE576F588F4C}"/>
    <cellStyle name="超链接 3 4" xfId="3693" xr:uid="{80845101-3034-458E-B320-50D0643A658A}"/>
    <cellStyle name="超链接 4" xfId="3694" xr:uid="{24253229-F82B-4F47-86E9-F9C4E2F97C6A}"/>
    <cellStyle name="超链接 4 2" xfId="3695" xr:uid="{1FB179A2-08EE-437E-BFDD-CC142B71399C}"/>
    <cellStyle name="超链接 4 2 2" xfId="3696" xr:uid="{9D154D64-6044-47B8-9526-2EB921D9505D}"/>
    <cellStyle name="超链接 4 2 2 2" xfId="3697" xr:uid="{D5472D18-3AF0-439E-8208-3C5AECCD2F46}"/>
    <cellStyle name="超链接 4 2 3" xfId="3698" xr:uid="{B4C865D5-240F-49D6-9EE1-DDFF1C7109E8}"/>
    <cellStyle name="超链接 4 3" xfId="3699" xr:uid="{638DA100-EB79-4516-80D7-6E32A1ED8590}"/>
    <cellStyle name="超链接 4 3 2" xfId="3700" xr:uid="{6A4E177D-E0D6-4D50-9DE3-7D9ED03E1629}"/>
    <cellStyle name="超链接 4 4" xfId="3701" xr:uid="{ADB2FF46-4C8A-409E-83B4-0EBAF2739025}"/>
    <cellStyle name="超链接 5" xfId="3702" xr:uid="{AD27CE94-50B8-47C4-B081-157E375EE3FA}"/>
    <cellStyle name="超链接 5 2" xfId="3703" xr:uid="{C98A489A-B567-4984-85F2-0B6C104242A1}"/>
    <cellStyle name="超链接 5 2 2" xfId="3704" xr:uid="{8D2DE488-495E-431F-BEB5-3DA126B15FF4}"/>
    <cellStyle name="超链接 5 2 2 2" xfId="3705" xr:uid="{225A0C1D-17D7-40DD-A15E-AECF8AE14688}"/>
    <cellStyle name="超链接 5 2 3" xfId="3706" xr:uid="{4D063CB9-1C2B-46C4-BD2E-A186B4E2C29D}"/>
    <cellStyle name="超链接 5 3" xfId="3707" xr:uid="{C99C2060-ABF8-4DF6-B0FF-12922A9632B7}"/>
    <cellStyle name="超链接 5 3 2" xfId="3708" xr:uid="{E4259929-65C7-4D73-92CF-075F4DC41812}"/>
    <cellStyle name="超链接 5 4" xfId="3709" xr:uid="{46EBD46F-C056-4455-B1DD-32F89BBB124F}"/>
    <cellStyle name="超链接 6" xfId="3710" xr:uid="{57CF8F5C-E4B4-44E0-94D0-A65B2DCDD171}"/>
    <cellStyle name="超链接 6 2" xfId="3711" xr:uid="{8043531E-089D-4583-B2FE-2D43F6665617}"/>
    <cellStyle name="超链接 6 2 2" xfId="3712" xr:uid="{BF38993F-67FD-4C1E-B397-66DDF91C33A8}"/>
    <cellStyle name="超链接 6 3" xfId="3713" xr:uid="{8B870E47-02C6-4F00-A0DE-6988289A71B1}"/>
    <cellStyle name="超链接 7" xfId="3714" xr:uid="{C01244EE-261D-4548-A5C6-27F2BF500329}"/>
    <cellStyle name="超链接 7 2" xfId="3715" xr:uid="{58636D77-F051-4544-A23A-2C05E5E32971}"/>
    <cellStyle name="超链接 7 2 2" xfId="3716" xr:uid="{8BA16E2D-1D45-486B-90E4-6CD812C815E5}"/>
    <cellStyle name="超链接 7 3" xfId="3717" xr:uid="{25C954C4-A0C2-4260-B196-E9FD30829398}"/>
    <cellStyle name="超链接 8" xfId="3718" xr:uid="{DD6C6A5A-BF5A-4076-A494-C635131775AF}"/>
    <cellStyle name="超链接 8 2" xfId="3719" xr:uid="{08DD594C-1A38-4542-9987-35F59FF2810B}"/>
    <cellStyle name="超链接 9" xfId="3720" xr:uid="{B7A842CE-7D16-4B47-BDD8-F1A5263984A8}"/>
    <cellStyle name="超链接 9 2" xfId="3721" xr:uid="{03D53322-B496-42AB-98F6-F51DAA1A7374}"/>
    <cellStyle name="输入 10" xfId="3722" xr:uid="{74052BFA-9A39-4225-B88C-F9A56E89201A}"/>
    <cellStyle name="输入 10 2" xfId="3723" xr:uid="{823CB66A-74C4-44CD-9BD1-A8DDF74E9C49}"/>
    <cellStyle name="输入 11" xfId="3724" xr:uid="{3B03F211-1B5E-4598-B779-51C216E8BBD2}"/>
    <cellStyle name="输入 11 2" xfId="3725" xr:uid="{61E65ADA-BDE7-4DE5-A6EB-F1E2FD23588E}"/>
    <cellStyle name="输入 2" xfId="3726" xr:uid="{07C85CD9-F951-4FAD-9073-6D294241AC4E}"/>
    <cellStyle name="输出 10" xfId="3727" xr:uid="{906F9184-B4A3-4233-A87F-E597ABF9970F}"/>
    <cellStyle name="输出 10 2" xfId="3728" xr:uid="{8A4F8A55-F723-496B-8D71-2640F6C111AC}"/>
    <cellStyle name="输出 11" xfId="3729" xr:uid="{A72D9662-65AE-420C-BF10-4018636A6E64}"/>
    <cellStyle name="输出 11 2" xfId="3730" xr:uid="{20932108-C432-49BF-B0DE-238D5A6D5820}"/>
    <cellStyle name="输出 2" xfId="3731" xr:uid="{7E520DB6-1583-46E5-A9B4-BD90F4DCD4B6}"/>
    <cellStyle name="输出 2 10" xfId="3732" xr:uid="{8346950E-9CFB-4904-B02C-2028EDF791AE}"/>
    <cellStyle name="输出 2 2" xfId="3733" xr:uid="{DDA1B90B-7D01-4753-8333-DA001AEC4C4E}"/>
    <cellStyle name="输出 2 2 2" xfId="3734" xr:uid="{94688D0D-E66A-42A1-907A-B13F57034251}"/>
    <cellStyle name="输出 2 2 2 2" xfId="3735" xr:uid="{7411F240-9948-49E3-A5E8-15B650970100}"/>
    <cellStyle name="输出 2 2 2 2 2" xfId="3736" xr:uid="{8A75FF8D-C739-4FF3-9227-79AFDB9AA781}"/>
    <cellStyle name="输出 2 2 2 2 2 2" xfId="3737" xr:uid="{70E739A8-52E3-4232-B64A-AEA97E4FDD66}"/>
    <cellStyle name="输出 2 2 2 2 2 2 2" xfId="3738" xr:uid="{4FDFAA2D-D467-4CBE-9BA1-BB27F93CF8A4}"/>
    <cellStyle name="输出 2 2 2 2 2 3" xfId="3739" xr:uid="{D593FD03-52F7-444B-A5B8-73A060331DF4}"/>
    <cellStyle name="输出 2 2 2 2 3" xfId="3740" xr:uid="{D9756229-8338-459E-AD8A-F894CB93ABFA}"/>
    <cellStyle name="输出 2 2 2 2 3 2" xfId="3741" xr:uid="{28254F04-0B68-46AC-A953-E5987391AF8D}"/>
    <cellStyle name="输出 2 2 2 2 4" xfId="3742" xr:uid="{763E84A0-D8E5-4B8D-84D0-3B73901D9500}"/>
    <cellStyle name="输出 2 2 2 3" xfId="3743" xr:uid="{D33E6746-C8C9-4338-B43B-4AC08E308ECC}"/>
    <cellStyle name="输出 2 2 2 3 2" xfId="3744" xr:uid="{1D4287C7-FC3F-4566-A85A-00E28C6E75B7}"/>
    <cellStyle name="输出 2 2 2 3 2 2" xfId="3745" xr:uid="{7961FD38-32FB-4CA0-8773-27DFAA297EB3}"/>
    <cellStyle name="输出 2 2 2 3 3" xfId="3746" xr:uid="{18895CD3-3FEE-417F-8209-2E7D7E4B62C1}"/>
    <cellStyle name="输出 2 2 2 4" xfId="3747" xr:uid="{411DAFA5-744F-498A-A914-1BD94360471D}"/>
    <cellStyle name="输出 2 2 2 4 2" xfId="3748" xr:uid="{A8D1D19B-AB7D-4749-8522-F6281DE3D839}"/>
    <cellStyle name="输出 2 2 2 5" xfId="3749" xr:uid="{29A79766-2694-4C5C-B4F3-A2BA5D246785}"/>
    <cellStyle name="输出 2 2 3" xfId="3750" xr:uid="{0280518E-7455-434D-B9AA-5191F69251A9}"/>
    <cellStyle name="输出 2 2 3 2" xfId="3751" xr:uid="{49DD9015-E859-4BA6-8B57-7FAF068A35CF}"/>
    <cellStyle name="输出 2 2 3 2 2" xfId="3752" xr:uid="{17717998-60EF-44C2-8B21-6180D67B65A7}"/>
    <cellStyle name="输出 2 2 3 2 2 2" xfId="3753" xr:uid="{035E3100-30C3-4224-977A-DA60BF4E66B6}"/>
    <cellStyle name="输出 2 2 3 2 3" xfId="3754" xr:uid="{4D11940B-DBEB-42F1-9AD1-4E5B6FE9F542}"/>
    <cellStyle name="输出 2 2 3 3" xfId="3755" xr:uid="{C7247990-24E6-4E1E-9BE1-6F15A93A43FD}"/>
    <cellStyle name="输出 2 2 3 3 2" xfId="3756" xr:uid="{C36CB343-207E-4E32-A632-EDBE4D42FB43}"/>
    <cellStyle name="输出 2 2 3 4" xfId="3757" xr:uid="{374A4D98-F100-4F4A-A094-2C967116A92D}"/>
    <cellStyle name="输出 2 2 4" xfId="3758" xr:uid="{68EA51DF-8804-416F-8B3B-4CC5CEF5B8DD}"/>
    <cellStyle name="输出 2 2 4 2" xfId="3759" xr:uid="{905EC69E-70E6-40A3-9718-FD3E61D1EB69}"/>
    <cellStyle name="输出 2 2 4 2 2" xfId="3760" xr:uid="{7227A12A-B416-4948-AABC-88CD9A0A27CB}"/>
    <cellStyle name="输出 2 2 4 3" xfId="3761" xr:uid="{E5AB09D7-419E-4902-933C-A6073BAAFF3C}"/>
    <cellStyle name="输出 2 2 5" xfId="3762" xr:uid="{5156D746-C921-4D8E-9526-262275CB8F3F}"/>
    <cellStyle name="输出 2 2 5 2" xfId="3763" xr:uid="{3DD2F1D7-BD7B-4971-8D1E-F33944958F56}"/>
    <cellStyle name="输出 2 2 6" xfId="3764" xr:uid="{BD82ED47-E46B-4068-82E7-86CE100C0060}"/>
    <cellStyle name="输出 2 3" xfId="3765" xr:uid="{489E923B-09E9-43C8-8C7E-29A685D81680}"/>
    <cellStyle name="输出 2 3 2" xfId="3766" xr:uid="{E17E08F6-BA88-4B07-BEA1-95CD26FE16B3}"/>
    <cellStyle name="输出 2 3 2 2" xfId="3767" xr:uid="{DC473510-39C4-40DD-8F41-C486C9646760}"/>
    <cellStyle name="输出 2 3 2 2 2" xfId="3768" xr:uid="{4A55C5B5-520B-4902-A592-647330262780}"/>
    <cellStyle name="输出 2 3 2 2 2 2" xfId="3769" xr:uid="{8C710FE7-FB27-49E8-9162-D0C2FB50A203}"/>
    <cellStyle name="输出 2 3 2 2 3" xfId="3770" xr:uid="{5948E52E-3F8F-46FC-AC11-CB1BBAEB0542}"/>
    <cellStyle name="输出 2 3 2 3" xfId="3771" xr:uid="{3A5B3EF2-8404-4309-AB57-05C956A9ADDD}"/>
    <cellStyle name="输出 2 3 2 3 2" xfId="3772" xr:uid="{5126742B-44EF-48F6-B9E6-E832E86C610D}"/>
    <cellStyle name="输出 2 3 2 4" xfId="3773" xr:uid="{1CA5D4DB-C7EC-4FE8-A569-984A1A610477}"/>
    <cellStyle name="输出 2 3 2 4 2" xfId="3774" xr:uid="{33EF0A39-0D18-4F56-BC25-1C8054CC2C20}"/>
    <cellStyle name="输出 2 3 2 5" xfId="3775" xr:uid="{5D457BE0-977A-4D34-B2C7-BAF6C7D833D7}"/>
    <cellStyle name="输出 2 3 3" xfId="3776" xr:uid="{DAE7EAB7-FABE-4803-9A6E-6D05EC0BADED}"/>
    <cellStyle name="输出 2 3 3 2" xfId="3777" xr:uid="{F19CE227-A696-4AD4-9C80-4480012D03D4}"/>
    <cellStyle name="输出 2 3 3 2 2" xfId="3778" xr:uid="{7473DCE9-6181-4EEC-BFFD-3CC86B866292}"/>
    <cellStyle name="输出 2 3 3 3" xfId="3779" xr:uid="{CA94A4A3-DDF5-401D-826B-93F362FF390A}"/>
    <cellStyle name="输出 2 3 4" xfId="3780" xr:uid="{914C017C-74BA-47DB-9953-82DCECC11CEC}"/>
    <cellStyle name="输出 2 3 4 2" xfId="3781" xr:uid="{E8ED176E-8173-4635-AA3E-648F97E291E8}"/>
    <cellStyle name="输出 2 3 5" xfId="3782" xr:uid="{C2331E09-F46A-45C6-9C41-03FF51BEBD68}"/>
    <cellStyle name="输出 2 3 5 2" xfId="3783" xr:uid="{318F1B37-A1E9-4DC0-B9B7-DDF1DEA72EE9}"/>
    <cellStyle name="输出 2 3 6" xfId="3784" xr:uid="{64C7D72C-787C-4D3D-B63F-11A5E6BED198}"/>
    <cellStyle name="输出 2 4" xfId="3785" xr:uid="{0290F0E7-E25A-4F05-B3A0-33A15B39E0EF}"/>
    <cellStyle name="输出 2 4 2" xfId="3786" xr:uid="{35140FF5-464C-40EE-9425-9A50496AF983}"/>
    <cellStyle name="输出 2 4 2 2" xfId="3787" xr:uid="{90DC8978-DCDF-4814-A683-F3CBE7ABA2B6}"/>
    <cellStyle name="输出 2 4 2 2 2" xfId="3788" xr:uid="{A020B1DB-EA80-4D29-A1A8-BB819862F26C}"/>
    <cellStyle name="输出 2 4 2 3" xfId="3789" xr:uid="{7A04B6BC-0013-4320-80D8-05E6CA0E049D}"/>
    <cellStyle name="输出 2 4 3" xfId="3790" xr:uid="{5EC54CB1-DB5C-41B5-AFA5-55D480A6BF2F}"/>
    <cellStyle name="输出 2 4 3 2" xfId="3791" xr:uid="{790FEDF8-FA7F-4FC7-BF46-3A90907DC995}"/>
    <cellStyle name="输出 2 4 3 2 2" xfId="3792" xr:uid="{4019527A-5287-4796-89DB-D6F0D055AE70}"/>
    <cellStyle name="输出 2 4 3 3" xfId="3793" xr:uid="{9D9D8091-48CF-4F9F-B0E9-7EEF55B6D63E}"/>
    <cellStyle name="输出 2 4 4" xfId="3794" xr:uid="{F8EA2C46-F3AF-42D2-952E-F60DB588E161}"/>
    <cellStyle name="输出 2 4 4 2" xfId="3795" xr:uid="{A045C2C3-5853-42E3-B59F-E96D7EA27BD4}"/>
    <cellStyle name="输出 2 4 5" xfId="3796" xr:uid="{CD2BC9A8-65C4-4E4C-A9E4-DA312FF134EF}"/>
    <cellStyle name="输出 2 4 5 2" xfId="3797" xr:uid="{3B64DBBF-3322-4814-A205-3CF763D0E7CA}"/>
    <cellStyle name="输出 2 4 6" xfId="3798" xr:uid="{89E28A24-8E9D-409D-B22A-DA43BE4742F6}"/>
    <cellStyle name="输出 2 5" xfId="3799" xr:uid="{E16D0A96-630D-42E0-976C-C8A22973E595}"/>
    <cellStyle name="输出 2 5 2" xfId="3800" xr:uid="{5C02BBD0-48E3-4B7B-9232-B6AE939D4761}"/>
    <cellStyle name="输出 2 5 2 2" xfId="3801" xr:uid="{72245EE5-25E8-4553-896D-43AAE88EB8B5}"/>
    <cellStyle name="输出 2 5 3" xfId="3802" xr:uid="{47DA81E5-95B4-45A9-871D-C1CD1B193E99}"/>
    <cellStyle name="输出 2 6" xfId="3803" xr:uid="{6FAD80C5-E432-496B-9AAA-0EEAD8615086}"/>
    <cellStyle name="输出 2 6 2" xfId="3804" xr:uid="{E53A5DB5-01A8-4F4F-8D52-D58718B8E49C}"/>
    <cellStyle name="输出 2 6 2 2" xfId="3805" xr:uid="{3DE9BF5F-5F95-4584-83C5-6C98A0ACBDC3}"/>
    <cellStyle name="输出 2 6 3" xfId="3806" xr:uid="{B36D513E-580F-46AB-90C4-2625C084F55F}"/>
    <cellStyle name="输出 2 7" xfId="3807" xr:uid="{4926324E-4685-4DB1-80FB-709715DFC98F}"/>
    <cellStyle name="输出 2 7 2" xfId="3808" xr:uid="{F03BB9DF-3B37-4A0A-9FDA-A82ABD8F3214}"/>
    <cellStyle name="输出 2 8" xfId="3809" xr:uid="{17F7B31D-AE9A-4752-A58E-29676D4BF326}"/>
    <cellStyle name="输出 2 8 2" xfId="3810" xr:uid="{8540C25C-EFE8-4A64-8D29-9B3930F9A180}"/>
    <cellStyle name="输出 2 9" xfId="3811" xr:uid="{657798B0-803F-4B11-BD34-7072AC352822}"/>
    <cellStyle name="输出 2 9 2" xfId="3812" xr:uid="{6BD3621A-D688-4048-9CD6-0A5E11383F9F}"/>
    <cellStyle name="输出 3" xfId="3813" xr:uid="{FDA6783F-65AD-461B-8128-6CEF4E890835}"/>
    <cellStyle name="输出 3 2" xfId="3814" xr:uid="{6B34BC07-92B4-4865-A467-0F2C05A42A9D}"/>
    <cellStyle name="输出 3 2 2" xfId="3815" xr:uid="{1BA9A6AB-19B6-4BD5-A577-5E4D82464B10}"/>
    <cellStyle name="输出 3 2 2 2" xfId="3816" xr:uid="{EA69FDBD-8D0E-40DA-B071-D8A021D9235A}"/>
    <cellStyle name="输出 3 2 2 2 2" xfId="3817" xr:uid="{1625B13E-F32B-4152-B8BC-B8C707BD97C5}"/>
    <cellStyle name="输出 3 2 2 2 2 2" xfId="3818" xr:uid="{16DB817E-4844-43A9-AFA6-06C95F718068}"/>
    <cellStyle name="输出 3 2 2 2 2 2 2" xfId="3819" xr:uid="{1432BEBB-209F-4A36-9B80-2A1E57E5C76D}"/>
    <cellStyle name="输出 3 2 2 2 2 3" xfId="3820" xr:uid="{8D23D478-585B-4D2C-B7A9-E97414C05C8C}"/>
    <cellStyle name="输出 3 2 2 2 3" xfId="3821" xr:uid="{FFC9E683-1855-4B01-BCA2-14ED2B87BDF4}"/>
    <cellStyle name="输出 3 2 2 2 3 2" xfId="3822" xr:uid="{F1056D78-DDD5-4246-89D1-2A3D19D316C2}"/>
    <cellStyle name="输出 3 2 2 2 4" xfId="3823" xr:uid="{55D62EBA-D49D-4669-98A3-C3B85CF359FA}"/>
    <cellStyle name="输出 3 2 2 3" xfId="3824" xr:uid="{8A9D147F-E393-4893-8671-169E31DF1865}"/>
    <cellStyle name="输出 3 2 2 3 2" xfId="3825" xr:uid="{5E52544E-550B-4DF6-A590-596F918A5154}"/>
    <cellStyle name="输出 3 2 2 3 2 2" xfId="3826" xr:uid="{BC92FAD3-F804-4979-AA33-0D9617F5CA5C}"/>
    <cellStyle name="输出 3 2 2 3 3" xfId="3827" xr:uid="{34774D24-4905-4E12-A60A-FB2522940B39}"/>
    <cellStyle name="输出 3 2 2 4" xfId="3828" xr:uid="{3CD21C8D-8CA3-4F59-907B-CCFEB5BF8925}"/>
    <cellStyle name="输出 3 2 2 4 2" xfId="3829" xr:uid="{16F65321-0C5F-419B-9172-7B8D408B9753}"/>
    <cellStyle name="输出 3 2 2 5" xfId="3830" xr:uid="{9ACCBE17-76CC-407B-89BE-44CE635F0D21}"/>
    <cellStyle name="输出 3 2 3" xfId="3831" xr:uid="{D3E1E4D5-080E-4D9D-9868-9256BAFBAFE4}"/>
    <cellStyle name="输出 3 2 3 2" xfId="3832" xr:uid="{1615810E-333E-4CB3-9E5E-7A680C8C554F}"/>
    <cellStyle name="输出 3 2 3 2 2" xfId="3833" xr:uid="{CF94B801-7361-4A4F-B346-0B4B3855C819}"/>
    <cellStyle name="输出 3 2 3 2 2 2" xfId="3834" xr:uid="{0A36CF4D-8D2D-4387-BA4A-A3F9B52F166B}"/>
    <cellStyle name="输出 3 2 3 2 3" xfId="3835" xr:uid="{00B669D3-0747-4A1C-A9A1-439D20A1B904}"/>
    <cellStyle name="输出 3 2 3 3" xfId="3836" xr:uid="{E4D4719E-E3A7-4867-BC01-84BF8CF1D2F1}"/>
    <cellStyle name="输出 3 2 3 3 2" xfId="3837" xr:uid="{EB9CF380-5C0C-40E7-8809-BAD89A5365BA}"/>
    <cellStyle name="输出 3 2 3 4" xfId="3838" xr:uid="{794A0B8D-52DE-4FC0-96FC-4A80D1144DB2}"/>
    <cellStyle name="输出 3 2 4" xfId="3839" xr:uid="{B63F2A84-FEE0-488A-9CC9-F3BA547D947B}"/>
    <cellStyle name="输出 3 2 4 2" xfId="3840" xr:uid="{20FABE42-8DD6-4C66-889A-8DDC4BABD23E}"/>
    <cellStyle name="输出 3 2 4 2 2" xfId="3841" xr:uid="{649E7034-25C2-41C0-BEC1-CE7A1B8DA006}"/>
    <cellStyle name="输出 3 2 4 3" xfId="3842" xr:uid="{B3C5531B-7206-407C-88A6-4CBBBC510634}"/>
    <cellStyle name="输出 3 2 5" xfId="3843" xr:uid="{DAB36CA2-269A-4A9A-8DF7-5CA9572180EE}"/>
    <cellStyle name="输出 3 2 5 2" xfId="3844" xr:uid="{960DA67F-5AD4-4CE2-99E2-539F6FBD4D19}"/>
    <cellStyle name="输出 3 2 6" xfId="3845" xr:uid="{9CF6760B-0F6C-4F42-9667-0631962267A5}"/>
    <cellStyle name="输出 3 3" xfId="3846" xr:uid="{1EC56698-26E3-47CB-AFC9-B099983E75A2}"/>
    <cellStyle name="输出 3 3 2" xfId="3847" xr:uid="{98BB8068-8AD1-4D11-B922-45F046172D54}"/>
    <cellStyle name="输出 3 3 2 2" xfId="3848" xr:uid="{DF562DB3-416D-499A-87BC-CD13E29DDF01}"/>
    <cellStyle name="输出 3 3 2 2 2" xfId="3849" xr:uid="{C9E0A0D7-2B61-4215-8CFC-B235707F5D53}"/>
    <cellStyle name="输出 3 3 2 3" xfId="3850" xr:uid="{C8E75A0B-2B15-4E8B-98BB-AA9B9F6C9450}"/>
    <cellStyle name="输出 3 3 3" xfId="3851" xr:uid="{15088F9D-EDFD-4F0F-8B1D-171F407CB5C9}"/>
    <cellStyle name="输出 3 3 3 2" xfId="3852" xr:uid="{734118E8-7502-44E2-8AD5-0BF2C5B06FAB}"/>
    <cellStyle name="输出 3 3 4" xfId="3853" xr:uid="{40E059FA-D962-471E-B134-5891B0826C04}"/>
    <cellStyle name="输出 3 4" xfId="3854" xr:uid="{6E88C67E-E842-4101-9E7E-53B324C39083}"/>
    <cellStyle name="输出 3 4 2" xfId="3855" xr:uid="{294642BA-E05A-44D9-8986-639D1A64960D}"/>
    <cellStyle name="输出 3 4 2 2" xfId="3856" xr:uid="{8FD09161-6B70-44E4-86D8-7F6F52223134}"/>
    <cellStyle name="输出 3 4 3" xfId="3857" xr:uid="{3EC00AE0-A82F-4DFC-9605-7A57559D2373}"/>
    <cellStyle name="输出 3 5" xfId="3858" xr:uid="{79304B02-C5B8-4853-BDD5-3213CA1A4099}"/>
    <cellStyle name="输出 3 5 2" xfId="3859" xr:uid="{04B36E56-E2D7-4AFF-8D9C-8BF487004BF3}"/>
    <cellStyle name="输出 3 6" xfId="3860" xr:uid="{635BD5DB-4E4A-426C-BA77-E5C87A58D239}"/>
    <cellStyle name="输出 4" xfId="3861" xr:uid="{79B38FC9-CB5F-48F0-9510-6920B8561A74}"/>
    <cellStyle name="输出 4 2" xfId="3862" xr:uid="{A5A2106F-1EA6-43DA-9E91-0CAC2BEB791A}"/>
    <cellStyle name="输出 4 2 2" xfId="3863" xr:uid="{03528FC1-2640-42FE-9141-1B0184ABD046}"/>
    <cellStyle name="输出 4 2 2 2" xfId="3864" xr:uid="{3F53E68C-333A-479F-AAE0-77A931E26C29}"/>
    <cellStyle name="输出 4 2 3" xfId="3865" xr:uid="{4CDF9CC9-B1C2-4167-8ADA-026508E0A00C}"/>
    <cellStyle name="输出 4 3" xfId="3866" xr:uid="{C6422E5E-35B7-4BA6-A31F-AD81124C02D2}"/>
    <cellStyle name="输出 4 3 2" xfId="3867" xr:uid="{5638B6B8-DDD2-42F7-B6D1-83C9B587D4E4}"/>
    <cellStyle name="输出 4 4" xfId="3868" xr:uid="{DF31196D-82F4-4D34-9D17-EE0667126E2E}"/>
    <cellStyle name="输出 5" xfId="3869" xr:uid="{07035498-CDFC-45D1-A057-ED6C3BB37D9E}"/>
    <cellStyle name="输出 5 2" xfId="3870" xr:uid="{42FAC7BE-EC2F-4D67-9DC8-9464D193016F}"/>
    <cellStyle name="输出 5 2 2" xfId="3871" xr:uid="{17945D03-2D3B-4995-981C-0FFEB3BEE130}"/>
    <cellStyle name="输出 5 2 2 2" xfId="3872" xr:uid="{61F502CF-F835-412E-9E8A-B316C5BB95AB}"/>
    <cellStyle name="输出 5 2 3" xfId="3873" xr:uid="{2D5A0A46-D0F3-411B-92AD-1B5BBEAFB552}"/>
    <cellStyle name="输出 5 3" xfId="3874" xr:uid="{5CA81DC8-FC4F-4F43-8DE3-33278B1EFC66}"/>
    <cellStyle name="输出 5 3 2" xfId="3875" xr:uid="{CA093EB6-9CB6-4A51-9FF5-FA00DA94AFC9}"/>
    <cellStyle name="输出 5 4" xfId="3876" xr:uid="{0B3E3790-A1E1-46E2-B418-C3CFDB981512}"/>
    <cellStyle name="输出 6" xfId="3877" xr:uid="{ADCC736B-D81F-48CF-A1B7-801DBFD7FE55}"/>
    <cellStyle name="输出 6 2" xfId="3878" xr:uid="{16087795-13BE-4506-97E3-F5A0D9EAD8D0}"/>
    <cellStyle name="输出 6 2 2" xfId="3879" xr:uid="{EFDA738A-BEA7-4E23-9BAE-5FC0E45BEEBF}"/>
    <cellStyle name="输出 6 3" xfId="3880" xr:uid="{91B86C38-653C-47AC-8C3F-50886DF83ECE}"/>
    <cellStyle name="输出 7" xfId="3881" xr:uid="{C52040C3-2356-4A73-A94E-E860DF202112}"/>
    <cellStyle name="输出 7 2" xfId="3882" xr:uid="{F47C10EF-45FE-47DD-B6B2-F273D1533F92}"/>
    <cellStyle name="输出 7 2 2" xfId="3883" xr:uid="{B233F600-4C9B-4E3A-A51D-E2166CD7E2EB}"/>
    <cellStyle name="输出 7 3" xfId="3884" xr:uid="{9F45D5EE-A908-4C28-A045-BB61871D081D}"/>
    <cellStyle name="输出 8" xfId="3885" xr:uid="{A624B748-A3BF-4197-AAAA-3A8D653B0F70}"/>
    <cellStyle name="输出 8 2" xfId="3886" xr:uid="{B2D7D965-45AD-49AE-B9B1-AD57DE090176}"/>
    <cellStyle name="输出 8 2 2" xfId="3887" xr:uid="{8DD38589-7EA1-4350-BAA5-DEB240A1A689}"/>
    <cellStyle name="输出 9" xfId="3888" xr:uid="{57818AC7-94EA-4FA1-AF9B-96FED9EB35D1}"/>
    <cellStyle name="适中 10" xfId="3889" xr:uid="{206E1E0A-B3F1-4214-984F-5011279C4948}"/>
    <cellStyle name="适中 11" xfId="3890" xr:uid="{4D6FD675-9605-4489-AA61-82E16719F473}"/>
    <cellStyle name="适中 2" xfId="3891" xr:uid="{0EBE52D7-5529-4A96-A142-2B20435CBF64}"/>
    <cellStyle name="适中 2 2" xfId="3892" xr:uid="{57C42167-B6C6-4560-A7A8-076B8CE1099A}"/>
    <cellStyle name="适中 2 2 2" xfId="3893" xr:uid="{0A7C78DF-732F-40A9-B193-33D70957264A}"/>
    <cellStyle name="适中 2 2 2 2" xfId="3894" xr:uid="{8DF4EA0E-3456-4317-A1B6-B597B7957E18}"/>
    <cellStyle name="适中 2 2 2 2 2" xfId="3895" xr:uid="{699F59F0-7415-4B7E-8C1B-13D008535A93}"/>
    <cellStyle name="适中 2 2 2 2 2 2" xfId="3896" xr:uid="{BE73D272-ABE2-4BD4-8461-6A458AC28923}"/>
    <cellStyle name="适中 2 2 2 2 3" xfId="3897" xr:uid="{CB46F734-5958-4C87-A20D-C48D3BF9C084}"/>
    <cellStyle name="适中 2 2 2 3" xfId="3898" xr:uid="{19AECB69-9F82-43D5-A243-2E127D8897D2}"/>
    <cellStyle name="适中 2 2 2 3 2" xfId="3899" xr:uid="{FBB68192-BD98-43E5-BD7D-338F48EC5EF9}"/>
    <cellStyle name="适中 2 2 2 4" xfId="3900" xr:uid="{53764445-6459-460C-9318-2C3A66F54BAD}"/>
    <cellStyle name="适中 2 2 3" xfId="3901" xr:uid="{5BE91929-D30E-4439-94E5-B046AF37CE2F}"/>
    <cellStyle name="适中 2 2 3 2" xfId="3902" xr:uid="{3A69A0CC-A2C9-467C-B6F2-F6F9F1787BC7}"/>
    <cellStyle name="适中 2 2 3 2 2" xfId="3903" xr:uid="{D1ADE081-3BE8-4134-B6A4-CF4C1BD2E602}"/>
    <cellStyle name="适中 2 2 3 3" xfId="3904" xr:uid="{E04B85B4-19C1-441A-9718-8EEFA2FA28B9}"/>
    <cellStyle name="适中 2 2 4" xfId="3905" xr:uid="{8D19D995-B171-4B7F-8967-6BF6DE50E458}"/>
    <cellStyle name="适中 2 2 4 2" xfId="3906" xr:uid="{559375C3-8264-446E-8AA5-9D1A59F43EFB}"/>
    <cellStyle name="适中 2 2 5" xfId="3907" xr:uid="{DD5A7906-AA9A-48F7-8941-C012F7ADA7AE}"/>
    <cellStyle name="适中 2 3" xfId="3908" xr:uid="{91C803D7-644C-4CC9-B5E8-2A40FD3373D7}"/>
    <cellStyle name="适中 2 3 2" xfId="3909" xr:uid="{291F9320-59F6-449A-9869-26FF78CD74DF}"/>
    <cellStyle name="适中 2 3 2 2" xfId="3910" xr:uid="{94870EBF-3B1B-43C2-9F00-5F1E1EBC1F03}"/>
    <cellStyle name="适中 2 3 2 2 2" xfId="3911" xr:uid="{949B88ED-B068-4A7A-A064-EA118E67F0B8}"/>
    <cellStyle name="适中 2 3 2 3" xfId="3912" xr:uid="{BCC4D7A1-7DB9-4C3D-8531-A4B1ACF78FCD}"/>
    <cellStyle name="适中 2 3 2 4" xfId="3913" xr:uid="{90680BD0-463C-4C0E-9D4D-7CFCF59D55BB}"/>
    <cellStyle name="适中 2 3 3" xfId="3914" xr:uid="{2885EA26-D760-4FF5-8E95-37EC6C13F7E2}"/>
    <cellStyle name="适中 2 3 3 2" xfId="3915" xr:uid="{AC8AAAF2-7FE9-4597-A59B-C46A9F0A90AD}"/>
    <cellStyle name="适中 2 3 4" xfId="3916" xr:uid="{40BF850D-344B-4061-AC24-E659DDB0965C}"/>
    <cellStyle name="适中 2 3 5" xfId="3917" xr:uid="{9F7947EA-E277-4E33-861A-277609EDC57E}"/>
    <cellStyle name="适中 2 4" xfId="3918" xr:uid="{2790DBBC-0704-4E22-80E0-36AA1969B53C}"/>
    <cellStyle name="适中 2 4 2" xfId="3919" xr:uid="{69C16BAC-3175-41F2-A745-F2AC2B67619A}"/>
    <cellStyle name="适中 2 4 2 2" xfId="3920" xr:uid="{1DA08E2F-DA01-412F-82E3-DA87CB999840}"/>
    <cellStyle name="适中 2 4 3" xfId="3921" xr:uid="{8760A504-13AE-4C1E-8384-6597451A3CAA}"/>
    <cellStyle name="适中 2 4 3 2" xfId="3922" xr:uid="{6E6D6D29-F4FD-4BDC-8FDE-02EC4AE28438}"/>
    <cellStyle name="适中 2 4 4" xfId="3923" xr:uid="{9368F304-D16D-4EB9-877F-54AE5AB76C55}"/>
    <cellStyle name="适中 2 4 5" xfId="3924" xr:uid="{2D75030A-A9EC-4466-9747-1E51D7C4E103}"/>
    <cellStyle name="适中 2 5" xfId="3925" xr:uid="{D2EB722F-C240-4E4E-AEC2-F1DD8840794E}"/>
    <cellStyle name="适中 2 5 2" xfId="3926" xr:uid="{5A5F72E0-D252-4106-BCA6-A972C135DF2D}"/>
    <cellStyle name="适中 2 6" xfId="3927" xr:uid="{51BF5714-E1BE-4CB1-BF09-AD3FB5EB5710}"/>
    <cellStyle name="适中 2 7" xfId="3928" xr:uid="{1F97268C-CCB3-4119-931A-2CB71C2AB369}"/>
    <cellStyle name="适中 3" xfId="3929" xr:uid="{C8C24528-E473-4B33-92CA-333A0E3AA710}"/>
    <cellStyle name="适中 3 2" xfId="3930" xr:uid="{D8253F33-AA5C-40E0-864F-17215A87E2D8}"/>
    <cellStyle name="适中 3 2 2" xfId="3931" xr:uid="{3C953EDF-93C8-43CB-8F1B-C17765BF3C92}"/>
    <cellStyle name="适中 3 2 2 2" xfId="3932" xr:uid="{0A36B063-3370-494F-BA25-505E4D259103}"/>
    <cellStyle name="适中 3 2 2 2 2" xfId="3933" xr:uid="{D2DB021C-57D5-4265-A231-479C56395A7B}"/>
    <cellStyle name="适中 3 2 2 2 2 2" xfId="3934" xr:uid="{AEA8ABDB-FD68-4779-93C5-F512B8996D58}"/>
    <cellStyle name="适中 3 2 2 2 3" xfId="3935" xr:uid="{715135F7-040B-48F7-B562-C7E746707273}"/>
    <cellStyle name="适中 3 2 2 3" xfId="3936" xr:uid="{45123059-C83A-4A09-A1A9-D08EA89AAFBB}"/>
    <cellStyle name="适中 3 2 2 3 2" xfId="3937" xr:uid="{8842DBEB-889B-4F28-99C8-CA8B2E64CF37}"/>
    <cellStyle name="适中 3 2 2 4" xfId="3938" xr:uid="{35D99416-81BB-4452-A081-F022DD912F04}"/>
    <cellStyle name="适中 3 2 3" xfId="3939" xr:uid="{CC2C8EBB-1E43-4B78-8CB1-17187D5FF04B}"/>
    <cellStyle name="适中 3 2 3 2" xfId="3940" xr:uid="{E5628C5E-93D7-47CF-9C67-AD819CD6C5F5}"/>
    <cellStyle name="适中 3 2 3 2 2" xfId="3941" xr:uid="{007C08C9-6F9C-43A6-96A5-28790EAE99B8}"/>
    <cellStyle name="适中 3 2 3 3" xfId="3942" xr:uid="{8BF62626-6879-4237-912C-97C3373EDB78}"/>
    <cellStyle name="适中 3 2 4" xfId="3943" xr:uid="{E0368028-2133-407A-A2E9-4D954A8DA138}"/>
    <cellStyle name="适中 3 2 4 2" xfId="3944" xr:uid="{6955EAE0-69D0-4ECE-807A-2761E727FB01}"/>
    <cellStyle name="适中 3 2 5" xfId="3945" xr:uid="{4269374F-DA88-4D1D-9D88-3DF295A04202}"/>
    <cellStyle name="适中 3 3" xfId="3946" xr:uid="{847CA8D5-5209-45DA-AD40-7F482F2C9BF7}"/>
    <cellStyle name="适中 3 3 2" xfId="3947" xr:uid="{2E0C9BDC-E513-4553-B32D-10E0B388188C}"/>
    <cellStyle name="适中 3 3 2 2" xfId="3948" xr:uid="{D3B3D348-56E2-49D0-829A-79FD34DC43D6}"/>
    <cellStyle name="适中 3 3 3" xfId="3949" xr:uid="{B52CC05F-B7E7-4BE0-8E5E-3A9F8B98A1B2}"/>
    <cellStyle name="适中 3 4" xfId="3950" xr:uid="{85C47669-FB2C-4AB3-A8D2-41E0E65E9FEF}"/>
    <cellStyle name="适中 3 4 2" xfId="3951" xr:uid="{A8C84B59-3478-416D-BF4C-68FE4CC0561F}"/>
    <cellStyle name="适中 3 5" xfId="3952" xr:uid="{A7A094D6-E08D-4675-A77A-EF7A66F27D87}"/>
    <cellStyle name="适中 4" xfId="3953" xr:uid="{E0C778F6-6E39-4DAD-AE66-E692052795C5}"/>
    <cellStyle name="适中 4 2" xfId="3954" xr:uid="{9F176D54-3E60-4077-B44A-6BD21D5760F1}"/>
    <cellStyle name="适中 4 2 2" xfId="3955" xr:uid="{3FEECD33-F738-40B1-920F-D27D034EE7C3}"/>
    <cellStyle name="适中 4 3" xfId="3956" xr:uid="{95163616-1733-45E0-BA8C-AD0E4DE6C8A5}"/>
    <cellStyle name="适中 5" xfId="3957" xr:uid="{D36FC907-C373-47B3-9F85-FF7F569096F5}"/>
    <cellStyle name="适中 5 2" xfId="3958" xr:uid="{99E81BCA-8EFC-4E60-AAE0-8F7EF373B3F5}"/>
    <cellStyle name="适中 5 2 2" xfId="3959" xr:uid="{FE477F01-5E8D-48E1-B12E-2A42C123791A}"/>
    <cellStyle name="适中 5 3" xfId="3960" xr:uid="{C28BE20F-B1F5-489D-8C18-32BADE8B37E2}"/>
    <cellStyle name="适中 6" xfId="3961" xr:uid="{DD266835-C967-4EF5-A1D7-D56107DF0CDF}"/>
    <cellStyle name="适中 6 2" xfId="3962" xr:uid="{FBE391FC-F9AF-427B-A8A1-BAB4290F093B}"/>
    <cellStyle name="适中 7" xfId="3963" xr:uid="{D00543A4-6FFA-448B-B405-B8826A2CF2EC}"/>
    <cellStyle name="适中 7 2" xfId="3964" xr:uid="{5FF3E6CE-0A23-41E9-9C83-06FA21EBA1A9}"/>
    <cellStyle name="适中 8" xfId="3965" xr:uid="{DCF33006-F394-48EE-AB57-6B45517913BE}"/>
    <cellStyle name="适中 8 2" xfId="3966" xr:uid="{8DDB9C6E-CDAA-4F26-8A8A-267CE7CF5EA8}"/>
    <cellStyle name="适中 9" xfId="3967" xr:uid="{7E4BADBB-43BE-4FB1-ACCA-9A59FDA60FE8}"/>
    <cellStyle name="钎霖_laroux" xfId="3968" xr:uid="{44501E5C-157C-4B2C-A129-6F48CB69FF58}"/>
    <cellStyle name="链接单元格 10" xfId="3969" xr:uid="{4191EA7A-22D5-4DB4-B93F-CD6953C59EAB}"/>
    <cellStyle name="链接单元格 11" xfId="3970" xr:uid="{85B5332B-FB98-4C80-9FFD-4964E4CA82D2}"/>
    <cellStyle name="链接单元格 2" xfId="3971" xr:uid="{EF8E67A1-4EF6-4994-B371-6C34847EA6F2}"/>
    <cellStyle name="链接单元格 2 2" xfId="3972" xr:uid="{5181E545-4E1E-49D7-9A21-F599E93C72C5}"/>
    <cellStyle name="链接单元格 2 2 2" xfId="3973" xr:uid="{EA56DA4F-B67B-443A-9C89-E888D551F44F}"/>
    <cellStyle name="链接单元格 2 2 2 2" xfId="3974" xr:uid="{00821E26-8694-4BF2-AE53-D55F0699C7B6}"/>
    <cellStyle name="链接单元格 2 2 2 2 2" xfId="3975" xr:uid="{49BE230D-C998-4106-A3E9-92994E767A61}"/>
    <cellStyle name="链接单元格 2 2 2 2 2 2" xfId="3976" xr:uid="{F7E3B8BA-89C0-4317-9E3C-77073C98D160}"/>
    <cellStyle name="链接单元格 2 2 2 2 3" xfId="3977" xr:uid="{ACB8A2B0-EC05-4373-921E-43109FC8555D}"/>
    <cellStyle name="链接单元格 2 2 2 3" xfId="3978" xr:uid="{B5630679-6B23-4C5F-9046-8E45878030DC}"/>
    <cellStyle name="链接单元格 2 2 2 3 2" xfId="3979" xr:uid="{1B7D5BD7-E3FD-42F9-86C5-CEC664EA1512}"/>
    <cellStyle name="链接单元格 2 2 2 4" xfId="3980" xr:uid="{9B058A2E-29B2-40D4-A360-E0DA4314C9CB}"/>
    <cellStyle name="链接单元格 2 2 3" xfId="3981" xr:uid="{1E35063C-5278-4177-90D7-4D27ADF97100}"/>
    <cellStyle name="链接单元格 2 2 3 2" xfId="3982" xr:uid="{C405B4E9-EF2D-4AF2-BD25-AFBB8F956F96}"/>
    <cellStyle name="链接单元格 2 2 3 2 2" xfId="3983" xr:uid="{4D2A9844-622D-4407-A695-66D342203EC5}"/>
    <cellStyle name="链接单元格 2 2 3 3" xfId="3984" xr:uid="{1C63C65B-D8A0-4A7D-ADD8-CF6EED62FD27}"/>
    <cellStyle name="链接单元格 2 2 4" xfId="3985" xr:uid="{A1CA13FD-B12C-44C7-9CC1-C04D2D947042}"/>
    <cellStyle name="链接单元格 2 2 4 2" xfId="3986" xr:uid="{AC4468D4-CDD9-4E3E-910D-86C5422CFF6A}"/>
    <cellStyle name="链接单元格 2 2 5" xfId="3987" xr:uid="{556DEF62-4221-4737-A3AD-40BFBE42490B}"/>
    <cellStyle name="链接单元格 2 3" xfId="3988" xr:uid="{90F90E84-78CE-4315-993A-6E46E9FDFA9E}"/>
    <cellStyle name="链接单元格 2 3 2" xfId="3989" xr:uid="{B4D592C1-98F8-4305-9C22-2D01D56FBF12}"/>
    <cellStyle name="链接单元格 2 3 2 2" xfId="3990" xr:uid="{738925F8-E2B6-4037-81BA-68B9449C8C1A}"/>
    <cellStyle name="链接单元格 2 3 3" xfId="3991" xr:uid="{33D4E1CD-005B-4871-AFC3-8236384CC820}"/>
    <cellStyle name="链接单元格 2 4" xfId="3992" xr:uid="{96F2FA4D-7532-4E7B-A035-0C0FF3AC479C}"/>
    <cellStyle name="链接单元格 2 4 2" xfId="3993" xr:uid="{6FB471AB-A72C-4507-9A60-F9CC22B9C2A8}"/>
    <cellStyle name="链接单元格 2 5" xfId="3994" xr:uid="{E48135E9-8009-4B54-8309-31B8F549A07F}"/>
    <cellStyle name="链接单元格 3" xfId="3995" xr:uid="{082A1F8A-5012-4C05-B94C-8D46A415A158}"/>
    <cellStyle name="链接单元格 3 2" xfId="3996" xr:uid="{B869F454-ED81-4043-B34C-F46E0105D4F4}"/>
    <cellStyle name="链接单元格 3 2 2" xfId="3997" xr:uid="{DD394EDA-E396-492D-A0AC-C903423F49C1}"/>
    <cellStyle name="链接单元格 3 2 2 2" xfId="3998" xr:uid="{A2DEE609-6519-48B9-B113-261DCA7E6C52}"/>
    <cellStyle name="链接单元格 3 2 2 2 2" xfId="3999" xr:uid="{17A5639E-5343-4AE9-8E29-324FE56CAA72}"/>
    <cellStyle name="链接单元格 3 2 2 2 2 2" xfId="4000" xr:uid="{3D911BD0-9878-4610-8A00-96EA014F943D}"/>
    <cellStyle name="链接单元格 3 2 2 2 3" xfId="4001" xr:uid="{0C06328D-8897-4182-B342-AA2EAB5237AA}"/>
    <cellStyle name="链接单元格 3 2 2 3" xfId="4002" xr:uid="{4D4A2A44-24AA-4BB4-B3B8-27D10F817B17}"/>
    <cellStyle name="链接单元格 3 2 2 3 2" xfId="4003" xr:uid="{5E40F857-F084-4A92-8AF6-B5F9F8D6549D}"/>
    <cellStyle name="链接单元格 3 2 2 4" xfId="4004" xr:uid="{45D5B310-1198-402B-B724-958B748D4B1D}"/>
    <cellStyle name="链接单元格 3 2 3" xfId="4005" xr:uid="{DDC578F8-570A-4EE3-8316-A3CC8E3112A5}"/>
    <cellStyle name="链接单元格 3 2 3 2" xfId="4006" xr:uid="{3D14E521-3069-4D7F-859F-3F6424CF1845}"/>
    <cellStyle name="链接单元格 3 2 3 2 2" xfId="4007" xr:uid="{09A9B0B4-FC0E-43ED-950F-88044F66918F}"/>
    <cellStyle name="链接单元格 3 2 3 3" xfId="4008" xr:uid="{1331F12B-DE1A-4261-8820-601A84FAE9A4}"/>
    <cellStyle name="链接单元格 3 2 4" xfId="4009" xr:uid="{27A9FE88-5134-45DF-B304-19ACA179AA89}"/>
    <cellStyle name="链接单元格 3 2 4 2" xfId="4010" xr:uid="{F689A1CB-B3F3-4B03-A323-31E574CAE631}"/>
    <cellStyle name="链接单元格 3 2 5" xfId="4011" xr:uid="{8410782C-4279-4819-9667-2BE9C586FA4E}"/>
    <cellStyle name="链接单元格 3 3" xfId="4012" xr:uid="{5AD0DEB2-3D15-4CC4-B5A4-9F678BCDD005}"/>
    <cellStyle name="链接单元格 3 3 2" xfId="4013" xr:uid="{6FA86241-5675-4B94-A008-7EDE2B8D9507}"/>
    <cellStyle name="链接单元格 3 3 2 2" xfId="4014" xr:uid="{97D5A25A-77D0-4369-9370-31F27453EF94}"/>
    <cellStyle name="链接单元格 3 3 3" xfId="4015" xr:uid="{D2266DEE-6986-4A21-BA0B-DD501AD19D54}"/>
    <cellStyle name="链接单元格 3 4" xfId="4016" xr:uid="{EB202B82-91E4-4897-A607-2C9FE5AC9BBC}"/>
    <cellStyle name="链接单元格 3 4 2" xfId="4017" xr:uid="{736E0107-D2B1-4516-A871-D0FE407C700F}"/>
    <cellStyle name="链接单元格 3 5" xfId="4018" xr:uid="{EE5AA158-7889-4A00-B0F0-F5A175C92060}"/>
    <cellStyle name="链接单元格 4" xfId="4019" xr:uid="{B6D9D249-5D7B-4AE8-B7AB-0B05A6037FCF}"/>
    <cellStyle name="链接单元格 4 2" xfId="4020" xr:uid="{04BEAEB7-16FC-4B79-9DBA-D6F2DB2B1C14}"/>
    <cellStyle name="链接单元格 4 2 2" xfId="4021" xr:uid="{362725AB-1345-4576-8A98-88BFC470A819}"/>
    <cellStyle name="链接单元格 4 3" xfId="4022" xr:uid="{BC37C4CD-9DDC-46FF-AF64-94826AA578AC}"/>
    <cellStyle name="链接单元格 5" xfId="4023" xr:uid="{1A2C7382-C572-4970-8D7D-5E15C2057E9F}"/>
    <cellStyle name="链接单元格 5 2" xfId="4024" xr:uid="{E5DC5A95-30A1-45C6-AFD5-E617CABF7483}"/>
    <cellStyle name="链接单元格 5 2 2" xfId="4025" xr:uid="{742AC410-E10F-45D5-9F23-78EF1D3A14B2}"/>
    <cellStyle name="链接单元格 5 3" xfId="4026" xr:uid="{ACC52FDA-3BF5-4510-B66B-BAB9FE1805EE}"/>
    <cellStyle name="链接单元格 6" xfId="4027" xr:uid="{E3DDE591-2B83-4269-9608-149D300F58F9}"/>
    <cellStyle name="链接单元格 6 2" xfId="4028" xr:uid="{D79962A3-7005-4E0B-9250-AFCC9A737BD3}"/>
    <cellStyle name="链接单元格 7" xfId="4029" xr:uid="{4FB3E9B7-16C6-4351-B182-75151BF52FB2}"/>
    <cellStyle name="链接单元格 7 2" xfId="4030" xr:uid="{28F310CC-E711-4AE6-ACE2-6F375C3024A0}"/>
    <cellStyle name="链接单元格 8" xfId="4031" xr:uid="{CFC1A953-1742-4A0A-9D2A-8E26D9C3A077}"/>
    <cellStyle name="链接单元格 8 2" xfId="4032" xr:uid="{299A67E6-C0F8-43D9-BF22-D8E36988B518}"/>
    <cellStyle name="链接单元格 9" xfId="4033" xr:uid="{28EC886E-5CB8-4C2F-9437-312F7057FDC3}"/>
    <cellStyle name="霓付 [0]_97MBO" xfId="4034" xr:uid="{65AB2031-80C4-484D-A1A6-AE958A81B390}"/>
    <cellStyle name="霓付_97MBO" xfId="4035" xr:uid="{37B644BF-5067-4E6A-B137-35F0117B6247}"/>
  </cellStyles>
  <dxfs count="565">
    <dxf>
      <border outline="0">
        <bottom style="thin">
          <color rgb="FF000000"/>
        </bottom>
      </border>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1C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charset val="134"/>
        <scheme val="minor"/>
      </font>
      <alignment horizontal="center" textRotation="0" wrapText="0" indent="0" justifyLastLine="0" shrinkToFit="0" readingOrder="0"/>
    </dxf>
    <dxf>
      <numFmt numFmtId="2" formatCode="0.00"/>
      <alignment horizontal="center" vertical="center" textRotation="0" wrapText="0" indent="0" justifyLastLine="0" shrinkToFit="0" readingOrder="0"/>
    </dxf>
    <dxf>
      <numFmt numFmtId="164" formatCode="m/d;@"/>
      <alignment horizontal="center" textRotation="0" indent="0" justifyLastLine="0" shrinkToFit="0" readingOrder="0"/>
    </dxf>
    <dxf>
      <numFmt numFmtId="164" formatCode="m/d;@"/>
      <alignment horizontal="center" textRotation="0" wrapText="0" indent="0" justifyLastLine="0" shrinkToFit="0" readingOrder="0"/>
    </dxf>
    <dxf>
      <numFmt numFmtId="2" formatCode="0.00"/>
      <alignment horizontal="center" vertical="bottom" textRotation="0" wrapText="0" indent="0" justifyLastLine="0" shrinkToFit="0" readingOrder="0"/>
    </dxf>
    <dxf>
      <numFmt numFmtId="164" formatCode="m/d;@"/>
      <alignment horizontal="center"/>
    </dxf>
    <dxf>
      <numFmt numFmtId="164" formatCode="m/d;@"/>
      <alignment horizontal="center" vertical="center" textRotation="0" wrapText="0" indent="0" justifyLastLine="0" shrinkToFit="0" readingOrder="0"/>
    </dxf>
    <dxf>
      <numFmt numFmtId="164" formatCode="m/d;@"/>
      <alignment horizontal="center" textRotation="0" indent="0" justifyLastLine="0" shrinkToFit="0" readingOrder="0"/>
    </dxf>
    <dxf>
      <numFmt numFmtId="164" formatCode="m/d;@"/>
      <alignment horizontal="center" textRotation="0" indent="0" justifyLastLine="0" shrinkToFit="0" readingOrder="0"/>
    </dxf>
    <dxf>
      <font>
        <name val="Calibri"/>
      </font>
      <alignment horizontal="center"/>
    </dxf>
    <dxf>
      <font>
        <b val="0"/>
        <i val="0"/>
        <strike val="0"/>
        <condense val="0"/>
        <extend val="0"/>
        <outline val="0"/>
        <shadow val="0"/>
        <u val="none"/>
        <vertAlign val="baseline"/>
        <sz val="11"/>
        <color theme="1"/>
        <name val="Calibri"/>
        <family val="2"/>
        <scheme val="minor"/>
      </font>
      <alignment horizontal="center"/>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color rgb="FF9C0006"/>
      </font>
      <fill>
        <patternFill>
          <bgColor rgb="FFFFC7CE"/>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m/d;@"/>
      <alignment horizontal="center" vertical="center" textRotation="0" wrapText="0" indent="0" justifyLastLine="0" shrinkToFit="0" readingOrder="0"/>
    </dxf>
    <dxf>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alignment horizontal="center" vertical="center" textRotation="0" wrapText="0" indent="0" justifyLastLine="0" shrinkToFit="0" readingOrder="0"/>
    </dxf>
    <dxf>
      <numFmt numFmtId="169" formatCode="m&quot;月&quot;d&quot;日&quot;;@"/>
      <alignment horizontal="center" vertical="center" textRotation="0" wrapText="0" indent="0" justifyLastLine="0" shrinkToFit="0" readingOrder="0"/>
    </dxf>
    <dxf>
      <numFmt numFmtId="164" formatCode="m/d;@"/>
      <alignment horizontal="center" vertical="center" textRotation="0" wrapText="0" indent="0" justifyLastLine="0" shrinkToFit="0" readingOrder="0"/>
    </dxf>
    <dxf>
      <numFmt numFmtId="164" formatCode="m/d;@"/>
      <alignment horizontal="center" vertical="center" textRotation="0" wrapText="0" indent="0" justifyLastLine="0" shrinkToFit="0" readingOrder="0"/>
    </dxf>
    <dxf>
      <numFmt numFmtId="164" formatCode="m/d;@"/>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wrapText="1"/>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2"/>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m/d;@"/>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m/d;@"/>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m/d;@"/>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m/d;@"/>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charset val="134"/>
        <scheme val="minor"/>
      </font>
      <numFmt numFmtId="164" formatCode="m/d;@"/>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m/d;@"/>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30" formatCode="@"/>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rgb="FF000000"/>
        </top>
        <bottom style="thin">
          <color auto="1"/>
        </bottom>
      </border>
    </dxf>
    <dxf>
      <alignment horizontal="center" vertical="center" textRotation="0" wrapText="0" indent="0" justifyLastLine="0" shrinkToFit="0" readingOrder="0"/>
    </dxf>
    <dxf>
      <alignment horizontal="center" vertical="center"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dxf>
    <dxf>
      <alignment horizontal="left" vertical="bottom"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4" formatCode="0.00%"/>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rgb="FF000000"/>
        <name val="Calibri"/>
        <family val="2"/>
        <scheme val="none"/>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m/d;@"/>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m/d;@"/>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m/d;@"/>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theme="1" tint="0.499984740745262"/>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none">
          <fgColor indexed="64"/>
          <bgColor theme="1" tint="0.49998474074526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color rgb="FF000000"/>
        <family val="2"/>
      </font>
      <fill>
        <patternFill patternType="none">
          <fgColor indexed="64"/>
          <bgColor theme="1" tint="0.49998474074526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color theme="4"/>
        <family val="2"/>
      </font>
      <fill>
        <patternFill patternType="solid">
          <fgColor indexed="64"/>
          <bgColor rgb="FFFFFF00"/>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21" formatCode="d\-mmm"/>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21" formatCode="d\-mmm"/>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color rgb="FF000000"/>
        <family val="2"/>
      </font>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bottom style="thin">
          <color auto="1"/>
        </bottom>
      </border>
    </dxf>
    <dxf>
      <border outline="0">
        <top style="thin">
          <color auto="1"/>
        </top>
      </border>
    </dxf>
    <dxf>
      <numFmt numFmtId="14" formatCode="0.00%"/>
      <alignment horizontal="left"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indexed="64"/>
          <bgColor theme="2" tint="-0.49803155613879818"/>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color rgb="FF9C0006"/>
      </font>
      <fill>
        <patternFill>
          <bgColor rgb="FFFFC7CE"/>
        </patternFill>
      </fill>
    </dxf>
    <dxf>
      <alignment horizontal="left" vertical="bottom" textRotation="0" wrapText="0" indent="0" justifyLastLine="0" shrinkToFit="0" readingOrder="0"/>
      <border diagonalUp="0" diagonalDown="0" outline="0">
        <left style="thin">
          <color indexed="64"/>
        </left>
        <right/>
        <top style="thin">
          <color indexed="64"/>
        </top>
        <bottom/>
      </border>
    </dxf>
    <dxf>
      <alignment horizontal="left" vertical="bottom" textRotation="0" wrapText="0" indent="0" justifyLastLine="0" shrinkToFit="0" readingOrder="0"/>
      <border diagonalUp="0" diagonalDown="0" outline="0">
        <left style="thin">
          <color auto="1"/>
        </left>
        <right style="thin">
          <color auto="1"/>
        </right>
        <top style="thin">
          <color auto="1"/>
        </top>
        <bottom/>
      </border>
    </dxf>
    <dxf>
      <numFmt numFmtId="0" formatCode="General"/>
      <alignment horizontal="left" vertical="bottom" textRotation="0" wrapText="0" indent="0" justifyLastLine="0" shrinkToFit="0" readingOrder="0"/>
      <border diagonalUp="0" diagonalDown="0">
        <left style="thin">
          <color auto="1"/>
        </left>
        <right style="thin">
          <color auto="1"/>
        </right>
        <top style="thin">
          <color auto="1"/>
        </top>
        <bottom/>
      </border>
    </dxf>
    <dxf>
      <numFmt numFmtId="4" formatCode="#,##0.00"/>
      <alignment horizontal="left" vertical="bottom" textRotation="0" wrapText="0" indent="0" justifyLastLine="0" shrinkToFit="0" readingOrder="0"/>
      <border diagonalUp="0" diagonalDown="0">
        <left style="thin">
          <color auto="1"/>
        </left>
        <right style="thin">
          <color auto="1"/>
        </right>
        <top style="thin">
          <color auto="1"/>
        </top>
        <bottom/>
      </border>
    </dxf>
    <dxf>
      <alignment horizontal="left" vertical="bottom" textRotation="0" wrapText="0" indent="0" justifyLastLine="0" shrinkToFit="0" readingOrder="0"/>
      <border diagonalUp="0" diagonalDown="0" outline="0">
        <left style="thin">
          <color auto="1"/>
        </left>
        <right style="thin">
          <color auto="1"/>
        </right>
        <top style="thin">
          <color auto="1"/>
        </top>
        <bottom/>
      </border>
    </dxf>
    <dxf>
      <alignment horizontal="left" vertical="bottom" textRotation="0" wrapText="0" indent="0" justifyLastLine="0" shrinkToFit="0" readingOrder="0"/>
      <border diagonalUp="0" diagonalDown="0" outline="0">
        <left style="thin">
          <color auto="1"/>
        </left>
        <right style="thin">
          <color auto="1"/>
        </right>
        <top style="thin">
          <color auto="1"/>
        </top>
        <bottom/>
      </border>
    </dxf>
    <dxf>
      <alignment horizontal="left" vertical="bottom" textRotation="0" wrapText="0" indent="0" justifyLastLine="0" shrinkToFit="0" readingOrder="0"/>
      <border diagonalUp="0" diagonalDown="0" outline="0">
        <left style="thin">
          <color auto="1"/>
        </left>
        <right style="thin">
          <color auto="1"/>
        </right>
        <top style="thin">
          <color auto="1"/>
        </top>
        <bottom/>
      </border>
    </dxf>
    <dxf>
      <alignment horizontal="left" vertical="bottom" textRotation="0" wrapText="0" indent="0" justifyLastLine="0" shrinkToFit="0" readingOrder="0"/>
      <border diagonalUp="0" diagonalDown="0" outline="0">
        <left style="thin">
          <color auto="1"/>
        </left>
        <right style="thin">
          <color auto="1"/>
        </right>
        <top style="thin">
          <color auto="1"/>
        </top>
        <bottom/>
      </border>
    </dxf>
    <dxf>
      <alignment horizontal="left" vertical="bottom" textRotation="0" wrapText="0" indent="0" justifyLastLine="0" shrinkToFit="0" readingOrder="0"/>
      <border diagonalUp="0" diagonalDown="0" outline="0">
        <left style="thin">
          <color auto="1"/>
        </left>
        <right style="thin">
          <color auto="1"/>
        </right>
        <top style="thin">
          <color auto="1"/>
        </top>
        <bottom/>
      </border>
    </dxf>
    <dxf>
      <font>
        <b val="0"/>
        <i val="0"/>
        <strike val="0"/>
        <condense val="0"/>
        <extend val="0"/>
        <outline val="0"/>
        <shadow val="0"/>
        <u val="none"/>
        <vertAlign val="baseline"/>
        <sz val="11"/>
        <color rgb="FF000000"/>
        <name val="Calibri"/>
        <family val="2"/>
        <scheme val="none"/>
      </font>
      <alignment horizontal="left" vertical="bottom" textRotation="0" wrapText="1" indent="0" justifyLastLine="0" shrinkToFit="0" readingOrder="0"/>
      <border diagonalUp="0" diagonalDown="0" outline="0">
        <left style="thin">
          <color auto="1"/>
        </left>
        <right style="thin">
          <color auto="1"/>
        </right>
        <top style="thin">
          <color auto="1"/>
        </top>
        <bottom/>
      </border>
    </dxf>
    <dxf>
      <alignment horizontal="left" vertical="bottom" textRotation="0" wrapText="1" indent="0" justifyLastLine="0" shrinkToFit="0" readingOrder="0"/>
      <border diagonalUp="0" diagonalDown="0" outline="0">
        <left style="thin">
          <color auto="1"/>
        </left>
        <right style="thin">
          <color auto="1"/>
        </right>
        <top style="thin">
          <color auto="1"/>
        </top>
        <bottom/>
      </border>
    </dxf>
    <dxf>
      <numFmt numFmtId="164" formatCode="m/d;@"/>
      <alignment horizontal="left" vertical="bottom" textRotation="0" wrapText="0" indent="0" justifyLastLine="0" shrinkToFit="0" readingOrder="0"/>
      <border diagonalUp="0" diagonalDown="0" outline="0">
        <left style="thin">
          <color auto="1"/>
        </left>
        <right style="thin">
          <color auto="1"/>
        </right>
        <top style="thin">
          <color auto="1"/>
        </top>
        <bottom/>
      </border>
    </dxf>
    <dxf>
      <numFmt numFmtId="164" formatCode="m/d;@"/>
      <alignment horizontal="left" vertical="bottom" textRotation="0" wrapText="0" indent="0" justifyLastLine="0" shrinkToFit="0" readingOrder="0"/>
      <border diagonalUp="0" diagonalDown="0" outline="0">
        <left style="thin">
          <color auto="1"/>
        </left>
        <right style="thin">
          <color auto="1"/>
        </right>
        <top style="thin">
          <color auto="1"/>
        </top>
        <bottom/>
      </border>
    </dxf>
    <dxf>
      <numFmt numFmtId="164" formatCode="m/d;@"/>
      <alignment horizontal="left" vertical="bottom" textRotation="0" wrapText="0" indent="0" justifyLastLine="0" shrinkToFit="0" readingOrder="0"/>
      <border diagonalUp="0" diagonalDown="0" outline="0">
        <left style="thin">
          <color auto="1"/>
        </left>
        <right style="thin">
          <color auto="1"/>
        </right>
        <top style="thin">
          <color auto="1"/>
        </top>
        <bottom/>
      </border>
    </dxf>
    <dxf>
      <fill>
        <patternFill patternType="none">
          <fgColor indexed="64"/>
          <bgColor theme="1" tint="0.499984740745262"/>
        </patternFill>
      </fill>
      <alignment horizontal="left" vertical="center" textRotation="0" wrapText="0" indent="0" justifyLastLine="0" shrinkToFit="0" readingOrder="0"/>
      <border diagonalUp="0" diagonalDown="0" outline="0">
        <left style="thin">
          <color auto="1"/>
        </left>
        <right style="thin">
          <color auto="1"/>
        </right>
        <top style="thin">
          <color auto="1"/>
        </top>
        <bottom/>
      </border>
    </dxf>
    <dxf>
      <fill>
        <patternFill patternType="none">
          <fgColor indexed="64"/>
          <bgColor theme="1" tint="0.499984740745262"/>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color rgb="FF000000"/>
        <family val="2"/>
      </font>
      <fill>
        <patternFill patternType="none">
          <fgColor indexed="64"/>
          <bgColor theme="1" tint="0.499984740745262"/>
        </patternFill>
      </fill>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alignment horizontal="left" vertical="center" textRotation="0" wrapText="0" indent="0" justifyLastLine="0" shrinkToFit="0" readingOrder="0"/>
      <border diagonalUp="0" diagonalDown="0" outline="0">
        <left style="thin">
          <color auto="1"/>
        </left>
        <right style="thin">
          <color auto="1"/>
        </right>
        <top style="thin">
          <color auto="1"/>
        </top>
        <bottom/>
      </border>
    </dxf>
    <dxf>
      <font>
        <color theme="4"/>
        <family val="2"/>
      </font>
      <fill>
        <patternFill patternType="solid">
          <fgColor indexed="64"/>
          <bgColor rgb="FFFFFF00"/>
        </patternFill>
      </fill>
      <alignment horizontal="left" vertical="center" textRotation="0" wrapText="0" indent="0" justifyLastLine="0" shrinkToFit="0" readingOrder="0"/>
      <border diagonalUp="0" diagonalDown="0" outline="0">
        <left style="thin">
          <color auto="1"/>
        </left>
        <right style="thin">
          <color auto="1"/>
        </right>
        <top style="thin">
          <color auto="1"/>
        </top>
        <bottom/>
      </border>
    </dxf>
    <dxf>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alignment horizontal="left" vertical="center" textRotation="0" wrapText="0" indent="0" justifyLastLine="0" shrinkToFit="0" readingOrder="0"/>
      <border diagonalUp="0" diagonalDown="0" outline="0">
        <left style="thin">
          <color auto="1"/>
        </left>
        <right style="thin">
          <color auto="1"/>
        </right>
        <top style="thin">
          <color auto="1"/>
        </top>
        <bottom/>
      </border>
    </dxf>
    <dxf>
      <numFmt numFmtId="21" formatCode="d\-mmm"/>
      <alignment horizontal="left" vertical="bottom" textRotation="0" wrapText="0" indent="0" justifyLastLine="0" shrinkToFit="0" readingOrder="0"/>
      <border diagonalUp="0" diagonalDown="0" outline="0">
        <left style="thin">
          <color auto="1"/>
        </left>
        <right style="thin">
          <color auto="1"/>
        </right>
        <top style="thin">
          <color auto="1"/>
        </top>
        <bottom/>
      </border>
    </dxf>
    <dxf>
      <numFmt numFmtId="21" formatCode="d\-mmm"/>
      <alignment horizontal="left" vertical="bottom" textRotation="0" wrapText="0" indent="0" justifyLastLine="0" shrinkToFit="0" readingOrder="0"/>
      <border diagonalUp="0" diagonalDown="0" outline="0">
        <left style="thin">
          <color auto="1"/>
        </left>
        <right style="thin">
          <color auto="1"/>
        </right>
        <top style="thin">
          <color auto="1"/>
        </top>
        <bottom/>
      </border>
    </dxf>
    <dxf>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alignment horizontal="left" vertical="center" textRotation="0" wrapText="0" indent="0" justifyLastLine="0" shrinkToFit="0" readingOrder="0"/>
      <border diagonalUp="0" diagonalDown="0" outline="0">
        <left style="thin">
          <color auto="1"/>
        </left>
        <right style="thin">
          <color auto="1"/>
        </right>
        <top style="thin">
          <color auto="1"/>
        </top>
        <bottom/>
      </border>
    </dxf>
    <dxf>
      <font>
        <color rgb="FF000000"/>
        <family val="2"/>
      </font>
      <alignment horizontal="left" vertical="center" textRotation="0" wrapText="0" indent="0" justifyLastLine="0" shrinkToFit="0" readingOrder="0"/>
      <border diagonalUp="0" diagonalDown="0" outline="0">
        <left/>
        <right style="thin">
          <color indexed="64"/>
        </right>
        <top style="thin">
          <color indexed="64"/>
        </top>
        <bottom/>
      </border>
    </dxf>
    <dxf>
      <border outline="0">
        <bottom style="thin">
          <color auto="1"/>
        </bottom>
      </border>
    </dxf>
    <dxf>
      <border outline="0">
        <top style="thin">
          <color auto="1"/>
        </top>
      </border>
    </dxf>
    <dxf>
      <numFmt numFmtId="0" formatCode="General"/>
      <alignment horizontal="left" vertical="bottom"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indexed="64"/>
          <bgColor theme="2" tint="-0.49803155613879818"/>
        </patternFill>
      </fill>
      <alignment horizontal="left" vertical="center" textRotation="0" wrapText="0" indent="0" justifyLastLine="0" shrinkToFit="0" readingOrder="0"/>
      <border diagonalUp="0" diagonalDown="0" outline="0">
        <left style="thin">
          <color indexed="64"/>
        </left>
        <right style="thin">
          <color indexed="64"/>
        </right>
        <top/>
        <bottom/>
      </border>
    </dxf>
    <dxf>
      <font>
        <color rgb="FF9C0006"/>
      </font>
      <fill>
        <patternFill>
          <bgColor rgb="FFFFC7CE"/>
        </patternFill>
      </fill>
    </dxf>
    <dxf>
      <alignment horizontal="left" vertical="bottom"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family val="2"/>
        <scheme val="none"/>
      </font>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1" formatCode="d\-mmm"/>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1" formatCode="d\-mmm"/>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textRotation="0" indent="0" justifyLastLine="0" shrinkToFit="0" readingOrder="0"/>
      <border diagonalUp="0" diagonalDown="0" outline="0">
        <left/>
        <right style="thin">
          <color indexed="64"/>
        </right>
        <top style="thin">
          <color indexed="64"/>
        </top>
        <bottom style="thin">
          <color indexed="64"/>
        </bottom>
      </border>
    </dxf>
    <dxf>
      <border outline="0">
        <bottom style="thin">
          <color auto="1"/>
        </bottom>
      </border>
    </dxf>
    <dxf>
      <border outline="0">
        <top style="thin">
          <color auto="1"/>
        </top>
      </border>
    </dxf>
    <dxf>
      <alignment horizontal="left" vertical="bottom"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indexed="64"/>
          <bgColor theme="2" tint="-0.49803155613879818"/>
        </patternFill>
      </fill>
      <alignment horizontal="general" vertical="center" textRotation="0" wrapText="0" indent="0" justifyLastLine="0" shrinkToFit="0" readingOrder="0"/>
      <border diagonalUp="0" diagonalDown="0" outline="0">
        <left style="thin">
          <color indexed="64"/>
        </left>
        <right style="thin">
          <color indexed="64"/>
        </right>
        <top/>
        <bottom/>
      </border>
    </dxf>
    <dxf>
      <font>
        <color rgb="FF9C0006"/>
      </font>
      <fill>
        <patternFill>
          <bgColor rgb="FFFFC7CE"/>
        </patternFill>
      </fill>
    </dxf>
    <dxf>
      <alignment horizontal="left"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border outline="0">
        <bottom style="thin">
          <color auto="1"/>
        </bottom>
      </border>
    </dxf>
    <dxf>
      <border outline="0">
        <top style="thin">
          <color auto="1"/>
        </top>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indexed="64"/>
          <bgColor theme="2" tint="-0.49803155613879818"/>
        </patternFill>
      </fill>
      <alignment horizontal="left" vertical="center" textRotation="0" wrapText="0" indent="0" justifyLastLine="0" shrinkToFit="0" readingOrder="0"/>
      <border diagonalUp="0" diagonalDown="0" outline="0">
        <left style="thin">
          <color auto="1"/>
        </left>
        <right style="thin">
          <color auto="1"/>
        </right>
        <top/>
        <bottom/>
      </border>
    </dxf>
    <dxf>
      <font>
        <color rgb="FF9C0006"/>
      </font>
      <fill>
        <patternFill>
          <bgColor rgb="FFFFC7CE"/>
        </patternFill>
      </fill>
    </dxf>
    <dxf>
      <numFmt numFmtId="14" formatCode="0.00%"/>
    </dxf>
    <dxf>
      <numFmt numFmtId="0" formatCode="General"/>
    </dxf>
    <dxf>
      <alignment horizontal="center"/>
    </dxf>
    <dxf>
      <numFmt numFmtId="21" formatCode="d\-mmm"/>
      <alignment horizontal="center"/>
    </dxf>
    <dxf>
      <numFmt numFmtId="21" formatCode="d\-mmm"/>
    </dxf>
    <dxf>
      <alignment horizontal="right"/>
    </dxf>
    <dxf>
      <font>
        <name val="Calibri"/>
        <scheme val="minor"/>
      </font>
      <alignment horizontal="right" vertical="center"/>
    </dxf>
    <dxf>
      <border outline="0">
        <top style="thin">
          <color rgb="FF000000"/>
        </top>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indexed="64"/>
          <bgColor theme="2" tint="-0.49803155613879818"/>
        </patternFill>
      </fill>
      <alignment horizontal="left" vertical="center" textRotation="0" wrapText="0" indent="0" justifyLastLine="0" shrinkToFit="0" readingOrder="0"/>
      <border diagonalUp="0" diagonalDown="0" outline="0">
        <left style="thin">
          <color rgb="FF000000"/>
        </left>
        <right style="thin">
          <color rgb="FF000000"/>
        </right>
        <top/>
        <bottom/>
      </border>
    </dxf>
    <dxf>
      <font>
        <color rgb="FF9C0006"/>
      </font>
      <fill>
        <patternFill>
          <bgColor rgb="FFFFC7CE"/>
        </patternFill>
      </fill>
    </dxf>
    <dxf>
      <fill>
        <patternFill patternType="none">
          <fgColor indexed="64"/>
          <bgColor indexed="65"/>
        </patternFill>
      </fill>
      <alignment horizontal="left" textRotation="0" indent="0" justifyLastLine="0" shrinkToFit="0" readingOrder="0"/>
      <border diagonalUp="0" diagonalDown="0" outline="0">
        <left style="thin">
          <color rgb="FF000000"/>
        </left>
        <right/>
        <top style="thin">
          <color rgb="FF000000"/>
        </top>
        <bottom style="thin">
          <color rgb="FF000000"/>
        </bottom>
      </border>
    </dxf>
    <dxf>
      <fill>
        <patternFill patternType="none">
          <fgColor indexed="64"/>
          <bgColor indexed="65"/>
        </patternFill>
      </fill>
      <alignment horizontal="left"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numFmt numFmtId="0" formatCode="General"/>
      <fill>
        <patternFill patternType="none">
          <fgColor indexed="64"/>
          <bgColor indexed="65"/>
        </patternFill>
      </fill>
      <alignment horizontal="left"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numFmt numFmtId="0" formatCode="General"/>
      <fill>
        <patternFill patternType="none">
          <fgColor indexed="64"/>
          <bgColor indexed="65"/>
        </patternFill>
      </fill>
      <alignment horizontal="left"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ill>
        <patternFill patternType="none">
          <fgColor indexed="64"/>
          <bgColor indexed="65"/>
        </patternFill>
      </fill>
      <alignment horizontal="left"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ill>
        <patternFill patternType="none">
          <fgColor indexed="64"/>
          <bgColor indexed="65"/>
        </patternFill>
      </fill>
      <alignment horizontal="left"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ill>
        <patternFill patternType="none">
          <fgColor indexed="64"/>
          <bgColor indexed="65"/>
        </patternFill>
      </fill>
      <alignment horizontal="left"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ill>
        <patternFill patternType="none">
          <fgColor indexed="64"/>
          <bgColor indexed="65"/>
        </patternFill>
      </fill>
      <alignment horizontal="left"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ill>
        <patternFill patternType="none">
          <fgColor indexed="64"/>
          <bgColor indexed="65"/>
        </patternFill>
      </fill>
      <alignment horizontal="left" vertical="center" textRotation="0" wrapText="0" indent="0" justifyLastLine="0" shrinkToFit="0" readingOrder="0"/>
      <border diagonalUp="0" diagonalDown="0" outline="0">
        <left/>
        <right style="thin">
          <color rgb="FF000000"/>
        </right>
        <top style="thin">
          <color rgb="FF000000"/>
        </top>
        <bottom style="thin">
          <color rgb="FF000000"/>
        </bottom>
      </border>
    </dxf>
    <dxf>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left"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numFmt numFmtId="164" formatCode="m/d;@"/>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numFmt numFmtId="164" formatCode="m/d;@"/>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right" vertical="center" textRotation="0" wrapText="0" indent="0" justifyLastLine="0" shrinkToFit="0" readingOrder="0"/>
      <border diagonalUp="0" diagonalDown="0">
        <left style="thin">
          <color auto="1"/>
        </left>
        <right style="thin">
          <color auto="1"/>
        </right>
        <top style="thin">
          <color auto="1"/>
        </top>
        <bottom style="thin">
          <color auto="1"/>
        </bottom>
      </border>
    </dxf>
    <dxf>
      <fill>
        <patternFill patternType="none">
          <fgColor indexed="64"/>
          <bgColor indexed="65"/>
        </patternFill>
      </fill>
      <alignment horizontal="left" vertical="center" textRotation="0" wrapText="0" indent="0" justifyLastLine="0" shrinkToFit="0" readingOrder="0"/>
      <border diagonalUp="0" diagonalDown="0" outline="0">
        <left/>
        <right style="thin">
          <color auto="1"/>
        </right>
        <top style="thin">
          <color auto="1"/>
        </top>
        <bottom style="thin">
          <color auto="1"/>
        </bottom>
      </border>
    </dxf>
    <dxf>
      <border outline="0">
        <left style="thin">
          <color rgb="FF000000"/>
        </left>
        <right style="thin">
          <color rgb="FF000000"/>
        </right>
        <top style="thin">
          <color rgb="FF000000"/>
        </top>
      </border>
    </dxf>
    <dxf>
      <numFmt numFmtId="14" formatCode="0.00%"/>
      <fill>
        <patternFill patternType="none">
          <fgColor indexed="64"/>
          <bgColor indexed="65"/>
        </patternFill>
      </fill>
      <alignment horizontal="left" textRotation="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indexed="64"/>
          <bgColor theme="2" tint="-0.49803155613879818"/>
        </patternFill>
      </fill>
      <alignment horizontal="left" vertical="center" textRotation="0" wrapText="0" indent="0" justifyLastLine="0" shrinkToFit="0" readingOrder="0"/>
      <border diagonalUp="0" diagonalDown="0" outline="0">
        <left style="thin">
          <color rgb="FF000000"/>
        </left>
        <right style="thin">
          <color rgb="FF000000"/>
        </right>
        <top/>
        <bottom/>
      </border>
    </dxf>
    <dxf>
      <font>
        <color rgb="FF9C0006"/>
      </font>
      <fill>
        <patternFill>
          <bgColor rgb="FFFFC7CE"/>
        </patternFill>
      </fill>
    </dxf>
    <dxf>
      <fill>
        <patternFill patternType="none">
          <fgColor indexed="64"/>
          <bgColor indexed="65"/>
        </patternFill>
      </fill>
      <alignment vertical="center" textRotation="0" indent="0" justifyLastLine="0" shrinkToFit="0" readingOrder="0"/>
      <border diagonalUp="0" diagonalDown="0" outline="0">
        <left style="thin">
          <color rgb="FF000000"/>
        </left>
        <right/>
        <top style="thin">
          <color rgb="FF000000"/>
        </top>
        <bottom style="thin">
          <color rgb="FF000000"/>
        </bottom>
      </border>
    </dxf>
    <dxf>
      <fill>
        <patternFill patternType="none">
          <fgColor indexed="64"/>
          <bgColor indexed="65"/>
        </patternFill>
      </fill>
      <alignment vertic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numFmt numFmtId="0" formatCode="General"/>
      <fill>
        <patternFill patternType="none">
          <fgColor indexed="64"/>
          <bgColor indexed="65"/>
        </patternFill>
      </fill>
      <alignment vertic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numFmt numFmtId="0" formatCode="General"/>
      <fill>
        <patternFill patternType="none">
          <fgColor indexed="64"/>
          <bgColor indexed="65"/>
        </patternFill>
      </fill>
      <alignment vertic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ill>
        <patternFill patternType="none">
          <fgColor indexed="64"/>
          <bgColor indexed="65"/>
        </patternFill>
      </fill>
      <alignment vertic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ill>
        <patternFill patternType="none">
          <fgColor indexed="64"/>
          <bgColor indexed="65"/>
        </patternFill>
      </fill>
      <alignment vertic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ill>
        <patternFill patternType="none">
          <fgColor indexed="64"/>
          <bgColor indexed="65"/>
        </patternFill>
      </fill>
      <alignment vertical="center" textRotation="0" indent="0" justifyLastLine="0" shrinkToFit="0" readingOrder="0"/>
      <border diagonalUp="0" diagonalDown="0" outline="0">
        <left style="thin">
          <color rgb="FF000000"/>
        </left>
        <right style="thin">
          <color rgb="FF000000"/>
        </right>
        <top style="thin">
          <color rgb="FF000000"/>
        </top>
        <bottom style="thin">
          <color rgb="FF000000"/>
        </bottom>
      </border>
    </dxf>
    <dxf>
      <fill>
        <patternFill patternType="none">
          <fgColor indexed="64"/>
          <bgColor indexed="65"/>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general" vertical="center"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164" formatCode="m/d;@"/>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numFmt numFmtId="164" formatCode="m/d;@"/>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numFmt numFmtId="164" formatCode="m/d;@"/>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numFmt numFmtId="164" formatCode="m/d;@"/>
      <fill>
        <patternFill patternType="none">
          <fgColor indexed="64"/>
          <bgColor indexed="65"/>
        </patternFill>
      </fill>
      <alignment horizontal="center" vertical="center" textRotation="0" wrapText="1"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numFmt numFmtId="164" formatCode="m/d;@"/>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border>
    </dxf>
    <dxf>
      <numFmt numFmtId="164" formatCode="m/d;@"/>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alignment horizontal="center" vertical="center" textRotation="0" wrapText="0" indent="0" justifyLastLine="0" shrinkToFit="0" readingOrder="0"/>
      <border diagonalUp="0" diagonalDown="0" outline="0">
        <left/>
        <right style="thin">
          <color auto="1"/>
        </right>
        <top style="thin">
          <color auto="1"/>
        </top>
        <bottom style="thin">
          <color auto="1"/>
        </bottom>
      </border>
    </dxf>
    <dxf>
      <border outline="0">
        <left style="thin">
          <color rgb="FF000000"/>
        </left>
        <right style="thin">
          <color rgb="FF000000"/>
        </right>
        <top style="thin">
          <color rgb="FF000000"/>
        </top>
      </border>
    </dxf>
    <dxf>
      <numFmt numFmtId="0" formatCode="General"/>
      <fill>
        <patternFill patternType="none">
          <fgColor indexed="64"/>
          <bgColor indexed="65"/>
        </patternFill>
      </fill>
      <alignment vertical="center" textRotation="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indexed="64"/>
          <bgColor theme="2" tint="-0.49803155613879818"/>
        </patternFill>
      </fill>
      <alignment horizontal="center" vertical="center" textRotation="0" wrapText="0" indent="0" justifyLastLine="0" shrinkToFit="0" readingOrder="0"/>
      <border diagonalUp="0" diagonalDown="0">
        <left style="thin">
          <color rgb="FF000000"/>
        </left>
        <right style="thin">
          <color rgb="FF000000"/>
        </right>
        <top/>
        <bottom/>
      </border>
    </dxf>
    <dxf>
      <font>
        <color rgb="FF9C0006"/>
      </font>
      <fill>
        <patternFill>
          <bgColor rgb="FFFFC7CE"/>
        </patternFill>
      </fill>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rgb="FF000000"/>
        </bottom>
      </border>
    </dxf>
    <dxf>
      <border outline="0">
        <left style="thin">
          <color rgb="FF000000"/>
        </left>
        <right style="thin">
          <color rgb="FF000000"/>
        </right>
        <top style="thin">
          <color rgb="FF000000"/>
        </top>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indexed="64"/>
          <bgColor theme="2" tint="-0.49803155613879818"/>
        </patternFill>
      </fill>
      <alignment horizontal="general" vertical="center" textRotation="0" wrapText="0"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color rgb="FF9C0006"/>
      </font>
      <fill>
        <patternFill>
          <bgColor rgb="FFFFC7CE"/>
        </patternFill>
      </fill>
    </dxf>
    <dxf>
      <numFmt numFmtId="0" formatCode="General"/>
    </dxf>
    <dxf>
      <numFmt numFmtId="0" formatCode="General"/>
    </dxf>
    <dxf>
      <alignment horizontal="left" vertical="center" textRotation="0" wrapText="1" indent="0" justifyLastLine="0" shrinkToFit="0" readingOrder="0"/>
      <border diagonalUp="0" diagonalDown="0">
        <left style="thin">
          <color auto="1"/>
        </left>
        <right/>
        <top style="thin">
          <color auto="1"/>
        </top>
        <bottom/>
        <vertical/>
        <horizontal/>
      </border>
    </dxf>
    <dxf>
      <alignment horizontal="left" vertical="center" textRotation="0" wrapText="1" indent="0" justifyLastLine="0" shrinkToFit="0" readingOrder="0"/>
      <border diagonalUp="0" diagonalDown="0">
        <left style="thin">
          <color auto="1"/>
        </left>
        <right/>
        <top style="thin">
          <color auto="1"/>
        </top>
        <bottom/>
        <vertical/>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rgb="FF92D05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outline="0">
        <top style="thin">
          <color rgb="FF000000"/>
        </top>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indexed="64"/>
          <bgColor theme="2" tint="-0.49803155613879818"/>
        </patternFill>
      </fill>
      <alignment horizontal="general" vertical="center" textRotation="0" wrapText="0" indent="0" justifyLastLine="0" shrinkToFit="0" readingOrder="0"/>
      <border diagonalUp="0" diagonalDown="0" outline="0">
        <left style="thin">
          <color indexed="64"/>
        </left>
        <right style="thin">
          <color indexed="64"/>
        </right>
        <top/>
        <bottom/>
      </border>
    </dxf>
    <dxf>
      <font>
        <color rgb="FF9C0006"/>
      </font>
      <fill>
        <patternFill>
          <bgColor rgb="FFFFC7CE"/>
        </patternFill>
      </fill>
    </dxf>
    <dxf>
      <alignment horizontal="left" textRotation="0" indent="0" justifyLastLine="0" shrinkToFit="0" readingOrder="0"/>
    </dxf>
    <dxf>
      <alignment horizontal="left"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textRotation="0" indent="0" justifyLastLine="0" shrinkToFit="0" readingOrder="0"/>
    </dxf>
    <dxf>
      <alignment horizontal="left"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numFmt numFmtId="0" formatCode="General"/>
      <alignment horizontal="left" textRotation="0" indent="0" justifyLastLine="0" shrinkToFit="0" readingOrder="0"/>
    </dxf>
    <dxf>
      <font>
        <b val="0"/>
        <i val="0"/>
        <strike val="0"/>
        <condense val="0"/>
        <extend val="0"/>
        <outline val="0"/>
        <shadow val="0"/>
        <u val="none"/>
        <vertAlign val="baseline"/>
        <sz val="11"/>
        <color theme="1"/>
        <name val="Calibri"/>
        <charset val="134"/>
        <scheme val="minor"/>
      </font>
      <numFmt numFmtId="0" formatCode="General"/>
      <alignment horizontal="left"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numFmt numFmtId="0" formatCode="General"/>
      <alignment horizontal="left" textRotation="0" indent="0" justifyLastLine="0" shrinkToFit="0" readingOrder="0"/>
    </dxf>
    <dxf>
      <numFmt numFmtId="0" formatCode="General"/>
      <alignment horizontal="left"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textRotation="0" indent="0" justifyLastLine="0" shrinkToFit="0" readingOrder="0"/>
    </dxf>
    <dxf>
      <alignment horizontal="left"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textRotation="0" indent="0" justifyLastLine="0" shrinkToFit="0" readingOrder="0"/>
    </dxf>
    <dxf>
      <alignment horizontal="left"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textRotation="0" indent="0" justifyLastLine="0" shrinkToFit="0" readingOrder="0"/>
    </dxf>
    <dxf>
      <alignment horizontal="left"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textRotation="0" indent="0" justifyLastLine="0" shrinkToFit="0" readingOrder="0"/>
    </dxf>
    <dxf>
      <alignment horizontal="left"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textRotation="0" indent="0" justifyLastLine="0" shrinkToFit="0" readingOrder="0"/>
    </dxf>
    <dxf>
      <alignment horizontal="left"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vertical="bottom" textRotation="0" wrapText="0" indent="0" justifyLastLine="0" shrinkToFit="0" readingOrder="0"/>
    </dxf>
    <dxf>
      <alignment horizontal="lef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vertical="bottom" textRotation="0" wrapText="0" indent="0" justifyLastLine="0" shrinkToFit="0" readingOrder="0"/>
    </dxf>
    <dxf>
      <numFmt numFmtId="164" formatCode="m/d;@"/>
      <alignment horizontal="lef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vertical="bottom" textRotation="0" wrapText="0" indent="0" justifyLastLine="0" shrinkToFit="0" readingOrder="0"/>
    </dxf>
    <dxf>
      <numFmt numFmtId="164" formatCode="m/d;@"/>
      <alignment horizontal="lef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vertical="bottom" textRotation="0" wrapText="0" indent="0" justifyLastLine="0" shrinkToFit="0" readingOrder="0"/>
    </dxf>
    <dxf>
      <numFmt numFmtId="164" formatCode="m/d;@"/>
      <alignment horizontal="lef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vertical="bottom" textRotation="0" wrapText="0" indent="0" justifyLastLine="0" shrinkToFit="0" readingOrder="0"/>
    </dxf>
    <dxf>
      <alignment horizontal="lef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92D050"/>
        </patternFill>
      </fill>
      <alignment horizontal="lef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ill>
        <patternFill patternType="solid">
          <fgColor indexed="64"/>
          <bgColor rgb="FF92D050"/>
        </patternFill>
      </fill>
      <alignment horizontal="center" vertical="center" textRotation="0" wrapText="0" indent="0" justifyLastLine="0" shrinkToFit="0" readingOrder="0"/>
      <border diagonalUp="0" diagonalDown="0" outline="0">
        <left style="thin">
          <color auto="1"/>
        </left>
        <right style="thin">
          <color auto="1"/>
        </right>
        <top style="thin">
          <color auto="1"/>
        </top>
        <bottom style="thin">
          <color auto="1"/>
        </bottom>
      </border>
    </dxf>
    <dxf>
      <alignment horizontal="left" vertical="bottom" textRotation="0" wrapText="0" indent="0" justifyLastLine="0" shrinkToFit="0" readingOrder="0"/>
    </dxf>
    <dxf>
      <alignment horizontal="lef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vertical="bottom" textRotation="0" wrapText="0" indent="0" justifyLastLine="0" shrinkToFit="0" readingOrder="0"/>
    </dxf>
    <dxf>
      <numFmt numFmtId="164" formatCode="m/d;@"/>
      <alignment horizontal="lef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color rgb="FF000000"/>
        <family val="2"/>
      </font>
      <numFmt numFmtId="21" formatCode="d\-mmm"/>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charset val="134"/>
        <scheme val="minor"/>
      </font>
      <numFmt numFmtId="21" formatCode="d\-mmm"/>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numFmt numFmtId="21" formatCode="d\-mmm"/>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numFmt numFmtId="21" formatCode="d\-mmm"/>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center" vertical="center" textRotation="0" wrapText="0" indent="0" justifyLastLine="0" shrinkToFit="0" readingOrder="0"/>
    </dxf>
    <dxf>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vertical="bottom" textRotation="0" wrapText="0" indent="0" justifyLastLine="0" shrinkToFit="0" readingOrder="0"/>
    </dxf>
    <dxf>
      <alignment horizontal="lef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vertical="bottom" textRotation="0" wrapText="0" indent="0" justifyLastLine="0" shrinkToFit="0" readingOrder="0"/>
    </dxf>
    <dxf>
      <alignment horizontal="left" vertical="bottom"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top style="thin">
          <color rgb="FF000000"/>
        </top>
      </border>
    </dxf>
    <dxf>
      <border outline="0">
        <top style="thin">
          <color rgb="FF000000"/>
        </top>
      </border>
    </dxf>
    <dxf>
      <alignment horizontal="left" vertical="center" textRotation="0" wrapText="0" indent="0" justifyLastLine="0" shrinkToFit="0" readingOrder="0"/>
      <border diagonalUp="0" diagonalDown="0" outline="0">
        <left style="thin">
          <color rgb="FF000000"/>
        </left>
        <right style="thin">
          <color rgb="FF000000"/>
        </right>
        <top/>
        <bottom/>
      </border>
    </dxf>
    <dxf>
      <numFmt numFmtId="14" formatCode="0.00%"/>
      <alignment horizontal="left" textRotation="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indexed="64"/>
          <bgColor theme="2" tint="-0.49803155613879818"/>
        </patternFill>
      </fill>
      <alignment horizontal="left" vertical="center" textRotation="0" wrapText="0" indent="0" justifyLastLine="0" shrinkToFit="0" readingOrder="0"/>
      <border diagonalUp="0" diagonalDown="0" outline="0">
        <left style="thin">
          <color rgb="FF000000"/>
        </left>
        <right style="thin">
          <color rgb="FF000000"/>
        </right>
        <top/>
        <bottom/>
      </border>
    </dxf>
    <dxf>
      <font>
        <color rgb="FF9C0006"/>
      </font>
      <fill>
        <patternFill>
          <bgColor rgb="FFFFC7CE"/>
        </patternFill>
      </fill>
    </dxf>
    <dxf>
      <alignment horizontal="left" vertical="center" textRotation="0" wrapText="0" indent="0" justifyLastLine="0" shrinkToFit="0" readingOrder="0"/>
      <border diagonalUp="0" diagonalDown="0">
        <left style="thin">
          <color auto="1"/>
        </left>
        <right/>
        <top style="thin">
          <color auto="1"/>
        </top>
        <bottom/>
        <vertical/>
        <horizontal/>
      </border>
    </dxf>
    <dxf>
      <alignment horizontal="left" vertical="center" textRotation="0" wrapText="0" indent="0" justifyLastLine="0" shrinkToFit="0" readingOrder="0"/>
      <border diagonalUp="0" diagonalDown="0">
        <left style="thin">
          <color auto="1"/>
        </left>
        <right style="thin">
          <color auto="1"/>
        </right>
        <top style="thin">
          <color auto="1"/>
        </top>
        <bottom/>
        <vertical/>
        <horizontal/>
      </border>
    </dxf>
    <dxf>
      <numFmt numFmtId="14" formatCode="0.00%"/>
      <alignment horizontal="left" vertical="center" textRotation="0" wrapText="0" indent="0" justifyLastLine="0" shrinkToFit="0" readingOrder="0"/>
      <border diagonalUp="0" diagonalDown="0">
        <left style="thin">
          <color auto="1"/>
        </left>
        <right style="thin">
          <color auto="1"/>
        </right>
        <top style="thin">
          <color auto="1"/>
        </top>
        <bottom/>
        <vertical/>
        <horizontal/>
      </border>
    </dxf>
    <dxf>
      <numFmt numFmtId="0" formatCode="General"/>
      <alignment horizontal="left" vertical="center" textRotation="0" wrapText="0" indent="0" justifyLastLine="0" shrinkToFit="0" readingOrder="0"/>
      <border diagonalUp="0" diagonalDown="0">
        <left style="thin">
          <color auto="1"/>
        </left>
        <right style="thin">
          <color auto="1"/>
        </right>
        <top style="thin">
          <color auto="1"/>
        </top>
        <bottom/>
        <vertical/>
        <horizontal/>
      </border>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fill>
        <patternFill patternType="solid">
          <fgColor indexed="64"/>
          <bgColor theme="0" tint="-0.499984740745262"/>
        </patternFill>
      </fill>
      <alignment horizontal="left" vertical="center" textRotation="0" wrapText="0" indent="0" justifyLastLine="0" shrinkToFit="0" readingOrder="0"/>
    </dxf>
    <dxf>
      <alignment horizontal="left" vertical="center" textRotation="0" wrapText="0" indent="0" justifyLastLine="0" shrinkToFit="0" readingOrder="0"/>
      <border diagonalUp="0" diagonalDown="0">
        <left style="thin">
          <color auto="1"/>
        </left>
        <right style="thin">
          <color auto="1"/>
        </right>
        <top style="thin">
          <color auto="1"/>
        </top>
        <bottom/>
        <vertical/>
        <horizontal/>
      </border>
    </dxf>
    <dxf>
      <font>
        <b val="0"/>
        <i val="0"/>
        <strike val="0"/>
        <condense val="0"/>
        <extend val="0"/>
        <outline val="0"/>
        <shadow val="0"/>
        <u val="none"/>
        <vertAlign val="baseline"/>
        <sz val="11"/>
        <color theme="1"/>
        <name val="Calibri"/>
        <family val="2"/>
        <scheme val="minor"/>
      </font>
      <alignment horizontal="left" vertical="center" textRotation="0" wrapText="1" indent="0" justifyLastLine="0" shrinkToFit="0" readingOrder="0"/>
    </dxf>
    <dxf>
      <numFmt numFmtId="164" formatCode="m/d;@"/>
      <alignment horizontal="left" vertical="center" textRotation="0" wrapText="0" indent="0" justifyLastLine="0" shrinkToFit="0" readingOrder="0"/>
    </dxf>
    <dxf>
      <numFmt numFmtId="164" formatCode="m/d;@"/>
      <alignment horizontal="left" vertical="center" textRotation="0" wrapText="0" indent="0" justifyLastLine="0" shrinkToFit="0" readingOrder="0"/>
    </dxf>
    <dxf>
      <font>
        <b val="0"/>
        <i val="0"/>
        <strike val="0"/>
        <condense val="0"/>
        <extend val="0"/>
        <outline val="0"/>
        <shadow val="0"/>
        <u val="none"/>
        <vertAlign val="baseline"/>
        <sz val="11"/>
        <color rgb="FFFF0000"/>
        <name val="Calibri"/>
        <family val="2"/>
        <scheme val="minor"/>
      </font>
      <numFmt numFmtId="164" formatCode="m/d;@"/>
      <alignment horizontal="left" vertical="center" textRotation="0" wrapText="0" indent="0" justifyLastLine="0" shrinkToFit="0" readingOrder="0"/>
    </dxf>
    <dxf>
      <fill>
        <patternFill patternType="solid">
          <fgColor indexed="64"/>
          <bgColor theme="0" tint="-0.499984740745262"/>
        </patternFill>
      </fill>
      <alignment horizontal="left" vertical="center" textRotation="0" wrapText="0" indent="0" justifyLastLine="0" shrinkToFit="0" readingOrder="0"/>
    </dxf>
    <dxf>
      <fill>
        <patternFill patternType="solid">
          <fgColor indexed="64"/>
          <bgColor theme="0" tint="-0.499984740745262"/>
        </patternFill>
      </fill>
      <alignment horizontal="left" vertical="center" textRotation="0" wrapText="0" indent="0" justifyLastLine="0" shrinkToFit="0" readingOrder="0"/>
    </dxf>
    <dxf>
      <fill>
        <patternFill patternType="solid">
          <fgColor indexed="64"/>
          <bgColor theme="0" tint="-0.499984740745262"/>
        </patternFill>
      </fill>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ill>
        <patternFill patternType="solid">
          <fgColor indexed="64"/>
          <bgColor theme="0" tint="-0.499984740745262"/>
        </patternFill>
      </fill>
      <alignment horizontal="left" vertical="center" textRotation="0" wrapText="0" indent="0" justifyLastLine="0" shrinkToFit="0" readingOrder="0"/>
    </dxf>
    <dxf>
      <fill>
        <patternFill patternType="solid">
          <fgColor indexed="64"/>
          <bgColor theme="0" tint="-0.499984740745262"/>
        </patternFill>
      </fil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font>
        <b val="0"/>
        <i val="0"/>
        <strike val="0"/>
        <condense val="0"/>
        <extend val="0"/>
        <outline val="0"/>
        <shadow val="0"/>
        <u val="none"/>
        <vertAlign val="baseline"/>
        <sz val="11"/>
        <color rgb="FFFF0000"/>
        <name val="Calibri"/>
        <family val="2"/>
        <scheme val="minor"/>
      </font>
      <numFmt numFmtId="164" formatCode="m/d;@"/>
      <alignment horizontal="left" vertical="center" textRotation="0" wrapText="0" indent="0" justifyLastLine="0" shrinkToFit="0" readingOrder="0"/>
    </dxf>
    <dxf>
      <numFmt numFmtId="164" formatCode="m/d;@"/>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border outline="0">
        <bottom style="thin">
          <color auto="1"/>
        </bottom>
      </border>
    </dxf>
    <dxf>
      <border outline="0">
        <top style="thin">
          <color auto="1"/>
        </top>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indexed="64"/>
          <bgColor theme="2" tint="-0.49803155613879818"/>
        </patternFill>
      </fill>
      <alignment horizontal="center" vertical="center" textRotation="0" wrapText="0" indent="0" justifyLastLine="0" shrinkToFit="0" readingOrder="0"/>
      <border diagonalUp="0" diagonalDown="0" outline="0">
        <left style="thin">
          <color auto="1"/>
        </left>
        <right style="thin">
          <color auto="1"/>
        </right>
        <top/>
        <bottom/>
      </border>
    </dxf>
    <dxf>
      <font>
        <color rgb="FF9C0006"/>
      </font>
      <fill>
        <patternFill>
          <bgColor rgb="FFFFC7CE"/>
        </patternFill>
      </fill>
    </dxf>
    <dxf>
      <alignment horizontal="left" vertical="center" textRotation="0" indent="0" justifyLastLine="0" shrinkToFit="0" readingOrder="0"/>
    </dxf>
    <dxf>
      <alignment horizontal="left" vertical="center" textRotation="0" indent="0" justifyLastLine="0" shrinkToFit="0" readingOrder="0"/>
    </dxf>
    <dxf>
      <numFmt numFmtId="14" formatCode="0.00%"/>
      <alignment horizontal="left" vertical="center" textRotation="0" indent="0" justifyLastLine="0" shrinkToFit="0" readingOrder="0"/>
    </dxf>
    <dxf>
      <numFmt numFmtId="0" formatCode="General"/>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alignment horizontal="left" vertical="center" textRotation="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numFmt numFmtId="164" formatCode="m/d;@"/>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indent="0" justifyLastLine="0" shrinkToFit="0" readingOrder="0"/>
    </dxf>
    <dxf>
      <numFmt numFmtId="164" formatCode="m/d;@"/>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m/d;@"/>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indent="0" justifyLastLine="0" shrinkToFit="0" readingOrder="0"/>
    </dxf>
    <dxf>
      <border outline="0">
        <bottom style="thin">
          <color auto="1"/>
        </bottom>
      </border>
    </dxf>
    <dxf>
      <numFmt numFmtId="0" formatCode="General"/>
      <alignment horizontal="left" vertical="center" textRotation="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indexed="64"/>
          <bgColor theme="0" tint="-0.499984740745262"/>
        </patternFill>
      </fill>
      <alignment horizontal="left" vertical="center" textRotation="0" wrapText="0" indent="0" justifyLastLine="0" shrinkToFit="0" readingOrder="0"/>
      <border diagonalUp="0" diagonalDown="0" outline="0">
        <left style="thin">
          <color rgb="FF000000"/>
        </left>
        <right style="thin">
          <color rgb="FF000000"/>
        </right>
        <top/>
        <bottom/>
      </border>
    </dxf>
    <dxf>
      <font>
        <color rgb="FF9C0006"/>
      </font>
      <fill>
        <patternFill>
          <bgColor rgb="FFFFC7CE"/>
        </patternFill>
      </fill>
    </dxf>
    <dxf>
      <alignment horizontal="left" vertical="center" textRotation="0" wrapText="0" indent="0" justifyLastLine="0" shrinkToFit="0" readingOrder="0"/>
      <border diagonalUp="0" diagonalDown="0" outline="0">
        <left style="thin">
          <color rgb="FF000000"/>
        </left>
        <right/>
        <top style="thin">
          <color rgb="FF000000"/>
        </top>
        <bottom style="thin">
          <color rgb="FF000000"/>
        </bottom>
      </border>
    </dxf>
    <dxf>
      <alignment horizontal="left"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numFmt numFmtId="14" formatCode="0.00%"/>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numFmt numFmtId="0" formatCode="General"/>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alignment horizontal="left"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m/d;@"/>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outline="0">
        <top style="thin">
          <color rgb="FF000000"/>
        </top>
      </border>
    </dxf>
    <dxf>
      <border outline="0">
        <bottom style="thin">
          <color auto="1"/>
        </bottom>
      </border>
    </dxf>
    <dxf>
      <border outline="0">
        <left style="thin">
          <color rgb="FF000000"/>
        </left>
        <right style="thin">
          <color rgb="FF000000"/>
        </right>
        <top style="thin">
          <color rgb="FF000000"/>
        </top>
      </border>
    </dxf>
    <dxf>
      <numFmt numFmtId="0" formatCode="General"/>
      <alignment horizontal="left"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indexed="64"/>
          <bgColor theme="2" tint="-0.49803155613879818"/>
        </patternFill>
      </fill>
      <alignment horizontal="left" vertical="center" textRotation="0" wrapText="0" indent="0" justifyLastLine="0" shrinkToFit="0" readingOrder="0"/>
      <border diagonalUp="0" diagonalDown="0" outline="0">
        <left style="thin">
          <color rgb="FF000000"/>
        </left>
        <right style="thin">
          <color rgb="FF000000"/>
        </right>
        <top/>
        <bottom/>
      </border>
    </dxf>
    <dxf>
      <font>
        <color rgb="FF9C0006"/>
      </font>
      <fill>
        <patternFill>
          <bgColor rgb="FFFFC7CE"/>
        </patternFill>
      </fill>
    </dxf>
    <dxf>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numFmt numFmtId="14" formatCode="0.00%"/>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numFmt numFmtId="0" formatCode="Genera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alignment horizontal="left"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numFmt numFmtId="164" formatCode="m/d;@"/>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center" textRotation="0" indent="0" justifyLastLine="0" shrinkToFit="0" readingOrder="0"/>
    </dxf>
    <dxf>
      <numFmt numFmtId="164" formatCode="m/d;@"/>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center" textRotation="0" indent="0" justifyLastLine="0" shrinkToFit="0" readingOrder="0"/>
    </dxf>
    <dxf>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center" textRotation="0" indent="0" justifyLastLine="0" shrinkToFit="0" readingOrder="0"/>
    </dxf>
    <dxf>
      <alignment horizontal="center" textRotation="0" indent="0" justifyLastLine="0" shrinkToFit="0" readingOrder="0"/>
    </dxf>
    <dxf>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numFmt numFmtId="164" formatCode="m/d;@"/>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numFmt numFmtId="164" formatCode="m/d;@"/>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solid">
          <fgColor indexed="64"/>
          <bgColor theme="2" tint="-0.49803155613879818"/>
        </patternFill>
      </fill>
      <alignment horizontal="general" vertical="center" textRotation="0" wrapText="0" indent="0" justifyLastLine="0" shrinkToFit="0" readingOrder="0"/>
      <border diagonalUp="0" diagonalDown="0" outline="0">
        <left style="thin">
          <color rgb="FF000000"/>
        </left>
        <right style="thin">
          <color rgb="FF000000"/>
        </right>
        <top/>
        <bottom/>
      </border>
    </dxf>
    <dxf>
      <font>
        <color rgb="FF9C0006"/>
      </font>
      <fill>
        <patternFill>
          <bgColor rgb="FFFFC7CE"/>
        </patternFill>
      </fill>
    </dxf>
    <dxf>
      <fill>
        <patternFill patternType="solid">
          <fgColor theme="4" tint="0.79998168889431442"/>
          <bgColor theme="4" tint="0.79998168889431442"/>
        </patternFill>
      </fill>
      <border>
        <bottom style="thin">
          <color theme="4" tint="0.39997558519241921"/>
        </bottom>
      </border>
    </dxf>
    <dxf>
      <font>
        <b/>
      </font>
      <fill>
        <patternFill patternType="solid">
          <fgColor theme="4" tint="0.79998168889431442"/>
          <bgColor theme="4" tint="0.79998168889431442"/>
        </patternFill>
      </fill>
      <border>
        <bottom style="thin">
          <color theme="4" tint="0.39997558519241921"/>
        </bottom>
      </border>
    </dxf>
    <dxf>
      <font>
        <color theme="1"/>
      </font>
    </dxf>
    <dxf>
      <font>
        <color theme="1"/>
      </font>
      <border>
        <bottom style="thin">
          <color theme="4" tint="0.39997558519241921"/>
        </bottom>
      </border>
    </dxf>
    <dxf>
      <font>
        <b/>
        <color theme="1"/>
      </font>
    </dxf>
    <dxf>
      <font>
        <b/>
        <color theme="1"/>
      </font>
      <border>
        <top style="thin">
          <color theme="4"/>
        </top>
        <bottom style="thin">
          <color theme="4"/>
        </bottom>
      </border>
    </dxf>
    <dxf>
      <fill>
        <patternFill patternType="solid">
          <fgColor theme="4" tint="0.79998168889431442"/>
          <bgColor theme="4" tint="0.79998168889431442"/>
        </patternFill>
      </fill>
    </dxf>
    <dxf>
      <fill>
        <patternFill patternType="solid">
          <fgColor theme="4" tint="0.79998168889431442"/>
          <bgColor theme="4" tint="0.79998168889431442"/>
        </patternFill>
      </fill>
    </dxf>
    <dxf>
      <font>
        <b/>
        <color theme="1"/>
      </font>
      <fill>
        <patternFill patternType="solid">
          <fgColor theme="4" tint="0.79998168889431442"/>
          <bgColor theme="4" tint="0.79998168889431442"/>
        </patternFill>
      </fill>
      <border>
        <top style="thin">
          <color theme="4" tint="0.39997558519241921"/>
        </top>
        <bottom style="thin">
          <color theme="4" tint="0.39997558519241921"/>
        </bottom>
      </border>
    </dxf>
    <dxf>
      <font>
        <b/>
        <color theme="1"/>
      </font>
      <fill>
        <patternFill patternType="solid">
          <fgColor theme="4" tint="0.79998168889431442"/>
          <bgColor theme="4" tint="0.79998168889431442"/>
        </patternFill>
      </fill>
      <border>
        <bottom style="thin">
          <color theme="4" tint="0.39997558519241921"/>
        </bottom>
      </border>
    </dxf>
    <dxf>
      <fill>
        <patternFill patternType="solid">
          <fgColor theme="4" tint="0.79998168889431442"/>
          <bgColor theme="4" tint="0.79998168889431442"/>
        </patternFill>
      </fill>
    </dxf>
    <dxf>
      <fill>
        <patternFill patternType="solid">
          <fgColor theme="4" tint="0.79998168889431442"/>
          <bgColor theme="4" tint="0.79998168889431442"/>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21"/>
        </horizontal>
      </border>
    </dxf>
    <dxf>
      <font>
        <b val="0"/>
        <i val="0"/>
        <strike val="0"/>
      </font>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
      <fill>
        <patternFill>
          <bgColor theme="3" tint="0.79998168889431442"/>
        </patternFill>
      </fill>
      <border>
        <left style="thin">
          <color auto="1"/>
        </left>
        <right style="thin">
          <color auto="1"/>
        </right>
        <top style="thin">
          <color auto="1"/>
        </top>
        <bottom style="thin">
          <color auto="1"/>
        </bottom>
      </border>
    </dxf>
    <dxf>
      <font>
        <color theme="0"/>
      </font>
      <fill>
        <patternFill>
          <bgColor theme="4"/>
        </patternFill>
      </fill>
    </dxf>
    <dxf>
      <border>
        <left/>
        <right/>
        <top/>
        <bottom/>
        <vertical/>
        <horizontal/>
      </border>
    </dxf>
  </dxfs>
  <tableStyles count="5" defaultTableStyle="表样式 2" defaultPivotStyle="PivotStyleLight16">
    <tableStyle name="表样式 1" pivot="0" count="4" xr9:uid="{D5B45D40-6C60-47DE-8328-4D6C03E88DE8}">
      <tableStyleElement type="wholeTable" dxfId="564"/>
      <tableStyleElement type="headerRow" dxfId="563"/>
      <tableStyleElement type="firstRowStripe" dxfId="562"/>
      <tableStyleElement type="secondColumnStripe" dxfId="561"/>
    </tableStyle>
    <tableStyle name="表样式 2" pivot="0" count="1" xr9:uid="{C5426945-16F8-4F76-ADB5-F262C760B8A0}">
      <tableStyleElement type="wholeTable" dxfId="560"/>
    </tableStyle>
    <tableStyle name="表样式 3" pivot="0" count="1" xr9:uid="{BA9411BC-7ADF-4218-9F7E-E490E119CC45}">
      <tableStyleElement type="wholeTable" dxfId="559"/>
    </tableStyle>
    <tableStyle name="TableStylePreset3_Accent1" pivot="0" count="7" xr9:uid="{3D32EEC8-2BFF-4DB1-8E19-FDC5AF95AFCE}">
      <tableStyleElement type="wholeTable" dxfId="558"/>
      <tableStyleElement type="headerRow" dxfId="557"/>
      <tableStyleElement type="totalRow" dxfId="556"/>
      <tableStyleElement type="firstColumn" dxfId="555"/>
      <tableStyleElement type="lastColumn" dxfId="554"/>
      <tableStyleElement type="firstRowStripe" dxfId="553"/>
      <tableStyleElement type="firstColumnStripe" dxfId="552"/>
    </tableStyle>
    <tableStyle name="PivotStylePreset2_Accent1" table="0" count="10" xr9:uid="{3BB94388-00A9-420F-9402-47C15C95FA2C}">
      <tableStyleElement type="headerRow" dxfId="551"/>
      <tableStyleElement type="totalRow" dxfId="550"/>
      <tableStyleElement type="firstRowStripe" dxfId="549"/>
      <tableStyleElement type="firstColumnStripe" dxfId="548"/>
      <tableStyleElement type="firstSubtotalRow" dxfId="547"/>
      <tableStyleElement type="secondSubtotalRow" dxfId="546"/>
      <tableStyleElement type="firstRowSubheading" dxfId="545"/>
      <tableStyleElement type="secondRowSubheading" dxfId="544"/>
      <tableStyleElement type="pageFieldLabels" dxfId="543"/>
      <tableStyleElement type="pageFieldValues" dxfId="542"/>
    </tableStyle>
  </tableStyles>
  <colors>
    <mruColors>
      <color rgb="FFF562DC"/>
      <color rgb="FFFF0000"/>
      <color rgb="FF0000FF"/>
      <color rgb="FF003399"/>
      <color rgb="FFFFFF99"/>
      <color rgb="FFEDCBF7"/>
      <color rgb="FF0000CC"/>
      <color rgb="FFD47DE8"/>
      <color rgb="FFFFCC99"/>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JAN%20202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2021"/>
    </sheetNames>
    <sheetDataSet>
      <sheetData sheetId="0"/>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Default" id="{81F68FB6-207C-4E40-8884-C3C32E54F158}">
    <nsvFilter filterId="{DA5AFABC-449E-4F99-B076-EA2BB81886E9}" ref="A1:Z235" tableId="6"/>
  </namedSheetView>
</namedSheetViews>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Default" id="{99ADD075-B6FA-4C4E-9D21-E4DC82FACF54}">
    <nsvFilter filterId="{E0A15398-117B-4F50-B603-CB995CB646C4}" ref="A1:Z248" tableId="10"/>
  </namedSheetView>
</namedSheetViews>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Default" id="{2834A366-A5C7-41D4-AF4E-73A3DEAB9992}">
    <nsvFilter filterId="{5E2BD5E0-906A-4CA6-B107-8E34CE6AC16C}" ref="A1:Z247" tableId="12"/>
  </namedSheetView>
</namedSheetViews>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Default" id="{ABFEEBED-5D24-4650-9B60-8E7AA3A8ED0A}">
    <nsvFilter filterId="{5E2BD5E0-906A-4CA6-B107-8E34CE6AC16C}" ref="A1:Z262" tableId="13"/>
  </namedSheetView>
</namedSheetViews>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AD7C8636-E04F-47B2-8319-26AB34F78D54}">
    <nsvFilter filterId="{48EEA6E4-B8CF-4674-9585-2E51C3CB68F6}" ref="A1:T101" tableId="26"/>
  </namedSheetView>
</namedSheetViews>
</file>

<file path=xl/persons/person.xml><?xml version="1.0" encoding="utf-8"?>
<personList xmlns="http://schemas.microsoft.com/office/spreadsheetml/2018/threadedcomments" xmlns:x="http://schemas.openxmlformats.org/spreadsheetml/2006/main">
  <person displayName="Irene Wu" id="{BBA8125D-60BA-44DB-B56A-DEAB45BC6E82}" userId="S::irene.w@americanbearlogistics.com::d8a52eb8-9285-43bf-9bf9-e31a647b1af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D8B2E02B-9734-43E2-B05A-53002EC93A79}" name="JUN_2023" displayName="JUN_2023" ref="A1:Z216" totalsRowShown="0" headerRowDxfId="540" dataDxfId="539" tableBorderDxfId="538">
  <autoFilter ref="A1:Z216" xr:uid="{D8B2E02B-9734-43E2-B05A-53002EC93A79}">
    <filterColumn colId="16">
      <filters>
        <filter val="WC"/>
      </filters>
    </filterColumn>
  </autoFilter>
  <tableColumns count="26">
    <tableColumn id="1" xr3:uid="{7671710F-2527-4A03-9AEF-E7529134DF0E}" name="CUSTOMER" dataDxfId="537"/>
    <tableColumn id="2" xr3:uid="{BF1FC025-AC7E-4921-938E-A15CAB4EC619}" name="CNTR#" dataDxfId="536"/>
    <tableColumn id="3" xr3:uid="{CC34FBCA-D4A8-4929-A64A-3083A0FA14E6}" name="SIZE" dataDxfId="535"/>
    <tableColumn id="4" xr3:uid="{7D3647AE-FD32-4444-858E-8C91EE222901}" name="ETA PORT" dataDxfId="534"/>
    <tableColumn id="5" xr3:uid="{FA038E51-83F0-4256-9306-BDD7F2A567FC}" name="ETA" dataDxfId="533"/>
    <tableColumn id="6" xr3:uid="{6C99A9F5-9021-45A5-88B1-C2D9D4F3CB10}" name="SSL" dataDxfId="532"/>
    <tableColumn id="7" xr3:uid="{CA4C5ECF-CF0D-4E40-9A3F-31A5B85083E9}" name="Rail" dataDxfId="531"/>
    <tableColumn id="8" xr3:uid="{0329B548-6B00-49DA-8964-5F4D2908B113}" name="APPT" dataDxfId="530"/>
    <tableColumn id="9" xr3:uid="{8BFD92AF-5239-480A-955D-7DCD89B47D4D}" name="TIME" dataDxfId="529"/>
    <tableColumn id="10" xr3:uid="{92D605F4-0451-48E4-B472-3249E5190231}" name="TRUCKER" dataDxfId="528"/>
    <tableColumn id="11" xr3:uid="{C6817FA6-96EB-4918-B608-2959FE81C4BA}" name="TO" dataDxfId="527"/>
    <tableColumn id="12" xr3:uid="{EF3A2071-27B1-47D7-A71C-2B8E3C5E74C0}" name="PU#" dataDxfId="526"/>
    <tableColumn id="13" xr3:uid="{661C69A5-9E6B-4F82-971B-1D7D7920CEF9}" name="LFD" dataDxfId="525"/>
    <tableColumn id="14" xr3:uid="{B6C82AB5-1C1E-4358-AAA4-4F6C546E2620}" name="OG" dataDxfId="524"/>
    <tableColumn id="15" xr3:uid="{14D08564-52DE-42FF-B07D-872F41EBDE1C}" name="IG" dataDxfId="523"/>
    <tableColumn id="16" xr3:uid="{DB2E01CA-F78E-421F-BDA5-4212144EE9D1}" name="NOTE" dataDxfId="522"/>
    <tableColumn id="17" xr3:uid="{85D3C97B-60BA-4C39-9736-DF7124F9A910}" name="OP" dataDxfId="521"/>
    <tableColumn id="18" xr3:uid="{F009D286-E02C-4E13-A82A-1853D4CAA5AB}" name="Inv status" dataDxfId="520"/>
    <tableColumn id="19" xr3:uid="{543552D8-5349-4BB8-A3C4-83B5D11BC873}" name="Dispatch" dataDxfId="519"/>
    <tableColumn id="20" xr3:uid="{D3924C44-3789-47FF-9217-0315B9B804C6}" name="Sales Amount" dataDxfId="518"/>
    <tableColumn id="21" xr3:uid="{95E12B5E-A30A-4EA9-A175-733B832C81A7}" name="Cost" dataDxfId="517"/>
    <tableColumn id="22" xr3:uid="{47C20A41-B1DA-4343-A0F3-287DF8BB4F5A}" name="CNTR AMOUNT" dataDxfId="516"/>
    <tableColumn id="23" xr3:uid="{7F8A1656-3B1B-424E-A4EC-A8C8069834EB}" name="Profit" dataDxfId="515">
      <calculatedColumnFormula>IFERROR((JUN_2023[[#This Row],[Sales Amount]]-JUN_2023[[#This Row],[Cost]])/JUN_2023[[#This Row],[CNTR AMOUNT]],JUN_2023[[#This Row],[Sales Amount]]-JUN_2023[[#This Row],[Cost]])</calculatedColumnFormula>
    </tableColumn>
    <tableColumn id="24" xr3:uid="{C5D107A2-AA0D-43D2-94ED-448FE73C0167}" name="Profit Ratio" dataDxfId="514">
      <calculatedColumnFormula>IFERROR((JUN_2023[[#This Row],[Sales Amount]]-JUN_2023[[#This Row],[Cost]])/JUN_2023[[#This Row],[Cost]],"-")</calculatedColumnFormula>
    </tableColumn>
    <tableColumn id="25" xr3:uid="{8BE9D678-33FE-4CB4-A28E-4F89165FF0AE}" name="EIR" dataDxfId="513"/>
    <tableColumn id="26" xr3:uid="{63DDD55E-4786-461C-B822-5219D4EDA8F7}" name="Co-loader" dataDxfId="512"/>
  </tableColumns>
  <tableStyleInfo name="表样式 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38875B-6919-4109-9053-3C172A21CDE4}" name="JUL_2023" displayName="JUL_2023" ref="A1:Z204" totalsRowShown="0" headerRowDxfId="510" dataDxfId="509" headerRowBorderDxfId="507" tableBorderDxfId="508" totalsRowBorderDxfId="506">
  <autoFilter ref="A1:Z204" xr:uid="{3C38875B-6919-4109-9053-3C172A21CDE4}">
    <filterColumn colId="16">
      <filters>
        <filter val="WC"/>
      </filters>
    </filterColumn>
  </autoFilter>
  <tableColumns count="26">
    <tableColumn id="1" xr3:uid="{B2D7A21F-5B49-473B-A3B5-236B641C1963}" name="CUSTOMER" dataDxfId="505"/>
    <tableColumn id="2" xr3:uid="{E3DD4A53-5401-4184-873C-3B3E311C7B06}" name="CNTR#" dataDxfId="504"/>
    <tableColumn id="3" xr3:uid="{35395EFB-9AD8-4D8D-874C-652E5E71CD0A}" name="SIZE" dataDxfId="503"/>
    <tableColumn id="4" xr3:uid="{0F54AA4B-BE6C-4E1A-A4E7-030B1BDEDC17}" name="ETA PORT" dataDxfId="502"/>
    <tableColumn id="5" xr3:uid="{4731CF28-DD77-4735-960F-7AFB2E048B89}" name="ETA" dataDxfId="501"/>
    <tableColumn id="6" xr3:uid="{9EE52E85-474B-46AA-AA7B-50194A0FC1EF}" name="SSL" dataDxfId="500"/>
    <tableColumn id="7" xr3:uid="{8201BF7E-0C4C-4653-B7C7-1AAAF97D29DD}" name="Rail" dataDxfId="499"/>
    <tableColumn id="8" xr3:uid="{4B55A9B9-91A6-4DD0-8E6C-3D3BC4716F98}" name="APPT" dataDxfId="498"/>
    <tableColumn id="9" xr3:uid="{F582079D-56A2-4195-A680-4D206234093C}" name="TIME" dataDxfId="497"/>
    <tableColumn id="10" xr3:uid="{A40C5AB3-371D-4F2E-93DF-0206B18FB62E}" name="TRUCKER" dataDxfId="496"/>
    <tableColumn id="11" xr3:uid="{3A3C5774-9112-4F73-AFC6-290EA5852C4E}" name="TO" dataDxfId="495"/>
    <tableColumn id="12" xr3:uid="{79FD330C-4F65-48B9-B9EC-6DD29B9DC7F1}" name="PU#" dataDxfId="494"/>
    <tableColumn id="13" xr3:uid="{B04ADDA1-E870-44A1-9C98-215BDDF14002}" name="LFD" dataDxfId="493"/>
    <tableColumn id="14" xr3:uid="{95C8FBFD-209F-4559-A636-B9B792CE05B0}" name="OG" dataDxfId="492"/>
    <tableColumn id="15" xr3:uid="{1D08EF2F-F129-4C84-B422-90B47185BA27}" name="IG" dataDxfId="491"/>
    <tableColumn id="16" xr3:uid="{6A30709F-21A1-4671-BF19-E432C90BA0E5}" name="NOTE" dataDxfId="490"/>
    <tableColumn id="17" xr3:uid="{25077A9C-35C5-46E4-8DB6-6170DBA663D1}" name="OP" dataDxfId="489"/>
    <tableColumn id="18" xr3:uid="{0BB392C8-27C8-44FE-A743-5658164613F6}" name="Inv status" dataDxfId="488"/>
    <tableColumn id="19" xr3:uid="{8B532437-AD2B-46BF-86CB-D0CCA128DFD8}" name="Dispatch" dataDxfId="487"/>
    <tableColumn id="20" xr3:uid="{09FF37D8-67B6-4381-ACBE-255B43B1E7A2}" name="Sales Amount" dataDxfId="486"/>
    <tableColumn id="21" xr3:uid="{C8F3BF49-3B18-4C7E-8D51-E4F39B38B33B}" name="Cost" dataDxfId="485"/>
    <tableColumn id="22" xr3:uid="{98CF5FBE-0B56-4026-BE60-B32D6FD8321A}" name="CNTR AMOUNT" dataDxfId="484"/>
    <tableColumn id="23" xr3:uid="{9DF339B3-08AD-4FD6-9A23-4445C5D28304}" name="Profit" dataDxfId="483">
      <calculatedColumnFormula>IFERROR((JUL_2023[[#This Row],[Sales Amount]]-JUL_2023[[#This Row],[Cost]])/JUL_2023[[#This Row],[CNTR AMOUNT]],JUL_2023[[#This Row],[Sales Amount]]-JUL_2023[[#This Row],[Cost]])</calculatedColumnFormula>
    </tableColumn>
    <tableColumn id="24" xr3:uid="{34B3947C-4DBE-4941-A20C-4993681A481E}" name="Profit Ratio" dataDxfId="482">
      <calculatedColumnFormula>IFERROR((JUL_2023[[#This Row],[Sales Amount]]-JUL_2023[[#This Row],[Cost]])/JUL_2023[[#This Row],[Cost]],"-")</calculatedColumnFormula>
    </tableColumn>
    <tableColumn id="25" xr3:uid="{DFFFC575-F867-4704-A54E-30E712D0248C}" name="EIR" dataDxfId="481"/>
    <tableColumn id="26" xr3:uid="{F096921B-99A1-47E7-B0A1-64ED7AF53993}" name="Co-loader" dataDxfId="480"/>
  </tableColumns>
  <tableStyleInfo name="表样式 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E7C3C91-076C-472F-AF35-626FD97C2784}" name="AUG_2023" displayName="AUG_2023" ref="A1:Z207" totalsRowShown="0" headerRowDxfId="478" dataDxfId="477" headerRowBorderDxfId="476">
  <autoFilter ref="A1:Z207" xr:uid="{5E7C3C91-076C-472F-AF35-626FD97C2784}">
    <filterColumn colId="16">
      <filters>
        <filter val="WC"/>
      </filters>
    </filterColumn>
  </autoFilter>
  <tableColumns count="26">
    <tableColumn id="1" xr3:uid="{C9DFE962-FEDD-4D13-BEBF-4F8F3604D18A}" name="CUSTOMER" dataDxfId="475"/>
    <tableColumn id="2" xr3:uid="{06D8B9E4-20AB-4DCB-82C6-CC53A1A1B287}" name="CNTR#" dataDxfId="474"/>
    <tableColumn id="3" xr3:uid="{6A98EA83-2B50-4229-A59A-B54611A05459}" name="SIZE" dataDxfId="473"/>
    <tableColumn id="4" xr3:uid="{6C3837C2-B461-4386-98BF-EE1B10BDF2A4}" name="ETA PORT" dataDxfId="472"/>
    <tableColumn id="5" xr3:uid="{49F62084-2D73-4363-B1CC-252EFB5EA9D8}" name="ETA" dataDxfId="471"/>
    <tableColumn id="6" xr3:uid="{2D4B219D-1C91-4084-AB5B-B0E5E97B570C}" name="SSL" dataDxfId="470"/>
    <tableColumn id="7" xr3:uid="{270DB0CE-5D4C-477A-9AAC-700BF1407BDB}" name="Rail" dataDxfId="469"/>
    <tableColumn id="8" xr3:uid="{97D2618D-719D-412C-AE09-9B4FA8E9FCD4}" name="APPT" dataDxfId="468"/>
    <tableColumn id="9" xr3:uid="{564D26BC-D53D-417A-A5AC-80B6830AD22B}" name="TIME" dataDxfId="467"/>
    <tableColumn id="10" xr3:uid="{A7A8528A-F930-4601-9CF4-0E5FF878ABA5}" name="TRUCKER" dataDxfId="466"/>
    <tableColumn id="11" xr3:uid="{6477C373-E1CA-4C9C-80E5-99434DAAF02E}" name="TO" dataDxfId="465"/>
    <tableColumn id="12" xr3:uid="{E1B82A89-D75E-4671-ABBE-C69E3E643830}" name="PU#" dataDxfId="464"/>
    <tableColumn id="13" xr3:uid="{AC335E7B-DDCE-4E98-8502-10F100AFB5C5}" name="LFD" dataDxfId="463"/>
    <tableColumn id="14" xr3:uid="{F486E54C-F005-40FC-ABC4-DD29CE2AD229}" name="OG" dataDxfId="462"/>
    <tableColumn id="15" xr3:uid="{C037520A-00E3-4461-958B-4301781ABD0B}" name="IG" dataDxfId="461"/>
    <tableColumn id="16" xr3:uid="{6751B9AA-5E36-4947-8ADF-97C640C577B3}" name="NOTE" dataDxfId="460"/>
    <tableColumn id="17" xr3:uid="{2215C70A-51E2-41BC-8A20-1CE8ACEAB775}" name="OP" dataDxfId="459"/>
    <tableColumn id="18" xr3:uid="{2315241F-4492-4517-81FF-F3F7013A0947}" name="Inv status" dataDxfId="458"/>
    <tableColumn id="19" xr3:uid="{88CA2A5C-4026-4693-9914-229BA1A6342E}" name="Dispatch" dataDxfId="457"/>
    <tableColumn id="20" xr3:uid="{1C2602DD-DC9A-480C-8907-BDE8EFC0316F}" name="Sales Amount" dataDxfId="456"/>
    <tableColumn id="21" xr3:uid="{B0B90AF5-31CE-4FC4-9A80-CF4839BC9631}" name="Cost" dataDxfId="455"/>
    <tableColumn id="22" xr3:uid="{B393449C-224F-4786-88E4-F23DC17864F0}" name="CNTR AMOUNT" dataDxfId="454"/>
    <tableColumn id="23" xr3:uid="{7991745C-548D-455F-AA3F-B783C6BEC494}" name="Profit" dataDxfId="453">
      <calculatedColumnFormula>AUG_2023[[#This Row],[Sales Amount]]-AUG_2023[[#This Row],[Cost]]</calculatedColumnFormula>
    </tableColumn>
    <tableColumn id="24" xr3:uid="{8E78B40D-E09D-4279-9D8A-D10ACBA6D501}" name="Profit Ratio" dataDxfId="452">
      <calculatedColumnFormula>AUG_2023[[#This Row],[Profit]]/AUG_2023[[#This Row],[Cost]]</calculatedColumnFormula>
    </tableColumn>
    <tableColumn id="25" xr3:uid="{450210D4-B5E5-47B3-9D61-E12F5189D19D}" name="EIR" dataDxfId="451"/>
    <tableColumn id="26" xr3:uid="{4EE045E9-0164-421C-B71B-F6F7F5A64C35}" name="Co-loader" dataDxfId="450"/>
  </tableColumns>
  <tableStyleInfo name="表样式 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46473AB-379E-4F86-9FCF-AFADED4BF7E4}" name="SEP_2023" displayName="SEP_2023" ref="A1:Z145" totalsRowShown="0" headerRowDxfId="448" headerRowBorderDxfId="446" tableBorderDxfId="447">
  <autoFilter ref="A1:Z145" xr:uid="{3DBF26C1-881B-4FF1-BEAC-0E3ECB5F88C5}"/>
  <tableColumns count="26">
    <tableColumn id="1" xr3:uid="{C8C2AC8F-3A98-4A40-A89F-776920AF5855}" name="CUSTOMER" dataDxfId="445"/>
    <tableColumn id="2" xr3:uid="{D394B47B-E993-486D-A523-40E5F36EF87B}" name="CNTR#"/>
    <tableColumn id="3" xr3:uid="{AB840F98-AC32-402D-A1E1-3D69099ED0D8}" name="SIZE" dataDxfId="444"/>
    <tableColumn id="4" xr3:uid="{0CAB2239-D6B5-4E37-9957-3EC2237BE584}" name="ETA PORT" dataDxfId="443"/>
    <tableColumn id="5" xr3:uid="{33963907-61BA-425B-859D-4658F2C649A5}" name="ETA" dataDxfId="442"/>
    <tableColumn id="6" xr3:uid="{BD5010B4-73AD-4FA3-A456-3E42A5D72DD4}" name="SSL" dataDxfId="441"/>
    <tableColumn id="7" xr3:uid="{CE204E4F-9627-4170-8AE2-4C67176E0947}" name="Rail" dataDxfId="440"/>
    <tableColumn id="8" xr3:uid="{20B8BC00-5FF7-4B66-8D98-961E504B5CE3}" name="APPT" dataDxfId="439"/>
    <tableColumn id="9" xr3:uid="{2907BD16-4BB3-4A6B-A704-07E95A7A05CB}" name="TIME" dataDxfId="438"/>
    <tableColumn id="10" xr3:uid="{D35B1837-57E3-41B3-974A-D7645A4C9223}" name="TRUCKER" dataDxfId="437"/>
    <tableColumn id="11" xr3:uid="{7271F849-AB7B-4FF4-9575-8CC5FA61264D}" name="TO" dataDxfId="436"/>
    <tableColumn id="12" xr3:uid="{CAC99189-EB2A-4B91-93A1-E399D9B39777}" name="PU#" dataDxfId="435"/>
    <tableColumn id="13" xr3:uid="{4F86BE80-1A82-4D71-A6F2-A581643A6914}" name="LFD" dataDxfId="434"/>
    <tableColumn id="14" xr3:uid="{8DA8E2DA-4B80-428D-8C1E-E342CFF6F2DA}" name="OG" dataDxfId="433"/>
    <tableColumn id="15" xr3:uid="{AF7545BF-91A8-4E5D-8868-FC40BF2ABA46}" name="IG" dataDxfId="432"/>
    <tableColumn id="16" xr3:uid="{A4BDD51A-4596-4F7A-B037-DDEC832B52CE}" name="NOTE" dataDxfId="431"/>
    <tableColumn id="17" xr3:uid="{D2887D75-D66E-4C0D-B6C1-5A253C8DBAAF}" name="OP" dataDxfId="430"/>
    <tableColumn id="18" xr3:uid="{F4120E51-AB74-434E-8DFE-F5469F1E275C}" name="Inv status" dataDxfId="429"/>
    <tableColumn id="19" xr3:uid="{79D9BA7E-AE6E-465A-A9B0-F5882794A097}" name="Dispatch" dataDxfId="428"/>
    <tableColumn id="20" xr3:uid="{B99FC9B7-728B-49AC-A3A3-914CCC268F39}" name="Sales Amount" dataDxfId="427"/>
    <tableColumn id="21" xr3:uid="{DE5E2875-9906-42F3-8E8B-16BF99FDD5AD}" name="Cost" dataDxfId="426"/>
    <tableColumn id="22" xr3:uid="{EA569FCF-E575-460B-9820-E0F8F9577D1E}" name="CNTR AMOUNT" dataDxfId="425"/>
    <tableColumn id="23" xr3:uid="{1AEB6D4B-7A4C-4B56-A273-FC28DD0F72E8}" name="Profit" dataDxfId="424">
      <calculatedColumnFormula>SEP_2023[[#This Row],[Sales Amount]]-SEP_2023[[#This Row],[Cost]]</calculatedColumnFormula>
    </tableColumn>
    <tableColumn id="24" xr3:uid="{9EC9C5D6-CA49-4338-B2FC-6329CB02C38A}" name="Profit Ratio" dataDxfId="423">
      <calculatedColumnFormula>SEP_2023[[#This Row],[Profit]]/SEP_2023[[#This Row],[Cost]]</calculatedColumnFormula>
    </tableColumn>
    <tableColumn id="25" xr3:uid="{993AA0EF-A79B-4DBE-BA0F-0677B60B480B}" name="EIR" dataDxfId="422"/>
    <tableColumn id="26" xr3:uid="{005A5FF8-572C-4266-B4E8-882BB89F9419}" name="Co-loader" dataDxfId="421"/>
  </tableColumns>
  <tableStyleInfo name="表样式 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86D61B-0C06-4989-902D-D3B43BDF6171}" name="OCT_2023" displayName="OCT_2023" ref="A1:Z206" totalsRowShown="0" headerRowDxfId="419" dataDxfId="418" totalsRowDxfId="417" tableBorderDxfId="416" totalsRowBorderDxfId="415">
  <autoFilter ref="A1:Z206" xr:uid="{FB86D61B-0C06-4989-902D-D3B43BDF6171}"/>
  <tableColumns count="26">
    <tableColumn id="1" xr3:uid="{E1389CFF-5F8F-472C-B11C-B5FEB644B8C0}" name="Customer" dataDxfId="413" totalsRowDxfId="414"/>
    <tableColumn id="2" xr3:uid="{C5EB1C4A-0323-44E5-B08A-0CFD6E41F7E5}" name="CNTR#" dataDxfId="411" totalsRowDxfId="412"/>
    <tableColumn id="3" xr3:uid="{033F2FCC-811A-4C6D-A6BB-547E06CC1357}" name="SIZE" dataDxfId="409" totalsRowDxfId="410"/>
    <tableColumn id="4" xr3:uid="{C28BDEDC-B617-4D2C-869F-10FAAD731782}" name="ETA PORT" dataDxfId="407" totalsRowDxfId="408"/>
    <tableColumn id="5" xr3:uid="{EA95AC0B-0E64-4229-B8D7-22A5BE1BDA88}" name="ETA" dataDxfId="405" totalsRowDxfId="406"/>
    <tableColumn id="6" xr3:uid="{96F83BA4-AC08-4555-96EB-332BEFB530B3}" name="SSL" dataDxfId="403" totalsRowDxfId="404"/>
    <tableColumn id="7" xr3:uid="{630A6B2D-8272-41BF-BB29-D4F72395E410}" name="Rail" dataDxfId="401" totalsRowDxfId="402"/>
    <tableColumn id="8" xr3:uid="{40B1A26A-0A2E-4193-986B-25C89C999B04}" name="APPT" dataDxfId="399" totalsRowDxfId="400"/>
    <tableColumn id="9" xr3:uid="{15326CBE-D1F7-41E5-B6B4-98450E57FA4D}" name="TIME" dataDxfId="397" totalsRowDxfId="398"/>
    <tableColumn id="10" xr3:uid="{C92A9013-3AE8-489D-8379-2DED94C25F0C}" name="TRUCKER" dataDxfId="395" totalsRowDxfId="396"/>
    <tableColumn id="11" xr3:uid="{4B195F3C-4F64-49D0-8165-A83A9ADF31E9}" name="TO" dataDxfId="393" totalsRowDxfId="394"/>
    <tableColumn id="12" xr3:uid="{21B42A31-89F6-4874-BFA4-4DF2D0B08DF2}" name="PU#" dataDxfId="391" totalsRowDxfId="392"/>
    <tableColumn id="13" xr3:uid="{28DD7E4B-3F8C-412F-BF08-A4EF278785CF}" name="LFD" dataDxfId="389" totalsRowDxfId="390"/>
    <tableColumn id="14" xr3:uid="{2BB8D673-88D1-4EB0-A696-2B2EE6840476}" name="OG" dataDxfId="387" totalsRowDxfId="388"/>
    <tableColumn id="15" xr3:uid="{0E931553-E3FF-40C3-BAB4-719C44BE502B}" name="IG" dataDxfId="385" totalsRowDxfId="386"/>
    <tableColumn id="16" xr3:uid="{15EB4DC3-8AB2-4823-A915-ED2E5DCF99E3}" name="NOTE" dataDxfId="383" totalsRowDxfId="384"/>
    <tableColumn id="17" xr3:uid="{B8186F90-44E4-404F-911A-386ED04E1373}" name="OP" dataDxfId="381" totalsRowDxfId="382"/>
    <tableColumn id="18" xr3:uid="{0BD4A62B-DDCA-448F-8728-399C54F8E0B6}" name="Inv status" dataDxfId="379" totalsRowDxfId="380"/>
    <tableColumn id="19" xr3:uid="{794E2A7C-54C9-4697-95C0-0BADB44A069E}" name="Dispatch" dataDxfId="377" totalsRowDxfId="378"/>
    <tableColumn id="20" xr3:uid="{49BC7D8B-505A-48D8-9D7F-B75C3096BB88}" name="Sales Amount" dataDxfId="375" totalsRowDxfId="376"/>
    <tableColumn id="21" xr3:uid="{82BF7CF9-239A-4347-97CA-649B0AD7876D}" name="Cost" dataDxfId="373" totalsRowDxfId="374"/>
    <tableColumn id="22" xr3:uid="{A7540655-B510-456B-AAA1-91FB7D596765}" name="CNTR AMOUNT" dataDxfId="371" totalsRowDxfId="372"/>
    <tableColumn id="23" xr3:uid="{95D09232-4A29-46B9-B456-855AC10FB138}" name="Profit" dataDxfId="369" totalsRowDxfId="370">
      <calculatedColumnFormula>IFERROR((OCT_2023[[#This Row],[Sales Amount]]-OCT_2023[[#This Row],[Cost]])/OCT_2023[[#This Row],[CNTR AMOUNT]],OCT_2023[[#This Row],[Sales Amount]]-OCT_2023[[#This Row],[Cost]])</calculatedColumnFormula>
    </tableColumn>
    <tableColumn id="24" xr3:uid="{CC397C2D-3530-45AB-92CD-71AF718942F6}" name="Profit Ratio" dataDxfId="367" totalsRowDxfId="368">
      <calculatedColumnFormula>IFERROR(OCT_2023[[#This Row],[Profit]]/OCT_2023[[#This Row],[Cost]]," ")</calculatedColumnFormula>
    </tableColumn>
    <tableColumn id="25" xr3:uid="{BA7489E4-C9CC-497A-AAC9-C80A63579412}" name="EIR" dataDxfId="365" totalsRowDxfId="366"/>
    <tableColumn id="26" xr3:uid="{FD7638B1-0E46-452B-A903-731639AE21F4}" name="Co-loader" dataDxfId="363" totalsRowDxfId="364"/>
  </tableColumns>
  <tableStyleInfo name="表样式 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A5AFABC-449E-4F99-B076-EA2BB81886E9}" name="Table6" displayName="Table6" ref="A1:Z235" totalsRowShown="0" headerRowDxfId="361" headerRowBorderDxfId="359" tableBorderDxfId="360">
  <autoFilter ref="A1:Z235" xr:uid="{DA5AFABC-449E-4F99-B076-EA2BB81886E9}">
    <filterColumn colId="16">
      <filters>
        <filter val="WC"/>
      </filters>
    </filterColumn>
  </autoFilter>
  <tableColumns count="26">
    <tableColumn id="1" xr3:uid="{6863AC91-4376-4297-9B16-036FB28ABF49}" name="CUSTOMER" dataDxfId="358"/>
    <tableColumn id="2" xr3:uid="{DEBD2143-5E21-435D-9BDE-973DB3B4B1B8}" name="CNTR#" dataDxfId="357"/>
    <tableColumn id="3" xr3:uid="{079A6DC1-9251-44B8-9879-163592B36DB4}" name="SIZE" dataDxfId="356"/>
    <tableColumn id="4" xr3:uid="{47F503BD-A12D-42A6-9F3E-452FE300C4C9}" name="ETA PORT" dataDxfId="355"/>
    <tableColumn id="5" xr3:uid="{A61D7E55-9B41-4D3C-8CF2-38ACF2D0D612}" name="ETA" dataDxfId="354"/>
    <tableColumn id="6" xr3:uid="{631ECF77-3B72-4DEB-B082-91CB99E2531F}" name="SSL" dataDxfId="353"/>
    <tableColumn id="7" xr3:uid="{0F8732FB-8C58-4436-9916-EC004C3FC089}" name="Rail" dataDxfId="352"/>
    <tableColumn id="8" xr3:uid="{1E463226-96CB-4FF6-86CE-92A450CF777F}" name="APPT" dataDxfId="351"/>
    <tableColumn id="9" xr3:uid="{9DA49AE0-1C49-4D3C-BD63-81FB5005424E}" name="TIME" dataDxfId="350"/>
    <tableColumn id="10" xr3:uid="{62CC4535-C17F-460F-842C-FFB3AE0B82B1}" name="TRUCKER" dataDxfId="349"/>
    <tableColumn id="11" xr3:uid="{C0D1C975-F2BE-4B49-B902-6D9CEEBD0A56}" name="TO" dataDxfId="348"/>
    <tableColumn id="12" xr3:uid="{59F15F1D-ED97-40C5-B93D-AC7EE60BB854}" name="PU#" dataDxfId="347"/>
    <tableColumn id="13" xr3:uid="{A877E722-AF67-4595-9F52-925DCF57DBBF}" name="LFD" dataDxfId="346"/>
    <tableColumn id="14" xr3:uid="{6256D243-02FB-4A3B-89C9-99A73E40210D}" name="OG" dataDxfId="345"/>
    <tableColumn id="15" xr3:uid="{F470C379-7CE0-4FE3-A0A1-CE51777DB843}" name="IG"/>
    <tableColumn id="16" xr3:uid="{D5BD6958-10C3-4D1F-AD73-4ED15D81B15A}" name="NOTE" dataDxfId="344"/>
    <tableColumn id="17" xr3:uid="{FD0802E1-7793-4290-B8D1-7FC3EF85F057}" name="OP" dataDxfId="343"/>
    <tableColumn id="18" xr3:uid="{DE56BF0F-06F6-4559-ADAC-9FA95C8766B1}" name="Inv status"/>
    <tableColumn id="19" xr3:uid="{97817D28-CCBB-4AB1-A51B-2A8EBCC0D8A8}" name="Dispatch"/>
    <tableColumn id="20" xr3:uid="{DD2EE002-D577-4D3D-9C63-6F90F09166F0}" name="Sales Amount"/>
    <tableColumn id="21" xr3:uid="{5E22A620-820C-4AB2-AF6E-8A67F92A9B3F}" name="Cost"/>
    <tableColumn id="22" xr3:uid="{49CFAD45-DBE3-4CA9-AD3F-D47959E72254}" name="CNTR AMOUNT"/>
    <tableColumn id="23" xr3:uid="{352CC10F-B389-4175-B55A-D08649E6EF98}" name="Profit" dataDxfId="342">
      <calculatedColumnFormula>IFERROR((Table6[[#This Row],[Sales Amount]]-Table6[[#This Row],[Cost]])/Table6[[#This Row],[CNTR AMOUNT]],Table6[[#This Row],[Sales Amount]]-Table6[[#This Row],[Cost]])</calculatedColumnFormula>
    </tableColumn>
    <tableColumn id="24" xr3:uid="{F1D3F2C2-7F97-41D7-866A-56364A35FB6C}" name="Profit Ratio" dataDxfId="341">
      <calculatedColumnFormula>IFERROR(Table6[[#This Row],[Profit]]/Table6[[#This Row],[Cost]]," ")</calculatedColumnFormula>
    </tableColumn>
    <tableColumn id="25" xr3:uid="{EA1314F0-E10B-449F-A252-8A3BD94DAF9E}" name="EIR"/>
    <tableColumn id="26" xr3:uid="{C805D19E-D48D-4AC7-8761-46BEC0ACD2F4}" name="Co-loader"/>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0A15398-117B-4F50-B603-CB995CB646C4}" name="Table10" displayName="Table10" ref="A1:Z248" totalsRowShown="0" headerRowDxfId="339" headerRowBorderDxfId="337" tableBorderDxfId="338">
  <autoFilter ref="A1:Z248" xr:uid="{E0A15398-117B-4F50-B603-CB995CB646C4}">
    <filterColumn colId="16">
      <filters>
        <filter val="WC"/>
      </filters>
    </filterColumn>
  </autoFilter>
  <tableColumns count="26">
    <tableColumn id="1" xr3:uid="{BC52FCD5-AB39-41CE-8594-91820798FD2F}" name="CUSTOMER" dataDxfId="336"/>
    <tableColumn id="2" xr3:uid="{EA1DA477-6BE1-4C86-B735-F9D4594C1554}" name="CNTR#" dataDxfId="335"/>
    <tableColumn id="3" xr3:uid="{1D58CDDB-779D-4E11-B2A1-7DB80BFCFA4A}" name="SIZE" dataDxfId="334"/>
    <tableColumn id="4" xr3:uid="{C6BDBBF2-DABB-4CC0-A4EB-93F5C718BC09}" name="ETA PORT" dataDxfId="333"/>
    <tableColumn id="5" xr3:uid="{994C420E-D24F-444C-8956-3F0FF011D8B9}" name="ETA" dataDxfId="332"/>
    <tableColumn id="6" xr3:uid="{71873EBD-0C17-441F-9FBB-1CB2BE1364B3}" name="SSL" dataDxfId="331"/>
    <tableColumn id="7" xr3:uid="{623D7760-3453-40AD-8F00-137B2C1FABB0}" name="Rail" dataDxfId="330"/>
    <tableColumn id="8" xr3:uid="{B57CE1CD-EDA6-47A2-BB3E-7017C231757F}" name="APPT" dataDxfId="329"/>
    <tableColumn id="9" xr3:uid="{FB2F31F0-3ED7-4986-BF03-69CA340EE4E8}" name="TIME" dataDxfId="328"/>
    <tableColumn id="10" xr3:uid="{7A164246-A110-4E70-ACCF-AF6F88A7079D}" name="TRUCKER" dataDxfId="327"/>
    <tableColumn id="11" xr3:uid="{A1D253C0-A753-41E9-A4F2-CD5D06269646}" name="TO" dataDxfId="326"/>
    <tableColumn id="12" xr3:uid="{229F77F0-99F6-47E8-A664-577296F8EB8A}" name="PU#" dataDxfId="325"/>
    <tableColumn id="13" xr3:uid="{D744A031-A4EC-4ECF-A31E-B54FF90E2A8E}" name="LFD" dataDxfId="324"/>
    <tableColumn id="14" xr3:uid="{AE8E0910-F41D-42BB-AF2F-45ED23AAAFAB}" name="OG" dataDxfId="323"/>
    <tableColumn id="15" xr3:uid="{1EC2C2B5-8EDD-4A73-A470-A2B3E5E1BEC2}" name="IG" dataDxfId="322"/>
    <tableColumn id="16" xr3:uid="{659C7F9C-336A-4978-AE7F-D937AD15FB47}" name="NOTE" dataDxfId="321"/>
    <tableColumn id="17" xr3:uid="{366D6263-CFE0-496D-8829-38E56FD15475}" name="OP" dataDxfId="320"/>
    <tableColumn id="18" xr3:uid="{623F15AA-683F-4F64-9B6A-A5FB002327A2}" name="Inv status" dataDxfId="319"/>
    <tableColumn id="19" xr3:uid="{24FEADB5-6903-4129-B791-B9EA8449B9C7}" name="Dispatch" dataDxfId="318"/>
    <tableColumn id="20" xr3:uid="{3478F986-F683-4D25-8AD9-2466B44FE4DD}" name="Sales Amount" dataDxfId="317"/>
    <tableColumn id="21" xr3:uid="{32DF7A50-95DC-4D36-B893-9A0B9A11FC42}" name="Cost" dataDxfId="316"/>
    <tableColumn id="22" xr3:uid="{526B725E-F5E8-4D8F-AFEA-6148118DC2C9}" name="CNTR AMOUNT" dataDxfId="315"/>
    <tableColumn id="23" xr3:uid="{7EEFDB67-750D-4B32-88B5-58CC3B9BA923}" name="Profit" dataDxfId="314"/>
    <tableColumn id="24" xr3:uid="{7787A516-EAAF-460F-8A69-7D16D06D320D}" name="Profit Ratio" dataDxfId="313"/>
    <tableColumn id="25" xr3:uid="{F565F4DB-A783-4E84-9460-024C604BF6EA}" name="EIR" dataDxfId="312"/>
    <tableColumn id="26" xr3:uid="{2A0E2755-BF02-47BD-AB07-38608BF5F58C}" name="Co-loader" dataDxfId="311"/>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E2BD5E0-906A-4CA6-B107-8E34CE6AC16C}" name="表12" displayName="表12" ref="A1:Z247" totalsRowShown="0" headerRowDxfId="309" dataDxfId="308" tableBorderDxfId="307">
  <autoFilter ref="A1:Z247" xr:uid="{5E2BD5E0-906A-4CA6-B107-8E34CE6AC16C}">
    <filterColumn colId="16">
      <filters>
        <filter val="WC"/>
      </filters>
    </filterColumn>
  </autoFilter>
  <tableColumns count="26">
    <tableColumn id="1" xr3:uid="{71ABB29D-73B1-46A0-B987-16B97D04E8D0}" name="CUSTOMER" dataDxfId="306"/>
    <tableColumn id="2" xr3:uid="{72986A25-1266-48FC-9F39-4FD7BD5D1BCF}" name="CNTR#" dataDxfId="305"/>
    <tableColumn id="3" xr3:uid="{A4B357CF-8F86-426E-B1B5-8F202C2DB0B2}" name="SIZE" dataDxfId="304"/>
    <tableColumn id="4" xr3:uid="{BEAA8167-36F4-4FAF-A868-AF2E9982F54E}" name="ETA PORT" dataDxfId="303"/>
    <tableColumn id="5" xr3:uid="{7EA733D0-D64D-4633-AFFB-F1552C02F9F5}" name="ETA" dataDxfId="302"/>
    <tableColumn id="6" xr3:uid="{5048D196-F9F0-41AB-8851-6FC86EBC3969}" name="SSL" dataDxfId="301"/>
    <tableColumn id="7" xr3:uid="{BD5BB0AE-B7B1-4A18-9464-FA4DA1510415}" name="Rail" dataDxfId="300"/>
    <tableColumn id="8" xr3:uid="{DDD2A0DF-0653-49E0-B5AD-F38D4C3EC1D9}" name="APPT" dataDxfId="299"/>
    <tableColumn id="9" xr3:uid="{66868CEB-F3C5-4005-9892-CF6AEE4A0B14}" name="TIME" dataDxfId="298"/>
    <tableColumn id="10" xr3:uid="{4B38847C-59C8-4273-9584-4B9AECD3FA63}" name="TRUCKER" dataDxfId="297"/>
    <tableColumn id="11" xr3:uid="{4B90CD95-CD14-4AB7-ACE7-7D6745DA765C}" name="TO" dataDxfId="296"/>
    <tableColumn id="12" xr3:uid="{90C402C8-FDEC-4C45-8EE2-20E7E15E5087}" name="PU#" dataDxfId="295"/>
    <tableColumn id="13" xr3:uid="{6A541392-7984-48D9-A71E-8556809CEFC1}" name="LFD" dataDxfId="294"/>
    <tableColumn id="14" xr3:uid="{2AAE7162-602A-4B27-88E0-6D45444E1ACA}" name="OG" dataDxfId="293"/>
    <tableColumn id="15" xr3:uid="{7CF486AC-A83F-437B-B025-B2EFC5AE0C75}" name="IG" dataDxfId="292"/>
    <tableColumn id="16" xr3:uid="{561D6DF9-C563-4675-9FD1-139FE315F41C}" name="NOTE" dataDxfId="291"/>
    <tableColumn id="17" xr3:uid="{70E3ACE1-BAB1-43E0-A43E-B627F7FE1D2F}" name="OP" dataDxfId="290"/>
    <tableColumn id="18" xr3:uid="{2023C348-3B93-42D8-8593-DD625836BE38}" name="Inv status" dataDxfId="289"/>
    <tableColumn id="19" xr3:uid="{996DEF6F-00B6-49CF-90AC-DF27835D7FC8}" name="Dispatch" dataDxfId="288"/>
    <tableColumn id="20" xr3:uid="{EEC76D8A-CCDB-4301-A806-727EE90C091A}" name="Sales Amount" dataDxfId="287"/>
    <tableColumn id="21" xr3:uid="{9BAC983F-B60C-45FC-8BAE-3656CD31C7DD}" name="Cost" dataDxfId="286"/>
    <tableColumn id="22" xr3:uid="{E5151A46-3DDC-4722-85D3-CF71F066E623}" name="CNTR AMOUNT" dataDxfId="285"/>
    <tableColumn id="23" xr3:uid="{19913D01-0F18-44B2-90F8-9FB5330CEE9D}" name="Profit" dataDxfId="284">
      <calculatedColumnFormula>表12[[#This Row],[Sales Amount]]-表12[[#This Row],[Cost]]</calculatedColumnFormula>
    </tableColumn>
    <tableColumn id="24" xr3:uid="{D919C3DD-A243-4038-82D4-C786DC6EDED4}" name="Profit Ratio" dataDxfId="283">
      <calculatedColumnFormula>IFERROR(Table6[[#This Row],[Profit]]/Table6[[#This Row],[Cost]]," ")</calculatedColumnFormula>
    </tableColumn>
    <tableColumn id="25" xr3:uid="{3FA4AACB-EBED-4D8B-889E-CF42E84F30B5}" name="EIR" dataDxfId="282"/>
    <tableColumn id="26" xr3:uid="{CA605BF3-86C9-4BCD-96A4-4DA1254FFA45}" name="Co-loader" dataDxfId="281"/>
  </tableColumns>
  <tableStyleInfo name="表样式 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2F589A8-971A-45D6-9A61-87C436B0AE3A}" name="表12_14" displayName="表12_14" ref="A1:Z262" totalsRowShown="0" headerRowDxfId="279" dataDxfId="278" tableBorderDxfId="277">
  <autoFilter ref="A1:Z262" xr:uid="{5E2BD5E0-906A-4CA6-B107-8E34CE6AC16C}"/>
  <tableColumns count="26">
    <tableColumn id="1" xr3:uid="{CA5A5EE4-7A73-404B-B16C-C37CF25E33BC}" name="CUSTOMER" dataDxfId="276"/>
    <tableColumn id="2" xr3:uid="{E13FDF9A-C846-4B19-96D0-C8CC0EAB208A}" name="CNTR#" dataDxfId="275"/>
    <tableColumn id="3" xr3:uid="{67C3D7E4-103D-4385-8790-96C1B1BA04B7}" name="SIZE" dataDxfId="274"/>
    <tableColumn id="4" xr3:uid="{5291E762-4ADA-4060-9AC1-D89E91B82121}" name="ETA PORT" dataDxfId="273"/>
    <tableColumn id="5" xr3:uid="{E86E5661-FB40-4B17-BAE9-2ACC9AE1D203}" name="ETA" dataDxfId="272"/>
    <tableColumn id="6" xr3:uid="{42AFDC67-5A10-445A-ADEF-49F73898EDF3}" name="SSL" dataDxfId="271"/>
    <tableColumn id="7" xr3:uid="{5F6D2BE3-5324-4AEF-9807-C4860E266E88}" name="Rail" dataDxfId="270"/>
    <tableColumn id="8" xr3:uid="{82A11776-F06E-4B41-A77F-149C388CCA27}" name="APPT" dataDxfId="269"/>
    <tableColumn id="9" xr3:uid="{D394A2B6-CF55-45B8-B738-14BF1255C309}" name="TIME" dataDxfId="268"/>
    <tableColumn id="10" xr3:uid="{7C1DE9C9-5261-4EB7-8215-A51CAD1209F8}" name="TRUCKER" dataDxfId="267"/>
    <tableColumn id="11" xr3:uid="{EC82093B-B328-44E6-A6EE-FAE82E2B2672}" name="TO" dataDxfId="266"/>
    <tableColumn id="12" xr3:uid="{A7C13E66-66A7-409E-B8CE-4A9DBB8F6F18}" name="PU#" dataDxfId="265"/>
    <tableColumn id="13" xr3:uid="{F9944253-52F1-4D05-88B2-DD103B4982D0}" name="LFD" dataDxfId="264"/>
    <tableColumn id="14" xr3:uid="{D761A5A4-A8F4-4F8A-921C-F0E728BC0469}" name="OG" dataDxfId="263"/>
    <tableColumn id="15" xr3:uid="{ED399C0B-F031-49DC-B5F7-66F97877D088}" name="IG" dataDxfId="262"/>
    <tableColumn id="16" xr3:uid="{EFF77FAE-7AD5-48F4-BE3D-21AA21C8B0BA}" name="NOTE" dataDxfId="261"/>
    <tableColumn id="17" xr3:uid="{23C6AE34-07CD-40C7-8186-F2484D1BEC60}" name="OP" dataDxfId="260"/>
    <tableColumn id="18" xr3:uid="{A201BC5B-954A-42B8-9B7D-6D2DB8B68CF1}" name="Inv status" dataDxfId="259"/>
    <tableColumn id="19" xr3:uid="{415A6A83-A521-46A7-9A15-9F96AF6BDA2F}" name="Dispatch" dataDxfId="258"/>
    <tableColumn id="20" xr3:uid="{08E79892-46E0-4354-9A18-1D49EB05F910}" name="Sales Amount" dataDxfId="257"/>
    <tableColumn id="21" xr3:uid="{C32F8461-9637-402F-887D-69DB11456026}" name="Cost" dataDxfId="256"/>
    <tableColumn id="22" xr3:uid="{4125E5B9-FD0E-4C21-A333-EF047D0BDE0F}" name="CNTR AMOUNT" dataDxfId="255"/>
    <tableColumn id="23" xr3:uid="{7F752F23-9702-4EB2-A623-8FB27864451D}" name="Profit" dataDxfId="254"/>
    <tableColumn id="24" xr3:uid="{DBC5ACD5-5F20-473B-9D56-B9B7CF69EFCC}" name="Profit Ratio" dataDxfId="253"/>
    <tableColumn id="25" xr3:uid="{D2D017B7-DBCC-4100-8F9A-95503BCE4513}" name="EIR" dataDxfId="252"/>
    <tableColumn id="26" xr3:uid="{89A8FB97-B2D4-4B46-8FAB-4675F3A79A93}" name="Co-loader" dataDxfId="251"/>
  </tableColumns>
  <tableStyleInfo name="表样式 3"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8B01EE7-A0C1-4895-B0EB-30C2FF7A42A8}" name="表14" displayName="表14" ref="A1:Z152" totalsRowShown="0" headerRowDxfId="249" tableBorderDxfId="248">
  <autoFilter ref="A1:Z152" xr:uid="{E8B01EE7-A0C1-4895-B0EB-30C2FF7A42A8}"/>
  <tableColumns count="26">
    <tableColumn id="1" xr3:uid="{E48D2F6A-0E32-4ADE-A6AF-846D42082A72}" name="CUSTOMER"/>
    <tableColumn id="2" xr3:uid="{94448CA5-CEE3-4B48-B8C2-185D4D13201E}" name="CNTR#" dataDxfId="247"/>
    <tableColumn id="3" xr3:uid="{09AB5479-D89A-4A32-B0DB-C586A560A159}" name="SIZE" dataDxfId="246"/>
    <tableColumn id="4" xr3:uid="{4D7F4916-BBFC-4221-AF3F-F3B328CFB47C}" name="ETA PORT" dataDxfId="245"/>
    <tableColumn id="5" xr3:uid="{4544C437-295B-4569-B041-9AFFC08B0415}" name="ETA" dataDxfId="244"/>
    <tableColumn id="6" xr3:uid="{44D0E8B4-2C2E-4843-9136-9550EB8B26A0}" name="SSL"/>
    <tableColumn id="7" xr3:uid="{C5E8DCBA-BBB1-41DD-ACC0-87D019C1E172}" name="Rail"/>
    <tableColumn id="8" xr3:uid="{8CC62EC7-7530-40BC-A16B-06F4524B2A79}" name="APPT"/>
    <tableColumn id="9" xr3:uid="{CFA1C2E4-70FC-441A-99C8-8430C9D79F09}" name="TIME"/>
    <tableColumn id="10" xr3:uid="{1FEF3C15-0C3F-4E58-A644-C2302AE879FB}" name="TRUCKER"/>
    <tableColumn id="11" xr3:uid="{79605692-79A2-4573-97C7-AAC0C2081A2E}" name="TO"/>
    <tableColumn id="12" xr3:uid="{2E87FE8A-7CEA-452F-95CD-68D0778AE359}" name="PU#" dataDxfId="243"/>
    <tableColumn id="13" xr3:uid="{1E6449B5-744F-41C4-B9F0-A0B6D88145BC}" name="LFD"/>
    <tableColumn id="14" xr3:uid="{5D812B8A-3A02-470D-93C3-6BE231FCADE0}" name="OG"/>
    <tableColumn id="15" xr3:uid="{74CEC06F-2F15-485A-8384-6C23472D46BD}" name="IG"/>
    <tableColumn id="16" xr3:uid="{487D5459-F8F1-46C3-A83E-D497DC06351C}" name="NOTE"/>
    <tableColumn id="17" xr3:uid="{68BEB841-4910-4ADA-BA8C-7B99B7329D8B}" name="OP"/>
    <tableColumn id="18" xr3:uid="{16077B23-14F3-410B-8C6A-F633C7C679E9}" name="Inv status"/>
    <tableColumn id="19" xr3:uid="{4A8A0561-1953-4FDD-8353-621CFE2F7A74}" name="Dispatch"/>
    <tableColumn id="20" xr3:uid="{3EE708B1-88D5-4E64-959A-D234DCF9AF48}" name="Sales Amount"/>
    <tableColumn id="21" xr3:uid="{5317CEF3-4F3B-42D2-BBBA-098DBE8DAA4E}" name="Cost"/>
    <tableColumn id="22" xr3:uid="{21A3CFCA-AA3E-4021-9D43-858CFD4449A9}" name="CNTR AMOUNT"/>
    <tableColumn id="23" xr3:uid="{AEEBF33D-7414-48E5-9A43-36DA1E1AC96F}" name="Profit" dataDxfId="242">
      <calculatedColumnFormula>表12[[#This Row],[Sales Amount]]-表12[[#This Row],[Cost]]</calculatedColumnFormula>
    </tableColumn>
    <tableColumn id="24" xr3:uid="{A832E518-6C4B-4574-8A15-43EB88D7E296}" name="Profit Ratio" dataDxfId="241">
      <calculatedColumnFormula>IFERROR(Table6[[#This Row],[Profit]]/Table6[[#This Row],[Cost]]," ")</calculatedColumnFormula>
    </tableColumn>
    <tableColumn id="25" xr3:uid="{1FAF6FD4-2FA8-49FA-A60F-B2C4244CA8D9}" name="EIR"/>
    <tableColumn id="26" xr3:uid="{B2D4F8EA-B392-444B-BA7C-A73C9B159C5A}" name="Co-loader"/>
  </tableColumns>
  <tableStyleInfo name="表样式 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ACA005D-34C0-4EFF-8414-0F7500BCB6E3}" name="表17" displayName="表17" ref="A1:Z184" totalsRowShown="0" headerRowDxfId="239" headerRowBorderDxfId="237" tableBorderDxfId="238">
  <autoFilter ref="A1:Z184" xr:uid="{0D393BBC-4D4C-4163-B79A-43962617860C}"/>
  <tableColumns count="26">
    <tableColumn id="1" xr3:uid="{D640CA47-ABE6-45D3-BB30-6CB8EE3B154B}" name="CUSTOMER"/>
    <tableColumn id="2" xr3:uid="{3211BCC5-1A2A-4026-B912-8D5731495043}" name="CNTR#"/>
    <tableColumn id="3" xr3:uid="{6298D0CD-FDE9-49FE-B614-71B44A0DA9B4}" name="SIZE"/>
    <tableColumn id="4" xr3:uid="{64938C6B-7097-42F9-876D-8A9EB3AF9F0C}" name="ETA PORT"/>
    <tableColumn id="5" xr3:uid="{4FD11396-2540-4F93-8DE2-98A099800894}" name="ETA"/>
    <tableColumn id="6" xr3:uid="{6602FC74-B7D1-4B2E-862A-5E36F539D2D6}" name="SSL"/>
    <tableColumn id="7" xr3:uid="{FED196A7-F544-4834-BD24-26A62A48255B}" name="Rail"/>
    <tableColumn id="8" xr3:uid="{009C130A-832D-48B9-BA92-FCC5F191456F}" name="APPT"/>
    <tableColumn id="9" xr3:uid="{27C05911-14AE-45C5-9A40-174D0646CF7F}" name="TIME"/>
    <tableColumn id="10" xr3:uid="{FDE80996-7B46-4A2D-90B1-719BB824A38C}" name="TRUCKER"/>
    <tableColumn id="11" xr3:uid="{193A555A-67C9-412A-90D8-5BAAB8AB398A}" name="TO"/>
    <tableColumn id="12" xr3:uid="{DD58A8D6-5C67-419C-B00D-EB8F90799D0E}" name="PU#"/>
    <tableColumn id="13" xr3:uid="{A42D5093-FC59-4E72-B8FD-E6C64AD7D233}" name="LFD"/>
    <tableColumn id="14" xr3:uid="{25EF0239-773B-4D29-AAC0-2732D324352A}" name="OG"/>
    <tableColumn id="15" xr3:uid="{58A3A5FB-C5F2-4140-825E-CF29E0DAEE59}" name="IG"/>
    <tableColumn id="16" xr3:uid="{FE669107-7270-4E8C-BFD5-1D9D6A776CD8}" name="NOTE"/>
    <tableColumn id="17" xr3:uid="{4D7F8367-C2A7-4A5C-9215-813B792B4B5E}" name="OP" dataDxfId="236"/>
    <tableColumn id="18" xr3:uid="{B1192790-656D-4B50-8746-D09A3082DDFC}" name="Inv status"/>
    <tableColumn id="19" xr3:uid="{AC7ED30F-6551-4F33-9B05-6FF5F9919C32}" name="Dispatch"/>
    <tableColumn id="20" xr3:uid="{A0732034-6BBF-4812-ABD8-E29F1F3EEF08}" name="Sales Amount"/>
    <tableColumn id="21" xr3:uid="{0BA3E469-BA97-41AD-A176-0CDAD1CB6071}" name="Cost"/>
    <tableColumn id="22" xr3:uid="{EE8AB9B6-AA1A-41E6-B18A-B2653472461A}" name="CNTR AMOUNT"/>
    <tableColumn id="23" xr3:uid="{8614EEDF-4C04-479B-86D2-5F2DAFFC50EA}" name="Profit"/>
    <tableColumn id="24" xr3:uid="{19AEF63C-2F0C-4505-9EBE-950ADA626A2F}" name="Profit Ratio"/>
    <tableColumn id="25" xr3:uid="{E185720A-1360-40B7-B0C0-95E3053B648C}" name="EIR"/>
    <tableColumn id="26" xr3:uid="{F84B1D5C-A4F4-45EE-8C57-166DAF3A9F21}" name="Co-loader"/>
  </tableColumns>
  <tableStyleInfo name="表样式 3"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06BFF3B-F776-4EEE-B8A6-71B5669FCE27}" name="表15" displayName="表15" ref="A1:Z280" totalsRowShown="0" headerRowDxfId="234" dataDxfId="233" headerRowBorderDxfId="231" tableBorderDxfId="232">
  <autoFilter ref="A1:Z280" xr:uid="{706BFF3B-F776-4EEE-B8A6-71B5669FCE27}"/>
  <tableColumns count="26">
    <tableColumn id="1" xr3:uid="{631ABB34-024F-42DD-B34B-F63DAC49DD35}" name="CUSTOMER" dataDxfId="230"/>
    <tableColumn id="2" xr3:uid="{F66FBD0E-A360-4097-B39F-6542EBCC3F45}" name="CNTR#" dataDxfId="229"/>
    <tableColumn id="3" xr3:uid="{D515ADAB-EE8A-4318-8008-51C482275B7D}" name="SIZE" dataDxfId="228"/>
    <tableColumn id="4" xr3:uid="{4E69B273-4591-4BCE-BDF1-BF8767288CD0}" name="ETA PORT" dataDxfId="227"/>
    <tableColumn id="5" xr3:uid="{32299D97-1DC9-4473-9E96-2A7776C7BBCB}" name="ETA" dataDxfId="226"/>
    <tableColumn id="6" xr3:uid="{56271FA3-4EF0-40A1-88AF-ABD7238DC4D4}" name="SSL" dataDxfId="225"/>
    <tableColumn id="7" xr3:uid="{11188100-1828-422C-A421-B28E1991A07F}" name="Rail" dataDxfId="224"/>
    <tableColumn id="8" xr3:uid="{5F055465-A60A-4DC2-B590-B231BD89C207}" name="APPT" dataDxfId="223"/>
    <tableColumn id="9" xr3:uid="{9EC99CB8-09D2-4162-8410-2D1F645C6E10}" name="TIME" dataDxfId="222"/>
    <tableColumn id="10" xr3:uid="{51D9BA4E-1B69-4367-BC2E-F4E1507EDD0C}" name="TRUCKER" dataDxfId="221"/>
    <tableColumn id="11" xr3:uid="{2601C279-B4AD-4BEB-991D-A3EF2C49A441}" name="TO" dataDxfId="220"/>
    <tableColumn id="12" xr3:uid="{81CCE854-3557-4095-B24E-1415F2197AC2}" name="PU#" dataDxfId="219"/>
    <tableColumn id="13" xr3:uid="{1A290602-0F69-4C0B-B039-35BAC1C828C5}" name="LFD" dataDxfId="218"/>
    <tableColumn id="14" xr3:uid="{403AF581-6693-42FE-B3E4-1945677EC8B4}" name="OG" dataDxfId="217"/>
    <tableColumn id="15" xr3:uid="{02DD669D-E397-423A-92D3-C1C5D6B59DDA}" name="IG" dataDxfId="216"/>
    <tableColumn id="16" xr3:uid="{2311CD0C-2F94-4B7D-B2A6-E0A3655D8399}" name="NOTE" dataDxfId="215"/>
    <tableColumn id="17" xr3:uid="{9AAF29AF-B313-4C24-8ADB-F5791225A7B8}" name="OP" dataDxfId="214"/>
    <tableColumn id="18" xr3:uid="{FD947F7B-2F29-4469-924D-7EB340575F58}" name="Inv status" dataDxfId="213"/>
    <tableColumn id="19" xr3:uid="{31610B2B-046A-403C-9603-CC5CC7ACBE55}" name="Dispatch" dataDxfId="212"/>
    <tableColumn id="20" xr3:uid="{164D3C28-10A1-43F6-B03D-105B64B7557C}" name="Sales Amount" dataDxfId="211"/>
    <tableColumn id="21" xr3:uid="{1916E57C-BCBE-4135-B6E8-595F8F0C27A9}" name="Cost" dataDxfId="210"/>
    <tableColumn id="22" xr3:uid="{91312504-1CBA-4183-9286-A58CF9C8FFAD}" name="CNTR AMOUNT" dataDxfId="209"/>
    <tableColumn id="23" xr3:uid="{5E2A1AA2-5D70-4880-95ED-6B51F80858C9}" name="Profit" dataDxfId="208"/>
    <tableColumn id="24" xr3:uid="{A3BE76EA-2F27-41AD-A599-7DCC18984EBE}" name="Profit Ratio" dataDxfId="207"/>
    <tableColumn id="25" xr3:uid="{B88C3C4D-16D7-4382-8465-A3D156078B8F}" name="EIR" dataDxfId="206"/>
    <tableColumn id="26" xr3:uid="{AEB12ABD-9C5A-4762-A71B-7E35814C4F16}" name="Co-loader" dataDxfId="205"/>
  </tableColumns>
  <tableStyleInfo name="表样式 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7412DBAC-E1DF-4A32-AF6F-BB6DD93FA8D7}" name="表15_17" displayName="表15_17" ref="A1:Z287" totalsRowShown="0" headerRowDxfId="203" dataDxfId="202" headerRowBorderDxfId="200" tableBorderDxfId="201">
  <autoFilter ref="A1:Z287" xr:uid="{706BFF3B-F776-4EEE-B8A6-71B5669FCE27}"/>
  <tableColumns count="26">
    <tableColumn id="1" xr3:uid="{EBAB514F-B8FB-430D-A9E7-1418997FBBE3}" name="CUSTOMER" dataDxfId="199"/>
    <tableColumn id="2" xr3:uid="{FC6E757A-3C9B-4FE4-9580-A689E3EC016C}" name="CNTR#" dataDxfId="198"/>
    <tableColumn id="3" xr3:uid="{F7B90073-D75E-48EB-AD33-F4BC63BE36E6}" name="SIZE" dataDxfId="197"/>
    <tableColumn id="4" xr3:uid="{42C905DB-9E54-4385-B282-D7482F7C45E1}" name="ETA PORT" dataDxfId="196"/>
    <tableColumn id="5" xr3:uid="{50CDAC50-5571-421A-A511-81A1AB9F9DB1}" name="ETA" dataDxfId="195"/>
    <tableColumn id="6" xr3:uid="{B2C6C347-B93E-40F7-ABD0-B76C1195AF28}" name="SSL" dataDxfId="194"/>
    <tableColumn id="7" xr3:uid="{8FE39DA8-2C8C-4D6F-A023-278BDAEA4678}" name="Rail" dataDxfId="193"/>
    <tableColumn id="8" xr3:uid="{6F4D5A4E-B083-48EC-90E4-CBC25545157B}" name="APPT" dataDxfId="192"/>
    <tableColumn id="9" xr3:uid="{6CD88FBE-B96A-44AD-86DA-2C1F11F5139E}" name="TIME" dataDxfId="191"/>
    <tableColumn id="10" xr3:uid="{6E12EEF8-EA94-4100-AC1E-1E296F91D946}" name="TRUCKER" dataDxfId="190"/>
    <tableColumn id="11" xr3:uid="{5B4304E5-0C98-4CD4-AB61-1C6E45693AF2}" name="TO" dataDxfId="189"/>
    <tableColumn id="12" xr3:uid="{A6030252-2F54-4E69-9EAA-B8321EC8FCB4}" name="PU#" dataDxfId="188"/>
    <tableColumn id="13" xr3:uid="{896A3EB0-62EE-4627-9CE8-6B156DA0F15C}" name="LFD" dataDxfId="187"/>
    <tableColumn id="14" xr3:uid="{74539049-BD3C-4B66-97A5-085E2469EF54}" name="OG" dataDxfId="186"/>
    <tableColumn id="15" xr3:uid="{832AC7A4-2B8A-4244-A548-9F059BFE4196}" name="IG" dataDxfId="185"/>
    <tableColumn id="16" xr3:uid="{3EE63B23-2F1A-4AC0-A565-802E1392D7E9}" name="NOTE" dataDxfId="184"/>
    <tableColumn id="17" xr3:uid="{52DC413F-27E4-406E-AF09-52F7D9EABE1F}" name="OP" dataDxfId="183"/>
    <tableColumn id="18" xr3:uid="{61535794-B33F-40C7-97B1-706E15F10990}" name="Inv status" dataDxfId="182"/>
    <tableColumn id="19" xr3:uid="{CF2FEE4F-517F-4688-B31B-A6200769300A}" name="Dispatch" dataDxfId="181"/>
    <tableColumn id="20" xr3:uid="{21229A10-3679-48E5-92F1-776D35B78BF6}" name="Sales Amount" dataDxfId="180"/>
    <tableColumn id="21" xr3:uid="{7314AC52-9357-4144-9E23-D46CDBA9D961}" name="Cost" dataDxfId="179"/>
    <tableColumn id="22" xr3:uid="{31F5AE65-2D9A-4146-9EC1-43F357D8E0BC}" name="CNTR AMOUNT" dataDxfId="178"/>
    <tableColumn id="23" xr3:uid="{58ADDA5C-391B-42ED-AD3C-66A8756C684B}" name="Profit" dataDxfId="177">
      <calculatedColumnFormula>表15_17[[#This Row],[Sales Amount]]-表15_17[[#This Row],[Cost]]</calculatedColumnFormula>
    </tableColumn>
    <tableColumn id="24" xr3:uid="{C4A5C79C-9F00-43D1-9001-8C028403BFD2}" name="Profit Ratio" dataDxfId="176">
      <calculatedColumnFormula>表15_17[[#This Row],[Profit]]/表15_17[[#This Row],[Cost]]</calculatedColumnFormula>
    </tableColumn>
    <tableColumn id="25" xr3:uid="{CEBF01DC-B3D0-45FF-BA49-8AD99391B725}" name="EIR" dataDxfId="175"/>
    <tableColumn id="26" xr3:uid="{ACFAB04E-D1CF-4C6D-8984-500963DD0AC4}" name="Co-loader" dataDxfId="174"/>
  </tableColumns>
  <tableStyleInfo name="表样式 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CE643C91-FE6F-4CFE-A938-8447A643AD1A}" name="表15_1731" displayName="表15_1731" ref="A1:Z182" totalsRowShown="0" headerRowDxfId="172" dataDxfId="171" headerRowBorderDxfId="169" tableBorderDxfId="170">
  <autoFilter ref="A1:Z182" xr:uid="{706BFF3B-F776-4EEE-B8A6-71B5669FCE27}">
    <filterColumn colId="5">
      <filters>
        <filter val="MATSON"/>
      </filters>
    </filterColumn>
  </autoFilter>
  <tableColumns count="26">
    <tableColumn id="1" xr3:uid="{03AABE87-E3C1-4A5A-9D5D-BB1570B5E97A}" name="CUSTOMER" dataDxfId="168"/>
    <tableColumn id="2" xr3:uid="{E68C00F0-B524-404D-8C4C-97ABB5916863}" name="CNTR#" dataDxfId="167"/>
    <tableColumn id="3" xr3:uid="{D82CF2B5-F724-4D35-B12A-F9ACBF516BD5}" name="SIZE" dataDxfId="166"/>
    <tableColumn id="4" xr3:uid="{D18EEE82-D6E7-41E9-A0C7-6332034E514A}" name="ETA PORT" dataDxfId="165"/>
    <tableColumn id="5" xr3:uid="{B9BDF951-B820-4018-8BD3-9397DB918FB7}" name="ETA" dataDxfId="164"/>
    <tableColumn id="6" xr3:uid="{4E04743E-B47C-4221-A634-7E00FAD1F5A2}" name="SSL" dataDxfId="163"/>
    <tableColumn id="7" xr3:uid="{1BD8C292-5DF1-4DFE-924B-B82747B33D7D}" name="Rail" dataDxfId="162"/>
    <tableColumn id="8" xr3:uid="{8C5C7E4D-483A-4861-BD4C-06E5633119BF}" name="APPT" dataDxfId="161"/>
    <tableColumn id="9" xr3:uid="{D12EA6CA-DC33-4623-B30A-B825D11BC8CF}" name="TIME" dataDxfId="160"/>
    <tableColumn id="10" xr3:uid="{5C28A715-5E65-49CA-998E-5E037F969875}" name="TRUCKER" dataDxfId="159"/>
    <tableColumn id="11" xr3:uid="{B94BF6A9-8EB8-45B1-8DDC-F16161110D1B}" name="TO" dataDxfId="158"/>
    <tableColumn id="12" xr3:uid="{02C60FE6-5A09-4D84-85B1-92E6CEA8BD60}" name="PU#" dataDxfId="157"/>
    <tableColumn id="13" xr3:uid="{84DE933A-4F3E-4041-8F3D-4652FFE23DC9}" name="LFD" dataDxfId="156"/>
    <tableColumn id="14" xr3:uid="{99D38660-B383-4B3C-BEBE-C0201842D336}" name="OG" dataDxfId="155"/>
    <tableColumn id="15" xr3:uid="{262A6BB9-9248-4C64-B4F8-D35664C2E376}" name="IG" dataDxfId="154"/>
    <tableColumn id="16" xr3:uid="{F72705C3-10E3-48B4-AA6A-B7CC93318841}" name="NOTE" dataDxfId="153"/>
    <tableColumn id="17" xr3:uid="{1D46EA53-FCAA-4AD2-BBA6-0DE8232654A9}" name="OP" dataDxfId="152"/>
    <tableColumn id="18" xr3:uid="{604F9CCB-28E3-47F2-A92D-B606B0D23163}" name="Inv status" dataDxfId="151"/>
    <tableColumn id="19" xr3:uid="{F3040851-B642-420C-AFF4-B9D6E62E6598}" name="Dispatch" dataDxfId="150"/>
    <tableColumn id="20" xr3:uid="{FAE73C6B-C3A8-4D0F-9B20-E49557AAD7E8}" name="Sales Amount" dataDxfId="149"/>
    <tableColumn id="21" xr3:uid="{469F881C-F996-42DF-B084-E14DB1963575}" name="Cost" dataDxfId="148"/>
    <tableColumn id="22" xr3:uid="{1D16FDDF-1607-4E17-B8AB-5CE02C2EBE93}" name="CNTR AMOUNT" dataDxfId="147"/>
    <tableColumn id="23" xr3:uid="{9DEA1AF2-DC4B-4CCE-ABC9-E1251026DC29}" name="Profit" dataDxfId="146"/>
    <tableColumn id="24" xr3:uid="{1C53C70F-22DE-4DE1-942D-54434E5340FB}" name="Profit Ratio" dataDxfId="145"/>
    <tableColumn id="25" xr3:uid="{EFF369F0-C6F1-4BA8-BFB1-4169366D56A6}" name="EIR" dataDxfId="144"/>
    <tableColumn id="26" xr3:uid="{BB9D841C-BFD0-4A3D-8F81-DBCD93106438}" name="Co-loader" dataDxfId="143"/>
  </tableColumns>
  <tableStyleInfo name="表样式 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E7D7317-1548-4550-A559-099FAC73F92D}" name="SAU_DRIVERS" displayName="SAU_DRIVERS" ref="A12:E44" totalsRowShown="0">
  <autoFilter ref="A12:E44" xr:uid="{7E7D7317-1548-4550-A559-099FAC73F92D}"/>
  <tableColumns count="5">
    <tableColumn id="1" xr3:uid="{7640143B-AD06-47A1-91E9-F8C1A23AC3F6}" name="cntr#" dataDxfId="138"/>
    <tableColumn id="2" xr3:uid="{1E897BA0-D7D0-44AC-9A3D-AEDA50F329FF}" name="CARRIER"/>
    <tableColumn id="3" xr3:uid="{C8D74D2D-CFCB-4C37-B470-089165465EA5}" name="列2"/>
    <tableColumn id="4" xr3:uid="{4499035F-E6AC-4584-93D5-7F6A8CC33268}" name="NOTE" dataDxfId="137"/>
    <tableColumn id="5" xr3:uid="{84254AA8-D163-467E-9AC6-76C890021AFA}" name="EMAIL"/>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D4B1979-1E8E-40A7-B09F-BCB9733B9A6C}" name="SAU_OCT_2022" displayName="SAU_OCT_2022" ref="A151:U287" totalsRowShown="0" headerRowDxfId="122" dataDxfId="121" tableBorderDxfId="120">
  <autoFilter ref="A151:U287" xr:uid="{3D4B1979-1E8E-40A7-B09F-BCB9733B9A6C}"/>
  <tableColumns count="21">
    <tableColumn id="1" xr3:uid="{7B140F3D-0ADD-4ABE-8198-0FC0C1ECF887}" name="OCTOBOR" dataDxfId="119"/>
    <tableColumn id="2" xr3:uid="{91256E67-752E-4F08-9F0F-4C2B7EC46794}" name="CNTR#" dataDxfId="118"/>
    <tableColumn id="19" xr3:uid="{0E85B029-3BE5-4CAC-8A5A-3D28E11A3A72}" name="REF#" dataDxfId="117"/>
    <tableColumn id="3" xr3:uid="{B7F37A5C-766E-4F73-8A6F-BB20C1643F53}" name="SIZE" dataDxfId="116"/>
    <tableColumn id="12" xr3:uid="{E41FDD25-5350-45B4-88FE-EE95E42C4E26}" name="列1" dataDxfId="115"/>
    <tableColumn id="20" xr3:uid="{ADB98E81-D882-4AEE-B124-5BB7190109BB}" name="列2" dataDxfId="114"/>
    <tableColumn id="4" xr3:uid="{851EA596-00C6-4DC8-A7D0-E89E99DE2818}" name="ETA PORT" dataDxfId="113"/>
    <tableColumn id="10" xr3:uid="{49F52624-29CF-4DB7-A89D-C07AF5BB0F5D}" name="TRUCKER" dataDxfId="112"/>
    <tableColumn id="21" xr3:uid="{53A227F9-3D4E-4EAF-8938-43855EC44752}" name="CARRIER" dataDxfId="111"/>
    <tableColumn id="13" xr3:uid="{0A0E892D-5678-45CD-903D-A12806ED9FE0}" name="LFD" dataDxfId="110"/>
    <tableColumn id="14" xr3:uid="{EEADDA49-CE4D-49B1-8D95-7987D137C97D}" name="OG" dataDxfId="109"/>
    <tableColumn id="15" xr3:uid="{FB970644-A8C0-4250-B81F-29FCEB66FE68}" name="ACTURAL OG" dataDxfId="108"/>
    <tableColumn id="5" xr3:uid="{F381DA6D-698E-42FA-826C-58DEFB96D719}" name="APPT" dataDxfId="107"/>
    <tableColumn id="6" xr3:uid="{FDAD88A1-B87D-4651-80FB-9CF665BDF8C8}" name="DEL" dataDxfId="106"/>
    <tableColumn id="16" xr3:uid="{223A613F-48C2-4DF9-9CE1-308945160F8D}" name="NOTE" dataDxfId="105"/>
    <tableColumn id="11" xr3:uid="{4D31BC97-5FE7-4CC4-AD4E-B2E6B2BAC661}" name="派送方式" dataDxfId="104"/>
    <tableColumn id="17" xr3:uid="{74BDAACA-D3A3-496D-91A7-19472CB4EE28}" name="OP" dataDxfId="103"/>
    <tableColumn id="18" xr3:uid="{4BF9E2B6-6A16-4012-9127-3814D33F9E89}" name="INV1" dataDxfId="102"/>
    <tableColumn id="7" xr3:uid="{EC860D50-F1A6-407C-A82E-96E0BAE955E5}" name="AMOUNT1" dataDxfId="101"/>
    <tableColumn id="8" xr3:uid="{B1F8B2A9-8994-4462-A753-B42E4583F09B}" name="INV2" dataDxfId="100"/>
    <tableColumn id="9" xr3:uid="{C4862050-804B-4A0B-9F65-CAB77AA69FDB}" name="AMOUT2" dataDxfId="99"/>
  </tableColumns>
  <tableStyleInfo name="TableStyleLight20"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471101E-6821-4642-B09C-34CADE1D7B22}" name="SAU_NOV_2022" displayName="SAU_NOV_2022" ref="A1:S141" totalsRowShown="0" headerRowDxfId="98" dataDxfId="97">
  <autoFilter ref="A1:S141" xr:uid="{4471101E-6821-4642-B09C-34CADE1D7B22}"/>
  <tableColumns count="19">
    <tableColumn id="1" xr3:uid="{F21E5CA6-8F7B-4C61-A86E-66B51BD1D87C}" name="CUSTOMER" dataDxfId="96"/>
    <tableColumn id="2" xr3:uid="{371FC803-A38C-4A91-8470-E1629EF02DC9}" name="CNTR#" dataDxfId="95"/>
    <tableColumn id="3" xr3:uid="{AF2095B7-5B6B-4383-A2FD-1B9473F51A12}" name="MBL#" dataDxfId="94"/>
    <tableColumn id="4" xr3:uid="{6D7565B2-29CC-4659-AA5E-C40914FA7388}" name="ASSIGNED OP" dataDxfId="93"/>
    <tableColumn id="5" xr3:uid="{7FA7E58B-86D0-4D14-8938-67B8AE4067AC}" name="PORT CARRIER" dataDxfId="92"/>
    <tableColumn id="6" xr3:uid="{C97115B0-0DA2-4E40-8E1D-82E8708549D3}" name="OP" dataDxfId="91"/>
    <tableColumn id="7" xr3:uid="{ECF2B4BB-8F28-43D4-9DD2-62466BE9B793}" name="PORT OG" dataDxfId="90"/>
    <tableColumn id="8" xr3:uid="{C6C1084E-8C51-4B0F-BE66-FF22EC66EF9F}" name="ACTURAL OG" dataDxfId="89"/>
    <tableColumn id="9" xr3:uid="{2093785F-43D4-49A0-A657-2EDA4F7DF9D0}" name="APPT" dataDxfId="88"/>
    <tableColumn id="19" xr3:uid="{C987D24F-8EC6-48AA-81B6-91A062B86A92}" name="12.6appt" dataDxfId="87"/>
    <tableColumn id="10" xr3:uid="{02A0FE3D-BCFA-43F1-920F-AA164AE3173A}" name="ACTURAL DEL" dataDxfId="86"/>
    <tableColumn id="11" xr3:uid="{E3781076-B5D3-4236-BD9F-56CAF222BB61}" name="NOTE" dataDxfId="85"/>
    <tableColumn id="12" xr3:uid="{CFB6EFD0-1BDD-4D6D-B014-1E3EF067C227}" name="INV1" dataDxfId="84"/>
    <tableColumn id="13" xr3:uid="{BF9AF740-0504-43C9-9E16-C77706184E2B}" name="INV1 RATE" dataDxfId="83"/>
    <tableColumn id="14" xr3:uid="{D997E356-F669-4160-B920-140FF484F401}" name="TERM1" dataDxfId="82"/>
    <tableColumn id="15" xr3:uid="{537913DC-75A7-454A-AFAA-ABDFB8DB491B}" name="INV2" dataDxfId="81"/>
    <tableColumn id="16" xr3:uid="{120A12C8-D1CA-4614-B69B-FF7D8E086BB2}" name="INV2 RATE" dataDxfId="80"/>
    <tableColumn id="17" xr3:uid="{C4722A53-3031-41B1-A79D-04F7C7097549}" name="TERM2" dataDxfId="79"/>
    <tableColumn id="18" xr3:uid="{683D7A2C-3848-4BBF-B9AF-28DAF9A7756D}" name="ABL INV" dataDxfId="78"/>
  </tableColumns>
  <tableStyleInfo name="TableStyleLight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48EEA6E4-B8CF-4674-9585-2E51C3CB68F6}" name="SAU_2023" displayName="SAU_2023" ref="A1:T101" totalsRowShown="0" headerRowDxfId="76">
  <autoFilter ref="A1:T101" xr:uid="{48EEA6E4-B8CF-4674-9585-2E51C3CB68F6}"/>
  <tableColumns count="20">
    <tableColumn id="1" xr3:uid="{2EC68CC7-564B-4965-8DB0-181B45D617EF}" name="CUSTOMER" dataDxfId="75"/>
    <tableColumn id="2" xr3:uid="{BC386FA3-A291-49FA-BC36-C5A9361B1274}" name="BATCH" dataDxfId="74"/>
    <tableColumn id="3" xr3:uid="{698672C0-21EC-48BF-8580-E029AB56FB02}" name="CNTR#" dataDxfId="73"/>
    <tableColumn id="16" xr3:uid="{D2317244-3311-4A32-A3EF-0C39EDF4D0CB}" name="Unit#" dataDxfId="72"/>
    <tableColumn id="17" xr3:uid="{A9445AC7-7AB8-4409-8B93-7ECADB9781F2}" name="Serial Number" dataDxfId="71"/>
    <tableColumn id="18" xr3:uid="{51FAA86E-3B20-4386-9A6D-242A03903ED9}" name="Serial Number from SA" dataDxfId="70"/>
    <tableColumn id="5" xr3:uid="{9D12648A-903A-4660-B0C8-9EC4D42458BB}" name="Broker" dataDxfId="69"/>
    <tableColumn id="6" xr3:uid="{55C30F1F-10F7-4383-A72C-285D504D7280}" name="Carrier" dataDxfId="68"/>
    <tableColumn id="7" xr3:uid="{3EEAE147-37A7-4E9C-9116-B0857CD7D18C}" name="ETA" dataDxfId="67"/>
    <tableColumn id="9" xr3:uid="{BD6728C7-8954-4EA5-97FB-D5A802DB6025}" name="LFD" dataDxfId="66"/>
    <tableColumn id="8" xr3:uid="{B6AA19F3-B104-496C-85EC-00D46AF3B866}" name="OG" dataDxfId="65"/>
    <tableColumn id="22" xr3:uid="{B8359E35-3A7A-465D-B7D5-736B707F0C92}" name="Flat Rack IG" dataDxfId="64"/>
    <tableColumn id="15" xr3:uid="{E01A797A-79ED-4A11-A629-A890FEEDD7A2}" name="chassis usage" dataDxfId="63">
      <calculatedColumnFormula>IF((SAU_2023[[#This Row],[Flat Rack IG]]-SAU_2023[[#This Row],[OG]])+1&lt;2,2,SAU_2023[[#This Row],[Flat Rack IG]]-SAU_2023[[#This Row],[OG]]+1)</calculatedColumnFormula>
    </tableColumn>
    <tableColumn id="10" xr3:uid="{5761E3C7-F08E-46F7-9D47-946EC06B2154}" name="APPT" dataDxfId="62"/>
    <tableColumn id="12" xr3:uid="{D2C8EE62-E9AB-433C-B892-F2D0826C1CCD}" name="ACTURAL DEL" dataDxfId="61"/>
    <tableColumn id="19" xr3:uid="{CA49539B-F1D5-4D36-ADDB-01A6912F8A76}" name="Storage Date" dataDxfId="60">
      <calculatedColumnFormula>SAU_2023[[#This Row],[ACTURAL DEL]]-SAU_2023[[#This Row],[OG]]</calculatedColumnFormula>
    </tableColumn>
    <tableColumn id="4" xr3:uid="{CB0B59B6-3165-47E3-B803-EED38501D0DB}" name="MBL#" dataDxfId="59"/>
    <tableColumn id="13" xr3:uid="{827139B3-5C02-43CF-BC72-CBD1C9E6D5FC}" name="NOTE"/>
    <tableColumn id="11" xr3:uid="{5E001A13-BC73-4D8C-AC96-8B0EAE2015B2}" name="Invoice"/>
    <tableColumn id="14" xr3:uid="{D81A3BB9-FF1B-4869-B593-1D503C774B2C}" name="Cost"/>
  </tableColumns>
  <tableStyleInfo name="TableStyleLight20"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730CD49E-ED59-48CB-8B85-6FB8E8234BA6}" name="CANCEL_2022" displayName="CANCEL_2022" ref="A1:U236" totalsRowShown="0" tableBorderDxfId="0">
  <autoFilter ref="A1:U236" xr:uid="{730CD49E-ED59-48CB-8B85-6FB8E8234BA6}"/>
  <tableColumns count="21">
    <tableColumn id="1" xr3:uid="{30B8F242-E264-4FD0-9F19-FEDC40A160D8}" name="CUSTOMER"/>
    <tableColumn id="2" xr3:uid="{0D0A70D0-0567-4F75-A410-DE4C2AA1956C}" name="CNTR#"/>
    <tableColumn id="3" xr3:uid="{90655A22-7383-478F-AE43-BD073AC58FD3}" name="SIZE"/>
    <tableColumn id="4" xr3:uid="{F39BA579-634E-4B18-B913-4B3D68652AE1}" name="ETA PORT"/>
    <tableColumn id="5" xr3:uid="{F91759C7-E25D-4B0D-97D5-2E2B1F4E9CEF}" name="ETA"/>
    <tableColumn id="6" xr3:uid="{549DF384-E11A-4700-8192-85BA28EF96A5}" name="SSL"/>
    <tableColumn id="7" xr3:uid="{5B85079E-2ABA-43A7-9072-DE40049C6819}" name="RAIL"/>
    <tableColumn id="8" xr3:uid="{05BF575E-8BD5-48EF-B166-F288BA2C713B}" name="APPT"/>
    <tableColumn id="9" xr3:uid="{0080E375-D9DE-4C36-91F7-D634DE3A372E}" name="TIME"/>
    <tableColumn id="10" xr3:uid="{58F66A5F-E5D2-476D-9A83-D289086FD78E}" name="TRUCKER"/>
    <tableColumn id="11" xr3:uid="{2B3B098F-0895-498E-90AF-D465268C69E7}" name="TO"/>
    <tableColumn id="12" xr3:uid="{9D70DC72-6371-4689-BE81-D5B920423D73}" name="PU#"/>
    <tableColumn id="13" xr3:uid="{98F74906-23C7-4D69-A908-45BA1E058386}" name="LFD"/>
    <tableColumn id="14" xr3:uid="{E00B96AB-2126-4191-8074-C72CEEB12DFA}" name="OG"/>
    <tableColumn id="15" xr3:uid="{BD35DF50-7CFA-4A5F-8251-27137AD44F73}" name="IG"/>
    <tableColumn id="16" xr3:uid="{4E2402EB-E233-4911-A4AD-C302846BEC3A}" name="NOTE"/>
    <tableColumn id="17" xr3:uid="{B6E32F91-E7CD-4646-9F5E-0D7DE5DD131B}" name="Cancel Date"/>
    <tableColumn id="18" xr3:uid="{C6781D61-7AB1-44CE-9B1F-BE1BAA18E72E}" name="Driver SCAC"/>
    <tableColumn id="19" xr3:uid="{729665DD-8751-4287-B837-874120C338DD}" name="列1"/>
    <tableColumn id="20" xr3:uid="{959318E9-F643-4689-82BF-58B16BFF03A8}" name="列2"/>
    <tableColumn id="21" xr3:uid="{32B6DE91-5B66-4A82-9E81-5EE3505119C8}" name="列3"/>
  </tableColumns>
  <tableStyleInfo name="表样式 2"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66" dT="2023-01-17T01:35:48.51" personId="{BBA8125D-60BA-44DB-B56A-DEAB45BC6E82}" id="{E0181E32-9E9F-4B9D-9520-703D2A5DA0D1}">
    <text>The only exception is unit #TCLU6023655, as this is on hold for damage. A damage report has already been sent to ZIM for this unit. When one of your drayman receives this unit upon IFF delivery, the driver will be stopped at the gate. We will make sure the driver is aware of this damage, and if the driver agrees to take this unit “as is,” we will then remove the hold and release this flat rack/cargo (TCLU6023655) to the driver.  </text>
  </threadedComment>
</ThreadedComment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microsoft.com/office/2019/04/relationships/namedSheetView" Target="../namedSheetViews/namedSheetView2.xml"/><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notion.so/sa-EMCU1733458-PO-59246-d433531e1f5e43d8b10f0fbbac4a190b?pvs=4" TargetMode="External"/><Relationship Id="rId1" Type="http://schemas.openxmlformats.org/officeDocument/2006/relationships/hyperlink" Target="https://www.notion.so/PGL-SPGLSED00002027-RICDLW384400-MAI-RTRN-SHA-3c2565cf97654aa9a7f936510bff91d3?pvs=4" TargetMode="External"/><Relationship Id="rId5" Type="http://schemas.microsoft.com/office/2019/04/relationships/namedSheetView" Target="../namedSheetViews/namedSheetView3.xml"/><Relationship Id="rId4"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3" Type="http://schemas.microsoft.com/office/2019/04/relationships/namedSheetView" Target="../namedSheetViews/namedSheetView4.xml"/><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javascript:void(0);"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tas.wydgroup.com/?booking_code=Z14JY2"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hyperlink" Target="mailto:US.ORD.IMP@BOLLORE.COM" TargetMode="External"/></Relationships>
</file>

<file path=xl/worksheets/_rels/sheet21.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vml"/><Relationship Id="rId1" Type="http://schemas.openxmlformats.org/officeDocument/2006/relationships/printerSettings" Target="../printerSettings/printerSettings20.bin"/><Relationship Id="rId6" Type="http://schemas.microsoft.com/office/2019/04/relationships/namedSheetView" Target="../namedSheetViews/namedSheetView5.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mailto:agonzalez@newstarlighting.com%20/%20Angela%20Gonzalez"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24.bin"/><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4D73F-C7D2-4A06-8B09-92685502AC19}">
  <sheetPr codeName="Sheet7"/>
  <dimension ref="A1:Z231"/>
  <sheetViews>
    <sheetView zoomScaleNormal="100" workbookViewId="0">
      <pane xSplit="3" ySplit="1" topLeftCell="I9" activePane="bottomRight" state="frozen"/>
      <selection pane="bottomRight" activeCell="B1" sqref="B1:B1048576"/>
      <selection pane="bottomLeft" activeCell="A2" sqref="A2"/>
      <selection pane="topRight" activeCell="D1" sqref="D1"/>
    </sheetView>
  </sheetViews>
  <sheetFormatPr defaultColWidth="9.125" defaultRowHeight="15"/>
  <cols>
    <col min="1" max="1" width="19.25" style="52" customWidth="1"/>
    <col min="2" max="2" width="15.125" style="52" customWidth="1"/>
    <col min="3" max="3" width="9.125" style="52"/>
    <col min="4" max="4" width="11.25" style="1207" customWidth="1"/>
    <col min="5" max="5" width="9" style="1207"/>
    <col min="6" max="6" width="14.25" style="52" customWidth="1"/>
    <col min="7" max="7" width="15.875" style="52" customWidth="1"/>
    <col min="8" max="8" width="11" style="52" bestFit="1" customWidth="1"/>
    <col min="9" max="9" width="12.875" style="52" customWidth="1"/>
    <col min="10" max="10" width="11.25" style="52" customWidth="1"/>
    <col min="11" max="11" width="26.25" style="52" customWidth="1"/>
    <col min="12" max="12" width="11.25" style="7" customWidth="1"/>
    <col min="13" max="13" width="9" style="1207" bestFit="1" customWidth="1"/>
    <col min="14" max="14" width="13.25" style="1207" bestFit="1" customWidth="1"/>
    <col min="15" max="15" width="10.125" style="1207" customWidth="1"/>
    <col min="16" max="16" width="53.25" style="1269" customWidth="1"/>
    <col min="17" max="17" width="9.125" style="52"/>
    <col min="18" max="18" width="18" style="52" customWidth="1"/>
    <col min="19" max="19" width="10.25" style="52" customWidth="1"/>
    <col min="20" max="20" width="15.25" style="52" customWidth="1"/>
    <col min="21" max="21" width="18.25" style="52" customWidth="1"/>
    <col min="22" max="22" width="16.25" style="52" customWidth="1"/>
    <col min="23" max="23" width="9.125" style="52"/>
    <col min="24" max="24" width="13.125" style="52" customWidth="1"/>
    <col min="25" max="25" width="9.125" style="52"/>
    <col min="26" max="26" width="11.875" style="52" customWidth="1"/>
    <col min="27" max="16384" width="9.125" style="52"/>
  </cols>
  <sheetData>
    <row r="1" spans="1:26">
      <c r="A1" s="1212" t="s">
        <v>0</v>
      </c>
      <c r="B1" s="1212" t="s">
        <v>1</v>
      </c>
      <c r="C1" s="1212" t="s">
        <v>2</v>
      </c>
      <c r="D1" s="1212" t="s">
        <v>3</v>
      </c>
      <c r="E1" s="1213" t="s">
        <v>4</v>
      </c>
      <c r="F1" s="1212" t="s">
        <v>5</v>
      </c>
      <c r="G1" s="1212" t="s">
        <v>6</v>
      </c>
      <c r="H1" s="1212" t="s">
        <v>7</v>
      </c>
      <c r="I1" s="1212" t="s">
        <v>8</v>
      </c>
      <c r="J1" s="1212" t="s">
        <v>9</v>
      </c>
      <c r="K1" s="1214" t="s">
        <v>10</v>
      </c>
      <c r="L1" s="1336" t="s">
        <v>11</v>
      </c>
      <c r="M1" s="1213" t="s">
        <v>12</v>
      </c>
      <c r="N1" s="1212" t="s">
        <v>13</v>
      </c>
      <c r="O1" s="1212" t="s">
        <v>14</v>
      </c>
      <c r="P1" s="1215" t="s">
        <v>15</v>
      </c>
      <c r="Q1" s="1216" t="s">
        <v>16</v>
      </c>
      <c r="R1" s="1216" t="s">
        <v>17</v>
      </c>
      <c r="S1" s="1216" t="s">
        <v>18</v>
      </c>
      <c r="T1" s="1217" t="s">
        <v>19</v>
      </c>
      <c r="U1" s="1216" t="s">
        <v>20</v>
      </c>
      <c r="V1" s="1216" t="s">
        <v>21</v>
      </c>
      <c r="W1" s="1216" t="s">
        <v>22</v>
      </c>
      <c r="X1" s="1218" t="s">
        <v>23</v>
      </c>
      <c r="Y1" s="1218" t="s">
        <v>24</v>
      </c>
      <c r="Z1" s="1218" t="s">
        <v>25</v>
      </c>
    </row>
    <row r="2" spans="1:26" s="106" customFormat="1" hidden="1">
      <c r="A2" s="12" t="s">
        <v>26</v>
      </c>
      <c r="B2" s="12" t="s">
        <v>27</v>
      </c>
      <c r="C2" s="12" t="s">
        <v>28</v>
      </c>
      <c r="D2" s="35">
        <v>45066</v>
      </c>
      <c r="E2" s="34">
        <v>45077</v>
      </c>
      <c r="F2" s="12" t="s">
        <v>29</v>
      </c>
      <c r="G2" s="12" t="s">
        <v>30</v>
      </c>
      <c r="H2" s="114">
        <v>45082</v>
      </c>
      <c r="I2" s="30" t="s">
        <v>31</v>
      </c>
      <c r="J2" s="12" t="s">
        <v>32</v>
      </c>
      <c r="K2" s="74" t="s">
        <v>33</v>
      </c>
      <c r="L2" s="75">
        <v>104061</v>
      </c>
      <c r="M2" s="114">
        <v>45081</v>
      </c>
      <c r="N2" s="35">
        <v>45080</v>
      </c>
      <c r="O2" s="35">
        <v>45082</v>
      </c>
      <c r="P2" s="45" t="s">
        <v>34</v>
      </c>
      <c r="Q2" s="12" t="s">
        <v>35</v>
      </c>
      <c r="R2" s="23" t="s">
        <v>36</v>
      </c>
      <c r="S2" s="12" t="s">
        <v>37</v>
      </c>
      <c r="T2" s="84">
        <v>5922</v>
      </c>
      <c r="U2" s="84">
        <v>5052</v>
      </c>
      <c r="V2" s="84">
        <v>4</v>
      </c>
      <c r="W2" s="84">
        <f>IFERROR((JUN_2023[[#This Row],[Sales Amount]]-JUN_2023[[#This Row],[Cost]])/JUN_2023[[#This Row],[CNTR AMOUNT]],JUN_2023[[#This Row],[Sales Amount]]-JUN_2023[[#This Row],[Cost]])</f>
        <v>217.5</v>
      </c>
      <c r="X2" s="1024">
        <f>IFERROR((JUN_2023[[#This Row],[Sales Amount]]-JUN_2023[[#This Row],[Cost]])/JUN_2023[[#This Row],[Cost]],"-")</f>
        <v>0.17220902612826602</v>
      </c>
      <c r="Y2" s="84"/>
      <c r="Z2" s="84"/>
    </row>
    <row r="3" spans="1:26" s="106" customFormat="1" hidden="1">
      <c r="A3" s="23" t="s">
        <v>26</v>
      </c>
      <c r="B3" s="23" t="s">
        <v>38</v>
      </c>
      <c r="C3" s="23" t="s">
        <v>28</v>
      </c>
      <c r="D3" s="57">
        <v>45066</v>
      </c>
      <c r="E3" s="54">
        <v>45078</v>
      </c>
      <c r="F3" s="23" t="s">
        <v>29</v>
      </c>
      <c r="G3" s="23" t="s">
        <v>39</v>
      </c>
      <c r="H3" s="128">
        <v>45082</v>
      </c>
      <c r="I3" s="111" t="s">
        <v>40</v>
      </c>
      <c r="J3" s="23" t="s">
        <v>32</v>
      </c>
      <c r="K3" s="130" t="s">
        <v>33</v>
      </c>
      <c r="L3" s="111">
        <v>212625</v>
      </c>
      <c r="M3" s="128">
        <v>45078</v>
      </c>
      <c r="N3" s="57">
        <v>45078</v>
      </c>
      <c r="O3" s="57">
        <v>45082</v>
      </c>
      <c r="P3" s="56" t="s">
        <v>34</v>
      </c>
      <c r="Q3" s="23" t="s">
        <v>35</v>
      </c>
      <c r="R3" s="23" t="s">
        <v>36</v>
      </c>
      <c r="S3" s="23" t="s">
        <v>37</v>
      </c>
      <c r="T3" s="85">
        <v>5922</v>
      </c>
      <c r="U3" s="84">
        <v>5052</v>
      </c>
      <c r="V3" s="85">
        <v>4</v>
      </c>
      <c r="W3" s="85">
        <f>IFERROR((JUN_2023[[#This Row],[Sales Amount]]-JUN_2023[[#This Row],[Cost]])/JUN_2023[[#This Row],[CNTR AMOUNT]],JUN_2023[[#This Row],[Sales Amount]]-JUN_2023[[#This Row],[Cost]])</f>
        <v>217.5</v>
      </c>
      <c r="X3" s="927">
        <f>IFERROR((JUN_2023[[#This Row],[Sales Amount]]-JUN_2023[[#This Row],[Cost]])/JUN_2023[[#This Row],[Cost]],"-")</f>
        <v>0.17220902612826602</v>
      </c>
      <c r="Y3" s="85"/>
      <c r="Z3" s="85"/>
    </row>
    <row r="4" spans="1:26" s="7" customFormat="1" hidden="1">
      <c r="A4" s="23" t="s">
        <v>26</v>
      </c>
      <c r="B4" s="23" t="s">
        <v>41</v>
      </c>
      <c r="C4" s="23" t="s">
        <v>28</v>
      </c>
      <c r="D4" s="57">
        <v>45066</v>
      </c>
      <c r="E4" s="34">
        <v>45078</v>
      </c>
      <c r="F4" s="23" t="s">
        <v>29</v>
      </c>
      <c r="G4" s="23" t="s">
        <v>30</v>
      </c>
      <c r="H4" s="128">
        <v>45084</v>
      </c>
      <c r="I4" s="111" t="s">
        <v>40</v>
      </c>
      <c r="J4" s="23" t="s">
        <v>32</v>
      </c>
      <c r="K4" s="130" t="s">
        <v>33</v>
      </c>
      <c r="L4" s="111">
        <v>231375</v>
      </c>
      <c r="M4" s="128">
        <v>45081</v>
      </c>
      <c r="N4" s="57">
        <v>45079</v>
      </c>
      <c r="O4" s="57">
        <v>45084</v>
      </c>
      <c r="P4" s="56" t="s">
        <v>34</v>
      </c>
      <c r="Q4" s="23" t="s">
        <v>35</v>
      </c>
      <c r="R4" s="12" t="s">
        <v>36</v>
      </c>
      <c r="S4" s="23" t="s">
        <v>37</v>
      </c>
      <c r="T4" s="85">
        <v>5922</v>
      </c>
      <c r="U4" s="85">
        <v>5052</v>
      </c>
      <c r="V4" s="85">
        <v>4</v>
      </c>
      <c r="W4" s="85">
        <f>IFERROR((JUN_2023[[#This Row],[Sales Amount]]-JUN_2023[[#This Row],[Cost]])/JUN_2023[[#This Row],[CNTR AMOUNT]],JUN_2023[[#This Row],[Sales Amount]]-JUN_2023[[#This Row],[Cost]])</f>
        <v>217.5</v>
      </c>
      <c r="X4" s="927">
        <f>IFERROR((JUN_2023[[#This Row],[Sales Amount]]-JUN_2023[[#This Row],[Cost]])/JUN_2023[[#This Row],[Cost]],"-")</f>
        <v>0.17220902612826602</v>
      </c>
      <c r="Y4" s="85"/>
      <c r="Z4" s="85"/>
    </row>
    <row r="5" spans="1:26" s="7" customFormat="1" hidden="1">
      <c r="A5" s="962" t="s">
        <v>42</v>
      </c>
      <c r="B5" s="4084" t="s">
        <v>43</v>
      </c>
      <c r="C5" s="962" t="s">
        <v>44</v>
      </c>
      <c r="D5" s="1128">
        <v>45071</v>
      </c>
      <c r="E5" s="1149">
        <f>7+D5</f>
        <v>45078</v>
      </c>
      <c r="F5" s="962" t="s">
        <v>45</v>
      </c>
      <c r="G5" s="962" t="s">
        <v>46</v>
      </c>
      <c r="H5" s="962"/>
      <c r="I5" s="962"/>
      <c r="J5" s="962" t="s">
        <v>32</v>
      </c>
      <c r="K5" s="962" t="s">
        <v>47</v>
      </c>
      <c r="L5" s="962" t="s">
        <v>48</v>
      </c>
      <c r="M5" s="1128">
        <v>45078</v>
      </c>
      <c r="N5" s="1163">
        <v>45078</v>
      </c>
      <c r="O5" s="1128">
        <v>45081</v>
      </c>
      <c r="P5" s="724" t="s">
        <v>49</v>
      </c>
      <c r="Q5" s="962" t="s">
        <v>50</v>
      </c>
      <c r="R5" s="962" t="s">
        <v>51</v>
      </c>
      <c r="S5" s="962"/>
      <c r="T5" s="962"/>
      <c r="U5" s="962"/>
      <c r="V5" s="962"/>
      <c r="W5" s="962">
        <f>IFERROR((JUN_2023[[#This Row],[Sales Amount]]-JUN_2023[[#This Row],[Cost]])/JUN_2023[[#This Row],[CNTR AMOUNT]],JUN_2023[[#This Row],[Sales Amount]]-JUN_2023[[#This Row],[Cost]])</f>
        <v>0</v>
      </c>
      <c r="X5" s="1152" t="str">
        <f>IFERROR((JUN_2023[[#This Row],[Sales Amount]]-JUN_2023[[#This Row],[Cost]])/JUN_2023[[#This Row],[Cost]],"-")</f>
        <v>-</v>
      </c>
      <c r="Y5" s="962"/>
      <c r="Z5" s="962"/>
    </row>
    <row r="6" spans="1:26" s="709" customFormat="1" hidden="1">
      <c r="A6" s="32" t="s">
        <v>26</v>
      </c>
      <c r="B6" s="14" t="s">
        <v>52</v>
      </c>
      <c r="C6" s="32" t="s">
        <v>28</v>
      </c>
      <c r="D6" s="99">
        <v>45066</v>
      </c>
      <c r="E6" s="34">
        <v>45079</v>
      </c>
      <c r="F6" s="32" t="s">
        <v>29</v>
      </c>
      <c r="G6" s="32" t="s">
        <v>30</v>
      </c>
      <c r="H6" s="114">
        <v>45084</v>
      </c>
      <c r="I6" s="1289" t="s">
        <v>31</v>
      </c>
      <c r="J6" s="14" t="s">
        <v>32</v>
      </c>
      <c r="K6" s="1075" t="s">
        <v>33</v>
      </c>
      <c r="L6" s="1302">
        <v>265094</v>
      </c>
      <c r="M6" s="114">
        <v>45081</v>
      </c>
      <c r="N6" s="99">
        <v>45080</v>
      </c>
      <c r="O6" s="99">
        <v>45084</v>
      </c>
      <c r="P6" s="60" t="s">
        <v>34</v>
      </c>
      <c r="Q6" s="32" t="s">
        <v>35</v>
      </c>
      <c r="R6" s="32" t="s">
        <v>36</v>
      </c>
      <c r="S6" s="32" t="s">
        <v>37</v>
      </c>
      <c r="T6" s="94">
        <v>5922</v>
      </c>
      <c r="U6" s="94">
        <v>5052</v>
      </c>
      <c r="V6" s="94">
        <v>4</v>
      </c>
      <c r="W6" s="94">
        <f>IFERROR((JUN_2023[[#This Row],[Sales Amount]]-JUN_2023[[#This Row],[Cost]])/JUN_2023[[#This Row],[CNTR AMOUNT]],JUN_2023[[#This Row],[Sales Amount]]-JUN_2023[[#This Row],[Cost]])</f>
        <v>217.5</v>
      </c>
      <c r="X6" s="1313">
        <f>IFERROR((JUN_2023[[#This Row],[Sales Amount]]-JUN_2023[[#This Row],[Cost]])/JUN_2023[[#This Row],[Cost]],"-")</f>
        <v>0.17220902612826602</v>
      </c>
      <c r="Y6" s="94"/>
      <c r="Z6" s="94"/>
    </row>
    <row r="7" spans="1:26" s="106" customFormat="1" hidden="1">
      <c r="A7" s="32" t="s">
        <v>53</v>
      </c>
      <c r="B7" s="32" t="s">
        <v>54</v>
      </c>
      <c r="C7" s="12" t="s">
        <v>55</v>
      </c>
      <c r="D7" s="99">
        <v>45069</v>
      </c>
      <c r="E7" s="34">
        <v>45080</v>
      </c>
      <c r="F7" s="12" t="s">
        <v>56</v>
      </c>
      <c r="G7" s="32" t="s">
        <v>57</v>
      </c>
      <c r="H7" s="125">
        <v>45085</v>
      </c>
      <c r="I7" s="30" t="s">
        <v>58</v>
      </c>
      <c r="J7" s="14" t="s">
        <v>32</v>
      </c>
      <c r="K7" s="32" t="s">
        <v>59</v>
      </c>
      <c r="L7" s="133">
        <v>8766393</v>
      </c>
      <c r="M7" s="125">
        <v>45082</v>
      </c>
      <c r="N7" s="57">
        <v>45082</v>
      </c>
      <c r="O7" s="35">
        <v>45086</v>
      </c>
      <c r="P7" s="60" t="s">
        <v>60</v>
      </c>
      <c r="Q7" s="12" t="s">
        <v>35</v>
      </c>
      <c r="R7" s="74" t="s">
        <v>36</v>
      </c>
      <c r="S7" s="12" t="s">
        <v>37</v>
      </c>
      <c r="T7" s="84">
        <v>1495</v>
      </c>
      <c r="U7" s="84">
        <v>1104</v>
      </c>
      <c r="V7" s="84"/>
      <c r="W7" s="84">
        <f>IFERROR((JUN_2023[[#This Row],[Sales Amount]]-JUN_2023[[#This Row],[Cost]])/JUN_2023[[#This Row],[CNTR AMOUNT]],JUN_2023[[#This Row],[Sales Amount]]-JUN_2023[[#This Row],[Cost]])</f>
        <v>391</v>
      </c>
      <c r="X7" s="1024">
        <f>IFERROR((JUN_2023[[#This Row],[Sales Amount]]-JUN_2023[[#This Row],[Cost]])/JUN_2023[[#This Row],[Cost]],"-")</f>
        <v>0.35416666666666669</v>
      </c>
      <c r="Y7" s="84"/>
      <c r="Z7" s="84"/>
    </row>
    <row r="8" spans="1:26" s="106" customFormat="1" hidden="1">
      <c r="A8" s="1089" t="s">
        <v>61</v>
      </c>
      <c r="B8" s="1131" t="s">
        <v>62</v>
      </c>
      <c r="C8" s="42" t="s">
        <v>28</v>
      </c>
      <c r="D8" s="1133">
        <v>45073</v>
      </c>
      <c r="E8" s="131">
        <v>45082</v>
      </c>
      <c r="F8" s="42" t="s">
        <v>63</v>
      </c>
      <c r="G8" s="1089" t="s">
        <v>30</v>
      </c>
      <c r="H8" s="1090">
        <v>45086</v>
      </c>
      <c r="I8" s="1091" t="s">
        <v>64</v>
      </c>
      <c r="J8" s="69" t="s">
        <v>32</v>
      </c>
      <c r="K8" s="1089" t="s">
        <v>65</v>
      </c>
      <c r="L8" s="1091">
        <v>321190</v>
      </c>
      <c r="M8" s="1090">
        <v>45086</v>
      </c>
      <c r="N8" s="1305">
        <v>45086</v>
      </c>
      <c r="O8" s="1305">
        <v>45086</v>
      </c>
      <c r="P8" s="1043" t="s">
        <v>66</v>
      </c>
      <c r="Q8" s="42" t="s">
        <v>35</v>
      </c>
      <c r="R8" s="42" t="s">
        <v>36</v>
      </c>
      <c r="S8" s="42" t="s">
        <v>67</v>
      </c>
      <c r="T8" s="647">
        <v>2165</v>
      </c>
      <c r="U8" s="647">
        <v>1506</v>
      </c>
      <c r="V8" s="647"/>
      <c r="W8" s="647">
        <f>IFERROR((JUN_2023[[#This Row],[Sales Amount]]-JUN_2023[[#This Row],[Cost]])/JUN_2023[[#This Row],[CNTR AMOUNT]],JUN_2023[[#This Row],[Sales Amount]]-JUN_2023[[#This Row],[Cost]])</f>
        <v>659</v>
      </c>
      <c r="X8" s="1084">
        <f>IFERROR((JUN_2023[[#This Row],[Sales Amount]]-JUN_2023[[#This Row],[Cost]])/JUN_2023[[#This Row],[Cost]],"-")</f>
        <v>0.43758300132802125</v>
      </c>
      <c r="Y8" s="647"/>
      <c r="Z8" s="647"/>
    </row>
    <row r="9" spans="1:26" s="106" customFormat="1" ht="60">
      <c r="A9" s="1271" t="s">
        <v>68</v>
      </c>
      <c r="B9" s="4085" t="s">
        <v>69</v>
      </c>
      <c r="C9" s="4086" t="s">
        <v>28</v>
      </c>
      <c r="D9" s="1279">
        <v>45077</v>
      </c>
      <c r="E9" s="1221">
        <v>45083</v>
      </c>
      <c r="F9" s="4086" t="s">
        <v>45</v>
      </c>
      <c r="G9" s="1283" t="s">
        <v>70</v>
      </c>
      <c r="H9" s="1220">
        <v>45085</v>
      </c>
      <c r="I9" s="1138" t="s">
        <v>71</v>
      </c>
      <c r="J9" s="36" t="s">
        <v>72</v>
      </c>
      <c r="K9" s="1297" t="s">
        <v>73</v>
      </c>
      <c r="L9" s="712">
        <v>431638</v>
      </c>
      <c r="M9" s="1224">
        <v>45085</v>
      </c>
      <c r="N9" s="1224">
        <v>45085</v>
      </c>
      <c r="O9" s="1224">
        <v>45085</v>
      </c>
      <c r="P9" s="4087" t="s">
        <v>74</v>
      </c>
      <c r="Q9" s="4086" t="s">
        <v>75</v>
      </c>
      <c r="R9" s="1219" t="s">
        <v>76</v>
      </c>
      <c r="S9" s="712" t="s">
        <v>67</v>
      </c>
      <c r="T9" s="712">
        <v>1011.25</v>
      </c>
      <c r="U9" s="712">
        <v>865.05</v>
      </c>
      <c r="V9" s="712">
        <v>4</v>
      </c>
      <c r="W9" s="712">
        <f>IFERROR((JUN_2023[[#This Row],[Sales Amount]]-JUN_2023[[#This Row],[Cost]])/JUN_2023[[#This Row],[CNTR AMOUNT]],JUN_2023[[#This Row],[Sales Amount]]-JUN_2023[[#This Row],[Cost]])</f>
        <v>36.550000000000011</v>
      </c>
      <c r="X9" s="1230">
        <f>IFERROR((JUN_2023[[#This Row],[Sales Amount]]-JUN_2023[[#This Row],[Cost]])/JUN_2023[[#This Row],[Cost]],"-")</f>
        <v>0.16900757181665807</v>
      </c>
      <c r="Y9" s="712"/>
      <c r="Z9" s="712"/>
    </row>
    <row r="10" spans="1:26" hidden="1">
      <c r="A10" s="4088" t="s">
        <v>42</v>
      </c>
      <c r="B10" s="4088" t="s">
        <v>77</v>
      </c>
      <c r="C10" s="4088" t="s">
        <v>44</v>
      </c>
      <c r="D10" s="227">
        <v>45078</v>
      </c>
      <c r="E10" s="131">
        <v>45084</v>
      </c>
      <c r="F10" s="4088" t="s">
        <v>45</v>
      </c>
      <c r="G10" s="4088" t="s">
        <v>46</v>
      </c>
      <c r="H10" s="42"/>
      <c r="I10" s="42"/>
      <c r="J10" s="42" t="s">
        <v>32</v>
      </c>
      <c r="K10" s="4088" t="s">
        <v>47</v>
      </c>
      <c r="L10" s="42" t="s">
        <v>78</v>
      </c>
      <c r="M10" s="227">
        <v>45086</v>
      </c>
      <c r="N10" s="637">
        <v>45086</v>
      </c>
      <c r="O10" s="227">
        <v>45091</v>
      </c>
      <c r="P10" s="4089" t="s">
        <v>79</v>
      </c>
      <c r="Q10" s="4088" t="s">
        <v>50</v>
      </c>
      <c r="R10" s="42" t="s">
        <v>51</v>
      </c>
      <c r="S10" s="42"/>
      <c r="T10" s="42"/>
      <c r="U10" s="42"/>
      <c r="V10" s="42"/>
      <c r="W10" s="42">
        <f>IFERROR((JUN_2023[[#This Row],[Sales Amount]]-JUN_2023[[#This Row],[Cost]])/JUN_2023[[#This Row],[CNTR AMOUNT]],JUN_2023[[#This Row],[Sales Amount]]-JUN_2023[[#This Row],[Cost]])</f>
        <v>0</v>
      </c>
      <c r="X10" s="1183" t="str">
        <f>IFERROR((JUN_2023[[#This Row],[Sales Amount]]-JUN_2023[[#This Row],[Cost]])/JUN_2023[[#This Row],[Cost]],"-")</f>
        <v>-</v>
      </c>
      <c r="Y10" s="42"/>
      <c r="Z10" s="42"/>
    </row>
    <row r="11" spans="1:26" s="7" customFormat="1" ht="60">
      <c r="A11" s="4090" t="s">
        <v>68</v>
      </c>
      <c r="B11" s="4091" t="s">
        <v>80</v>
      </c>
      <c r="C11" s="4091" t="s">
        <v>28</v>
      </c>
      <c r="D11" s="1220">
        <v>45077</v>
      </c>
      <c r="E11" s="1221">
        <v>45084</v>
      </c>
      <c r="F11" s="4091" t="s">
        <v>45</v>
      </c>
      <c r="G11" s="1222" t="s">
        <v>70</v>
      </c>
      <c r="H11" s="1220">
        <v>45085</v>
      </c>
      <c r="I11" s="4091" t="s">
        <v>81</v>
      </c>
      <c r="J11" s="712" t="s">
        <v>72</v>
      </c>
      <c r="K11" s="4091" t="s">
        <v>73</v>
      </c>
      <c r="L11" s="36" t="s">
        <v>82</v>
      </c>
      <c r="M11" s="1220">
        <v>45086</v>
      </c>
      <c r="N11" s="1220">
        <v>45085</v>
      </c>
      <c r="O11" s="1220">
        <v>45085</v>
      </c>
      <c r="P11" s="4090" t="s">
        <v>83</v>
      </c>
      <c r="Q11" s="4091" t="s">
        <v>75</v>
      </c>
      <c r="R11" s="1138" t="s">
        <v>76</v>
      </c>
      <c r="S11" s="1138" t="s">
        <v>67</v>
      </c>
      <c r="T11" s="1138">
        <v>1011.25</v>
      </c>
      <c r="U11" s="1138">
        <v>865.05</v>
      </c>
      <c r="V11" s="1138">
        <v>4</v>
      </c>
      <c r="W11" s="1138">
        <f>IFERROR((JUN_2023[[#This Row],[Sales Amount]]-JUN_2023[[#This Row],[Cost]])/JUN_2023[[#This Row],[CNTR AMOUNT]],JUN_2023[[#This Row],[Sales Amount]]-JUN_2023[[#This Row],[Cost]])</f>
        <v>36.550000000000011</v>
      </c>
      <c r="X11" s="1223">
        <f>IFERROR((JUN_2023[[#This Row],[Sales Amount]]-JUN_2023[[#This Row],[Cost]])/JUN_2023[[#This Row],[Cost]],"-")</f>
        <v>0.16900757181665807</v>
      </c>
      <c r="Y11" s="1138"/>
      <c r="Z11" s="1138"/>
    </row>
    <row r="12" spans="1:26" hidden="1">
      <c r="A12" s="962" t="s">
        <v>42</v>
      </c>
      <c r="B12" s="1132" t="s">
        <v>84</v>
      </c>
      <c r="C12" s="962" t="s">
        <v>85</v>
      </c>
      <c r="D12" s="1128">
        <v>45078</v>
      </c>
      <c r="E12" s="1149">
        <v>45084</v>
      </c>
      <c r="F12" s="962" t="s">
        <v>86</v>
      </c>
      <c r="G12" s="962" t="s">
        <v>46</v>
      </c>
      <c r="H12" s="1128"/>
      <c r="I12" s="962"/>
      <c r="J12" s="962" t="s">
        <v>32</v>
      </c>
      <c r="K12" s="962" t="s">
        <v>47</v>
      </c>
      <c r="L12" s="800" t="s">
        <v>87</v>
      </c>
      <c r="M12" s="1128">
        <v>45086</v>
      </c>
      <c r="N12" s="1163">
        <v>45086</v>
      </c>
      <c r="O12" s="1128">
        <v>45088</v>
      </c>
      <c r="P12" s="724" t="s">
        <v>88</v>
      </c>
      <c r="Q12" s="962" t="s">
        <v>89</v>
      </c>
      <c r="R12" s="962" t="s">
        <v>51</v>
      </c>
      <c r="S12" s="962"/>
      <c r="T12" s="962"/>
      <c r="U12" s="962"/>
      <c r="V12" s="962"/>
      <c r="W12" s="962">
        <f>IFERROR((JUN_2023[[#This Row],[Sales Amount]]-JUN_2023[[#This Row],[Cost]])/JUN_2023[[#This Row],[CNTR AMOUNT]],JUN_2023[[#This Row],[Sales Amount]]-JUN_2023[[#This Row],[Cost]])</f>
        <v>0</v>
      </c>
      <c r="X12" s="1152" t="str">
        <f>IFERROR((JUN_2023[[#This Row],[Sales Amount]]-JUN_2023[[#This Row],[Cost]])/JUN_2023[[#This Row],[Cost]],"-")</f>
        <v>-</v>
      </c>
      <c r="Y12" s="962"/>
      <c r="Z12" s="962"/>
    </row>
    <row r="13" spans="1:26" s="58" customFormat="1" ht="30" hidden="1">
      <c r="A13" s="800" t="s">
        <v>90</v>
      </c>
      <c r="B13" s="1132" t="s">
        <v>91</v>
      </c>
      <c r="C13" s="800" t="s">
        <v>92</v>
      </c>
      <c r="D13" s="946">
        <v>45077</v>
      </c>
      <c r="E13" s="953">
        <v>45085</v>
      </c>
      <c r="F13" s="800" t="s">
        <v>93</v>
      </c>
      <c r="G13" s="800" t="s">
        <v>46</v>
      </c>
      <c r="H13" s="800"/>
      <c r="I13" s="800"/>
      <c r="J13" s="800" t="s">
        <v>32</v>
      </c>
      <c r="K13" s="800" t="s">
        <v>47</v>
      </c>
      <c r="L13" s="800" t="s">
        <v>94</v>
      </c>
      <c r="M13" s="946">
        <v>45087</v>
      </c>
      <c r="N13" s="961">
        <v>45453</v>
      </c>
      <c r="O13" s="1128">
        <v>45457</v>
      </c>
      <c r="P13" s="4092" t="s">
        <v>95</v>
      </c>
      <c r="Q13" s="800" t="s">
        <v>89</v>
      </c>
      <c r="R13" s="962" t="s">
        <v>36</v>
      </c>
      <c r="S13" s="800"/>
      <c r="T13" s="647">
        <v>1778</v>
      </c>
      <c r="U13" s="43"/>
      <c r="V13" s="43"/>
      <c r="W13" s="43">
        <f>IFERROR((JUN_2023[[#This Row],[Sales Amount]]-JUN_2023[[#This Row],[Cost]])/JUN_2023[[#This Row],[CNTR AMOUNT]],JUN_2023[[#This Row],[Sales Amount]]-JUN_2023[[#This Row],[Cost]])</f>
        <v>1778</v>
      </c>
      <c r="X13" s="968" t="str">
        <f>IFERROR((JUN_2023[[#This Row],[Sales Amount]]-JUN_2023[[#This Row],[Cost]])/JUN_2023[[#This Row],[Cost]],"-")</f>
        <v>-</v>
      </c>
      <c r="Y13" s="43"/>
      <c r="Z13" s="43"/>
    </row>
    <row r="14" spans="1:26" hidden="1">
      <c r="A14" s="12" t="s">
        <v>96</v>
      </c>
      <c r="B14" s="14" t="s">
        <v>97</v>
      </c>
      <c r="C14" s="12" t="s">
        <v>85</v>
      </c>
      <c r="D14" s="35">
        <v>45075</v>
      </c>
      <c r="E14" s="34">
        <v>45085</v>
      </c>
      <c r="F14" s="12" t="s">
        <v>98</v>
      </c>
      <c r="G14" s="12" t="s">
        <v>46</v>
      </c>
      <c r="H14" s="114"/>
      <c r="I14" s="30"/>
      <c r="J14" s="12" t="s">
        <v>32</v>
      </c>
      <c r="K14" s="12" t="s">
        <v>47</v>
      </c>
      <c r="L14" s="1326" t="s">
        <v>99</v>
      </c>
      <c r="M14" s="114">
        <v>45088</v>
      </c>
      <c r="N14" s="35">
        <v>45087</v>
      </c>
      <c r="O14" s="35">
        <v>45091</v>
      </c>
      <c r="P14" s="45" t="s">
        <v>100</v>
      </c>
      <c r="Q14" s="12" t="s">
        <v>35</v>
      </c>
      <c r="R14" s="12" t="s">
        <v>36</v>
      </c>
      <c r="S14" s="12" t="s">
        <v>101</v>
      </c>
      <c r="T14" s="84">
        <v>995</v>
      </c>
      <c r="U14" s="84">
        <v>860</v>
      </c>
      <c r="V14" s="84"/>
      <c r="W14" s="84">
        <f>IFERROR((JUN_2023[[#This Row],[Sales Amount]]-JUN_2023[[#This Row],[Cost]])/JUN_2023[[#This Row],[CNTR AMOUNT]],JUN_2023[[#This Row],[Sales Amount]]-JUN_2023[[#This Row],[Cost]])</f>
        <v>135</v>
      </c>
      <c r="X14" s="1024">
        <f>IFERROR((JUN_2023[[#This Row],[Sales Amount]]-JUN_2023[[#This Row],[Cost]])/JUN_2023[[#This Row],[Cost]],"-")</f>
        <v>0.15697674418604651</v>
      </c>
      <c r="Y14" s="84"/>
      <c r="Z14" s="84"/>
    </row>
    <row r="15" spans="1:26" s="7" customFormat="1" hidden="1">
      <c r="A15" s="14" t="s">
        <v>26</v>
      </c>
      <c r="B15" s="123" t="s">
        <v>102</v>
      </c>
      <c r="C15" s="14" t="s">
        <v>28</v>
      </c>
      <c r="D15" s="98">
        <v>45078</v>
      </c>
      <c r="E15" s="129">
        <v>45085</v>
      </c>
      <c r="F15" s="14" t="s">
        <v>56</v>
      </c>
      <c r="G15" s="14" t="s">
        <v>103</v>
      </c>
      <c r="H15" s="141">
        <v>45089</v>
      </c>
      <c r="I15" s="65" t="s">
        <v>104</v>
      </c>
      <c r="J15" s="12" t="s">
        <v>32</v>
      </c>
      <c r="K15" s="133" t="s">
        <v>33</v>
      </c>
      <c r="L15" s="65">
        <v>61871692</v>
      </c>
      <c r="M15" s="141">
        <v>45087</v>
      </c>
      <c r="N15" s="98">
        <v>45085</v>
      </c>
      <c r="O15" s="98">
        <v>45089</v>
      </c>
      <c r="P15" s="51" t="s">
        <v>105</v>
      </c>
      <c r="Q15" s="14" t="s">
        <v>35</v>
      </c>
      <c r="R15" s="14" t="s">
        <v>36</v>
      </c>
      <c r="S15" s="14" t="s">
        <v>37</v>
      </c>
      <c r="T15" s="7">
        <v>7120</v>
      </c>
      <c r="U15" s="7">
        <v>5846</v>
      </c>
      <c r="V15" s="7">
        <v>5</v>
      </c>
      <c r="W15" s="7">
        <f>IFERROR((JUN_2023[[#This Row],[Sales Amount]]-JUN_2023[[#This Row],[Cost]])/JUN_2023[[#This Row],[CNTR AMOUNT]],JUN_2023[[#This Row],[Sales Amount]]-JUN_2023[[#This Row],[Cost]])</f>
        <v>254.8</v>
      </c>
      <c r="X15" s="928">
        <f>IFERROR((JUN_2023[[#This Row],[Sales Amount]]-JUN_2023[[#This Row],[Cost]])/JUN_2023[[#This Row],[Cost]],"-")</f>
        <v>0.2179267875470407</v>
      </c>
    </row>
    <row r="16" spans="1:26" s="7" customFormat="1" hidden="1">
      <c r="A16" s="23" t="s">
        <v>26</v>
      </c>
      <c r="B16" s="46" t="s">
        <v>106</v>
      </c>
      <c r="C16" s="23" t="s">
        <v>28</v>
      </c>
      <c r="D16" s="57">
        <v>45078</v>
      </c>
      <c r="E16" s="54">
        <v>45085</v>
      </c>
      <c r="F16" s="23" t="s">
        <v>56</v>
      </c>
      <c r="G16" s="14" t="s">
        <v>103</v>
      </c>
      <c r="H16" s="114">
        <v>45089</v>
      </c>
      <c r="I16" s="111" t="s">
        <v>104</v>
      </c>
      <c r="J16" s="12" t="s">
        <v>32</v>
      </c>
      <c r="K16" s="130" t="s">
        <v>33</v>
      </c>
      <c r="L16" s="111">
        <v>62933068</v>
      </c>
      <c r="M16" s="128">
        <v>45087</v>
      </c>
      <c r="N16" s="98">
        <v>45085</v>
      </c>
      <c r="O16" s="57">
        <v>45089</v>
      </c>
      <c r="P16" s="56" t="s">
        <v>105</v>
      </c>
      <c r="Q16" s="12" t="s">
        <v>35</v>
      </c>
      <c r="R16" s="23" t="s">
        <v>36</v>
      </c>
      <c r="S16" s="23" t="s">
        <v>37</v>
      </c>
      <c r="T16" s="85">
        <v>7120</v>
      </c>
      <c r="U16" s="85">
        <v>5846</v>
      </c>
      <c r="V16" s="85">
        <v>5</v>
      </c>
      <c r="W16" s="85">
        <f>IFERROR((JUN_2023[[#This Row],[Sales Amount]]-JUN_2023[[#This Row],[Cost]])/JUN_2023[[#This Row],[CNTR AMOUNT]],JUN_2023[[#This Row],[Sales Amount]]-JUN_2023[[#This Row],[Cost]])</f>
        <v>254.8</v>
      </c>
      <c r="X16" s="927">
        <f>IFERROR((JUN_2023[[#This Row],[Sales Amount]]-JUN_2023[[#This Row],[Cost]])/JUN_2023[[#This Row],[Cost]],"-")</f>
        <v>0.2179267875470407</v>
      </c>
      <c r="Y16" s="85"/>
      <c r="Z16" s="85"/>
    </row>
    <row r="17" spans="1:26" s="7" customFormat="1" hidden="1">
      <c r="A17" s="23" t="s">
        <v>26</v>
      </c>
      <c r="B17" s="123" t="s">
        <v>107</v>
      </c>
      <c r="C17" s="23" t="s">
        <v>28</v>
      </c>
      <c r="D17" s="57">
        <v>45078</v>
      </c>
      <c r="E17" s="54">
        <v>45085</v>
      </c>
      <c r="F17" s="23" t="s">
        <v>56</v>
      </c>
      <c r="G17" s="14" t="s">
        <v>103</v>
      </c>
      <c r="H17" s="114">
        <v>45089</v>
      </c>
      <c r="I17" s="30" t="s">
        <v>108</v>
      </c>
      <c r="J17" s="12" t="s">
        <v>32</v>
      </c>
      <c r="K17" s="130" t="s">
        <v>33</v>
      </c>
      <c r="L17" s="30">
        <v>60837084</v>
      </c>
      <c r="M17" s="114">
        <v>45087</v>
      </c>
      <c r="N17" s="98">
        <v>45085</v>
      </c>
      <c r="O17" s="35">
        <v>45089</v>
      </c>
      <c r="P17" s="45" t="s">
        <v>105</v>
      </c>
      <c r="Q17" s="12" t="s">
        <v>35</v>
      </c>
      <c r="R17" s="23" t="s">
        <v>36</v>
      </c>
      <c r="S17" s="23" t="s">
        <v>37</v>
      </c>
      <c r="T17" s="84">
        <v>7120</v>
      </c>
      <c r="U17" s="84">
        <v>5846</v>
      </c>
      <c r="V17" s="84">
        <v>5</v>
      </c>
      <c r="W17" s="84">
        <f>IFERROR((JUN_2023[[#This Row],[Sales Amount]]-JUN_2023[[#This Row],[Cost]])/JUN_2023[[#This Row],[CNTR AMOUNT]],JUN_2023[[#This Row],[Sales Amount]]-JUN_2023[[#This Row],[Cost]])</f>
        <v>254.8</v>
      </c>
      <c r="X17" s="1024">
        <f>IFERROR((JUN_2023[[#This Row],[Sales Amount]]-JUN_2023[[#This Row],[Cost]])/JUN_2023[[#This Row],[Cost]],"-")</f>
        <v>0.2179267875470407</v>
      </c>
      <c r="Y17" s="84"/>
      <c r="Z17" s="84"/>
    </row>
    <row r="18" spans="1:26" s="7" customFormat="1" ht="60">
      <c r="A18" s="1064" t="s">
        <v>68</v>
      </c>
      <c r="B18" s="36" t="s">
        <v>109</v>
      </c>
      <c r="C18" s="4086" t="s">
        <v>28</v>
      </c>
      <c r="D18" s="1224">
        <v>45077</v>
      </c>
      <c r="E18" s="1225">
        <v>45085</v>
      </c>
      <c r="F18" s="4086" t="s">
        <v>45</v>
      </c>
      <c r="G18" s="1226" t="s">
        <v>70</v>
      </c>
      <c r="H18" s="758">
        <v>45086</v>
      </c>
      <c r="I18" s="1224" t="s">
        <v>110</v>
      </c>
      <c r="J18" s="36" t="s">
        <v>72</v>
      </c>
      <c r="K18" s="36" t="s">
        <v>73</v>
      </c>
      <c r="L18" s="712" t="s">
        <v>111</v>
      </c>
      <c r="M18" s="1227">
        <v>45087</v>
      </c>
      <c r="N18" s="1228">
        <v>45086</v>
      </c>
      <c r="O18" s="1229">
        <v>45086</v>
      </c>
      <c r="P18" s="1064" t="s">
        <v>112</v>
      </c>
      <c r="Q18" s="4086" t="s">
        <v>75</v>
      </c>
      <c r="R18" s="1064" t="s">
        <v>76</v>
      </c>
      <c r="S18" s="36" t="s">
        <v>67</v>
      </c>
      <c r="T18" s="712">
        <v>1011.25</v>
      </c>
      <c r="U18" s="36">
        <v>865.05</v>
      </c>
      <c r="V18" s="712">
        <v>4</v>
      </c>
      <c r="W18" s="712">
        <f>IFERROR((JUN_2023[[#This Row],[Sales Amount]]-JUN_2023[[#This Row],[Cost]])/JUN_2023[[#This Row],[CNTR AMOUNT]],JUN_2023[[#This Row],[Sales Amount]]-JUN_2023[[#This Row],[Cost]])</f>
        <v>36.550000000000011</v>
      </c>
      <c r="X18" s="1230">
        <f>IFERROR((JUN_2023[[#This Row],[Sales Amount]]-JUN_2023[[#This Row],[Cost]])/JUN_2023[[#This Row],[Cost]],"-")</f>
        <v>0.16900757181665807</v>
      </c>
      <c r="Y18" s="712"/>
      <c r="Z18" s="712"/>
    </row>
    <row r="19" spans="1:26" s="7" customFormat="1" hidden="1">
      <c r="A19" s="23" t="s">
        <v>26</v>
      </c>
      <c r="B19" s="46" t="s">
        <v>113</v>
      </c>
      <c r="C19" s="23" t="s">
        <v>28</v>
      </c>
      <c r="D19" s="57">
        <v>45078</v>
      </c>
      <c r="E19" s="54">
        <v>45085</v>
      </c>
      <c r="F19" s="23" t="s">
        <v>56</v>
      </c>
      <c r="G19" s="14" t="s">
        <v>103</v>
      </c>
      <c r="H19" s="141">
        <v>45089</v>
      </c>
      <c r="I19" s="111" t="s">
        <v>108</v>
      </c>
      <c r="J19" s="23" t="s">
        <v>32</v>
      </c>
      <c r="K19" s="74" t="s">
        <v>33</v>
      </c>
      <c r="L19" s="111">
        <v>63994572</v>
      </c>
      <c r="M19" s="128">
        <v>45087</v>
      </c>
      <c r="N19" s="35">
        <v>45086</v>
      </c>
      <c r="O19" s="57">
        <v>45089</v>
      </c>
      <c r="P19" s="56" t="s">
        <v>105</v>
      </c>
      <c r="Q19" s="12" t="s">
        <v>35</v>
      </c>
      <c r="R19" s="23" t="s">
        <v>36</v>
      </c>
      <c r="S19" s="12" t="s">
        <v>37</v>
      </c>
      <c r="T19" s="85">
        <v>7120</v>
      </c>
      <c r="U19" s="85">
        <v>5846</v>
      </c>
      <c r="V19" s="85">
        <v>5</v>
      </c>
      <c r="W19" s="85">
        <f>IFERROR((JUN_2023[[#This Row],[Sales Amount]]-JUN_2023[[#This Row],[Cost]])/JUN_2023[[#This Row],[CNTR AMOUNT]],JUN_2023[[#This Row],[Sales Amount]]-JUN_2023[[#This Row],[Cost]])</f>
        <v>254.8</v>
      </c>
      <c r="X19" s="927">
        <f>IFERROR((JUN_2023[[#This Row],[Sales Amount]]-JUN_2023[[#This Row],[Cost]])/JUN_2023[[#This Row],[Cost]],"-")</f>
        <v>0.2179267875470407</v>
      </c>
      <c r="Y19" s="85"/>
      <c r="Z19" s="85"/>
    </row>
    <row r="20" spans="1:26" hidden="1">
      <c r="A20" s="14" t="s">
        <v>26</v>
      </c>
      <c r="B20" s="46" t="s">
        <v>114</v>
      </c>
      <c r="C20" s="23" t="s">
        <v>28</v>
      </c>
      <c r="D20" s="57">
        <v>45078</v>
      </c>
      <c r="E20" s="54">
        <v>45085</v>
      </c>
      <c r="F20" s="23" t="s">
        <v>56</v>
      </c>
      <c r="G20" s="14" t="s">
        <v>103</v>
      </c>
      <c r="H20" s="141">
        <v>45089</v>
      </c>
      <c r="I20" s="111" t="s">
        <v>115</v>
      </c>
      <c r="J20" s="14" t="s">
        <v>32</v>
      </c>
      <c r="K20" s="130" t="s">
        <v>33</v>
      </c>
      <c r="L20" s="111">
        <v>64194460</v>
      </c>
      <c r="M20" s="128">
        <v>45087</v>
      </c>
      <c r="N20" s="98">
        <v>45087</v>
      </c>
      <c r="O20" s="57">
        <v>45089</v>
      </c>
      <c r="P20" s="56" t="s">
        <v>105</v>
      </c>
      <c r="Q20" s="23" t="s">
        <v>35</v>
      </c>
      <c r="R20" s="14" t="s">
        <v>36</v>
      </c>
      <c r="S20" s="14" t="s">
        <v>37</v>
      </c>
      <c r="T20" s="85">
        <v>7120</v>
      </c>
      <c r="U20" s="85">
        <v>5846</v>
      </c>
      <c r="V20" s="85">
        <v>5</v>
      </c>
      <c r="W20" s="85">
        <f>IFERROR((JUN_2023[[#This Row],[Sales Amount]]-JUN_2023[[#This Row],[Cost]])/JUN_2023[[#This Row],[CNTR AMOUNT]],JUN_2023[[#This Row],[Sales Amount]]-JUN_2023[[#This Row],[Cost]])</f>
        <v>254.8</v>
      </c>
      <c r="X20" s="927">
        <f>IFERROR((JUN_2023[[#This Row],[Sales Amount]]-JUN_2023[[#This Row],[Cost]])/JUN_2023[[#This Row],[Cost]],"-")</f>
        <v>0.2179267875470407</v>
      </c>
      <c r="Y20" s="85"/>
      <c r="Z20" s="85"/>
    </row>
    <row r="21" spans="1:26" s="7" customFormat="1" hidden="1">
      <c r="A21" s="23" t="s">
        <v>26</v>
      </c>
      <c r="B21" s="9" t="s">
        <v>116</v>
      </c>
      <c r="C21" s="14" t="s">
        <v>28</v>
      </c>
      <c r="D21" s="57">
        <v>45078</v>
      </c>
      <c r="E21" s="54">
        <v>45085</v>
      </c>
      <c r="F21" s="14" t="s">
        <v>56</v>
      </c>
      <c r="G21" s="14" t="s">
        <v>103</v>
      </c>
      <c r="H21" s="141">
        <v>45090</v>
      </c>
      <c r="I21" s="111" t="s">
        <v>104</v>
      </c>
      <c r="J21" s="14" t="s">
        <v>32</v>
      </c>
      <c r="K21" s="133" t="s">
        <v>33</v>
      </c>
      <c r="L21" s="111">
        <v>50936684</v>
      </c>
      <c r="M21" s="128">
        <v>45087</v>
      </c>
      <c r="N21" s="98">
        <v>45086</v>
      </c>
      <c r="O21" s="57">
        <v>45090</v>
      </c>
      <c r="P21" s="51" t="s">
        <v>117</v>
      </c>
      <c r="Q21" s="14" t="s">
        <v>35</v>
      </c>
      <c r="R21" s="14" t="s">
        <v>36</v>
      </c>
      <c r="S21" s="14" t="s">
        <v>37</v>
      </c>
      <c r="T21" s="85">
        <v>7425</v>
      </c>
      <c r="U21" s="85">
        <v>6816</v>
      </c>
      <c r="V21" s="85">
        <v>5</v>
      </c>
      <c r="W21" s="85">
        <f>IFERROR((JUN_2023[[#This Row],[Sales Amount]]-JUN_2023[[#This Row],[Cost]])/JUN_2023[[#This Row],[CNTR AMOUNT]],JUN_2023[[#This Row],[Sales Amount]]-JUN_2023[[#This Row],[Cost]])</f>
        <v>121.8</v>
      </c>
      <c r="X21" s="927">
        <f>IFERROR((JUN_2023[[#This Row],[Sales Amount]]-JUN_2023[[#This Row],[Cost]])/JUN_2023[[#This Row],[Cost]],"-")</f>
        <v>8.9348591549295781E-2</v>
      </c>
      <c r="Y21" s="85"/>
      <c r="Z21" s="85"/>
    </row>
    <row r="22" spans="1:26" s="25" customFormat="1" hidden="1">
      <c r="A22" s="23" t="s">
        <v>26</v>
      </c>
      <c r="B22" s="29" t="s">
        <v>118</v>
      </c>
      <c r="C22" s="23" t="s">
        <v>28</v>
      </c>
      <c r="D22" s="57">
        <v>45078</v>
      </c>
      <c r="E22" s="54">
        <v>45085</v>
      </c>
      <c r="F22" s="23" t="s">
        <v>56</v>
      </c>
      <c r="G22" s="14" t="s">
        <v>103</v>
      </c>
      <c r="H22" s="128">
        <v>45090</v>
      </c>
      <c r="I22" s="111" t="s">
        <v>104</v>
      </c>
      <c r="J22" s="12" t="s">
        <v>32</v>
      </c>
      <c r="K22" s="133" t="s">
        <v>33</v>
      </c>
      <c r="L22" s="111">
        <v>48863468</v>
      </c>
      <c r="M22" s="128">
        <v>45087</v>
      </c>
      <c r="N22" s="98">
        <v>45086</v>
      </c>
      <c r="O22" s="57">
        <v>45090</v>
      </c>
      <c r="P22" s="51" t="s">
        <v>117</v>
      </c>
      <c r="Q22" s="23" t="s">
        <v>35</v>
      </c>
      <c r="R22" s="14" t="s">
        <v>36</v>
      </c>
      <c r="S22" s="14" t="s">
        <v>37</v>
      </c>
      <c r="T22" s="85">
        <v>7425</v>
      </c>
      <c r="U22" s="85">
        <v>6816</v>
      </c>
      <c r="V22" s="85">
        <v>5</v>
      </c>
      <c r="W22" s="85">
        <f>IFERROR((JUN_2023[[#This Row],[Sales Amount]]-JUN_2023[[#This Row],[Cost]])/JUN_2023[[#This Row],[CNTR AMOUNT]],JUN_2023[[#This Row],[Sales Amount]]-JUN_2023[[#This Row],[Cost]])</f>
        <v>121.8</v>
      </c>
      <c r="X22" s="927">
        <f>IFERROR((JUN_2023[[#This Row],[Sales Amount]]-JUN_2023[[#This Row],[Cost]])/JUN_2023[[#This Row],[Cost]],"-")</f>
        <v>8.9348591549295781E-2</v>
      </c>
      <c r="Y22" s="85"/>
      <c r="Z22" s="85"/>
    </row>
    <row r="23" spans="1:26" s="106" customFormat="1" hidden="1">
      <c r="A23" s="23" t="s">
        <v>26</v>
      </c>
      <c r="B23" s="9" t="s">
        <v>119</v>
      </c>
      <c r="C23" s="23" t="s">
        <v>28</v>
      </c>
      <c r="D23" s="57">
        <v>45078</v>
      </c>
      <c r="E23" s="54">
        <v>45085</v>
      </c>
      <c r="F23" s="23" t="s">
        <v>56</v>
      </c>
      <c r="G23" s="14" t="s">
        <v>103</v>
      </c>
      <c r="H23" s="128">
        <v>45090</v>
      </c>
      <c r="I23" s="111" t="s">
        <v>108</v>
      </c>
      <c r="J23" s="14" t="s">
        <v>32</v>
      </c>
      <c r="K23" s="133" t="s">
        <v>33</v>
      </c>
      <c r="L23" s="111">
        <v>49888092</v>
      </c>
      <c r="M23" s="128">
        <v>45087</v>
      </c>
      <c r="N23" s="57">
        <v>45086</v>
      </c>
      <c r="O23" s="57">
        <v>45093</v>
      </c>
      <c r="P23" s="51" t="s">
        <v>117</v>
      </c>
      <c r="Q23" s="14" t="s">
        <v>35</v>
      </c>
      <c r="R23" s="12" t="s">
        <v>36</v>
      </c>
      <c r="S23" s="23" t="s">
        <v>37</v>
      </c>
      <c r="T23" s="84">
        <v>7425</v>
      </c>
      <c r="U23" s="85">
        <v>6816</v>
      </c>
      <c r="V23" s="85">
        <v>5</v>
      </c>
      <c r="W23" s="85">
        <f>IFERROR((JUN_2023[[#This Row],[Sales Amount]]-JUN_2023[[#This Row],[Cost]])/JUN_2023[[#This Row],[CNTR AMOUNT]],JUN_2023[[#This Row],[Sales Amount]]-JUN_2023[[#This Row],[Cost]])</f>
        <v>121.8</v>
      </c>
      <c r="X23" s="927">
        <f>IFERROR((JUN_2023[[#This Row],[Sales Amount]]-JUN_2023[[#This Row],[Cost]])/JUN_2023[[#This Row],[Cost]],"-")</f>
        <v>8.9348591549295781E-2</v>
      </c>
      <c r="Y23" s="85"/>
      <c r="Z23" s="85"/>
    </row>
    <row r="24" spans="1:26" s="7" customFormat="1" hidden="1">
      <c r="A24" s="23" t="s">
        <v>26</v>
      </c>
      <c r="B24" s="29" t="s">
        <v>120</v>
      </c>
      <c r="C24" s="23" t="s">
        <v>28</v>
      </c>
      <c r="D24" s="57">
        <v>45078</v>
      </c>
      <c r="E24" s="54">
        <v>45085</v>
      </c>
      <c r="F24" s="23" t="s">
        <v>56</v>
      </c>
      <c r="G24" s="14" t="s">
        <v>103</v>
      </c>
      <c r="H24" s="141">
        <v>45090</v>
      </c>
      <c r="I24" s="111" t="s">
        <v>108</v>
      </c>
      <c r="J24" s="12" t="s">
        <v>32</v>
      </c>
      <c r="K24" s="130" t="s">
        <v>33</v>
      </c>
      <c r="L24" s="111">
        <v>47812508</v>
      </c>
      <c r="M24" s="128">
        <v>45087</v>
      </c>
      <c r="N24" s="98">
        <v>45086</v>
      </c>
      <c r="O24" s="57">
        <v>45090</v>
      </c>
      <c r="P24" s="56" t="s">
        <v>117</v>
      </c>
      <c r="Q24" s="23" t="s">
        <v>35</v>
      </c>
      <c r="R24" s="12" t="s">
        <v>36</v>
      </c>
      <c r="S24" s="23" t="s">
        <v>37</v>
      </c>
      <c r="T24" s="84">
        <v>7425</v>
      </c>
      <c r="U24" s="85">
        <v>6816</v>
      </c>
      <c r="V24" s="85">
        <v>5</v>
      </c>
      <c r="W24" s="85">
        <f>IFERROR((JUN_2023[[#This Row],[Sales Amount]]-JUN_2023[[#This Row],[Cost]])/JUN_2023[[#This Row],[CNTR AMOUNT]],JUN_2023[[#This Row],[Sales Amount]]-JUN_2023[[#This Row],[Cost]])</f>
        <v>121.8</v>
      </c>
      <c r="X24" s="927">
        <f>IFERROR((JUN_2023[[#This Row],[Sales Amount]]-JUN_2023[[#This Row],[Cost]])/JUN_2023[[#This Row],[Cost]],"-")</f>
        <v>8.9348591549295781E-2</v>
      </c>
      <c r="Y24" s="85"/>
      <c r="Z24" s="85"/>
    </row>
    <row r="25" spans="1:26" s="7" customFormat="1" hidden="1">
      <c r="A25" s="23" t="s">
        <v>26</v>
      </c>
      <c r="B25" s="29" t="s">
        <v>121</v>
      </c>
      <c r="C25" s="12" t="s">
        <v>28</v>
      </c>
      <c r="D25" s="57">
        <v>45078</v>
      </c>
      <c r="E25" s="54">
        <v>45085</v>
      </c>
      <c r="F25" s="23" t="s">
        <v>56</v>
      </c>
      <c r="G25" s="14" t="s">
        <v>103</v>
      </c>
      <c r="H25" s="141">
        <v>45090</v>
      </c>
      <c r="I25" s="111" t="s">
        <v>115</v>
      </c>
      <c r="J25" s="12" t="s">
        <v>32</v>
      </c>
      <c r="K25" s="74" t="s">
        <v>33</v>
      </c>
      <c r="L25" s="111">
        <v>46789308</v>
      </c>
      <c r="M25" s="128">
        <v>45087</v>
      </c>
      <c r="N25" s="98">
        <v>45086</v>
      </c>
      <c r="O25" s="35">
        <v>45091</v>
      </c>
      <c r="P25" s="56" t="s">
        <v>117</v>
      </c>
      <c r="Q25" s="12" t="s">
        <v>35</v>
      </c>
      <c r="R25" s="23" t="s">
        <v>36</v>
      </c>
      <c r="S25" s="23" t="s">
        <v>37</v>
      </c>
      <c r="T25" s="85">
        <v>7425</v>
      </c>
      <c r="U25" s="85">
        <v>6816</v>
      </c>
      <c r="V25" s="85">
        <v>5</v>
      </c>
      <c r="W25" s="85">
        <f>IFERROR((JUN_2023[[#This Row],[Sales Amount]]-JUN_2023[[#This Row],[Cost]])/JUN_2023[[#This Row],[CNTR AMOUNT]],JUN_2023[[#This Row],[Sales Amount]]-JUN_2023[[#This Row],[Cost]])</f>
        <v>121.8</v>
      </c>
      <c r="X25" s="927">
        <f>IFERROR((JUN_2023[[#This Row],[Sales Amount]]-JUN_2023[[#This Row],[Cost]])/JUN_2023[[#This Row],[Cost]],"-")</f>
        <v>8.9348591549295781E-2</v>
      </c>
      <c r="Y25" s="85"/>
      <c r="Z25" s="85"/>
    </row>
    <row r="26" spans="1:26" s="7" customFormat="1" ht="45" hidden="1">
      <c r="A26" s="1076" t="s">
        <v>122</v>
      </c>
      <c r="B26" s="4093" t="s">
        <v>123</v>
      </c>
      <c r="C26" s="682" t="s">
        <v>44</v>
      </c>
      <c r="D26" s="1078">
        <v>45084</v>
      </c>
      <c r="E26" s="1078">
        <v>45084</v>
      </c>
      <c r="F26" s="1076" t="s">
        <v>45</v>
      </c>
      <c r="G26" s="483" t="s">
        <v>124</v>
      </c>
      <c r="H26" s="980">
        <v>45097</v>
      </c>
      <c r="I26" s="1107"/>
      <c r="J26" s="4094" t="s">
        <v>125</v>
      </c>
      <c r="K26" s="1136" t="s">
        <v>126</v>
      </c>
      <c r="L26" s="682"/>
      <c r="M26" s="635">
        <v>45090</v>
      </c>
      <c r="N26" s="4095">
        <v>45089</v>
      </c>
      <c r="O26" s="635">
        <v>45090</v>
      </c>
      <c r="P26" s="4096" t="s">
        <v>127</v>
      </c>
      <c r="Q26" s="682" t="s">
        <v>128</v>
      </c>
      <c r="R26" s="1076" t="s">
        <v>36</v>
      </c>
      <c r="S26" s="1076"/>
      <c r="T26" s="682">
        <v>2939</v>
      </c>
      <c r="U26" s="1076">
        <f>365+125+1606+800</f>
        <v>2896</v>
      </c>
      <c r="V26" s="682">
        <v>1</v>
      </c>
      <c r="W26" s="682">
        <f>IFERROR((JUN_2023[[#This Row],[Sales Amount]]-JUN_2023[[#This Row],[Cost]])/JUN_2023[[#This Row],[CNTR AMOUNT]],JUN_2023[[#This Row],[Sales Amount]]-JUN_2023[[#This Row],[Cost]])</f>
        <v>43</v>
      </c>
      <c r="X26" s="1108">
        <f>IFERROR((JUN_2023[[#This Row],[Sales Amount]]-JUN_2023[[#This Row],[Cost]])/JUN_2023[[#This Row],[Cost]],"-")</f>
        <v>1.4848066298342542E-2</v>
      </c>
      <c r="Y26" s="682"/>
      <c r="Z26" s="682"/>
    </row>
    <row r="27" spans="1:26" s="7" customFormat="1" hidden="1">
      <c r="A27" s="23" t="s">
        <v>129</v>
      </c>
      <c r="B27" s="9" t="s">
        <v>130</v>
      </c>
      <c r="C27" s="1278" t="s">
        <v>28</v>
      </c>
      <c r="D27" s="1110">
        <v>45082</v>
      </c>
      <c r="E27" s="1066">
        <v>45087</v>
      </c>
      <c r="F27" s="710" t="s">
        <v>98</v>
      </c>
      <c r="G27" s="58" t="s">
        <v>46</v>
      </c>
      <c r="H27" s="1144"/>
      <c r="I27" s="18"/>
      <c r="J27" s="18" t="s">
        <v>32</v>
      </c>
      <c r="K27" s="18" t="s">
        <v>47</v>
      </c>
      <c r="L27" s="915" t="s">
        <v>131</v>
      </c>
      <c r="M27" s="1130">
        <v>45090</v>
      </c>
      <c r="N27" s="844">
        <v>45090</v>
      </c>
      <c r="O27" s="661">
        <v>45093</v>
      </c>
      <c r="P27" s="727" t="s">
        <v>132</v>
      </c>
      <c r="Q27" s="18" t="s">
        <v>35</v>
      </c>
      <c r="R27" s="710" t="s">
        <v>36</v>
      </c>
      <c r="S27" s="710" t="s">
        <v>101</v>
      </c>
      <c r="T27" s="84">
        <v>995</v>
      </c>
      <c r="U27" s="85">
        <v>822</v>
      </c>
      <c r="V27" s="84"/>
      <c r="W27" s="84">
        <f>IFERROR((JUN_2023[[#This Row],[Sales Amount]]-JUN_2023[[#This Row],[Cost]])/JUN_2023[[#This Row],[CNTR AMOUNT]],JUN_2023[[#This Row],[Sales Amount]]-JUN_2023[[#This Row],[Cost]])</f>
        <v>173</v>
      </c>
      <c r="X27" s="1024">
        <f>IFERROR((JUN_2023[[#This Row],[Sales Amount]]-JUN_2023[[#This Row],[Cost]])/JUN_2023[[#This Row],[Cost]],"-")</f>
        <v>0.21046228710462286</v>
      </c>
      <c r="Y27" s="84"/>
      <c r="Z27" s="84"/>
    </row>
    <row r="28" spans="1:26" s="7" customFormat="1" hidden="1">
      <c r="A28" s="31" t="s">
        <v>133</v>
      </c>
      <c r="B28" s="4097" t="s">
        <v>134</v>
      </c>
      <c r="C28" s="19" t="s">
        <v>85</v>
      </c>
      <c r="D28" s="66">
        <v>45087</v>
      </c>
      <c r="E28" s="66">
        <v>45087</v>
      </c>
      <c r="F28" s="37" t="s">
        <v>135</v>
      </c>
      <c r="G28" s="13" t="s">
        <v>136</v>
      </c>
      <c r="H28" s="373">
        <v>45091</v>
      </c>
      <c r="I28" s="1320">
        <v>0.41666666666666669</v>
      </c>
      <c r="J28" s="15" t="s">
        <v>137</v>
      </c>
      <c r="K28" s="15" t="s">
        <v>138</v>
      </c>
      <c r="L28" s="25"/>
      <c r="M28" s="49"/>
      <c r="N28" s="373">
        <v>45090</v>
      </c>
      <c r="O28" s="49">
        <v>45091</v>
      </c>
      <c r="P28" s="40" t="s">
        <v>139</v>
      </c>
      <c r="Q28" s="24" t="s">
        <v>128</v>
      </c>
      <c r="R28" s="37" t="s">
        <v>36</v>
      </c>
      <c r="S28" s="31"/>
      <c r="T28" s="19">
        <v>900</v>
      </c>
      <c r="U28" s="31">
        <v>530</v>
      </c>
      <c r="V28" s="19"/>
      <c r="W28" s="19">
        <f>IFERROR((JUN_2023[[#This Row],[Sales Amount]]-JUN_2023[[#This Row],[Cost]])/JUN_2023[[#This Row],[CNTR AMOUNT]],JUN_2023[[#This Row],[Sales Amount]]-JUN_2023[[#This Row],[Cost]])</f>
        <v>370</v>
      </c>
      <c r="X28" s="1331">
        <f>IFERROR((JUN_2023[[#This Row],[Sales Amount]]-JUN_2023[[#This Row],[Cost]])/JUN_2023[[#This Row],[Cost]],"-")</f>
        <v>0.69811320754716977</v>
      </c>
      <c r="Y28" s="19"/>
      <c r="Z28" s="19"/>
    </row>
    <row r="29" spans="1:26" s="25" customFormat="1">
      <c r="A29" s="712" t="s">
        <v>96</v>
      </c>
      <c r="B29" s="3" t="s">
        <v>140</v>
      </c>
      <c r="C29" s="712" t="s">
        <v>85</v>
      </c>
      <c r="D29" s="1224">
        <v>45082</v>
      </c>
      <c r="E29" s="1236">
        <v>45087</v>
      </c>
      <c r="F29" s="712" t="s">
        <v>98</v>
      </c>
      <c r="G29" s="36" t="s">
        <v>46</v>
      </c>
      <c r="H29" s="1369" t="s">
        <v>141</v>
      </c>
      <c r="I29" s="712"/>
      <c r="J29" s="36" t="s">
        <v>32</v>
      </c>
      <c r="K29" s="712" t="s">
        <v>47</v>
      </c>
      <c r="L29" s="1257" t="s">
        <v>142</v>
      </c>
      <c r="M29" s="1258">
        <v>45091</v>
      </c>
      <c r="N29" s="1368">
        <v>45091</v>
      </c>
      <c r="O29" s="1224">
        <v>45096</v>
      </c>
      <c r="P29" s="1370" t="s">
        <v>143</v>
      </c>
      <c r="Q29" s="712" t="s">
        <v>75</v>
      </c>
      <c r="R29" t="s">
        <v>144</v>
      </c>
      <c r="S29" s="712" t="s">
        <v>101</v>
      </c>
      <c r="T29" s="1138">
        <v>5680.5</v>
      </c>
      <c r="U29" s="712">
        <v>973</v>
      </c>
      <c r="V29" s="712"/>
      <c r="W29" s="712">
        <f>IFERROR((JUN_2023[[#This Row],[Sales Amount]]-JUN_2023[[#This Row],[Cost]])/JUN_2023[[#This Row],[CNTR AMOUNT]],JUN_2023[[#This Row],[Sales Amount]]-JUN_2023[[#This Row],[Cost]])</f>
        <v>4707.5</v>
      </c>
      <c r="X29" s="1230">
        <f>IFERROR((JUN_2023[[#This Row],[Sales Amount]]-JUN_2023[[#This Row],[Cost]])/JUN_2023[[#This Row],[Cost]],"-")</f>
        <v>4.8381294964028774</v>
      </c>
      <c r="Y29" s="712"/>
      <c r="Z29" s="712"/>
    </row>
    <row r="30" spans="1:26" s="7" customFormat="1" hidden="1">
      <c r="A30" s="1199" t="s">
        <v>145</v>
      </c>
      <c r="B30" s="1197" t="s">
        <v>146</v>
      </c>
      <c r="C30" s="1197" t="s">
        <v>85</v>
      </c>
      <c r="D30" s="1196">
        <v>45086</v>
      </c>
      <c r="E30" s="1196">
        <v>45095</v>
      </c>
      <c r="F30" s="1197" t="s">
        <v>56</v>
      </c>
      <c r="G30" s="1298" t="s">
        <v>46</v>
      </c>
      <c r="H30" s="1195"/>
      <c r="I30" s="1197"/>
      <c r="J30" s="1195" t="s">
        <v>32</v>
      </c>
      <c r="K30" s="1298" t="s">
        <v>47</v>
      </c>
      <c r="L30" s="1197" t="s">
        <v>147</v>
      </c>
      <c r="M30" s="1196">
        <v>45093</v>
      </c>
      <c r="N30" s="1306">
        <v>45093</v>
      </c>
      <c r="O30" s="1196">
        <v>45096</v>
      </c>
      <c r="P30" s="1310" t="s">
        <v>148</v>
      </c>
      <c r="Q30" s="1298" t="s">
        <v>89</v>
      </c>
      <c r="R30" s="1298" t="s">
        <v>51</v>
      </c>
      <c r="S30" s="1298"/>
      <c r="T30" s="1197"/>
      <c r="U30" s="1197"/>
      <c r="V30" s="1197"/>
      <c r="W30" s="1197">
        <f>IFERROR((JUN_2023[[#This Row],[Sales Amount]]-JUN_2023[[#This Row],[Cost]])/JUN_2023[[#This Row],[CNTR AMOUNT]],JUN_2023[[#This Row],[Sales Amount]]-JUN_2023[[#This Row],[Cost]])</f>
        <v>0</v>
      </c>
      <c r="X30" s="1200" t="str">
        <f>IFERROR((JUN_2023[[#This Row],[Sales Amount]]-JUN_2023[[#This Row],[Cost]])/JUN_2023[[#This Row],[Cost]],"-")</f>
        <v>-</v>
      </c>
      <c r="Y30" s="1197"/>
      <c r="Z30" s="1197"/>
    </row>
    <row r="31" spans="1:26" hidden="1">
      <c r="A31" s="59" t="s">
        <v>149</v>
      </c>
      <c r="B31" s="59" t="s">
        <v>150</v>
      </c>
      <c r="C31" s="59" t="s">
        <v>85</v>
      </c>
      <c r="D31" s="231">
        <v>45076</v>
      </c>
      <c r="E31" s="142">
        <v>45087</v>
      </c>
      <c r="F31" s="59" t="s">
        <v>151</v>
      </c>
      <c r="G31" s="69" t="s">
        <v>152</v>
      </c>
      <c r="H31" s="948">
        <v>45091</v>
      </c>
      <c r="I31" s="1080" t="s">
        <v>153</v>
      </c>
      <c r="J31" s="69" t="s">
        <v>154</v>
      </c>
      <c r="K31" s="42" t="s">
        <v>155</v>
      </c>
      <c r="L31" s="230">
        <v>4346</v>
      </c>
      <c r="M31" s="1085">
        <v>45089</v>
      </c>
      <c r="N31" s="1305">
        <v>45089</v>
      </c>
      <c r="O31" s="231">
        <v>45091</v>
      </c>
      <c r="P31" s="695" t="s">
        <v>156</v>
      </c>
      <c r="Q31" s="42" t="s">
        <v>35</v>
      </c>
      <c r="R31" s="69" t="s">
        <v>36</v>
      </c>
      <c r="S31" s="42" t="s">
        <v>67</v>
      </c>
      <c r="T31" s="43">
        <v>1135</v>
      </c>
      <c r="U31" s="850">
        <v>927.55</v>
      </c>
      <c r="V31" s="850"/>
      <c r="W31" s="850">
        <f>IFERROR((JUN_2023[[#This Row],[Sales Amount]]-JUN_2023[[#This Row],[Cost]])/JUN_2023[[#This Row],[CNTR AMOUNT]],JUN_2023[[#This Row],[Sales Amount]]-JUN_2023[[#This Row],[Cost]])</f>
        <v>207.45000000000005</v>
      </c>
      <c r="X31" s="1050">
        <f>IFERROR((JUN_2023[[#This Row],[Sales Amount]]-JUN_2023[[#This Row],[Cost]])/JUN_2023[[#This Row],[Cost]],"-")</f>
        <v>0.22365371139022161</v>
      </c>
      <c r="Y31" s="850"/>
      <c r="Z31" s="850"/>
    </row>
    <row r="32" spans="1:26" s="1193" customFormat="1" ht="45">
      <c r="A32" s="4086" t="s">
        <v>157</v>
      </c>
      <c r="B32" s="4098" t="s">
        <v>158</v>
      </c>
      <c r="C32" s="712" t="s">
        <v>28</v>
      </c>
      <c r="D32" s="1224">
        <v>45089</v>
      </c>
      <c r="E32" s="1236">
        <v>45089</v>
      </c>
      <c r="F32" s="36" t="s">
        <v>135</v>
      </c>
      <c r="G32" s="1226" t="s">
        <v>159</v>
      </c>
      <c r="H32" s="1229">
        <v>45094</v>
      </c>
      <c r="I32" s="1237">
        <v>0.875</v>
      </c>
      <c r="J32" s="757" t="s">
        <v>160</v>
      </c>
      <c r="K32" s="36" t="s">
        <v>161</v>
      </c>
      <c r="L32" s="712" t="s">
        <v>162</v>
      </c>
      <c r="M32" s="1224">
        <v>45097</v>
      </c>
      <c r="N32" s="758">
        <v>45092</v>
      </c>
      <c r="O32" s="1224">
        <v>45096</v>
      </c>
      <c r="P32" s="4087" t="s">
        <v>163</v>
      </c>
      <c r="Q32" s="4086" t="s">
        <v>75</v>
      </c>
      <c r="R32" s="4086" t="s">
        <v>164</v>
      </c>
      <c r="S32" s="712"/>
      <c r="T32" s="712">
        <v>2116.25</v>
      </c>
      <c r="U32" s="712">
        <v>1536.05</v>
      </c>
      <c r="V32" s="712">
        <v>1</v>
      </c>
      <c r="W32" s="712">
        <f>IFERROR((JUN_2023[[#This Row],[Sales Amount]]-JUN_2023[[#This Row],[Cost]])/JUN_2023[[#This Row],[CNTR AMOUNT]],JUN_2023[[#This Row],[Sales Amount]]-JUN_2023[[#This Row],[Cost]])</f>
        <v>580.20000000000005</v>
      </c>
      <c r="X32" s="1230">
        <f>IFERROR((JUN_2023[[#This Row],[Sales Amount]]-JUN_2023[[#This Row],[Cost]])/JUN_2023[[#This Row],[Cost]],"-")</f>
        <v>0.37772207935939589</v>
      </c>
      <c r="Y32" s="712"/>
      <c r="Z32" s="712"/>
    </row>
    <row r="33" spans="1:26" s="7" customFormat="1" hidden="1">
      <c r="A33" s="59" t="s">
        <v>165</v>
      </c>
      <c r="B33" s="1079" t="s">
        <v>166</v>
      </c>
      <c r="C33" s="1079" t="s">
        <v>28</v>
      </c>
      <c r="D33" s="231"/>
      <c r="E33" s="231">
        <v>45089</v>
      </c>
      <c r="F33" s="59" t="s">
        <v>167</v>
      </c>
      <c r="G33" s="69" t="s">
        <v>46</v>
      </c>
      <c r="H33" s="946">
        <v>45091</v>
      </c>
      <c r="I33" s="59" t="s">
        <v>115</v>
      </c>
      <c r="J33" s="69" t="s">
        <v>168</v>
      </c>
      <c r="K33" s="109" t="s">
        <v>169</v>
      </c>
      <c r="L33" s="1140"/>
      <c r="M33" s="231"/>
      <c r="N33" s="69"/>
      <c r="O33" s="231"/>
      <c r="P33" s="695"/>
      <c r="Q33" s="42" t="s">
        <v>170</v>
      </c>
      <c r="R33" s="59" t="s">
        <v>51</v>
      </c>
      <c r="S33" s="850"/>
      <c r="T33" s="850">
        <v>1600</v>
      </c>
      <c r="U33" s="850">
        <v>1280</v>
      </c>
      <c r="V33" s="850"/>
      <c r="W33" s="850">
        <f>IFERROR((JUN_2023[[#This Row],[Sales Amount]]-JUN_2023[[#This Row],[Cost]])/JUN_2023[[#This Row],[CNTR AMOUNT]],JUN_2023[[#This Row],[Sales Amount]]-JUN_2023[[#This Row],[Cost]])</f>
        <v>320</v>
      </c>
      <c r="X33" s="1050">
        <f>IFERROR((JUN_2023[[#This Row],[Sales Amount]]-JUN_2023[[#This Row],[Cost]])/JUN_2023[[#This Row],[Cost]],"-")</f>
        <v>0.25</v>
      </c>
      <c r="Y33" s="850"/>
      <c r="Z33" s="850"/>
    </row>
    <row r="34" spans="1:26" hidden="1">
      <c r="A34" s="59" t="s">
        <v>171</v>
      </c>
      <c r="B34" s="1023" t="s">
        <v>172</v>
      </c>
      <c r="C34" s="59" t="s">
        <v>28</v>
      </c>
      <c r="D34" s="231">
        <v>45086</v>
      </c>
      <c r="E34" s="142">
        <v>45089</v>
      </c>
      <c r="F34" s="59" t="s">
        <v>173</v>
      </c>
      <c r="G34" s="69" t="s">
        <v>46</v>
      </c>
      <c r="H34" s="946">
        <v>45091</v>
      </c>
      <c r="I34" s="59"/>
      <c r="J34" s="69" t="s">
        <v>32</v>
      </c>
      <c r="K34" s="42" t="s">
        <v>174</v>
      </c>
      <c r="L34" s="1171" t="s">
        <v>175</v>
      </c>
      <c r="M34" s="1085">
        <v>45091</v>
      </c>
      <c r="N34" s="227">
        <v>45091</v>
      </c>
      <c r="O34" s="231">
        <v>45091</v>
      </c>
      <c r="P34" s="1087" t="s">
        <v>176</v>
      </c>
      <c r="Q34" s="59" t="s">
        <v>35</v>
      </c>
      <c r="R34" s="59" t="s">
        <v>36</v>
      </c>
      <c r="S34" s="59" t="s">
        <v>37</v>
      </c>
      <c r="T34" s="850">
        <v>1120</v>
      </c>
      <c r="U34" s="850">
        <v>786</v>
      </c>
      <c r="V34" s="850"/>
      <c r="W34" s="850">
        <f>IFERROR((JUN_2023[[#This Row],[Sales Amount]]-JUN_2023[[#This Row],[Cost]])/JUN_2023[[#This Row],[CNTR AMOUNT]],JUN_2023[[#This Row],[Sales Amount]]-JUN_2023[[#This Row],[Cost]])</f>
        <v>334</v>
      </c>
      <c r="X34" s="1050">
        <f>IFERROR((JUN_2023[[#This Row],[Sales Amount]]-JUN_2023[[#This Row],[Cost]])/JUN_2023[[#This Row],[Cost]],"-")</f>
        <v>0.42493638676844786</v>
      </c>
      <c r="Y34" s="850"/>
      <c r="Z34" s="850"/>
    </row>
    <row r="35" spans="1:26" s="7" customFormat="1" hidden="1">
      <c r="A35" s="23" t="s">
        <v>26</v>
      </c>
      <c r="B35" s="29" t="s">
        <v>177</v>
      </c>
      <c r="C35" s="23" t="s">
        <v>28</v>
      </c>
      <c r="D35" s="57">
        <v>45085</v>
      </c>
      <c r="E35" s="54">
        <v>45090</v>
      </c>
      <c r="F35" s="23" t="s">
        <v>56</v>
      </c>
      <c r="G35" s="14" t="s">
        <v>103</v>
      </c>
      <c r="H35" s="946">
        <v>45103</v>
      </c>
      <c r="I35" s="111" t="s">
        <v>178</v>
      </c>
      <c r="J35" s="14" t="s">
        <v>32</v>
      </c>
      <c r="K35" s="74" t="s">
        <v>33</v>
      </c>
      <c r="L35" s="1171">
        <v>72112028</v>
      </c>
      <c r="M35" s="128">
        <v>45092</v>
      </c>
      <c r="N35" s="35">
        <v>45090</v>
      </c>
      <c r="O35" s="57">
        <v>45103</v>
      </c>
      <c r="P35" s="56" t="s">
        <v>179</v>
      </c>
      <c r="Q35" s="23" t="s">
        <v>35</v>
      </c>
      <c r="R35" s="111" t="s">
        <v>36</v>
      </c>
      <c r="S35" s="23" t="s">
        <v>37</v>
      </c>
      <c r="T35" s="85">
        <v>7899</v>
      </c>
      <c r="U35" s="85">
        <v>6304</v>
      </c>
      <c r="V35" s="85">
        <v>3</v>
      </c>
      <c r="W35" s="85">
        <f>IFERROR((JUN_2023[[#This Row],[Sales Amount]]-JUN_2023[[#This Row],[Cost]])/JUN_2023[[#This Row],[CNTR AMOUNT]],JUN_2023[[#This Row],[Sales Amount]]-JUN_2023[[#This Row],[Cost]])</f>
        <v>531.66666666666663</v>
      </c>
      <c r="X35" s="927">
        <f>IFERROR((JUN_2023[[#This Row],[Sales Amount]]-JUN_2023[[#This Row],[Cost]])/JUN_2023[[#This Row],[Cost]],"-")</f>
        <v>0.25301395939086296</v>
      </c>
      <c r="Y35" s="85"/>
      <c r="Z35" s="85"/>
    </row>
    <row r="36" spans="1:26" s="106" customFormat="1" hidden="1">
      <c r="A36" s="23" t="s">
        <v>26</v>
      </c>
      <c r="B36" s="29" t="s">
        <v>180</v>
      </c>
      <c r="C36" s="23" t="s">
        <v>28</v>
      </c>
      <c r="D36" s="57">
        <v>45085</v>
      </c>
      <c r="E36" s="54">
        <v>45090</v>
      </c>
      <c r="F36" s="23" t="s">
        <v>56</v>
      </c>
      <c r="G36" s="23" t="s">
        <v>103</v>
      </c>
      <c r="H36" s="946">
        <v>45104</v>
      </c>
      <c r="I36" s="111" t="s">
        <v>178</v>
      </c>
      <c r="J36" s="23" t="s">
        <v>32</v>
      </c>
      <c r="K36" s="130" t="s">
        <v>33</v>
      </c>
      <c r="L36" s="1171">
        <v>71066668</v>
      </c>
      <c r="M36" s="128">
        <v>45092</v>
      </c>
      <c r="N36" s="57">
        <v>45090</v>
      </c>
      <c r="O36" s="57">
        <v>45104</v>
      </c>
      <c r="P36" s="56" t="s">
        <v>181</v>
      </c>
      <c r="Q36" s="23" t="s">
        <v>35</v>
      </c>
      <c r="R36" s="111" t="s">
        <v>36</v>
      </c>
      <c r="S36" s="23" t="s">
        <v>37</v>
      </c>
      <c r="T36" s="85">
        <v>7899</v>
      </c>
      <c r="U36" s="85">
        <v>6304</v>
      </c>
      <c r="V36" s="85">
        <v>3</v>
      </c>
      <c r="W36" s="85">
        <f>IFERROR((JUN_2023[[#This Row],[Sales Amount]]-JUN_2023[[#This Row],[Cost]])/JUN_2023[[#This Row],[CNTR AMOUNT]],JUN_2023[[#This Row],[Sales Amount]]-JUN_2023[[#This Row],[Cost]])</f>
        <v>531.66666666666663</v>
      </c>
      <c r="X36" s="927">
        <f>IFERROR((JUN_2023[[#This Row],[Sales Amount]]-JUN_2023[[#This Row],[Cost]])/JUN_2023[[#This Row],[Cost]],"-")</f>
        <v>0.25301395939086296</v>
      </c>
      <c r="Y36" s="85"/>
      <c r="Z36" s="85"/>
    </row>
    <row r="37" spans="1:26" s="106" customFormat="1" hidden="1">
      <c r="A37" s="23" t="s">
        <v>26</v>
      </c>
      <c r="B37" s="29" t="s">
        <v>182</v>
      </c>
      <c r="C37" s="23" t="s">
        <v>28</v>
      </c>
      <c r="D37" s="57">
        <v>45085</v>
      </c>
      <c r="E37" s="54">
        <v>45090</v>
      </c>
      <c r="F37" s="23" t="s">
        <v>56</v>
      </c>
      <c r="G37" s="23" t="s">
        <v>103</v>
      </c>
      <c r="H37" s="946">
        <v>45103</v>
      </c>
      <c r="I37" s="111" t="s">
        <v>178</v>
      </c>
      <c r="J37" s="23" t="s">
        <v>32</v>
      </c>
      <c r="K37" s="130" t="s">
        <v>33</v>
      </c>
      <c r="L37" s="1171">
        <v>70046988</v>
      </c>
      <c r="M37" s="128">
        <v>45092</v>
      </c>
      <c r="N37" s="57">
        <v>45090</v>
      </c>
      <c r="O37" s="57">
        <v>45103</v>
      </c>
      <c r="P37" s="56" t="s">
        <v>183</v>
      </c>
      <c r="Q37" s="23" t="s">
        <v>35</v>
      </c>
      <c r="R37" s="111" t="s">
        <v>36</v>
      </c>
      <c r="S37" s="23" t="s">
        <v>37</v>
      </c>
      <c r="T37" s="85">
        <v>7899</v>
      </c>
      <c r="U37" s="85">
        <v>6304</v>
      </c>
      <c r="V37" s="85">
        <v>3</v>
      </c>
      <c r="W37" s="85">
        <f>IFERROR((JUN_2023[[#This Row],[Sales Amount]]-JUN_2023[[#This Row],[Cost]])/JUN_2023[[#This Row],[CNTR AMOUNT]],JUN_2023[[#This Row],[Sales Amount]]-JUN_2023[[#This Row],[Cost]])</f>
        <v>531.66666666666663</v>
      </c>
      <c r="X37" s="927">
        <f>IFERROR((JUN_2023[[#This Row],[Sales Amount]]-JUN_2023[[#This Row],[Cost]])/JUN_2023[[#This Row],[Cost]],"-")</f>
        <v>0.25301395939086296</v>
      </c>
      <c r="Y37" s="85"/>
      <c r="Z37" s="85"/>
    </row>
    <row r="38" spans="1:26" s="106" customFormat="1" hidden="1">
      <c r="A38" s="23" t="s">
        <v>26</v>
      </c>
      <c r="B38" s="29" t="s">
        <v>184</v>
      </c>
      <c r="C38" s="23" t="s">
        <v>28</v>
      </c>
      <c r="D38" s="57">
        <v>45085</v>
      </c>
      <c r="E38" s="54">
        <v>45090</v>
      </c>
      <c r="F38" s="23" t="s">
        <v>56</v>
      </c>
      <c r="G38" s="23" t="s">
        <v>103</v>
      </c>
      <c r="H38" s="946">
        <v>45104</v>
      </c>
      <c r="I38" s="111" t="s">
        <v>108</v>
      </c>
      <c r="J38" s="23" t="s">
        <v>32</v>
      </c>
      <c r="K38" s="130" t="s">
        <v>33</v>
      </c>
      <c r="L38" s="1171">
        <v>86096300</v>
      </c>
      <c r="M38" s="128">
        <v>45092</v>
      </c>
      <c r="N38" s="57">
        <v>45091</v>
      </c>
      <c r="O38" s="57">
        <v>45104</v>
      </c>
      <c r="P38" s="1059" t="s">
        <v>185</v>
      </c>
      <c r="Q38" s="23" t="s">
        <v>35</v>
      </c>
      <c r="R38" s="111" t="s">
        <v>36</v>
      </c>
      <c r="S38" s="23" t="s">
        <v>37</v>
      </c>
      <c r="T38" s="85">
        <v>9412</v>
      </c>
      <c r="U38" s="85">
        <v>7575</v>
      </c>
      <c r="V38" s="85">
        <v>4</v>
      </c>
      <c r="W38" s="85">
        <f>IFERROR((JUN_2023[[#This Row],[Sales Amount]]-JUN_2023[[#This Row],[Cost]])/JUN_2023[[#This Row],[CNTR AMOUNT]],JUN_2023[[#This Row],[Sales Amount]]-JUN_2023[[#This Row],[Cost]])</f>
        <v>459.25</v>
      </c>
      <c r="X38" s="927">
        <f>IFERROR((JUN_2023[[#This Row],[Sales Amount]]-JUN_2023[[#This Row],[Cost]])/JUN_2023[[#This Row],[Cost]],"-")</f>
        <v>0.24250825082508251</v>
      </c>
      <c r="Y38" s="85"/>
      <c r="Z38" s="85"/>
    </row>
    <row r="39" spans="1:26" s="106" customFormat="1" hidden="1">
      <c r="A39" s="23" t="s">
        <v>26</v>
      </c>
      <c r="B39" s="11" t="s">
        <v>186</v>
      </c>
      <c r="C39" s="23" t="s">
        <v>28</v>
      </c>
      <c r="D39" s="57">
        <v>45085</v>
      </c>
      <c r="E39" s="54">
        <v>45090</v>
      </c>
      <c r="F39" s="23" t="s">
        <v>56</v>
      </c>
      <c r="G39" s="23" t="s">
        <v>103</v>
      </c>
      <c r="H39" s="946">
        <v>45104</v>
      </c>
      <c r="I39" s="111" t="s">
        <v>108</v>
      </c>
      <c r="J39" s="23" t="s">
        <v>32</v>
      </c>
      <c r="K39" s="130" t="s">
        <v>33</v>
      </c>
      <c r="L39" s="1171">
        <v>85047484</v>
      </c>
      <c r="M39" s="128">
        <v>45092</v>
      </c>
      <c r="N39" s="57">
        <v>45091</v>
      </c>
      <c r="O39" s="57">
        <v>45104</v>
      </c>
      <c r="P39" s="1059" t="s">
        <v>185</v>
      </c>
      <c r="Q39" s="23" t="s">
        <v>35</v>
      </c>
      <c r="R39" s="111" t="s">
        <v>36</v>
      </c>
      <c r="S39" s="12" t="s">
        <v>37</v>
      </c>
      <c r="T39" s="85">
        <v>9412</v>
      </c>
      <c r="U39" s="85">
        <v>7575</v>
      </c>
      <c r="V39" s="85">
        <v>4</v>
      </c>
      <c r="W39" s="84">
        <f>IFERROR((JUN_2023[[#This Row],[Sales Amount]]-JUN_2023[[#This Row],[Cost]])/JUN_2023[[#This Row],[CNTR AMOUNT]],JUN_2023[[#This Row],[Sales Amount]]-JUN_2023[[#This Row],[Cost]])</f>
        <v>459.25</v>
      </c>
      <c r="X39" s="1024">
        <f>IFERROR((JUN_2023[[#This Row],[Sales Amount]]-JUN_2023[[#This Row],[Cost]])/JUN_2023[[#This Row],[Cost]],"-")</f>
        <v>0.24250825082508251</v>
      </c>
      <c r="Y39" s="84"/>
      <c r="Z39" s="84"/>
    </row>
    <row r="40" spans="1:26" s="106" customFormat="1" hidden="1">
      <c r="A40" s="23" t="s">
        <v>26</v>
      </c>
      <c r="B40" s="29" t="s">
        <v>187</v>
      </c>
      <c r="C40" s="23" t="s">
        <v>28</v>
      </c>
      <c r="D40" s="57">
        <v>45085</v>
      </c>
      <c r="E40" s="54">
        <v>45090</v>
      </c>
      <c r="F40" s="23" t="s">
        <v>56</v>
      </c>
      <c r="G40" s="23" t="s">
        <v>103</v>
      </c>
      <c r="H40" s="946">
        <v>45104</v>
      </c>
      <c r="I40" s="111" t="s">
        <v>115</v>
      </c>
      <c r="J40" s="23" t="s">
        <v>32</v>
      </c>
      <c r="K40" s="130" t="s">
        <v>33</v>
      </c>
      <c r="L40" s="1171">
        <v>87109116</v>
      </c>
      <c r="M40" s="128">
        <v>45092</v>
      </c>
      <c r="N40" s="57">
        <v>45091</v>
      </c>
      <c r="O40" s="57">
        <v>45104</v>
      </c>
      <c r="P40" s="10" t="s">
        <v>185</v>
      </c>
      <c r="Q40" s="23" t="s">
        <v>35</v>
      </c>
      <c r="R40" s="111" t="s">
        <v>36</v>
      </c>
      <c r="S40" s="23" t="s">
        <v>37</v>
      </c>
      <c r="T40" s="85">
        <v>9412</v>
      </c>
      <c r="U40" s="85">
        <v>7575</v>
      </c>
      <c r="V40" s="85">
        <v>4</v>
      </c>
      <c r="W40" s="85">
        <f>IFERROR((JUN_2023[[#This Row],[Sales Amount]]-JUN_2023[[#This Row],[Cost]])/JUN_2023[[#This Row],[CNTR AMOUNT]],JUN_2023[[#This Row],[Sales Amount]]-JUN_2023[[#This Row],[Cost]])</f>
        <v>459.25</v>
      </c>
      <c r="X40" s="927">
        <f>IFERROR((JUN_2023[[#This Row],[Sales Amount]]-JUN_2023[[#This Row],[Cost]])/JUN_2023[[#This Row],[Cost]],"-")</f>
        <v>0.24250825082508251</v>
      </c>
      <c r="Y40" s="85"/>
      <c r="Z40" s="85"/>
    </row>
    <row r="41" spans="1:26" s="7" customFormat="1" hidden="1">
      <c r="A41" s="23" t="s">
        <v>26</v>
      </c>
      <c r="B41" s="29" t="s">
        <v>188</v>
      </c>
      <c r="C41" s="23" t="s">
        <v>28</v>
      </c>
      <c r="D41" s="57">
        <v>45085</v>
      </c>
      <c r="E41" s="54">
        <v>45090</v>
      </c>
      <c r="F41" s="23" t="s">
        <v>56</v>
      </c>
      <c r="G41" s="23" t="s">
        <v>103</v>
      </c>
      <c r="H41" s="946">
        <v>45103</v>
      </c>
      <c r="I41" s="111" t="s">
        <v>115</v>
      </c>
      <c r="J41" s="14" t="s">
        <v>32</v>
      </c>
      <c r="K41" s="130" t="s">
        <v>33</v>
      </c>
      <c r="L41" s="1171">
        <v>88128924</v>
      </c>
      <c r="M41" s="128">
        <v>45092</v>
      </c>
      <c r="N41" s="98">
        <v>45091</v>
      </c>
      <c r="O41" s="57">
        <v>45103</v>
      </c>
      <c r="P41" s="1059" t="s">
        <v>185</v>
      </c>
      <c r="Q41" s="23" t="s">
        <v>35</v>
      </c>
      <c r="R41" s="111" t="s">
        <v>36</v>
      </c>
      <c r="S41" s="23" t="s">
        <v>37</v>
      </c>
      <c r="T41" s="85">
        <v>9412</v>
      </c>
      <c r="U41" s="85">
        <v>7575</v>
      </c>
      <c r="V41" s="85">
        <v>4</v>
      </c>
      <c r="W41" s="85">
        <f>IFERROR((JUN_2023[[#This Row],[Sales Amount]]-JUN_2023[[#This Row],[Cost]])/JUN_2023[[#This Row],[CNTR AMOUNT]],JUN_2023[[#This Row],[Sales Amount]]-JUN_2023[[#This Row],[Cost]])</f>
        <v>459.25</v>
      </c>
      <c r="X41" s="927">
        <f>IFERROR((JUN_2023[[#This Row],[Sales Amount]]-JUN_2023[[#This Row],[Cost]])/JUN_2023[[#This Row],[Cost]],"-")</f>
        <v>0.24250825082508251</v>
      </c>
      <c r="Y41" s="85"/>
      <c r="Z41" s="85"/>
    </row>
    <row r="42" spans="1:26" s="7" customFormat="1" hidden="1">
      <c r="A42" s="23" t="s">
        <v>26</v>
      </c>
      <c r="B42" s="29" t="s">
        <v>189</v>
      </c>
      <c r="C42" s="23" t="s">
        <v>28</v>
      </c>
      <c r="D42" s="57">
        <v>45085</v>
      </c>
      <c r="E42" s="54">
        <v>45090</v>
      </c>
      <c r="F42" s="23" t="s">
        <v>56</v>
      </c>
      <c r="G42" s="14" t="s">
        <v>103</v>
      </c>
      <c r="H42" s="946">
        <v>45103</v>
      </c>
      <c r="I42" s="111" t="s">
        <v>115</v>
      </c>
      <c r="J42" s="14" t="s">
        <v>32</v>
      </c>
      <c r="K42" s="74" t="s">
        <v>33</v>
      </c>
      <c r="L42" s="1171">
        <v>53011260</v>
      </c>
      <c r="M42" s="128">
        <v>45092</v>
      </c>
      <c r="N42" s="98">
        <v>45091</v>
      </c>
      <c r="O42" s="57">
        <v>45103</v>
      </c>
      <c r="P42" s="56" t="s">
        <v>190</v>
      </c>
      <c r="Q42" s="12" t="s">
        <v>35</v>
      </c>
      <c r="R42" s="30" t="s">
        <v>36</v>
      </c>
      <c r="S42" s="12" t="s">
        <v>37</v>
      </c>
      <c r="T42" s="85">
        <v>9212</v>
      </c>
      <c r="U42" s="85">
        <v>7385</v>
      </c>
      <c r="V42" s="85">
        <v>4</v>
      </c>
      <c r="W42" s="85">
        <f>IFERROR((JUN_2023[[#This Row],[Sales Amount]]-JUN_2023[[#This Row],[Cost]])/JUN_2023[[#This Row],[CNTR AMOUNT]],JUN_2023[[#This Row],[Sales Amount]]-JUN_2023[[#This Row],[Cost]])</f>
        <v>456.75</v>
      </c>
      <c r="X42" s="927">
        <f>IFERROR((JUN_2023[[#This Row],[Sales Amount]]-JUN_2023[[#This Row],[Cost]])/JUN_2023[[#This Row],[Cost]],"-")</f>
        <v>0.24739336492890995</v>
      </c>
      <c r="Y42" s="85"/>
      <c r="Z42" s="85"/>
    </row>
    <row r="43" spans="1:26" s="7" customFormat="1" hidden="1">
      <c r="A43" s="23" t="s">
        <v>26</v>
      </c>
      <c r="B43" s="29" t="s">
        <v>191</v>
      </c>
      <c r="C43" s="23" t="s">
        <v>28</v>
      </c>
      <c r="D43" s="57">
        <v>45085</v>
      </c>
      <c r="E43" s="54">
        <v>45090</v>
      </c>
      <c r="F43" s="23" t="s">
        <v>56</v>
      </c>
      <c r="G43" s="14" t="s">
        <v>103</v>
      </c>
      <c r="H43" s="946">
        <v>45104</v>
      </c>
      <c r="I43" s="111" t="s">
        <v>115</v>
      </c>
      <c r="J43" s="14" t="s">
        <v>32</v>
      </c>
      <c r="K43" s="74" t="s">
        <v>33</v>
      </c>
      <c r="L43" s="1171">
        <v>51944156</v>
      </c>
      <c r="M43" s="128">
        <v>45092</v>
      </c>
      <c r="N43" s="35">
        <v>45091</v>
      </c>
      <c r="O43" s="57">
        <v>45104</v>
      </c>
      <c r="P43" s="56" t="s">
        <v>190</v>
      </c>
      <c r="Q43" s="12" t="s">
        <v>35</v>
      </c>
      <c r="R43" s="65" t="s">
        <v>36</v>
      </c>
      <c r="S43" s="12" t="s">
        <v>37</v>
      </c>
      <c r="T43" s="7">
        <v>9212</v>
      </c>
      <c r="U43" s="85">
        <v>7385</v>
      </c>
      <c r="V43" s="85">
        <v>4</v>
      </c>
      <c r="W43" s="85">
        <f>IFERROR((JUN_2023[[#This Row],[Sales Amount]]-JUN_2023[[#This Row],[Cost]])/JUN_2023[[#This Row],[CNTR AMOUNT]],JUN_2023[[#This Row],[Sales Amount]]-JUN_2023[[#This Row],[Cost]])</f>
        <v>456.75</v>
      </c>
      <c r="X43" s="927">
        <f>IFERROR((JUN_2023[[#This Row],[Sales Amount]]-JUN_2023[[#This Row],[Cost]])/JUN_2023[[#This Row],[Cost]],"-")</f>
        <v>0.24739336492890995</v>
      </c>
      <c r="Y43" s="85"/>
      <c r="Z43" s="85"/>
    </row>
    <row r="44" spans="1:26" s="7" customFormat="1" hidden="1">
      <c r="A44" s="12" t="s">
        <v>26</v>
      </c>
      <c r="B44" s="29" t="s">
        <v>192</v>
      </c>
      <c r="C44" s="14" t="s">
        <v>28</v>
      </c>
      <c r="D44" s="57">
        <v>45085</v>
      </c>
      <c r="E44" s="54">
        <v>45090</v>
      </c>
      <c r="F44" s="23" t="s">
        <v>56</v>
      </c>
      <c r="G44" s="14" t="s">
        <v>103</v>
      </c>
      <c r="H44" s="946">
        <v>45104</v>
      </c>
      <c r="I44" s="111" t="s">
        <v>40</v>
      </c>
      <c r="J44" s="14" t="s">
        <v>32</v>
      </c>
      <c r="K44" s="130" t="s">
        <v>33</v>
      </c>
      <c r="L44" s="1171">
        <v>52966140</v>
      </c>
      <c r="M44" s="128">
        <v>45092</v>
      </c>
      <c r="N44" s="98">
        <v>45091</v>
      </c>
      <c r="O44" s="57">
        <v>45104</v>
      </c>
      <c r="P44" s="56" t="s">
        <v>190</v>
      </c>
      <c r="Q44" s="12" t="s">
        <v>35</v>
      </c>
      <c r="R44" s="111" t="s">
        <v>36</v>
      </c>
      <c r="S44" s="23" t="s">
        <v>37</v>
      </c>
      <c r="T44" s="85">
        <v>9212</v>
      </c>
      <c r="U44" s="85">
        <v>7385</v>
      </c>
      <c r="V44" s="85">
        <v>4</v>
      </c>
      <c r="W44" s="85">
        <f>IFERROR((JUN_2023[[#This Row],[Sales Amount]]-JUN_2023[[#This Row],[Cost]])/JUN_2023[[#This Row],[CNTR AMOUNT]],JUN_2023[[#This Row],[Sales Amount]]-JUN_2023[[#This Row],[Cost]])</f>
        <v>456.75</v>
      </c>
      <c r="X44" s="927">
        <f>IFERROR((JUN_2023[[#This Row],[Sales Amount]]-JUN_2023[[#This Row],[Cost]])/JUN_2023[[#This Row],[Cost]],"-")</f>
        <v>0.24739336492890995</v>
      </c>
      <c r="Y44" s="85"/>
      <c r="Z44" s="85"/>
    </row>
    <row r="45" spans="1:26" s="43" customFormat="1" hidden="1">
      <c r="A45" s="12" t="s">
        <v>26</v>
      </c>
      <c r="B45" s="23" t="s">
        <v>193</v>
      </c>
      <c r="C45" s="14" t="s">
        <v>28</v>
      </c>
      <c r="D45" s="57">
        <v>45085</v>
      </c>
      <c r="E45" s="54">
        <v>45090</v>
      </c>
      <c r="F45" s="23" t="s">
        <v>56</v>
      </c>
      <c r="G45" s="14" t="s">
        <v>103</v>
      </c>
      <c r="H45" s="946">
        <v>45104</v>
      </c>
      <c r="I45" s="111" t="s">
        <v>40</v>
      </c>
      <c r="J45" s="14" t="s">
        <v>32</v>
      </c>
      <c r="K45" s="130" t="s">
        <v>33</v>
      </c>
      <c r="L45" s="1171">
        <v>54028188</v>
      </c>
      <c r="M45" s="128">
        <v>45092</v>
      </c>
      <c r="N45" s="98">
        <v>45091</v>
      </c>
      <c r="O45" s="57">
        <v>45104</v>
      </c>
      <c r="P45" s="56" t="s">
        <v>190</v>
      </c>
      <c r="Q45" s="12" t="s">
        <v>35</v>
      </c>
      <c r="R45" s="111" t="s">
        <v>36</v>
      </c>
      <c r="S45" s="23" t="s">
        <v>37</v>
      </c>
      <c r="T45" s="85">
        <v>9212</v>
      </c>
      <c r="U45" s="85">
        <v>7385</v>
      </c>
      <c r="V45" s="85">
        <v>4</v>
      </c>
      <c r="W45" s="85">
        <f>IFERROR((JUN_2023[[#This Row],[Sales Amount]]-JUN_2023[[#This Row],[Cost]])/JUN_2023[[#This Row],[CNTR AMOUNT]],JUN_2023[[#This Row],[Sales Amount]]-JUN_2023[[#This Row],[Cost]])</f>
        <v>456.75</v>
      </c>
      <c r="X45" s="927">
        <f>IFERROR((JUN_2023[[#This Row],[Sales Amount]]-JUN_2023[[#This Row],[Cost]])/JUN_2023[[#This Row],[Cost]],"-")</f>
        <v>0.24739336492890995</v>
      </c>
      <c r="Y45" s="85"/>
      <c r="Z45" s="85"/>
    </row>
    <row r="46" spans="1:26" s="43" customFormat="1" ht="60">
      <c r="A46" s="1064" t="s">
        <v>68</v>
      </c>
      <c r="B46" s="745" t="s">
        <v>194</v>
      </c>
      <c r="C46" s="4099" t="s">
        <v>28</v>
      </c>
      <c r="D46" s="1238">
        <v>45077</v>
      </c>
      <c r="E46" s="1239">
        <v>45091</v>
      </c>
      <c r="F46" s="4099" t="s">
        <v>45</v>
      </c>
      <c r="G46" s="1240" t="s">
        <v>70</v>
      </c>
      <c r="H46" s="946">
        <v>45092</v>
      </c>
      <c r="I46" s="4099" t="s">
        <v>115</v>
      </c>
      <c r="J46" s="745" t="s">
        <v>72</v>
      </c>
      <c r="K46" s="1064" t="s">
        <v>73</v>
      </c>
      <c r="L46" s="1171" t="s">
        <v>195</v>
      </c>
      <c r="M46" s="1238">
        <v>45093</v>
      </c>
      <c r="N46" s="1241">
        <v>45092</v>
      </c>
      <c r="O46" s="1238">
        <v>45092</v>
      </c>
      <c r="P46" s="4099" t="s">
        <v>196</v>
      </c>
      <c r="Q46" s="4090" t="s">
        <v>75</v>
      </c>
      <c r="R46" s="1064" t="s">
        <v>197</v>
      </c>
      <c r="S46" s="1064" t="s">
        <v>67</v>
      </c>
      <c r="T46" s="1064">
        <v>1011.25</v>
      </c>
      <c r="U46" s="1064">
        <v>950.05</v>
      </c>
      <c r="V46" s="1064">
        <v>4</v>
      </c>
      <c r="W46" s="1064">
        <f>IFERROR((JUN_2023[[#This Row],[Sales Amount]]-JUN_2023[[#This Row],[Cost]])/JUN_2023[[#This Row],[CNTR AMOUNT]],JUN_2023[[#This Row],[Sales Amount]]-JUN_2023[[#This Row],[Cost]])</f>
        <v>15.300000000000011</v>
      </c>
      <c r="X46" s="1242">
        <f>IFERROR((JUN_2023[[#This Row],[Sales Amount]]-JUN_2023[[#This Row],[Cost]])/JUN_2023[[#This Row],[Cost]],"-")</f>
        <v>6.4417662228303821E-2</v>
      </c>
      <c r="Y46" s="1064"/>
      <c r="Z46" s="1064"/>
    </row>
    <row r="47" spans="1:26" s="43" customFormat="1" hidden="1">
      <c r="A47" s="23" t="s">
        <v>198</v>
      </c>
      <c r="B47" s="23" t="s">
        <v>199</v>
      </c>
      <c r="C47" s="710" t="s">
        <v>200</v>
      </c>
      <c r="D47" s="1110">
        <v>45081</v>
      </c>
      <c r="E47" s="1066">
        <v>45091</v>
      </c>
      <c r="F47" s="710" t="s">
        <v>167</v>
      </c>
      <c r="G47" s="710" t="s">
        <v>201</v>
      </c>
      <c r="H47" s="946">
        <v>45098</v>
      </c>
      <c r="I47" s="1117" t="s">
        <v>202</v>
      </c>
      <c r="J47" s="58" t="s">
        <v>203</v>
      </c>
      <c r="K47" s="710" t="s">
        <v>204</v>
      </c>
      <c r="L47" s="1171" t="s">
        <v>205</v>
      </c>
      <c r="M47" s="1118">
        <v>45098</v>
      </c>
      <c r="N47" s="844">
        <v>45098</v>
      </c>
      <c r="O47" s="1110">
        <v>45098</v>
      </c>
      <c r="P47" s="727" t="s">
        <v>206</v>
      </c>
      <c r="Q47" s="18" t="s">
        <v>35</v>
      </c>
      <c r="R47" s="58" t="s">
        <v>36</v>
      </c>
      <c r="S47" s="710" t="s">
        <v>37</v>
      </c>
      <c r="T47" s="7">
        <v>615</v>
      </c>
      <c r="U47" s="85">
        <v>470</v>
      </c>
      <c r="V47" s="85"/>
      <c r="W47" s="85">
        <f>IFERROR((JUN_2023[[#This Row],[Sales Amount]]-JUN_2023[[#This Row],[Cost]])/JUN_2023[[#This Row],[CNTR AMOUNT]],JUN_2023[[#This Row],[Sales Amount]]-JUN_2023[[#This Row],[Cost]])</f>
        <v>145</v>
      </c>
      <c r="X47" s="927">
        <f>IFERROR((JUN_2023[[#This Row],[Sales Amount]]-JUN_2023[[#This Row],[Cost]])/JUN_2023[[#This Row],[Cost]],"-")</f>
        <v>0.30851063829787234</v>
      </c>
      <c r="Y47" s="85"/>
      <c r="Z47" s="85"/>
    </row>
    <row r="48" spans="1:26" hidden="1">
      <c r="A48" s="59" t="s">
        <v>171</v>
      </c>
      <c r="B48" s="1023" t="s">
        <v>207</v>
      </c>
      <c r="C48" s="59" t="s">
        <v>28</v>
      </c>
      <c r="D48" s="231">
        <v>45086</v>
      </c>
      <c r="E48" s="142">
        <v>45091</v>
      </c>
      <c r="F48" s="59" t="s">
        <v>173</v>
      </c>
      <c r="G48" s="59" t="s">
        <v>46</v>
      </c>
      <c r="H48" s="946">
        <v>45093</v>
      </c>
      <c r="I48" s="59"/>
      <c r="J48" s="69" t="s">
        <v>32</v>
      </c>
      <c r="K48" s="59" t="s">
        <v>174</v>
      </c>
      <c r="L48" s="1171" t="s">
        <v>208</v>
      </c>
      <c r="M48" s="1085">
        <v>45093</v>
      </c>
      <c r="N48" s="836">
        <v>45093</v>
      </c>
      <c r="O48" s="231">
        <v>45098</v>
      </c>
      <c r="P48" s="695" t="s">
        <v>209</v>
      </c>
      <c r="Q48" s="42" t="s">
        <v>35</v>
      </c>
      <c r="R48" s="59" t="s">
        <v>36</v>
      </c>
      <c r="S48" s="59" t="s">
        <v>37</v>
      </c>
      <c r="T48" s="850">
        <v>1020</v>
      </c>
      <c r="U48" s="850">
        <v>827</v>
      </c>
      <c r="V48" s="850"/>
      <c r="W48" s="850">
        <f>IFERROR((JUN_2023[[#This Row],[Sales Amount]]-JUN_2023[[#This Row],[Cost]])/JUN_2023[[#This Row],[CNTR AMOUNT]],JUN_2023[[#This Row],[Sales Amount]]-JUN_2023[[#This Row],[Cost]])</f>
        <v>193</v>
      </c>
      <c r="X48" s="1050">
        <f>IFERROR((JUN_2023[[#This Row],[Sales Amount]]-JUN_2023[[#This Row],[Cost]])/JUN_2023[[#This Row],[Cost]],"-")</f>
        <v>0.23337363966142685</v>
      </c>
      <c r="Y48" s="850"/>
      <c r="Z48" s="850"/>
    </row>
    <row r="49" spans="1:26" s="7" customFormat="1" ht="30" hidden="1">
      <c r="A49" s="59" t="s">
        <v>210</v>
      </c>
      <c r="B49" s="1023" t="s">
        <v>211</v>
      </c>
      <c r="C49" s="1079" t="s">
        <v>28</v>
      </c>
      <c r="D49" s="231">
        <v>45077</v>
      </c>
      <c r="E49" s="142">
        <v>45091</v>
      </c>
      <c r="F49" s="59" t="s">
        <v>151</v>
      </c>
      <c r="G49" s="59" t="s">
        <v>46</v>
      </c>
      <c r="H49" s="946">
        <v>45093</v>
      </c>
      <c r="I49" s="1080" t="s">
        <v>212</v>
      </c>
      <c r="J49" s="69" t="s">
        <v>32</v>
      </c>
      <c r="K49" s="59" t="s">
        <v>213</v>
      </c>
      <c r="L49" s="1171" t="s">
        <v>214</v>
      </c>
      <c r="M49" s="1085">
        <v>45094</v>
      </c>
      <c r="N49" s="836">
        <v>45093</v>
      </c>
      <c r="O49" s="231">
        <v>45093</v>
      </c>
      <c r="P49" s="695" t="s">
        <v>215</v>
      </c>
      <c r="Q49" s="42" t="s">
        <v>35</v>
      </c>
      <c r="R49" s="59" t="s">
        <v>36</v>
      </c>
      <c r="S49" s="59" t="s">
        <v>37</v>
      </c>
      <c r="T49" s="850">
        <v>900</v>
      </c>
      <c r="U49" s="850">
        <v>800</v>
      </c>
      <c r="V49" s="850"/>
      <c r="W49" s="850">
        <f>IFERROR((JUN_2023[[#This Row],[Sales Amount]]-JUN_2023[[#This Row],[Cost]])/JUN_2023[[#This Row],[CNTR AMOUNT]],JUN_2023[[#This Row],[Sales Amount]]-JUN_2023[[#This Row],[Cost]])</f>
        <v>100</v>
      </c>
      <c r="X49" s="1050">
        <f>IFERROR((JUN_2023[[#This Row],[Sales Amount]]-JUN_2023[[#This Row],[Cost]])/JUN_2023[[#This Row],[Cost]],"-")</f>
        <v>0.125</v>
      </c>
      <c r="Y49" s="850"/>
      <c r="Z49" s="850"/>
    </row>
    <row r="50" spans="1:26" s="43" customFormat="1" hidden="1">
      <c r="A50" s="59" t="s">
        <v>210</v>
      </c>
      <c r="B50" s="59" t="s">
        <v>216</v>
      </c>
      <c r="C50" s="59" t="s">
        <v>85</v>
      </c>
      <c r="D50" s="231">
        <v>45077</v>
      </c>
      <c r="E50" s="142">
        <v>45092</v>
      </c>
      <c r="F50" s="59" t="s">
        <v>151</v>
      </c>
      <c r="G50" s="59" t="s">
        <v>46</v>
      </c>
      <c r="H50" s="946">
        <v>45096</v>
      </c>
      <c r="I50" s="1080" t="s">
        <v>115</v>
      </c>
      <c r="J50" s="69" t="s">
        <v>32</v>
      </c>
      <c r="K50" s="59" t="s">
        <v>213</v>
      </c>
      <c r="L50" s="1171" t="s">
        <v>217</v>
      </c>
      <c r="M50" s="1085">
        <v>45093</v>
      </c>
      <c r="N50" s="836">
        <v>45093</v>
      </c>
      <c r="O50" s="231">
        <v>45096</v>
      </c>
      <c r="P50" s="695" t="s">
        <v>218</v>
      </c>
      <c r="Q50" s="42" t="s">
        <v>35</v>
      </c>
      <c r="R50" s="59" t="s">
        <v>36</v>
      </c>
      <c r="S50" s="59" t="s">
        <v>37</v>
      </c>
      <c r="T50" s="850">
        <v>1275</v>
      </c>
      <c r="U50" s="850">
        <v>1016</v>
      </c>
      <c r="V50" s="850"/>
      <c r="W50" s="850">
        <f>IFERROR((JUN_2023[[#This Row],[Sales Amount]]-JUN_2023[[#This Row],[Cost]])/JUN_2023[[#This Row],[CNTR AMOUNT]],JUN_2023[[#This Row],[Sales Amount]]-JUN_2023[[#This Row],[Cost]])</f>
        <v>259</v>
      </c>
      <c r="X50" s="1050">
        <f>IFERROR((JUN_2023[[#This Row],[Sales Amount]]-JUN_2023[[#This Row],[Cost]])/JUN_2023[[#This Row],[Cost]],"-")</f>
        <v>0.25492125984251968</v>
      </c>
      <c r="Y50" s="850"/>
      <c r="Z50" s="850"/>
    </row>
    <row r="51" spans="1:26" s="43" customFormat="1" hidden="1">
      <c r="A51" s="12" t="s">
        <v>219</v>
      </c>
      <c r="B51" s="1" t="s">
        <v>220</v>
      </c>
      <c r="C51" s="710" t="s">
        <v>85</v>
      </c>
      <c r="D51" s="1110">
        <v>45082</v>
      </c>
      <c r="E51" s="1066">
        <v>45093</v>
      </c>
      <c r="F51" s="710" t="s">
        <v>45</v>
      </c>
      <c r="G51" s="710" t="s">
        <v>46</v>
      </c>
      <c r="H51" s="946">
        <v>45097</v>
      </c>
      <c r="I51" s="18"/>
      <c r="J51" s="58" t="s">
        <v>221</v>
      </c>
      <c r="K51" s="710" t="s">
        <v>222</v>
      </c>
      <c r="L51" s="1171" t="s">
        <v>223</v>
      </c>
      <c r="M51" s="1118">
        <v>45097</v>
      </c>
      <c r="N51" s="1115">
        <v>45097</v>
      </c>
      <c r="O51" s="661">
        <v>45100</v>
      </c>
      <c r="P51" s="718" t="s">
        <v>224</v>
      </c>
      <c r="Q51" s="18" t="s">
        <v>35</v>
      </c>
      <c r="R51" s="710" t="s">
        <v>36</v>
      </c>
      <c r="S51" s="710" t="s">
        <v>37</v>
      </c>
      <c r="T51" s="84">
        <v>960</v>
      </c>
      <c r="U51" s="84">
        <v>735</v>
      </c>
      <c r="V51" s="84"/>
      <c r="W51" s="84">
        <f>IFERROR((JUN_2023[[#This Row],[Sales Amount]]-JUN_2023[[#This Row],[Cost]])/JUN_2023[[#This Row],[CNTR AMOUNT]],JUN_2023[[#This Row],[Sales Amount]]-JUN_2023[[#This Row],[Cost]])</f>
        <v>225</v>
      </c>
      <c r="X51" s="1024">
        <f>IFERROR((JUN_2023[[#This Row],[Sales Amount]]-JUN_2023[[#This Row],[Cost]])/JUN_2023[[#This Row],[Cost]],"-")</f>
        <v>0.30612244897959184</v>
      </c>
      <c r="Y51" s="84"/>
      <c r="Z51" s="84"/>
    </row>
    <row r="52" spans="1:26" s="7" customFormat="1" hidden="1">
      <c r="A52" s="962" t="s">
        <v>145</v>
      </c>
      <c r="B52" s="1132" t="s">
        <v>225</v>
      </c>
      <c r="C52" s="1104" t="s">
        <v>85</v>
      </c>
      <c r="D52" s="1100">
        <v>45078</v>
      </c>
      <c r="E52" s="1101">
        <v>45094</v>
      </c>
      <c r="F52" s="1104" t="s">
        <v>45</v>
      </c>
      <c r="G52" s="1104" t="s">
        <v>46</v>
      </c>
      <c r="H52" s="946"/>
      <c r="I52" s="967"/>
      <c r="J52" s="1132" t="s">
        <v>32</v>
      </c>
      <c r="K52" s="1104" t="s">
        <v>47</v>
      </c>
      <c r="L52" s="1171" t="s">
        <v>226</v>
      </c>
      <c r="M52" s="1100">
        <v>45096</v>
      </c>
      <c r="N52" s="961">
        <v>45096</v>
      </c>
      <c r="O52" s="1100">
        <v>45099</v>
      </c>
      <c r="P52" s="1151" t="s">
        <v>227</v>
      </c>
      <c r="Q52" s="962" t="s">
        <v>89</v>
      </c>
      <c r="R52" s="967" t="s">
        <v>51</v>
      </c>
      <c r="S52" s="967"/>
      <c r="T52" s="962"/>
      <c r="U52" s="962"/>
      <c r="V52" s="962"/>
      <c r="W52" s="962">
        <f>IFERROR((JUN_2023[[#This Row],[Sales Amount]]-JUN_2023[[#This Row],[Cost]])/JUN_2023[[#This Row],[CNTR AMOUNT]],JUN_2023[[#This Row],[Sales Amount]]-JUN_2023[[#This Row],[Cost]])</f>
        <v>0</v>
      </c>
      <c r="X52" s="1152" t="str">
        <f>IFERROR((JUN_2023[[#This Row],[Sales Amount]]-JUN_2023[[#This Row],[Cost]])/JUN_2023[[#This Row],[Cost]],"-")</f>
        <v>-</v>
      </c>
      <c r="Y52" s="962"/>
      <c r="Z52" s="962"/>
    </row>
    <row r="53" spans="1:26" s="43" customFormat="1" hidden="1">
      <c r="A53" s="962" t="s">
        <v>42</v>
      </c>
      <c r="B53" s="1132" t="s">
        <v>228</v>
      </c>
      <c r="C53" s="967" t="s">
        <v>28</v>
      </c>
      <c r="D53" s="1100">
        <v>45084</v>
      </c>
      <c r="E53" s="1101">
        <v>45094</v>
      </c>
      <c r="F53" s="967" t="s">
        <v>86</v>
      </c>
      <c r="G53" s="967" t="s">
        <v>46</v>
      </c>
      <c r="H53" s="946"/>
      <c r="I53" s="962"/>
      <c r="J53" s="800" t="s">
        <v>32</v>
      </c>
      <c r="K53" s="967" t="s">
        <v>47</v>
      </c>
      <c r="L53" s="1171" t="s">
        <v>229</v>
      </c>
      <c r="M53" s="1100">
        <v>45096</v>
      </c>
      <c r="N53" s="961">
        <v>45096</v>
      </c>
      <c r="O53" s="1128">
        <v>45098</v>
      </c>
      <c r="P53" s="724" t="s">
        <v>230</v>
      </c>
      <c r="Q53" s="962" t="s">
        <v>50</v>
      </c>
      <c r="R53" s="967" t="s">
        <v>51</v>
      </c>
      <c r="S53" s="967"/>
      <c r="T53" s="962"/>
      <c r="U53" s="962"/>
      <c r="V53" s="962"/>
      <c r="W53" s="962">
        <f>IFERROR((JUN_2023[[#This Row],[Sales Amount]]-JUN_2023[[#This Row],[Cost]])/JUN_2023[[#This Row],[CNTR AMOUNT]],JUN_2023[[#This Row],[Sales Amount]]-JUN_2023[[#This Row],[Cost]])</f>
        <v>0</v>
      </c>
      <c r="X53" s="1152" t="str">
        <f>IFERROR((JUN_2023[[#This Row],[Sales Amount]]-JUN_2023[[#This Row],[Cost]])/JUN_2023[[#This Row],[Cost]],"-")</f>
        <v>-</v>
      </c>
      <c r="Y53" s="962"/>
      <c r="Z53" s="962"/>
    </row>
    <row r="54" spans="1:26" s="800" customFormat="1" hidden="1">
      <c r="A54" s="12" t="s">
        <v>129</v>
      </c>
      <c r="B54" s="97" t="s">
        <v>231</v>
      </c>
      <c r="C54" s="1125" t="s">
        <v>28</v>
      </c>
      <c r="D54" s="1110">
        <v>45090</v>
      </c>
      <c r="E54" s="1066">
        <v>45096</v>
      </c>
      <c r="F54" s="710" t="s">
        <v>98</v>
      </c>
      <c r="G54" s="710" t="s">
        <v>46</v>
      </c>
      <c r="H54" s="946"/>
      <c r="I54" s="18"/>
      <c r="J54" s="58" t="s">
        <v>32</v>
      </c>
      <c r="K54" s="710" t="s">
        <v>47</v>
      </c>
      <c r="L54" s="1171" t="s">
        <v>232</v>
      </c>
      <c r="M54" s="1118">
        <v>45099</v>
      </c>
      <c r="N54" s="844">
        <v>45098</v>
      </c>
      <c r="O54" s="661">
        <v>45101</v>
      </c>
      <c r="P54" s="718" t="s">
        <v>233</v>
      </c>
      <c r="Q54" s="18" t="s">
        <v>35</v>
      </c>
      <c r="R54" s="710" t="s">
        <v>36</v>
      </c>
      <c r="S54" s="710" t="s">
        <v>101</v>
      </c>
      <c r="T54" s="84">
        <v>990</v>
      </c>
      <c r="U54" s="84">
        <v>822</v>
      </c>
      <c r="V54" s="84"/>
      <c r="W54" s="84">
        <f>IFERROR((JUN_2023[[#This Row],[Sales Amount]]-JUN_2023[[#This Row],[Cost]])/JUN_2023[[#This Row],[CNTR AMOUNT]],JUN_2023[[#This Row],[Sales Amount]]-JUN_2023[[#This Row],[Cost]])</f>
        <v>168</v>
      </c>
      <c r="X54" s="1024">
        <f>IFERROR((JUN_2023[[#This Row],[Sales Amount]]-JUN_2023[[#This Row],[Cost]])/JUN_2023[[#This Row],[Cost]],"-")</f>
        <v>0.20437956204379562</v>
      </c>
      <c r="Y54" s="84"/>
      <c r="Z54" s="84"/>
    </row>
    <row r="55" spans="1:26" s="800" customFormat="1" hidden="1">
      <c r="A55" s="962" t="s">
        <v>42</v>
      </c>
      <c r="B55" s="4100" t="s">
        <v>234</v>
      </c>
      <c r="C55" s="967" t="s">
        <v>28</v>
      </c>
      <c r="D55" s="1100">
        <v>45084</v>
      </c>
      <c r="E55" s="1101">
        <v>45097</v>
      </c>
      <c r="F55" s="967" t="s">
        <v>45</v>
      </c>
      <c r="G55" s="967" t="s">
        <v>46</v>
      </c>
      <c r="H55" s="946"/>
      <c r="I55" s="962"/>
      <c r="J55" s="800" t="s">
        <v>32</v>
      </c>
      <c r="K55" s="967" t="s">
        <v>47</v>
      </c>
      <c r="L55" s="1171" t="s">
        <v>235</v>
      </c>
      <c r="M55" s="1100">
        <v>45099</v>
      </c>
      <c r="N55" s="961">
        <v>45099</v>
      </c>
      <c r="O55" s="1128">
        <v>45100</v>
      </c>
      <c r="P55" s="724" t="s">
        <v>236</v>
      </c>
      <c r="Q55" s="962" t="s">
        <v>89</v>
      </c>
      <c r="R55" s="967" t="s">
        <v>51</v>
      </c>
      <c r="S55" s="967"/>
      <c r="T55" s="962"/>
      <c r="U55" s="962"/>
      <c r="V55" s="962"/>
      <c r="W55" s="962">
        <f>IFERROR((JUN_2023[[#This Row],[Sales Amount]]-JUN_2023[[#This Row],[Cost]])/JUN_2023[[#This Row],[CNTR AMOUNT]],JUN_2023[[#This Row],[Sales Amount]]-JUN_2023[[#This Row],[Cost]])</f>
        <v>0</v>
      </c>
      <c r="X55" s="1152" t="str">
        <f>IFERROR((JUN_2023[[#This Row],[Sales Amount]]-JUN_2023[[#This Row],[Cost]])/JUN_2023[[#This Row],[Cost]],"-")</f>
        <v>-</v>
      </c>
      <c r="Y55" s="962"/>
      <c r="Z55" s="962"/>
    </row>
    <row r="56" spans="1:26" s="43" customFormat="1" hidden="1">
      <c r="A56" s="59" t="s">
        <v>210</v>
      </c>
      <c r="B56" s="59" t="s">
        <v>237</v>
      </c>
      <c r="C56" s="59" t="s">
        <v>28</v>
      </c>
      <c r="D56" s="231">
        <v>45094</v>
      </c>
      <c r="E56" s="142">
        <v>45095</v>
      </c>
      <c r="F56" s="59" t="s">
        <v>167</v>
      </c>
      <c r="G56" s="69" t="s">
        <v>46</v>
      </c>
      <c r="H56" s="946">
        <v>45099</v>
      </c>
      <c r="I56" s="1080" t="s">
        <v>40</v>
      </c>
      <c r="J56" s="69" t="s">
        <v>238</v>
      </c>
      <c r="K56" s="59" t="s">
        <v>239</v>
      </c>
      <c r="L56" s="1171" t="s">
        <v>240</v>
      </c>
      <c r="M56" s="1085">
        <v>45097</v>
      </c>
      <c r="N56" s="836">
        <v>45096</v>
      </c>
      <c r="O56" s="231" t="s">
        <v>241</v>
      </c>
      <c r="P56" s="731" t="s">
        <v>242</v>
      </c>
      <c r="Q56" s="59" t="s">
        <v>35</v>
      </c>
      <c r="R56" s="1080" t="s">
        <v>36</v>
      </c>
      <c r="S56" s="59" t="s">
        <v>67</v>
      </c>
      <c r="T56" s="850">
        <v>1790</v>
      </c>
      <c r="U56" s="850">
        <v>1278.3</v>
      </c>
      <c r="V56" s="850"/>
      <c r="W56" s="850">
        <f>IFERROR((JUN_2023[[#This Row],[Sales Amount]]-JUN_2023[[#This Row],[Cost]])/JUN_2023[[#This Row],[CNTR AMOUNT]],JUN_2023[[#This Row],[Sales Amount]]-JUN_2023[[#This Row],[Cost]])</f>
        <v>511.70000000000005</v>
      </c>
      <c r="X56" s="1050">
        <f>IFERROR((JUN_2023[[#This Row],[Sales Amount]]-JUN_2023[[#This Row],[Cost]])/JUN_2023[[#This Row],[Cost]],"-")</f>
        <v>0.4002972698114684</v>
      </c>
      <c r="Y56" s="850"/>
      <c r="Z56" s="850"/>
    </row>
    <row r="57" spans="1:26" s="69" customFormat="1" ht="120">
      <c r="A57" s="4099" t="s">
        <v>243</v>
      </c>
      <c r="B57" s="4099" t="s">
        <v>244</v>
      </c>
      <c r="C57" s="745" t="s">
        <v>200</v>
      </c>
      <c r="D57" s="1238">
        <v>45083</v>
      </c>
      <c r="E57" s="1239">
        <v>45096</v>
      </c>
      <c r="F57" s="1064" t="s">
        <v>245</v>
      </c>
      <c r="G57" s="745" t="s">
        <v>246</v>
      </c>
      <c r="H57" s="946">
        <v>45098</v>
      </c>
      <c r="I57" s="1064" t="s">
        <v>178</v>
      </c>
      <c r="J57" s="745" t="s">
        <v>247</v>
      </c>
      <c r="K57" s="745" t="s">
        <v>248</v>
      </c>
      <c r="L57" s="1171">
        <v>9671107</v>
      </c>
      <c r="M57" s="1238">
        <v>45098</v>
      </c>
      <c r="N57" s="1241">
        <v>45098</v>
      </c>
      <c r="O57" s="1238">
        <v>45099</v>
      </c>
      <c r="P57" s="1243" t="s">
        <v>249</v>
      </c>
      <c r="Q57" s="1219" t="s">
        <v>75</v>
      </c>
      <c r="R57" s="1064" t="s">
        <v>250</v>
      </c>
      <c r="S57" s="1064">
        <v>4</v>
      </c>
      <c r="T57" s="1064">
        <v>800</v>
      </c>
      <c r="U57" s="1064">
        <v>401.3</v>
      </c>
      <c r="V57" s="1064">
        <v>1</v>
      </c>
      <c r="W57" s="1064">
        <f>IFERROR((JUN_2023[[#This Row],[Sales Amount]]-JUN_2023[[#This Row],[Cost]])/JUN_2023[[#This Row],[CNTR AMOUNT]],JUN_2023[[#This Row],[Sales Amount]]-JUN_2023[[#This Row],[Cost]])</f>
        <v>398.7</v>
      </c>
      <c r="X57" s="1242">
        <f>IFERROR((JUN_2023[[#This Row],[Sales Amount]]-JUN_2023[[#This Row],[Cost]])/JUN_2023[[#This Row],[Cost]],"-")</f>
        <v>0.99352105656615997</v>
      </c>
      <c r="Y57" s="1064"/>
      <c r="Z57" s="1064"/>
    </row>
    <row r="58" spans="1:26" s="43" customFormat="1" hidden="1">
      <c r="A58" s="23" t="s">
        <v>96</v>
      </c>
      <c r="B58" s="23" t="s">
        <v>251</v>
      </c>
      <c r="C58" s="108" t="s">
        <v>28</v>
      </c>
      <c r="D58" s="57">
        <v>45090</v>
      </c>
      <c r="E58" s="54">
        <v>45097</v>
      </c>
      <c r="F58" s="23" t="s">
        <v>98</v>
      </c>
      <c r="G58" s="14" t="s">
        <v>46</v>
      </c>
      <c r="H58" s="946"/>
      <c r="I58" s="23"/>
      <c r="J58" s="14" t="s">
        <v>32</v>
      </c>
      <c r="K58" s="23" t="s">
        <v>47</v>
      </c>
      <c r="L58" s="1171" t="s">
        <v>252</v>
      </c>
      <c r="M58" s="128">
        <v>45100</v>
      </c>
      <c r="N58" s="98">
        <v>45098</v>
      </c>
      <c r="O58" s="98">
        <v>45100</v>
      </c>
      <c r="P58" s="56" t="s">
        <v>253</v>
      </c>
      <c r="Q58" s="23" t="s">
        <v>35</v>
      </c>
      <c r="R58" s="23" t="s">
        <v>36</v>
      </c>
      <c r="S58" s="23" t="s">
        <v>101</v>
      </c>
      <c r="T58" s="85">
        <v>955</v>
      </c>
      <c r="U58" s="85">
        <v>822</v>
      </c>
      <c r="V58" s="85"/>
      <c r="W58" s="85">
        <f>IFERROR((JUN_2023[[#This Row],[Sales Amount]]-JUN_2023[[#This Row],[Cost]])/JUN_2023[[#This Row],[CNTR AMOUNT]],JUN_2023[[#This Row],[Sales Amount]]-JUN_2023[[#This Row],[Cost]])</f>
        <v>133</v>
      </c>
      <c r="X58" s="927">
        <f>IFERROR((JUN_2023[[#This Row],[Sales Amount]]-JUN_2023[[#This Row],[Cost]])/JUN_2023[[#This Row],[Cost]],"-")</f>
        <v>0.16180048661800486</v>
      </c>
      <c r="Y58" s="85"/>
      <c r="Z58" s="85"/>
    </row>
    <row r="59" spans="1:26" s="826" customFormat="1" hidden="1">
      <c r="A59" s="23" t="s">
        <v>254</v>
      </c>
      <c r="B59" s="29" t="s">
        <v>255</v>
      </c>
      <c r="C59" s="710" t="s">
        <v>85</v>
      </c>
      <c r="D59" s="1110">
        <v>45089</v>
      </c>
      <c r="E59" s="1066">
        <v>45096</v>
      </c>
      <c r="F59" s="710" t="s">
        <v>56</v>
      </c>
      <c r="G59" s="58" t="s">
        <v>57</v>
      </c>
      <c r="H59" s="946">
        <v>45107</v>
      </c>
      <c r="I59" s="1117" t="s">
        <v>115</v>
      </c>
      <c r="J59" s="58" t="s">
        <v>256</v>
      </c>
      <c r="K59" s="710" t="s">
        <v>257</v>
      </c>
      <c r="L59" s="1171">
        <v>336909</v>
      </c>
      <c r="M59" s="1118">
        <v>45103</v>
      </c>
      <c r="N59" s="1115">
        <v>45106</v>
      </c>
      <c r="O59" s="1141">
        <v>45107</v>
      </c>
      <c r="P59" s="727" t="s">
        <v>258</v>
      </c>
      <c r="Q59" s="710" t="s">
        <v>35</v>
      </c>
      <c r="R59" s="710" t="s">
        <v>36</v>
      </c>
      <c r="S59" s="710" t="s">
        <v>37</v>
      </c>
      <c r="T59" s="85">
        <v>1205</v>
      </c>
      <c r="U59" s="85">
        <v>853.54</v>
      </c>
      <c r="V59" s="85"/>
      <c r="W59" s="85">
        <f>IFERROR((JUN_2023[[#This Row],[Sales Amount]]-JUN_2023[[#This Row],[Cost]])/JUN_2023[[#This Row],[CNTR AMOUNT]],JUN_2023[[#This Row],[Sales Amount]]-JUN_2023[[#This Row],[Cost]])</f>
        <v>351.46000000000004</v>
      </c>
      <c r="X59" s="927">
        <f>IFERROR((JUN_2023[[#This Row],[Sales Amount]]-JUN_2023[[#This Row],[Cost]])/JUN_2023[[#This Row],[Cost]],"-")</f>
        <v>0.41176746256765945</v>
      </c>
      <c r="Y59" s="85"/>
      <c r="Z59" s="85"/>
    </row>
    <row r="60" spans="1:26" s="147" customFormat="1" hidden="1">
      <c r="A60" s="710" t="s">
        <v>61</v>
      </c>
      <c r="B60" s="710" t="s">
        <v>259</v>
      </c>
      <c r="C60" s="710" t="s">
        <v>28</v>
      </c>
      <c r="D60" s="1110">
        <v>45089</v>
      </c>
      <c r="E60" s="1066">
        <v>45133</v>
      </c>
      <c r="F60" s="710" t="s">
        <v>260</v>
      </c>
      <c r="G60" s="58" t="s">
        <v>103</v>
      </c>
      <c r="H60" s="946">
        <v>45133</v>
      </c>
      <c r="I60" s="1117" t="s">
        <v>261</v>
      </c>
      <c r="J60" s="58" t="s">
        <v>32</v>
      </c>
      <c r="K60" s="58" t="s">
        <v>65</v>
      </c>
      <c r="L60" s="1171">
        <v>12715740</v>
      </c>
      <c r="M60" s="1118">
        <v>45134</v>
      </c>
      <c r="N60" s="844">
        <v>45133</v>
      </c>
      <c r="O60" s="1110">
        <v>45134</v>
      </c>
      <c r="P60" s="4101" t="s">
        <v>262</v>
      </c>
      <c r="Q60" s="710" t="s">
        <v>35</v>
      </c>
      <c r="R60" s="1117" t="s">
        <v>36</v>
      </c>
      <c r="S60" s="710" t="s">
        <v>67</v>
      </c>
      <c r="T60" s="85">
        <v>1990</v>
      </c>
      <c r="U60" s="85">
        <v>1556</v>
      </c>
      <c r="V60" s="85"/>
      <c r="W60" s="85">
        <f>IFERROR((JUN_2023[[#This Row],[Sales Amount]]-JUN_2023[[#This Row],[Cost]])/JUN_2023[[#This Row],[CNTR AMOUNT]],JUN_2023[[#This Row],[Sales Amount]]-JUN_2023[[#This Row],[Cost]])</f>
        <v>434</v>
      </c>
      <c r="X60" s="927">
        <f>IFERROR((JUN_2023[[#This Row],[Sales Amount]]-JUN_2023[[#This Row],[Cost]])/JUN_2023[[#This Row],[Cost]],"-")</f>
        <v>0.27892030848329047</v>
      </c>
      <c r="Y60" s="85"/>
      <c r="Z60" s="85"/>
    </row>
    <row r="61" spans="1:26" s="147" customFormat="1" ht="45" hidden="1">
      <c r="A61" s="1076" t="s">
        <v>263</v>
      </c>
      <c r="B61" s="4102" t="s">
        <v>264</v>
      </c>
      <c r="C61" s="1076" t="s">
        <v>44</v>
      </c>
      <c r="D61" s="1078">
        <v>45096</v>
      </c>
      <c r="E61" s="983">
        <v>45096</v>
      </c>
      <c r="F61" s="1076" t="s">
        <v>135</v>
      </c>
      <c r="G61" s="483" t="s">
        <v>265</v>
      </c>
      <c r="H61" s="946">
        <v>45104</v>
      </c>
      <c r="I61" s="1321">
        <v>0.41666666666666669</v>
      </c>
      <c r="J61" s="4093" t="s">
        <v>266</v>
      </c>
      <c r="K61" s="4102" t="s">
        <v>267</v>
      </c>
      <c r="L61" s="1171"/>
      <c r="M61" s="1078">
        <v>45105</v>
      </c>
      <c r="N61" s="980">
        <v>45103</v>
      </c>
      <c r="O61" s="1078">
        <v>45105</v>
      </c>
      <c r="P61" s="4096" t="s">
        <v>268</v>
      </c>
      <c r="Q61" s="1076" t="s">
        <v>128</v>
      </c>
      <c r="R61" s="37" t="s">
        <v>36</v>
      </c>
      <c r="S61" s="1076"/>
      <c r="T61" s="1076">
        <v>3015.31</v>
      </c>
      <c r="U61" s="1076">
        <f>240+160.31+892.5+1205+80</f>
        <v>2577.81</v>
      </c>
      <c r="V61" s="1076">
        <v>2</v>
      </c>
      <c r="W61" s="1076">
        <f>IFERROR((JUN_2023[[#This Row],[Sales Amount]]-JUN_2023[[#This Row],[Cost]])/JUN_2023[[#This Row],[CNTR AMOUNT]],JUN_2023[[#This Row],[Sales Amount]]-JUN_2023[[#This Row],[Cost]])</f>
        <v>218.75</v>
      </c>
      <c r="X61" s="1093">
        <f>IFERROR((JUN_2023[[#This Row],[Sales Amount]]-JUN_2023[[#This Row],[Cost]])/JUN_2023[[#This Row],[Cost]],"-")</f>
        <v>0.16971770611488046</v>
      </c>
      <c r="Y61" s="1076"/>
      <c r="Z61" s="1076"/>
    </row>
    <row r="62" spans="1:26" s="1086" customFormat="1" ht="45" hidden="1">
      <c r="A62" s="1076" t="s">
        <v>263</v>
      </c>
      <c r="B62" s="4102" t="s">
        <v>269</v>
      </c>
      <c r="C62" s="1076" t="s">
        <v>44</v>
      </c>
      <c r="D62" s="1078">
        <v>45096</v>
      </c>
      <c r="E62" s="983">
        <v>45096</v>
      </c>
      <c r="F62" s="1076" t="s">
        <v>135</v>
      </c>
      <c r="G62" s="483" t="s">
        <v>265</v>
      </c>
      <c r="H62" s="946">
        <v>45105</v>
      </c>
      <c r="I62" s="1076" t="s">
        <v>270</v>
      </c>
      <c r="J62" s="4093" t="s">
        <v>266</v>
      </c>
      <c r="K62" s="4102" t="s">
        <v>267</v>
      </c>
      <c r="L62" s="1171"/>
      <c r="M62" s="1078">
        <v>45105</v>
      </c>
      <c r="N62" s="980">
        <v>45105</v>
      </c>
      <c r="O62" s="1078">
        <v>45107</v>
      </c>
      <c r="P62" s="4096" t="s">
        <v>271</v>
      </c>
      <c r="Q62" s="682" t="s">
        <v>128</v>
      </c>
      <c r="R62" s="1076" t="s">
        <v>36</v>
      </c>
      <c r="S62" s="1076"/>
      <c r="T62" s="1076">
        <v>3015.31</v>
      </c>
      <c r="U62" s="1076">
        <f>240+160.31+892.5+1205+80</f>
        <v>2577.81</v>
      </c>
      <c r="V62" s="1076">
        <v>2</v>
      </c>
      <c r="W62" s="1076">
        <f>IFERROR((JUN_2023[[#This Row],[Sales Amount]]-JUN_2023[[#This Row],[Cost]])/JUN_2023[[#This Row],[CNTR AMOUNT]],JUN_2023[[#This Row],[Sales Amount]]-JUN_2023[[#This Row],[Cost]])</f>
        <v>218.75</v>
      </c>
      <c r="X62" s="1093">
        <f>IFERROR((JUN_2023[[#This Row],[Sales Amount]]-JUN_2023[[#This Row],[Cost]])/JUN_2023[[#This Row],[Cost]],"-")</f>
        <v>0.16971770611488046</v>
      </c>
      <c r="Y62" s="1076"/>
      <c r="Z62" s="1076"/>
    </row>
    <row r="63" spans="1:26" s="106" customFormat="1" hidden="1">
      <c r="A63" s="59" t="s">
        <v>171</v>
      </c>
      <c r="B63" s="59" t="s">
        <v>272</v>
      </c>
      <c r="C63" s="59" t="s">
        <v>28</v>
      </c>
      <c r="D63" s="231">
        <v>45084</v>
      </c>
      <c r="E63" s="142">
        <v>45097</v>
      </c>
      <c r="F63" s="59" t="s">
        <v>273</v>
      </c>
      <c r="G63" s="69" t="s">
        <v>46</v>
      </c>
      <c r="H63" s="946">
        <v>45099</v>
      </c>
      <c r="I63" s="59"/>
      <c r="J63" s="69" t="s">
        <v>32</v>
      </c>
      <c r="K63" s="69" t="s">
        <v>174</v>
      </c>
      <c r="L63" s="1171" t="s">
        <v>274</v>
      </c>
      <c r="M63" s="1085">
        <v>45100</v>
      </c>
      <c r="N63" s="836">
        <v>45099</v>
      </c>
      <c r="O63" s="231">
        <v>45099</v>
      </c>
      <c r="P63" s="1087" t="s">
        <v>275</v>
      </c>
      <c r="Q63" s="42" t="s">
        <v>35</v>
      </c>
      <c r="R63" s="59" t="s">
        <v>36</v>
      </c>
      <c r="S63" s="59" t="s">
        <v>37</v>
      </c>
      <c r="T63" s="850">
        <v>680</v>
      </c>
      <c r="U63" s="850">
        <v>556</v>
      </c>
      <c r="V63" s="850"/>
      <c r="W63" s="850">
        <f>IFERROR((JUN_2023[[#This Row],[Sales Amount]]-JUN_2023[[#This Row],[Cost]])/JUN_2023[[#This Row],[CNTR AMOUNT]],JUN_2023[[#This Row],[Sales Amount]]-JUN_2023[[#This Row],[Cost]])</f>
        <v>124</v>
      </c>
      <c r="X63" s="1050">
        <f>IFERROR((JUN_2023[[#This Row],[Sales Amount]]-JUN_2023[[#This Row],[Cost]])/JUN_2023[[#This Row],[Cost]],"-")</f>
        <v>0.22302158273381295</v>
      </c>
      <c r="Y63" s="850"/>
      <c r="Z63" s="850"/>
    </row>
    <row r="64" spans="1:26" s="147" customFormat="1">
      <c r="A64" s="63" t="s">
        <v>129</v>
      </c>
      <c r="B64" s="63" t="s">
        <v>276</v>
      </c>
      <c r="C64" s="63" t="s">
        <v>28</v>
      </c>
      <c r="D64" s="1232">
        <v>45096</v>
      </c>
      <c r="E64" s="1233">
        <v>45101</v>
      </c>
      <c r="F64" s="63" t="s">
        <v>98</v>
      </c>
      <c r="G64" s="63" t="s">
        <v>46</v>
      </c>
      <c r="H64" s="946"/>
      <c r="I64" s="1231"/>
      <c r="J64" s="63" t="s">
        <v>32</v>
      </c>
      <c r="K64" s="52" t="s">
        <v>47</v>
      </c>
      <c r="L64" s="1171" t="s">
        <v>277</v>
      </c>
      <c r="M64" s="1234">
        <v>45105</v>
      </c>
      <c r="N64" s="1207">
        <v>45104</v>
      </c>
      <c r="O64" s="1208">
        <v>45106</v>
      </c>
      <c r="P64" s="52" t="s">
        <v>278</v>
      </c>
      <c r="Q64" s="52" t="s">
        <v>75</v>
      </c>
      <c r="R64" s="705" t="s">
        <v>279</v>
      </c>
      <c r="S64" s="705" t="s">
        <v>101</v>
      </c>
      <c r="T64" s="705"/>
      <c r="U64" s="705">
        <v>784</v>
      </c>
      <c r="V64" s="705"/>
      <c r="W64" s="705">
        <f>IFERROR((JUN_2023[[#This Row],[Sales Amount]]-JUN_2023[[#This Row],[Cost]])/JUN_2023[[#This Row],[CNTR AMOUNT]],JUN_2023[[#This Row],[Sales Amount]]-JUN_2023[[#This Row],[Cost]])</f>
        <v>-784</v>
      </c>
      <c r="X64" s="1235">
        <f>IFERROR((JUN_2023[[#This Row],[Sales Amount]]-JUN_2023[[#This Row],[Cost]])/JUN_2023[[#This Row],[Cost]],"-")</f>
        <v>-1</v>
      </c>
      <c r="Y64" s="705"/>
      <c r="Z64" s="705"/>
    </row>
    <row r="65" spans="1:26" s="147" customFormat="1" hidden="1">
      <c r="A65" s="23" t="s">
        <v>26</v>
      </c>
      <c r="B65" s="29" t="s">
        <v>280</v>
      </c>
      <c r="C65" s="23" t="s">
        <v>200</v>
      </c>
      <c r="D65" s="57">
        <v>45080</v>
      </c>
      <c r="E65" s="54">
        <v>45098</v>
      </c>
      <c r="F65" s="23" t="s">
        <v>167</v>
      </c>
      <c r="G65" s="14" t="s">
        <v>57</v>
      </c>
      <c r="H65" s="946">
        <v>45100</v>
      </c>
      <c r="I65" s="23"/>
      <c r="J65" s="14" t="s">
        <v>247</v>
      </c>
      <c r="K65" s="23" t="s">
        <v>281</v>
      </c>
      <c r="L65" s="1171">
        <v>9687313</v>
      </c>
      <c r="M65" s="128">
        <v>45101</v>
      </c>
      <c r="N65" s="98">
        <v>45100</v>
      </c>
      <c r="O65" s="57">
        <v>45103</v>
      </c>
      <c r="P65" s="56" t="s">
        <v>282</v>
      </c>
      <c r="Q65" s="23" t="s">
        <v>35</v>
      </c>
      <c r="R65" s="23" t="s">
        <v>36</v>
      </c>
      <c r="S65" s="23" t="s">
        <v>37</v>
      </c>
      <c r="T65" s="85">
        <v>960</v>
      </c>
      <c r="U65" s="85">
        <v>659.45</v>
      </c>
      <c r="V65" s="85"/>
      <c r="W65" s="85">
        <f>IFERROR((JUN_2023[[#This Row],[Sales Amount]]-JUN_2023[[#This Row],[Cost]])/JUN_2023[[#This Row],[CNTR AMOUNT]],JUN_2023[[#This Row],[Sales Amount]]-JUN_2023[[#This Row],[Cost]])</f>
        <v>300.54999999999995</v>
      </c>
      <c r="X65" s="927">
        <f>IFERROR((JUN_2023[[#This Row],[Sales Amount]]-JUN_2023[[#This Row],[Cost]])/JUN_2023[[#This Row],[Cost]],"-")</f>
        <v>0.45575858670103864</v>
      </c>
      <c r="Y65" s="85"/>
      <c r="Z65" s="85"/>
    </row>
    <row r="66" spans="1:26" s="723" customFormat="1" hidden="1">
      <c r="A66" s="59" t="s">
        <v>283</v>
      </c>
      <c r="B66" s="59" t="s">
        <v>284</v>
      </c>
      <c r="C66" s="59" t="s">
        <v>28</v>
      </c>
      <c r="D66" s="231">
        <v>45088</v>
      </c>
      <c r="E66" s="142">
        <v>45098</v>
      </c>
      <c r="F66" s="59" t="s">
        <v>285</v>
      </c>
      <c r="G66" s="69" t="s">
        <v>46</v>
      </c>
      <c r="H66" s="946">
        <v>45100</v>
      </c>
      <c r="I66" s="1080" t="s">
        <v>108</v>
      </c>
      <c r="J66" s="69" t="s">
        <v>32</v>
      </c>
      <c r="K66" s="59" t="s">
        <v>286</v>
      </c>
      <c r="L66" s="1171" t="s">
        <v>287</v>
      </c>
      <c r="M66" s="1085">
        <v>45100</v>
      </c>
      <c r="N66" s="836">
        <v>45100</v>
      </c>
      <c r="O66" s="231">
        <v>45100</v>
      </c>
      <c r="P66" s="695" t="s">
        <v>288</v>
      </c>
      <c r="Q66" s="59" t="s">
        <v>35</v>
      </c>
      <c r="R66" s="1080" t="s">
        <v>36</v>
      </c>
      <c r="S66" s="59" t="s">
        <v>37</v>
      </c>
      <c r="T66" s="850">
        <v>680</v>
      </c>
      <c r="U66" s="850">
        <v>556</v>
      </c>
      <c r="V66" s="850"/>
      <c r="W66" s="850">
        <f>IFERROR((JUN_2023[[#This Row],[Sales Amount]]-JUN_2023[[#This Row],[Cost]])/JUN_2023[[#This Row],[CNTR AMOUNT]],JUN_2023[[#This Row],[Sales Amount]]-JUN_2023[[#This Row],[Cost]])</f>
        <v>124</v>
      </c>
      <c r="X66" s="1050">
        <f>IFERROR((JUN_2023[[#This Row],[Sales Amount]]-JUN_2023[[#This Row],[Cost]])/JUN_2023[[#This Row],[Cost]],"-")</f>
        <v>0.22302158273381295</v>
      </c>
      <c r="Y66" s="850"/>
      <c r="Z66" s="850"/>
    </row>
    <row r="67" spans="1:26" s="826" customFormat="1" hidden="1">
      <c r="A67" s="23" t="s">
        <v>254</v>
      </c>
      <c r="B67" s="1" t="s">
        <v>289</v>
      </c>
      <c r="C67" s="58" t="s">
        <v>85</v>
      </c>
      <c r="D67" s="1110">
        <v>45078</v>
      </c>
      <c r="E67" s="1066">
        <v>45098</v>
      </c>
      <c r="F67" s="58" t="s">
        <v>56</v>
      </c>
      <c r="G67" s="58" t="s">
        <v>46</v>
      </c>
      <c r="H67" s="946">
        <v>45106</v>
      </c>
      <c r="I67" s="1117" t="s">
        <v>290</v>
      </c>
      <c r="J67" s="58" t="s">
        <v>291</v>
      </c>
      <c r="K67" s="58" t="s">
        <v>257</v>
      </c>
      <c r="L67" s="1171" t="s">
        <v>292</v>
      </c>
      <c r="M67" s="1118">
        <v>45099</v>
      </c>
      <c r="N67" s="1118">
        <v>45099</v>
      </c>
      <c r="O67" s="1118">
        <v>45107</v>
      </c>
      <c r="P67" s="709" t="s">
        <v>293</v>
      </c>
      <c r="Q67" s="58" t="s">
        <v>35</v>
      </c>
      <c r="R67" s="1117" t="s">
        <v>36</v>
      </c>
      <c r="S67" s="710" t="s">
        <v>37</v>
      </c>
      <c r="T67" s="85">
        <v>2565</v>
      </c>
      <c r="U67" s="84">
        <v>2356.6</v>
      </c>
      <c r="V67" s="85"/>
      <c r="W67" s="85">
        <f>IFERROR((JUN_2023[[#This Row],[Sales Amount]]-JUN_2023[[#This Row],[Cost]])/JUN_2023[[#This Row],[CNTR AMOUNT]],JUN_2023[[#This Row],[Sales Amount]]-JUN_2023[[#This Row],[Cost]])</f>
        <v>208.40000000000009</v>
      </c>
      <c r="X67" s="927">
        <f>IFERROR((JUN_2023[[#This Row],[Sales Amount]]-JUN_2023[[#This Row],[Cost]])/JUN_2023[[#This Row],[Cost]],"-")</f>
        <v>8.8432487481965583E-2</v>
      </c>
      <c r="Y67" s="85"/>
      <c r="Z67" s="85"/>
    </row>
    <row r="68" spans="1:26" s="147" customFormat="1" hidden="1">
      <c r="A68" s="23" t="s">
        <v>53</v>
      </c>
      <c r="B68" s="14" t="s">
        <v>294</v>
      </c>
      <c r="C68" s="23" t="s">
        <v>55</v>
      </c>
      <c r="D68" s="57">
        <v>45069</v>
      </c>
      <c r="E68" s="54">
        <v>45099</v>
      </c>
      <c r="F68" s="23" t="s">
        <v>56</v>
      </c>
      <c r="G68" s="14" t="s">
        <v>57</v>
      </c>
      <c r="H68" s="946">
        <v>45103</v>
      </c>
      <c r="I68" s="111" t="s">
        <v>115</v>
      </c>
      <c r="J68" s="14" t="s">
        <v>32</v>
      </c>
      <c r="K68" s="23" t="s">
        <v>59</v>
      </c>
      <c r="L68" s="1171">
        <v>8766438</v>
      </c>
      <c r="M68" s="128">
        <v>45101</v>
      </c>
      <c r="N68" s="57">
        <v>45100</v>
      </c>
      <c r="O68" s="57">
        <v>45103</v>
      </c>
      <c r="P68" s="51" t="s">
        <v>295</v>
      </c>
      <c r="Q68" s="12" t="s">
        <v>35</v>
      </c>
      <c r="R68" s="23" t="s">
        <v>36</v>
      </c>
      <c r="S68" s="23" t="s">
        <v>37</v>
      </c>
      <c r="T68" s="85">
        <v>1450</v>
      </c>
      <c r="U68" s="85">
        <v>1011</v>
      </c>
      <c r="V68" s="85"/>
      <c r="W68" s="85">
        <f>IFERROR((JUN_2023[[#This Row],[Sales Amount]]-JUN_2023[[#This Row],[Cost]])/JUN_2023[[#This Row],[CNTR AMOUNT]],JUN_2023[[#This Row],[Sales Amount]]-JUN_2023[[#This Row],[Cost]])</f>
        <v>439</v>
      </c>
      <c r="X68" s="927">
        <f>IFERROR((JUN_2023[[#This Row],[Sales Amount]]-JUN_2023[[#This Row],[Cost]])/JUN_2023[[#This Row],[Cost]],"-")</f>
        <v>0.43422354104846689</v>
      </c>
      <c r="Y68" s="85"/>
      <c r="Z68" s="85"/>
    </row>
    <row r="69" spans="1:26" s="147" customFormat="1" hidden="1">
      <c r="A69" s="23" t="s">
        <v>53</v>
      </c>
      <c r="B69" s="23" t="s">
        <v>296</v>
      </c>
      <c r="C69" s="23" t="s">
        <v>85</v>
      </c>
      <c r="D69" s="57">
        <v>45086</v>
      </c>
      <c r="E69" s="54">
        <v>45099</v>
      </c>
      <c r="F69" s="23" t="s">
        <v>151</v>
      </c>
      <c r="G69" s="14" t="s">
        <v>30</v>
      </c>
      <c r="H69" s="946">
        <v>45103</v>
      </c>
      <c r="I69" s="23"/>
      <c r="J69" s="14" t="s">
        <v>297</v>
      </c>
      <c r="K69" s="23" t="s">
        <v>298</v>
      </c>
      <c r="L69" s="1171">
        <v>493614</v>
      </c>
      <c r="M69" s="128">
        <v>45101</v>
      </c>
      <c r="N69" s="98">
        <v>45101</v>
      </c>
      <c r="O69" s="57">
        <v>45103</v>
      </c>
      <c r="P69" s="51" t="s">
        <v>299</v>
      </c>
      <c r="Q69" s="12" t="s">
        <v>35</v>
      </c>
      <c r="R69" s="23" t="s">
        <v>36</v>
      </c>
      <c r="S69" s="23" t="s">
        <v>37</v>
      </c>
      <c r="T69" s="85">
        <v>3770</v>
      </c>
      <c r="U69" s="85">
        <v>3424.4</v>
      </c>
      <c r="V69" s="85"/>
      <c r="W69" s="85">
        <f>IFERROR((JUN_2023[[#This Row],[Sales Amount]]-JUN_2023[[#This Row],[Cost]])/JUN_2023[[#This Row],[CNTR AMOUNT]],JUN_2023[[#This Row],[Sales Amount]]-JUN_2023[[#This Row],[Cost]])</f>
        <v>345.59999999999991</v>
      </c>
      <c r="X69" s="927">
        <f>IFERROR((JUN_2023[[#This Row],[Sales Amount]]-JUN_2023[[#This Row],[Cost]])/JUN_2023[[#This Row],[Cost]],"-")</f>
        <v>0.10092278939376238</v>
      </c>
      <c r="Y69" s="85"/>
      <c r="Z69" s="85"/>
    </row>
    <row r="70" spans="1:26" s="147" customFormat="1" ht="60" hidden="1">
      <c r="A70" s="42" t="s">
        <v>32</v>
      </c>
      <c r="B70" s="950" t="s">
        <v>300</v>
      </c>
      <c r="C70" s="1023" t="s">
        <v>301</v>
      </c>
      <c r="D70" s="231">
        <v>45093</v>
      </c>
      <c r="E70" s="231">
        <v>45099</v>
      </c>
      <c r="F70" s="1023" t="s">
        <v>151</v>
      </c>
      <c r="G70" s="950" t="s">
        <v>302</v>
      </c>
      <c r="H70" s="946"/>
      <c r="I70" s="59"/>
      <c r="J70" s="950" t="s">
        <v>32</v>
      </c>
      <c r="K70" s="1023" t="s">
        <v>32</v>
      </c>
      <c r="L70" s="1171"/>
      <c r="M70" s="231"/>
      <c r="N70" s="1165" t="s">
        <v>303</v>
      </c>
      <c r="O70" s="231"/>
      <c r="P70" s="854" t="s">
        <v>304</v>
      </c>
      <c r="Q70" s="42" t="s">
        <v>89</v>
      </c>
      <c r="R70" s="59" t="s">
        <v>51</v>
      </c>
      <c r="S70" s="59"/>
      <c r="T70" s="59"/>
      <c r="U70" s="59"/>
      <c r="V70" s="59"/>
      <c r="W70" s="59">
        <f>IFERROR((JUN_2023[[#This Row],[Sales Amount]]-JUN_2023[[#This Row],[Cost]])/JUN_2023[[#This Row],[CNTR AMOUNT]],JUN_2023[[#This Row],[Sales Amount]]-JUN_2023[[#This Row],[Cost]])</f>
        <v>0</v>
      </c>
      <c r="X70" s="1081" t="str">
        <f>IFERROR((JUN_2023[[#This Row],[Sales Amount]]-JUN_2023[[#This Row],[Cost]])/JUN_2023[[#This Row],[Cost]],"-")</f>
        <v>-</v>
      </c>
      <c r="Y70" s="59"/>
      <c r="Z70" s="59"/>
    </row>
    <row r="71" spans="1:26" s="806" customFormat="1" hidden="1">
      <c r="A71" s="59" t="s">
        <v>283</v>
      </c>
      <c r="B71" s="69" t="s">
        <v>305</v>
      </c>
      <c r="C71" s="69" t="s">
        <v>28</v>
      </c>
      <c r="D71" s="231">
        <v>45088</v>
      </c>
      <c r="E71" s="142">
        <v>45099</v>
      </c>
      <c r="F71" s="59" t="s">
        <v>285</v>
      </c>
      <c r="G71" s="69" t="s">
        <v>46</v>
      </c>
      <c r="H71" s="946">
        <v>45100</v>
      </c>
      <c r="I71" s="1080" t="s">
        <v>108</v>
      </c>
      <c r="J71" s="69" t="s">
        <v>32</v>
      </c>
      <c r="K71" s="69" t="s">
        <v>286</v>
      </c>
      <c r="L71" s="1171" t="s">
        <v>306</v>
      </c>
      <c r="M71" s="1085">
        <v>45100</v>
      </c>
      <c r="N71" s="836">
        <v>45100</v>
      </c>
      <c r="O71" s="231">
        <v>45100</v>
      </c>
      <c r="P71" s="731" t="s">
        <v>307</v>
      </c>
      <c r="Q71" s="42" t="s">
        <v>35</v>
      </c>
      <c r="R71" s="230" t="s">
        <v>36</v>
      </c>
      <c r="S71" s="59" t="s">
        <v>37</v>
      </c>
      <c r="T71" s="850">
        <v>680</v>
      </c>
      <c r="U71" s="850">
        <v>556</v>
      </c>
      <c r="V71" s="850"/>
      <c r="W71" s="850">
        <f>IFERROR((JUN_2023[[#This Row],[Sales Amount]]-JUN_2023[[#This Row],[Cost]])/JUN_2023[[#This Row],[CNTR AMOUNT]],JUN_2023[[#This Row],[Sales Amount]]-JUN_2023[[#This Row],[Cost]])</f>
        <v>124</v>
      </c>
      <c r="X71" s="1050">
        <f>IFERROR((JUN_2023[[#This Row],[Sales Amount]]-JUN_2023[[#This Row],[Cost]])/JUN_2023[[#This Row],[Cost]],"-")</f>
        <v>0.22302158273381295</v>
      </c>
      <c r="Y71" s="850"/>
      <c r="Z71" s="850"/>
    </row>
    <row r="72" spans="1:26" s="106" customFormat="1" hidden="1">
      <c r="A72" s="967" t="s">
        <v>308</v>
      </c>
      <c r="B72" s="1132" t="s">
        <v>309</v>
      </c>
      <c r="C72" s="967" t="s">
        <v>28</v>
      </c>
      <c r="D72" s="1100">
        <v>45087</v>
      </c>
      <c r="E72" s="1101">
        <v>45103</v>
      </c>
      <c r="F72" s="967" t="s">
        <v>56</v>
      </c>
      <c r="G72" s="1148" t="s">
        <v>46</v>
      </c>
      <c r="H72" s="946"/>
      <c r="I72" s="967"/>
      <c r="J72" s="800" t="s">
        <v>32</v>
      </c>
      <c r="K72" s="800" t="s">
        <v>310</v>
      </c>
      <c r="L72" s="1171" t="s">
        <v>311</v>
      </c>
      <c r="M72" s="1100">
        <v>45105</v>
      </c>
      <c r="N72" s="961">
        <v>45104</v>
      </c>
      <c r="O72" s="1100">
        <v>45108</v>
      </c>
      <c r="P72" s="949" t="s">
        <v>312</v>
      </c>
      <c r="Q72" s="967" t="s">
        <v>89</v>
      </c>
      <c r="R72" s="1197" t="s">
        <v>36</v>
      </c>
      <c r="S72" s="967"/>
      <c r="T72" s="967"/>
      <c r="U72" s="967"/>
      <c r="V72" s="967"/>
      <c r="W72" s="967">
        <f>IFERROR((JUN_2023[[#This Row],[Sales Amount]]-JUN_2023[[#This Row],[Cost]])/JUN_2023[[#This Row],[CNTR AMOUNT]],JUN_2023[[#This Row],[Sales Amount]]-JUN_2023[[#This Row],[Cost]])</f>
        <v>0</v>
      </c>
      <c r="X72" s="1150" t="str">
        <f>IFERROR((JUN_2023[[#This Row],[Sales Amount]]-JUN_2023[[#This Row],[Cost]])/JUN_2023[[#This Row],[Cost]],"-")</f>
        <v>-</v>
      </c>
      <c r="Y72" s="967"/>
      <c r="Z72" s="967"/>
    </row>
    <row r="73" spans="1:26" s="806" customFormat="1" hidden="1">
      <c r="A73" s="1124" t="s">
        <v>313</v>
      </c>
      <c r="B73" s="1272" t="s">
        <v>314</v>
      </c>
      <c r="C73" s="1124" t="s">
        <v>44</v>
      </c>
      <c r="D73" s="1169" t="s">
        <v>315</v>
      </c>
      <c r="E73" s="1169">
        <v>45099</v>
      </c>
      <c r="F73" s="1124" t="s">
        <v>245</v>
      </c>
      <c r="G73" s="1284" t="s">
        <v>57</v>
      </c>
      <c r="H73" s="946" t="s">
        <v>316</v>
      </c>
      <c r="I73" s="1124" t="s">
        <v>315</v>
      </c>
      <c r="J73" s="1203" t="s">
        <v>168</v>
      </c>
      <c r="K73" s="1272" t="s">
        <v>317</v>
      </c>
      <c r="L73" s="1171">
        <v>569336</v>
      </c>
      <c r="M73" s="1169">
        <v>45102</v>
      </c>
      <c r="N73" s="1204">
        <v>45101</v>
      </c>
      <c r="O73" s="1327">
        <v>45106</v>
      </c>
      <c r="P73" s="1328" t="s">
        <v>318</v>
      </c>
      <c r="Q73" s="967" t="s">
        <v>170</v>
      </c>
      <c r="R73" s="967" t="s">
        <v>36</v>
      </c>
      <c r="S73" s="850"/>
      <c r="T73" s="850">
        <v>870</v>
      </c>
      <c r="U73" s="850">
        <v>708</v>
      </c>
      <c r="V73" s="850"/>
      <c r="W73" s="850">
        <f>IFERROR((JUN_2023[[#This Row],[Sales Amount]]-JUN_2023[[#This Row],[Cost]])/JUN_2023[[#This Row],[CNTR AMOUNT]],JUN_2023[[#This Row],[Sales Amount]]-JUN_2023[[#This Row],[Cost]])</f>
        <v>162</v>
      </c>
      <c r="X73" s="1050">
        <f>IFERROR((JUN_2023[[#This Row],[Sales Amount]]-JUN_2023[[#This Row],[Cost]])/JUN_2023[[#This Row],[Cost]],"-")</f>
        <v>0.2288135593220339</v>
      </c>
      <c r="Y73" s="850"/>
      <c r="Z73" s="850"/>
    </row>
    <row r="74" spans="1:26" s="147" customFormat="1" ht="105">
      <c r="A74" s="4099" t="s">
        <v>319</v>
      </c>
      <c r="B74" s="4103" t="s">
        <v>320</v>
      </c>
      <c r="C74" s="1064" t="s">
        <v>44</v>
      </c>
      <c r="D74" s="1238">
        <v>45096</v>
      </c>
      <c r="E74" s="1239">
        <v>45100</v>
      </c>
      <c r="F74" s="1064" t="s">
        <v>45</v>
      </c>
      <c r="G74" s="4103" t="s">
        <v>321</v>
      </c>
      <c r="H74" s="929">
        <v>45105</v>
      </c>
      <c r="I74" s="1238"/>
      <c r="J74" s="1245" t="s">
        <v>322</v>
      </c>
      <c r="K74" s="3" t="s">
        <v>323</v>
      </c>
      <c r="L74" s="1300">
        <v>7542</v>
      </c>
      <c r="M74" s="1238">
        <v>45101</v>
      </c>
      <c r="N74" s="1241">
        <v>45104</v>
      </c>
      <c r="O74" s="1238">
        <v>45105</v>
      </c>
      <c r="P74" s="4829" t="s">
        <v>324</v>
      </c>
      <c r="Q74" s="1064" t="s">
        <v>75</v>
      </c>
      <c r="R74" s="1064" t="s">
        <v>36</v>
      </c>
      <c r="S74" s="3" t="s">
        <v>36</v>
      </c>
      <c r="T74" s="1064">
        <v>775</v>
      </c>
      <c r="U74" s="1064">
        <v>580</v>
      </c>
      <c r="V74" s="1064">
        <v>1</v>
      </c>
      <c r="W74" s="1064">
        <f>IFERROR((JUN_2023[[#This Row],[Sales Amount]]-JUN_2023[[#This Row],[Cost]])/JUN_2023[[#This Row],[CNTR AMOUNT]],JUN_2023[[#This Row],[Sales Amount]]-JUN_2023[[#This Row],[Cost]])</f>
        <v>195</v>
      </c>
      <c r="X74" s="1242">
        <f>IFERROR((JUN_2023[[#This Row],[Sales Amount]]-JUN_2023[[#This Row],[Cost]])/JUN_2023[[#This Row],[Cost]],"-")</f>
        <v>0.33620689655172414</v>
      </c>
      <c r="Y74" s="1064"/>
      <c r="Z74" s="1064"/>
    </row>
    <row r="75" spans="1:26" s="147" customFormat="1" hidden="1">
      <c r="A75" s="59" t="s">
        <v>171</v>
      </c>
      <c r="B75" s="69" t="s">
        <v>325</v>
      </c>
      <c r="C75" s="59" t="s">
        <v>28</v>
      </c>
      <c r="D75" s="231">
        <v>45093</v>
      </c>
      <c r="E75" s="142">
        <v>45100</v>
      </c>
      <c r="F75" s="59" t="s">
        <v>326</v>
      </c>
      <c r="G75" s="1089" t="s">
        <v>46</v>
      </c>
      <c r="H75" s="946">
        <v>45100</v>
      </c>
      <c r="I75" s="59"/>
      <c r="J75" s="69" t="s">
        <v>32</v>
      </c>
      <c r="K75" s="1089" t="s">
        <v>174</v>
      </c>
      <c r="L75" s="1171" t="s">
        <v>327</v>
      </c>
      <c r="M75" s="1085">
        <v>45102</v>
      </c>
      <c r="N75" s="231">
        <v>45100</v>
      </c>
      <c r="O75" s="231">
        <v>45100</v>
      </c>
      <c r="P75" s="4830" t="s">
        <v>328</v>
      </c>
      <c r="Q75" s="59" t="s">
        <v>35</v>
      </c>
      <c r="R75" s="59" t="s">
        <v>36</v>
      </c>
      <c r="S75" s="59" t="s">
        <v>37</v>
      </c>
      <c r="T75" s="850">
        <v>990</v>
      </c>
      <c r="U75" s="850">
        <v>801</v>
      </c>
      <c r="V75" s="850"/>
      <c r="W75" s="850">
        <f>IFERROR((JUN_2023[[#This Row],[Sales Amount]]-JUN_2023[[#This Row],[Cost]])/JUN_2023[[#This Row],[CNTR AMOUNT]],JUN_2023[[#This Row],[Sales Amount]]-JUN_2023[[#This Row],[Cost]])</f>
        <v>189</v>
      </c>
      <c r="X75" s="1050">
        <f>IFERROR((JUN_2023[[#This Row],[Sales Amount]]-JUN_2023[[#This Row],[Cost]])/JUN_2023[[#This Row],[Cost]],"-")</f>
        <v>0.23595505617977527</v>
      </c>
      <c r="Y75" s="850"/>
      <c r="Z75" s="850"/>
    </row>
    <row r="76" spans="1:26" s="709" customFormat="1" hidden="1">
      <c r="A76" s="12" t="s">
        <v>329</v>
      </c>
      <c r="B76" s="9" t="s">
        <v>330</v>
      </c>
      <c r="C76" s="23" t="s">
        <v>85</v>
      </c>
      <c r="D76" s="57">
        <v>45064</v>
      </c>
      <c r="E76" s="54">
        <v>45100</v>
      </c>
      <c r="F76" s="23" t="s">
        <v>29</v>
      </c>
      <c r="G76" s="23" t="s">
        <v>57</v>
      </c>
      <c r="H76" s="946">
        <v>45103</v>
      </c>
      <c r="I76" s="23"/>
      <c r="J76" s="14" t="s">
        <v>32</v>
      </c>
      <c r="K76" s="23" t="s">
        <v>331</v>
      </c>
      <c r="L76" s="1171">
        <v>9992667</v>
      </c>
      <c r="M76" s="139">
        <v>45102</v>
      </c>
      <c r="N76" s="141">
        <v>45100</v>
      </c>
      <c r="O76" s="57">
        <v>45103</v>
      </c>
      <c r="P76" s="1311" t="s">
        <v>332</v>
      </c>
      <c r="Q76" s="12" t="s">
        <v>35</v>
      </c>
      <c r="R76" s="23" t="s">
        <v>36</v>
      </c>
      <c r="S76" s="23" t="s">
        <v>37</v>
      </c>
      <c r="T76" s="85">
        <v>2980</v>
      </c>
      <c r="U76" s="85">
        <v>2372</v>
      </c>
      <c r="V76" s="85">
        <v>2</v>
      </c>
      <c r="W76" s="85">
        <f>IFERROR((JUN_2023[[#This Row],[Sales Amount]]-JUN_2023[[#This Row],[Cost]])/JUN_2023[[#This Row],[CNTR AMOUNT]],JUN_2023[[#This Row],[Sales Amount]]-JUN_2023[[#This Row],[Cost]])</f>
        <v>304</v>
      </c>
      <c r="X76" s="927">
        <f>IFERROR((JUN_2023[[#This Row],[Sales Amount]]-JUN_2023[[#This Row],[Cost]])/JUN_2023[[#This Row],[Cost]],"-")</f>
        <v>0.25632377740303541</v>
      </c>
      <c r="Y76" s="85"/>
      <c r="Z76" s="85"/>
    </row>
    <row r="77" spans="1:26" s="147" customFormat="1" hidden="1">
      <c r="A77" s="12" t="s">
        <v>329</v>
      </c>
      <c r="B77" s="29" t="s">
        <v>333</v>
      </c>
      <c r="C77" s="23" t="s">
        <v>85</v>
      </c>
      <c r="D77" s="57">
        <v>45086</v>
      </c>
      <c r="E77" s="54">
        <v>45100</v>
      </c>
      <c r="F77" s="23" t="s">
        <v>29</v>
      </c>
      <c r="G77" s="23" t="s">
        <v>57</v>
      </c>
      <c r="H77" s="946">
        <v>45103</v>
      </c>
      <c r="I77" s="23"/>
      <c r="J77" s="14" t="s">
        <v>32</v>
      </c>
      <c r="K77" s="23" t="s">
        <v>334</v>
      </c>
      <c r="L77" s="1171">
        <v>9992666</v>
      </c>
      <c r="M77" s="139">
        <v>45102</v>
      </c>
      <c r="N77" s="141">
        <v>45100</v>
      </c>
      <c r="O77" s="57">
        <v>45105</v>
      </c>
      <c r="P77" s="1311" t="s">
        <v>335</v>
      </c>
      <c r="Q77" s="12" t="s">
        <v>35</v>
      </c>
      <c r="R77" s="23" t="s">
        <v>36</v>
      </c>
      <c r="S77" s="23" t="s">
        <v>37</v>
      </c>
      <c r="T77" s="85">
        <v>2980</v>
      </c>
      <c r="U77" s="85">
        <v>2372</v>
      </c>
      <c r="V77" s="85">
        <v>2</v>
      </c>
      <c r="W77" s="85">
        <f>IFERROR((JUN_2023[[#This Row],[Sales Amount]]-JUN_2023[[#This Row],[Cost]])/JUN_2023[[#This Row],[CNTR AMOUNT]],JUN_2023[[#This Row],[Sales Amount]]-JUN_2023[[#This Row],[Cost]])</f>
        <v>304</v>
      </c>
      <c r="X77" s="927">
        <f>IFERROR((JUN_2023[[#This Row],[Sales Amount]]-JUN_2023[[#This Row],[Cost]])/JUN_2023[[#This Row],[Cost]],"-")</f>
        <v>0.25632377740303541</v>
      </c>
      <c r="Y77" s="85"/>
      <c r="Z77" s="85"/>
    </row>
    <row r="78" spans="1:26" s="826" customFormat="1" hidden="1">
      <c r="A78" s="42" t="s">
        <v>149</v>
      </c>
      <c r="B78" s="42" t="s">
        <v>336</v>
      </c>
      <c r="C78" s="59" t="s">
        <v>85</v>
      </c>
      <c r="D78" s="231">
        <v>45080</v>
      </c>
      <c r="E78" s="142">
        <v>45100</v>
      </c>
      <c r="F78" s="59" t="s">
        <v>151</v>
      </c>
      <c r="G78" s="59" t="s">
        <v>152</v>
      </c>
      <c r="H78" s="946">
        <v>45103</v>
      </c>
      <c r="I78" s="1080" t="s">
        <v>153</v>
      </c>
      <c r="J78" s="69" t="s">
        <v>154</v>
      </c>
      <c r="K78" s="59" t="s">
        <v>155</v>
      </c>
      <c r="L78" s="1171">
        <v>1054</v>
      </c>
      <c r="M78" s="948">
        <v>45101</v>
      </c>
      <c r="N78" s="945">
        <v>45100</v>
      </c>
      <c r="O78" s="231">
        <v>45103</v>
      </c>
      <c r="P78" s="695" t="s">
        <v>337</v>
      </c>
      <c r="Q78" s="42" t="s">
        <v>35</v>
      </c>
      <c r="R78" s="59" t="s">
        <v>36</v>
      </c>
      <c r="S78" s="59" t="s">
        <v>67</v>
      </c>
      <c r="T78" s="850">
        <v>1230</v>
      </c>
      <c r="U78" s="850">
        <v>884.8</v>
      </c>
      <c r="V78" s="850"/>
      <c r="W78" s="850">
        <f>IFERROR((JUN_2023[[#This Row],[Sales Amount]]-JUN_2023[[#This Row],[Cost]])/JUN_2023[[#This Row],[CNTR AMOUNT]],JUN_2023[[#This Row],[Sales Amount]]-JUN_2023[[#This Row],[Cost]])</f>
        <v>345.20000000000005</v>
      </c>
      <c r="X78" s="1050">
        <f>IFERROR((JUN_2023[[#This Row],[Sales Amount]]-JUN_2023[[#This Row],[Cost]])/JUN_2023[[#This Row],[Cost]],"-")</f>
        <v>0.39014466546112125</v>
      </c>
      <c r="Y78" s="850"/>
      <c r="Z78" s="850"/>
    </row>
    <row r="79" spans="1:26" s="147" customFormat="1" hidden="1">
      <c r="A79" s="42" t="s">
        <v>171</v>
      </c>
      <c r="B79" s="59" t="s">
        <v>338</v>
      </c>
      <c r="C79" s="59" t="s">
        <v>28</v>
      </c>
      <c r="D79" s="231">
        <v>45084</v>
      </c>
      <c r="E79" s="142">
        <v>45101</v>
      </c>
      <c r="F79" s="59" t="s">
        <v>273</v>
      </c>
      <c r="G79" s="59" t="s">
        <v>46</v>
      </c>
      <c r="H79" s="946">
        <v>45103</v>
      </c>
      <c r="I79" s="59"/>
      <c r="J79" s="69" t="s">
        <v>32</v>
      </c>
      <c r="K79" s="59" t="s">
        <v>174</v>
      </c>
      <c r="L79" s="1171" t="s">
        <v>339</v>
      </c>
      <c r="M79" s="4831">
        <v>45104</v>
      </c>
      <c r="N79" s="836">
        <v>45103</v>
      </c>
      <c r="O79" s="836">
        <v>45105</v>
      </c>
      <c r="P79" s="731" t="s">
        <v>340</v>
      </c>
      <c r="Q79" s="42" t="s">
        <v>35</v>
      </c>
      <c r="R79" s="59" t="s">
        <v>36</v>
      </c>
      <c r="S79" s="59" t="s">
        <v>37</v>
      </c>
      <c r="T79" s="850">
        <v>845</v>
      </c>
      <c r="U79" s="850">
        <v>694</v>
      </c>
      <c r="V79" s="850"/>
      <c r="W79" s="850">
        <f>IFERROR((JUN_2023[[#This Row],[Sales Amount]]-JUN_2023[[#This Row],[Cost]])/JUN_2023[[#This Row],[CNTR AMOUNT]],JUN_2023[[#This Row],[Sales Amount]]-JUN_2023[[#This Row],[Cost]])</f>
        <v>151</v>
      </c>
      <c r="X79" s="1050">
        <f>IFERROR((JUN_2023[[#This Row],[Sales Amount]]-JUN_2023[[#This Row],[Cost]])/JUN_2023[[#This Row],[Cost]],"-")</f>
        <v>0.21757925072046108</v>
      </c>
      <c r="Y79" s="850"/>
      <c r="Z79" s="850"/>
    </row>
    <row r="80" spans="1:26" s="147" customFormat="1" hidden="1">
      <c r="A80" s="42" t="s">
        <v>171</v>
      </c>
      <c r="B80" s="59" t="s">
        <v>341</v>
      </c>
      <c r="C80" s="59" t="s">
        <v>28</v>
      </c>
      <c r="D80" s="231">
        <v>45084</v>
      </c>
      <c r="E80" s="142">
        <v>45101</v>
      </c>
      <c r="F80" s="59" t="s">
        <v>273</v>
      </c>
      <c r="G80" s="59" t="s">
        <v>46</v>
      </c>
      <c r="H80" s="946">
        <v>45103</v>
      </c>
      <c r="I80" s="59"/>
      <c r="J80" s="69" t="s">
        <v>32</v>
      </c>
      <c r="K80" s="59" t="s">
        <v>174</v>
      </c>
      <c r="L80" s="1171">
        <v>869568</v>
      </c>
      <c r="M80" s="1303">
        <v>45104</v>
      </c>
      <c r="N80" s="836">
        <v>45103</v>
      </c>
      <c r="O80" s="231">
        <v>45103</v>
      </c>
      <c r="P80" s="731" t="s">
        <v>342</v>
      </c>
      <c r="Q80" s="42" t="s">
        <v>35</v>
      </c>
      <c r="R80" s="59" t="s">
        <v>36</v>
      </c>
      <c r="S80" s="59" t="s">
        <v>37</v>
      </c>
      <c r="T80" s="850">
        <v>680</v>
      </c>
      <c r="U80" s="850">
        <v>556</v>
      </c>
      <c r="V80" s="850"/>
      <c r="W80" s="850">
        <f>IFERROR((JUN_2023[[#This Row],[Sales Amount]]-JUN_2023[[#This Row],[Cost]])/JUN_2023[[#This Row],[CNTR AMOUNT]],JUN_2023[[#This Row],[Sales Amount]]-JUN_2023[[#This Row],[Cost]])</f>
        <v>124</v>
      </c>
      <c r="X80" s="1050">
        <f>IFERROR((JUN_2023[[#This Row],[Sales Amount]]-JUN_2023[[#This Row],[Cost]])/JUN_2023[[#This Row],[Cost]],"-")</f>
        <v>0.22302158273381295</v>
      </c>
      <c r="Y80" s="850"/>
      <c r="Z80" s="850"/>
    </row>
    <row r="81" spans="1:26" s="106" customFormat="1" hidden="1">
      <c r="A81" s="42" t="s">
        <v>171</v>
      </c>
      <c r="B81" s="59" t="s">
        <v>343</v>
      </c>
      <c r="C81" s="59" t="s">
        <v>28</v>
      </c>
      <c r="D81" s="231">
        <v>45084</v>
      </c>
      <c r="E81" s="142">
        <v>45101</v>
      </c>
      <c r="F81" s="59" t="s">
        <v>273</v>
      </c>
      <c r="G81" s="59" t="s">
        <v>46</v>
      </c>
      <c r="H81" s="946">
        <v>45103</v>
      </c>
      <c r="I81" s="59"/>
      <c r="J81" s="69" t="s">
        <v>32</v>
      </c>
      <c r="K81" s="59" t="s">
        <v>174</v>
      </c>
      <c r="L81" s="1171" t="s">
        <v>344</v>
      </c>
      <c r="M81" s="4832">
        <v>45103</v>
      </c>
      <c r="N81" s="836">
        <v>45103</v>
      </c>
      <c r="O81" s="836">
        <v>45103</v>
      </c>
      <c r="P81" s="854" t="s">
        <v>345</v>
      </c>
      <c r="Q81" s="42" t="s">
        <v>35</v>
      </c>
      <c r="R81" s="59" t="s">
        <v>36</v>
      </c>
      <c r="S81" s="59" t="s">
        <v>37</v>
      </c>
      <c r="T81" s="850">
        <v>940</v>
      </c>
      <c r="U81" s="850">
        <v>751</v>
      </c>
      <c r="V81" s="850"/>
      <c r="W81" s="850">
        <f>IFERROR((JUN_2023[[#This Row],[Sales Amount]]-JUN_2023[[#This Row],[Cost]])/JUN_2023[[#This Row],[CNTR AMOUNT]],JUN_2023[[#This Row],[Sales Amount]]-JUN_2023[[#This Row],[Cost]])</f>
        <v>189</v>
      </c>
      <c r="X81" s="1050">
        <f>IFERROR((JUN_2023[[#This Row],[Sales Amount]]-JUN_2023[[#This Row],[Cost]])/JUN_2023[[#This Row],[Cost]],"-")</f>
        <v>0.25166444740346205</v>
      </c>
      <c r="Y81" s="850"/>
      <c r="Z81" s="850"/>
    </row>
    <row r="82" spans="1:26" s="106" customFormat="1" hidden="1">
      <c r="A82" s="42" t="s">
        <v>171</v>
      </c>
      <c r="B82" s="59" t="s">
        <v>346</v>
      </c>
      <c r="C82" s="59" t="s">
        <v>28</v>
      </c>
      <c r="D82" s="231">
        <v>45084</v>
      </c>
      <c r="E82" s="142">
        <v>45101</v>
      </c>
      <c r="F82" s="59" t="s">
        <v>273</v>
      </c>
      <c r="G82" s="59" t="s">
        <v>46</v>
      </c>
      <c r="H82" s="946">
        <v>45104</v>
      </c>
      <c r="I82" s="59"/>
      <c r="J82" s="69" t="s">
        <v>32</v>
      </c>
      <c r="K82" s="59" t="s">
        <v>174</v>
      </c>
      <c r="L82" s="1171" t="s">
        <v>347</v>
      </c>
      <c r="M82" s="1088">
        <v>45104</v>
      </c>
      <c r="N82" s="836">
        <v>45104</v>
      </c>
      <c r="O82" s="836">
        <v>45104</v>
      </c>
      <c r="P82" s="731" t="s">
        <v>348</v>
      </c>
      <c r="Q82" s="42" t="s">
        <v>35</v>
      </c>
      <c r="R82" s="59" t="s">
        <v>36</v>
      </c>
      <c r="S82" s="59" t="s">
        <v>37</v>
      </c>
      <c r="T82" s="850">
        <v>805</v>
      </c>
      <c r="U82" s="850">
        <v>656</v>
      </c>
      <c r="V82" s="850"/>
      <c r="W82" s="850">
        <f>IFERROR((JUN_2023[[#This Row],[Sales Amount]]-JUN_2023[[#This Row],[Cost]])/JUN_2023[[#This Row],[CNTR AMOUNT]],JUN_2023[[#This Row],[Sales Amount]]-JUN_2023[[#This Row],[Cost]])</f>
        <v>149</v>
      </c>
      <c r="X82" s="1050">
        <f>IFERROR((JUN_2023[[#This Row],[Sales Amount]]-JUN_2023[[#This Row],[Cost]])/JUN_2023[[#This Row],[Cost]],"-")</f>
        <v>0.22713414634146342</v>
      </c>
      <c r="Y82" s="850"/>
      <c r="Z82" s="850"/>
    </row>
    <row r="83" spans="1:26" s="106" customFormat="1" hidden="1">
      <c r="A83" s="42" t="s">
        <v>171</v>
      </c>
      <c r="B83" s="59" t="s">
        <v>349</v>
      </c>
      <c r="C83" s="76" t="s">
        <v>28</v>
      </c>
      <c r="D83" s="231">
        <v>45093</v>
      </c>
      <c r="E83" s="138">
        <v>45101</v>
      </c>
      <c r="F83" s="59" t="s">
        <v>173</v>
      </c>
      <c r="G83" s="59" t="s">
        <v>46</v>
      </c>
      <c r="H83" s="946">
        <v>45105</v>
      </c>
      <c r="I83" s="59"/>
      <c r="J83" s="69" t="s">
        <v>32</v>
      </c>
      <c r="K83" s="59" t="s">
        <v>174</v>
      </c>
      <c r="L83" s="1171" t="s">
        <v>350</v>
      </c>
      <c r="M83" s="1085">
        <v>45106</v>
      </c>
      <c r="N83" s="836">
        <v>45105</v>
      </c>
      <c r="O83" s="231">
        <v>45105</v>
      </c>
      <c r="P83" s="695" t="s">
        <v>351</v>
      </c>
      <c r="Q83" s="42" t="s">
        <v>35</v>
      </c>
      <c r="R83" s="59" t="s">
        <v>36</v>
      </c>
      <c r="S83" s="59" t="s">
        <v>37</v>
      </c>
      <c r="T83" s="850">
        <v>940</v>
      </c>
      <c r="U83" s="850">
        <v>751</v>
      </c>
      <c r="V83" s="850"/>
      <c r="W83" s="850">
        <f>IFERROR((JUN_2023[[#This Row],[Sales Amount]]-JUN_2023[[#This Row],[Cost]])/JUN_2023[[#This Row],[CNTR AMOUNT]],JUN_2023[[#This Row],[Sales Amount]]-JUN_2023[[#This Row],[Cost]])</f>
        <v>189</v>
      </c>
      <c r="X83" s="1050">
        <f>IFERROR((JUN_2023[[#This Row],[Sales Amount]]-JUN_2023[[#This Row],[Cost]])/JUN_2023[[#This Row],[Cost]],"-")</f>
        <v>0.25166444740346205</v>
      </c>
      <c r="Y83" s="850"/>
      <c r="Z83" s="850"/>
    </row>
    <row r="84" spans="1:26" s="106" customFormat="1" hidden="1">
      <c r="A84" s="12" t="s">
        <v>254</v>
      </c>
      <c r="B84" s="23" t="s">
        <v>352</v>
      </c>
      <c r="C84" s="23" t="s">
        <v>85</v>
      </c>
      <c r="D84" s="57">
        <v>45088</v>
      </c>
      <c r="E84" s="1066">
        <v>45101</v>
      </c>
      <c r="F84" s="710" t="s">
        <v>135</v>
      </c>
      <c r="G84" s="710" t="s">
        <v>46</v>
      </c>
      <c r="H84" s="946">
        <v>45106</v>
      </c>
      <c r="I84" s="1117" t="s">
        <v>104</v>
      </c>
      <c r="J84" s="58" t="s">
        <v>297</v>
      </c>
      <c r="K84" s="710" t="s">
        <v>353</v>
      </c>
      <c r="L84" s="1171" t="s">
        <v>354</v>
      </c>
      <c r="M84" s="1118">
        <v>45103</v>
      </c>
      <c r="N84" s="844">
        <v>45103</v>
      </c>
      <c r="O84" s="1141">
        <v>45107</v>
      </c>
      <c r="P84" s="1312" t="s">
        <v>355</v>
      </c>
      <c r="Q84" s="18" t="s">
        <v>35</v>
      </c>
      <c r="R84" s="710" t="s">
        <v>36</v>
      </c>
      <c r="S84" s="710" t="s">
        <v>37</v>
      </c>
      <c r="T84" s="85">
        <v>1197.5</v>
      </c>
      <c r="U84" s="85">
        <v>1029.1500000000001</v>
      </c>
      <c r="V84" s="85"/>
      <c r="W84" s="85">
        <f>IFERROR((JUN_2023[[#This Row],[Sales Amount]]-JUN_2023[[#This Row],[Cost]])/JUN_2023[[#This Row],[CNTR AMOUNT]],JUN_2023[[#This Row],[Sales Amount]]-JUN_2023[[#This Row],[Cost]])</f>
        <v>168.34999999999991</v>
      </c>
      <c r="X84" s="927">
        <f>IFERROR((JUN_2023[[#This Row],[Sales Amount]]-JUN_2023[[#This Row],[Cost]])/JUN_2023[[#This Row],[Cost]],"-")</f>
        <v>0.16358159646310053</v>
      </c>
      <c r="Y84" s="85"/>
      <c r="Z84" s="85"/>
    </row>
    <row r="85" spans="1:26" s="147" customFormat="1" hidden="1">
      <c r="A85" s="1129" t="s">
        <v>313</v>
      </c>
      <c r="B85" s="1124" t="s">
        <v>356</v>
      </c>
      <c r="C85" s="1124" t="s">
        <v>44</v>
      </c>
      <c r="D85" s="1169" t="s">
        <v>315</v>
      </c>
      <c r="E85" s="1169">
        <v>45101</v>
      </c>
      <c r="F85" s="1124" t="s">
        <v>245</v>
      </c>
      <c r="G85" s="1126" t="s">
        <v>57</v>
      </c>
      <c r="H85" s="946" t="s">
        <v>357</v>
      </c>
      <c r="I85" s="1124" t="s">
        <v>315</v>
      </c>
      <c r="J85" s="1203" t="s">
        <v>168</v>
      </c>
      <c r="K85" s="1124" t="s">
        <v>317</v>
      </c>
      <c r="L85" s="1171">
        <v>569332</v>
      </c>
      <c r="M85" s="1169">
        <v>45107</v>
      </c>
      <c r="N85" s="1204">
        <v>45106</v>
      </c>
      <c r="O85" s="1169" t="s">
        <v>315</v>
      </c>
      <c r="P85" s="1205" t="s">
        <v>358</v>
      </c>
      <c r="Q85" s="962" t="s">
        <v>170</v>
      </c>
      <c r="R85" s="967" t="s">
        <v>36</v>
      </c>
      <c r="S85" s="850"/>
      <c r="T85" s="850">
        <v>1010</v>
      </c>
      <c r="U85" s="850">
        <v>806</v>
      </c>
      <c r="V85" s="850"/>
      <c r="W85" s="850">
        <f>IFERROR((JUN_2023[[#This Row],[Sales Amount]]-JUN_2023[[#This Row],[Cost]])/JUN_2023[[#This Row],[CNTR AMOUNT]],JUN_2023[[#This Row],[Sales Amount]]-JUN_2023[[#This Row],[Cost]])</f>
        <v>204</v>
      </c>
      <c r="X85" s="1050">
        <f>IFERROR((JUN_2023[[#This Row],[Sales Amount]]-JUN_2023[[#This Row],[Cost]])/JUN_2023[[#This Row],[Cost]],"-")</f>
        <v>0.25310173697270472</v>
      </c>
      <c r="Y85" s="850"/>
      <c r="Z85" s="850"/>
    </row>
    <row r="86" spans="1:26" s="147" customFormat="1" hidden="1">
      <c r="A86" s="42" t="s">
        <v>359</v>
      </c>
      <c r="B86" s="109" t="s">
        <v>360</v>
      </c>
      <c r="C86" s="1079" t="s">
        <v>200</v>
      </c>
      <c r="D86" s="1134" t="s">
        <v>315</v>
      </c>
      <c r="E86" s="1280">
        <v>45101</v>
      </c>
      <c r="F86" s="1079" t="s">
        <v>45</v>
      </c>
      <c r="G86" s="1318" t="s">
        <v>361</v>
      </c>
      <c r="H86" s="946">
        <v>45104</v>
      </c>
      <c r="I86" s="1079" t="s">
        <v>362</v>
      </c>
      <c r="J86" s="1135" t="s">
        <v>363</v>
      </c>
      <c r="K86" s="1079" t="s">
        <v>364</v>
      </c>
      <c r="L86" s="1171" t="s">
        <v>365</v>
      </c>
      <c r="M86" s="1304">
        <v>45104</v>
      </c>
      <c r="N86" s="1137" t="s">
        <v>315</v>
      </c>
      <c r="O86" s="1309" t="s">
        <v>315</v>
      </c>
      <c r="P86" s="695" t="s">
        <v>366</v>
      </c>
      <c r="Q86" s="42" t="s">
        <v>170</v>
      </c>
      <c r="R86" s="59" t="s">
        <v>51</v>
      </c>
      <c r="S86" s="850"/>
      <c r="T86" s="850">
        <v>1545</v>
      </c>
      <c r="U86" s="850">
        <v>1182.5</v>
      </c>
      <c r="V86" s="850"/>
      <c r="W86" s="850">
        <f>IFERROR((JUN_2023[[#This Row],[Sales Amount]]-JUN_2023[[#This Row],[Cost]])/JUN_2023[[#This Row],[CNTR AMOUNT]],JUN_2023[[#This Row],[Sales Amount]]-JUN_2023[[#This Row],[Cost]])</f>
        <v>362.5</v>
      </c>
      <c r="X86" s="1050">
        <f>IFERROR((JUN_2023[[#This Row],[Sales Amount]]-JUN_2023[[#This Row],[Cost]])/JUN_2023[[#This Row],[Cost]],"-")</f>
        <v>0.30655391120507397</v>
      </c>
      <c r="Y86" s="850"/>
      <c r="Z86" s="850"/>
    </row>
    <row r="87" spans="1:26" s="106" customFormat="1" hidden="1">
      <c r="A87" s="23" t="s">
        <v>367</v>
      </c>
      <c r="B87" s="29" t="s">
        <v>368</v>
      </c>
      <c r="C87" s="14" t="s">
        <v>28</v>
      </c>
      <c r="D87" s="57">
        <v>45090</v>
      </c>
      <c r="E87" s="54">
        <v>45102</v>
      </c>
      <c r="F87" s="23" t="s">
        <v>151</v>
      </c>
      <c r="G87" s="14" t="s">
        <v>46</v>
      </c>
      <c r="H87" s="946">
        <v>45104</v>
      </c>
      <c r="I87" s="111" t="s">
        <v>108</v>
      </c>
      <c r="J87" s="14" t="s">
        <v>322</v>
      </c>
      <c r="K87" s="1302" t="s">
        <v>369</v>
      </c>
      <c r="L87" s="1171" t="s">
        <v>370</v>
      </c>
      <c r="M87" s="128">
        <v>45104</v>
      </c>
      <c r="N87" s="98">
        <v>45103</v>
      </c>
      <c r="O87" s="57">
        <v>45104</v>
      </c>
      <c r="P87" s="56" t="s">
        <v>371</v>
      </c>
      <c r="Q87" s="23" t="s">
        <v>35</v>
      </c>
      <c r="R87" s="23" t="s">
        <v>36</v>
      </c>
      <c r="S87" s="23" t="s">
        <v>37</v>
      </c>
      <c r="T87" s="85">
        <v>1625</v>
      </c>
      <c r="U87" s="85">
        <v>1013.75</v>
      </c>
      <c r="V87" s="85"/>
      <c r="W87" s="85">
        <f>IFERROR((JUN_2023[[#This Row],[Sales Amount]]-JUN_2023[[#This Row],[Cost]])/JUN_2023[[#This Row],[CNTR AMOUNT]],JUN_2023[[#This Row],[Sales Amount]]-JUN_2023[[#This Row],[Cost]])</f>
        <v>611.25</v>
      </c>
      <c r="X87" s="927">
        <f>IFERROR((JUN_2023[[#This Row],[Sales Amount]]-JUN_2023[[#This Row],[Cost]])/JUN_2023[[#This Row],[Cost]],"-")</f>
        <v>0.60295930949445131</v>
      </c>
      <c r="Y87" s="85"/>
      <c r="Z87" s="85"/>
    </row>
    <row r="88" spans="1:26" s="106" customFormat="1" hidden="1">
      <c r="A88" s="710" t="s">
        <v>96</v>
      </c>
      <c r="B88" s="710" t="s">
        <v>372</v>
      </c>
      <c r="C88" s="710" t="s">
        <v>28</v>
      </c>
      <c r="D88" s="1110">
        <v>45096</v>
      </c>
      <c r="E88" s="1066">
        <v>45104</v>
      </c>
      <c r="F88" s="710" t="s">
        <v>98</v>
      </c>
      <c r="G88" s="58" t="s">
        <v>46</v>
      </c>
      <c r="H88" s="946"/>
      <c r="I88" s="710"/>
      <c r="J88" s="58" t="s">
        <v>32</v>
      </c>
      <c r="K88" s="1325" t="s">
        <v>47</v>
      </c>
      <c r="L88" s="1171" t="s">
        <v>373</v>
      </c>
      <c r="M88" s="1118">
        <v>45107</v>
      </c>
      <c r="N88" s="844">
        <v>45105</v>
      </c>
      <c r="O88" s="1110">
        <v>45108</v>
      </c>
      <c r="P88" s="727" t="s">
        <v>374</v>
      </c>
      <c r="Q88" s="710" t="s">
        <v>35</v>
      </c>
      <c r="R88" s="18" t="s">
        <v>36</v>
      </c>
      <c r="S88" s="710" t="s">
        <v>101</v>
      </c>
      <c r="T88" s="85">
        <v>955</v>
      </c>
      <c r="U88" s="85">
        <v>822</v>
      </c>
      <c r="V88" s="85"/>
      <c r="W88" s="85">
        <f>IFERROR((JUN_2023[[#This Row],[Sales Amount]]-JUN_2023[[#This Row],[Cost]])/JUN_2023[[#This Row],[CNTR AMOUNT]],JUN_2023[[#This Row],[Sales Amount]]-JUN_2023[[#This Row],[Cost]])</f>
        <v>133</v>
      </c>
      <c r="X88" s="927">
        <f>IFERROR((JUN_2023[[#This Row],[Sales Amount]]-JUN_2023[[#This Row],[Cost]])/JUN_2023[[#This Row],[Cost]],"-")</f>
        <v>0.16180048661800486</v>
      </c>
      <c r="Y88" s="85"/>
      <c r="Z88" s="85"/>
    </row>
    <row r="89" spans="1:26" s="106" customFormat="1" hidden="1">
      <c r="A89" s="1076" t="s">
        <v>263</v>
      </c>
      <c r="B89" s="4093" t="s">
        <v>375</v>
      </c>
      <c r="C89" s="1076" t="s">
        <v>44</v>
      </c>
      <c r="D89" s="1078">
        <v>45102</v>
      </c>
      <c r="E89" s="983">
        <v>45102</v>
      </c>
      <c r="F89" s="1076" t="s">
        <v>63</v>
      </c>
      <c r="G89" s="483" t="s">
        <v>265</v>
      </c>
      <c r="H89" s="946">
        <v>45110</v>
      </c>
      <c r="I89" s="1076" t="s">
        <v>376</v>
      </c>
      <c r="J89" s="4093" t="s">
        <v>377</v>
      </c>
      <c r="K89" s="4102" t="s">
        <v>267</v>
      </c>
      <c r="L89" s="1171"/>
      <c r="M89" s="1078">
        <v>45107</v>
      </c>
      <c r="N89" s="4095">
        <v>45106</v>
      </c>
      <c r="O89" s="1078">
        <v>45110</v>
      </c>
      <c r="P89" s="4104" t="s">
        <v>378</v>
      </c>
      <c r="Q89" s="1076" t="s">
        <v>128</v>
      </c>
      <c r="R89" s="4102" t="s">
        <v>36</v>
      </c>
      <c r="S89" s="1076"/>
      <c r="T89" s="1076">
        <v>1806.25</v>
      </c>
      <c r="U89" s="1076">
        <f>1452.5+80</f>
        <v>1532.5</v>
      </c>
      <c r="V89" s="1076">
        <v>1</v>
      </c>
      <c r="W89" s="1076">
        <f>IFERROR((JUN_2023[[#This Row],[Sales Amount]]-JUN_2023[[#This Row],[Cost]])/JUN_2023[[#This Row],[CNTR AMOUNT]],JUN_2023[[#This Row],[Sales Amount]]-JUN_2023[[#This Row],[Cost]])</f>
        <v>273.75</v>
      </c>
      <c r="X89" s="1093">
        <f>IFERROR((JUN_2023[[#This Row],[Sales Amount]]-JUN_2023[[#This Row],[Cost]])/JUN_2023[[#This Row],[Cost]],"-")</f>
        <v>0.17862969004893964</v>
      </c>
      <c r="Y89" s="1076"/>
      <c r="Z89" s="1076"/>
    </row>
    <row r="90" spans="1:26" s="147" customFormat="1">
      <c r="A90" s="1219" t="s">
        <v>379</v>
      </c>
      <c r="B90" s="745" t="s">
        <v>380</v>
      </c>
      <c r="C90" s="1064" t="s">
        <v>28</v>
      </c>
      <c r="D90" s="1238">
        <v>45103</v>
      </c>
      <c r="E90" s="1250">
        <v>45103</v>
      </c>
      <c r="F90" s="1064" t="s">
        <v>45</v>
      </c>
      <c r="G90" s="745" t="s">
        <v>381</v>
      </c>
      <c r="H90" s="946"/>
      <c r="I90" s="1219"/>
      <c r="J90" s="1248" t="s">
        <v>382</v>
      </c>
      <c r="K90" s="1219" t="s">
        <v>381</v>
      </c>
      <c r="L90" s="1171" t="s">
        <v>383</v>
      </c>
      <c r="M90" s="1250">
        <v>45113</v>
      </c>
      <c r="N90" s="1244">
        <v>45114</v>
      </c>
      <c r="O90" s="1250">
        <v>45115</v>
      </c>
      <c r="P90" s="4105" t="s">
        <v>384</v>
      </c>
      <c r="Q90" s="1064" t="s">
        <v>75</v>
      </c>
      <c r="R90" s="1064" t="s">
        <v>385</v>
      </c>
      <c r="S90" s="1219"/>
      <c r="T90" s="1219">
        <v>50</v>
      </c>
      <c r="U90" s="1064">
        <v>0</v>
      </c>
      <c r="V90" s="1219">
        <v>1</v>
      </c>
      <c r="W90" s="1219">
        <f>IFERROR((JUN_2023[[#This Row],[Sales Amount]]-JUN_2023[[#This Row],[Cost]])/JUN_2023[[#This Row],[CNTR AMOUNT]],JUN_2023[[#This Row],[Sales Amount]]-JUN_2023[[#This Row],[Cost]])</f>
        <v>50</v>
      </c>
      <c r="X90" s="1252" t="str">
        <f>IFERROR((JUN_2023[[#This Row],[Sales Amount]]-JUN_2023[[#This Row],[Cost]])/JUN_2023[[#This Row],[Cost]],"-")</f>
        <v>-</v>
      </c>
      <c r="Y90" s="1219"/>
      <c r="Z90" s="1219"/>
    </row>
    <row r="91" spans="1:26" s="147" customFormat="1" hidden="1">
      <c r="A91" s="18" t="s">
        <v>386</v>
      </c>
      <c r="B91" s="58" t="s">
        <v>387</v>
      </c>
      <c r="C91" s="1125" t="s">
        <v>28</v>
      </c>
      <c r="D91" s="1110">
        <v>45097</v>
      </c>
      <c r="E91" s="708">
        <v>45107</v>
      </c>
      <c r="F91" s="710" t="s">
        <v>151</v>
      </c>
      <c r="G91" s="58" t="s">
        <v>46</v>
      </c>
      <c r="H91" s="946"/>
      <c r="I91" s="1116" t="s">
        <v>115</v>
      </c>
      <c r="J91" s="58" t="s">
        <v>32</v>
      </c>
      <c r="K91" s="4106" t="s">
        <v>388</v>
      </c>
      <c r="L91" s="1171" t="s">
        <v>389</v>
      </c>
      <c r="M91" s="1130">
        <v>45110</v>
      </c>
      <c r="N91" s="844">
        <v>45110</v>
      </c>
      <c r="O91" s="661">
        <v>45115</v>
      </c>
      <c r="P91" s="709" t="s">
        <v>390</v>
      </c>
      <c r="Q91" s="710" t="s">
        <v>35</v>
      </c>
      <c r="R91" s="710" t="s">
        <v>36</v>
      </c>
      <c r="S91" s="18" t="s">
        <v>37</v>
      </c>
      <c r="T91" s="84">
        <v>3820</v>
      </c>
      <c r="U91" s="85">
        <v>1432</v>
      </c>
      <c r="V91" s="84"/>
      <c r="W91" s="84">
        <f>IFERROR((JUN_2023[[#This Row],[Sales Amount]]-JUN_2023[[#This Row],[Cost]])/JUN_2023[[#This Row],[CNTR AMOUNT]],JUN_2023[[#This Row],[Sales Amount]]-JUN_2023[[#This Row],[Cost]])</f>
        <v>2388</v>
      </c>
      <c r="X91" s="1024">
        <f>IFERROR((JUN_2023[[#This Row],[Sales Amount]]-JUN_2023[[#This Row],[Cost]])/JUN_2023[[#This Row],[Cost]],"-")</f>
        <v>1.6675977653631284</v>
      </c>
      <c r="Y91" s="84"/>
      <c r="Z91" s="84"/>
    </row>
    <row r="92" spans="1:26" s="106" customFormat="1" hidden="1">
      <c r="A92" s="12" t="s">
        <v>171</v>
      </c>
      <c r="B92" s="14" t="s">
        <v>391</v>
      </c>
      <c r="C92" s="23" t="s">
        <v>28</v>
      </c>
      <c r="D92" s="57">
        <v>45096</v>
      </c>
      <c r="E92" s="34">
        <v>45103</v>
      </c>
      <c r="F92" s="23" t="s">
        <v>326</v>
      </c>
      <c r="G92" s="14" t="s">
        <v>46</v>
      </c>
      <c r="H92" s="946">
        <v>45105</v>
      </c>
      <c r="I92" s="12"/>
      <c r="J92" s="14" t="s">
        <v>32</v>
      </c>
      <c r="K92" s="12" t="s">
        <v>174</v>
      </c>
      <c r="L92" s="1171" t="s">
        <v>392</v>
      </c>
      <c r="M92" s="114">
        <v>45106</v>
      </c>
      <c r="N92" s="98">
        <v>45105</v>
      </c>
      <c r="O92" s="57">
        <v>45105</v>
      </c>
      <c r="P92" s="10" t="s">
        <v>393</v>
      </c>
      <c r="Q92" s="23" t="s">
        <v>35</v>
      </c>
      <c r="R92" s="12" t="s">
        <v>36</v>
      </c>
      <c r="S92" s="12" t="s">
        <v>37</v>
      </c>
      <c r="T92" s="84">
        <v>940</v>
      </c>
      <c r="U92" s="84">
        <v>751</v>
      </c>
      <c r="V92" s="84"/>
      <c r="W92" s="84">
        <f>IFERROR((JUN_2023[[#This Row],[Sales Amount]]-JUN_2023[[#This Row],[Cost]])/JUN_2023[[#This Row],[CNTR AMOUNT]],JUN_2023[[#This Row],[Sales Amount]]-JUN_2023[[#This Row],[Cost]])</f>
        <v>189</v>
      </c>
      <c r="X92" s="1024">
        <f>IFERROR((JUN_2023[[#This Row],[Sales Amount]]-JUN_2023[[#This Row],[Cost]])/JUN_2023[[#This Row],[Cost]],"-")</f>
        <v>0.25166444740346205</v>
      </c>
      <c r="Y92" s="84"/>
      <c r="Z92" s="84"/>
    </row>
    <row r="93" spans="1:26" s="106" customFormat="1" hidden="1">
      <c r="A93" s="12" t="s">
        <v>61</v>
      </c>
      <c r="B93" s="23" t="s">
        <v>394</v>
      </c>
      <c r="C93" s="23" t="s">
        <v>85</v>
      </c>
      <c r="D93" s="57">
        <v>45089</v>
      </c>
      <c r="E93" s="54">
        <v>45103</v>
      </c>
      <c r="F93" s="23" t="s">
        <v>29</v>
      </c>
      <c r="G93" s="14" t="s">
        <v>152</v>
      </c>
      <c r="H93" s="946">
        <v>45105</v>
      </c>
      <c r="I93" s="30" t="s">
        <v>115</v>
      </c>
      <c r="J93" s="14" t="s">
        <v>32</v>
      </c>
      <c r="K93" s="23" t="s">
        <v>65</v>
      </c>
      <c r="L93" s="1171">
        <v>2218</v>
      </c>
      <c r="M93" s="128">
        <v>45105</v>
      </c>
      <c r="N93" s="140">
        <v>45105</v>
      </c>
      <c r="O93" s="57">
        <v>45105</v>
      </c>
      <c r="P93" s="56" t="s">
        <v>395</v>
      </c>
      <c r="Q93" s="14" t="s">
        <v>35</v>
      </c>
      <c r="R93" s="12" t="s">
        <v>36</v>
      </c>
      <c r="S93" s="23" t="s">
        <v>67</v>
      </c>
      <c r="T93" s="84">
        <v>2035</v>
      </c>
      <c r="U93" s="85">
        <v>1496</v>
      </c>
      <c r="V93" s="85"/>
      <c r="W93" s="85">
        <f>IFERROR((JUN_2023[[#This Row],[Sales Amount]]-JUN_2023[[#This Row],[Cost]])/JUN_2023[[#This Row],[CNTR AMOUNT]],JUN_2023[[#This Row],[Sales Amount]]-JUN_2023[[#This Row],[Cost]])</f>
        <v>539</v>
      </c>
      <c r="X93" s="927">
        <f>IFERROR((JUN_2023[[#This Row],[Sales Amount]]-JUN_2023[[#This Row],[Cost]])/JUN_2023[[#This Row],[Cost]],"-")</f>
        <v>0.36029411764705882</v>
      </c>
      <c r="Y93" s="85"/>
      <c r="Z93" s="85"/>
    </row>
    <row r="94" spans="1:26" s="106" customFormat="1" hidden="1">
      <c r="A94" s="23" t="s">
        <v>53</v>
      </c>
      <c r="B94" s="29" t="s">
        <v>396</v>
      </c>
      <c r="C94" s="14" t="s">
        <v>85</v>
      </c>
      <c r="D94" s="57">
        <v>45085</v>
      </c>
      <c r="E94" s="54">
        <v>45104</v>
      </c>
      <c r="F94" s="14" t="s">
        <v>135</v>
      </c>
      <c r="G94" s="14" t="s">
        <v>57</v>
      </c>
      <c r="H94" s="946">
        <v>45108</v>
      </c>
      <c r="I94" s="30" t="s">
        <v>58</v>
      </c>
      <c r="J94" s="14" t="s">
        <v>32</v>
      </c>
      <c r="K94" s="14" t="s">
        <v>397</v>
      </c>
      <c r="L94" s="1171">
        <v>223954</v>
      </c>
      <c r="M94" s="128">
        <v>45107</v>
      </c>
      <c r="N94" s="98">
        <v>45107</v>
      </c>
      <c r="O94" s="57">
        <v>45110</v>
      </c>
      <c r="P94" s="51" t="s">
        <v>398</v>
      </c>
      <c r="Q94" s="14" t="s">
        <v>35</v>
      </c>
      <c r="R94" s="12" t="s">
        <v>36</v>
      </c>
      <c r="S94" s="23" t="s">
        <v>37</v>
      </c>
      <c r="T94" s="85">
        <v>1550</v>
      </c>
      <c r="U94" s="85">
        <v>1326</v>
      </c>
      <c r="V94" s="85"/>
      <c r="W94" s="85">
        <f>IFERROR((JUN_2023[[#This Row],[Sales Amount]]-JUN_2023[[#This Row],[Cost]])/JUN_2023[[#This Row],[CNTR AMOUNT]],JUN_2023[[#This Row],[Sales Amount]]-JUN_2023[[#This Row],[Cost]])</f>
        <v>224</v>
      </c>
      <c r="X94" s="927">
        <f>IFERROR((JUN_2023[[#This Row],[Sales Amount]]-JUN_2023[[#This Row],[Cost]])/JUN_2023[[#This Row],[Cost]],"-")</f>
        <v>0.1689291101055807</v>
      </c>
      <c r="Y94" s="85"/>
      <c r="Z94" s="85"/>
    </row>
    <row r="95" spans="1:26" s="106" customFormat="1" hidden="1">
      <c r="A95" s="12" t="s">
        <v>171</v>
      </c>
      <c r="B95" s="12" t="s">
        <v>399</v>
      </c>
      <c r="C95" s="12" t="s">
        <v>28</v>
      </c>
      <c r="D95" s="35">
        <v>45096</v>
      </c>
      <c r="E95" s="34">
        <v>45104</v>
      </c>
      <c r="F95" s="12" t="s">
        <v>326</v>
      </c>
      <c r="G95" s="14" t="s">
        <v>46</v>
      </c>
      <c r="H95" s="946">
        <v>45105</v>
      </c>
      <c r="I95" s="12"/>
      <c r="J95" s="14" t="s">
        <v>32</v>
      </c>
      <c r="K95" s="12" t="s">
        <v>174</v>
      </c>
      <c r="L95" s="1171" t="s">
        <v>400</v>
      </c>
      <c r="M95" s="128">
        <v>45106</v>
      </c>
      <c r="N95" s="98">
        <v>45105</v>
      </c>
      <c r="O95" s="35">
        <v>45105</v>
      </c>
      <c r="P95" s="51" t="s">
        <v>401</v>
      </c>
      <c r="Q95" s="12" t="s">
        <v>35</v>
      </c>
      <c r="R95" s="12" t="s">
        <v>36</v>
      </c>
      <c r="S95" s="12" t="s">
        <v>37</v>
      </c>
      <c r="T95" s="84">
        <v>940</v>
      </c>
      <c r="U95" s="84">
        <v>751</v>
      </c>
      <c r="V95" s="84"/>
      <c r="W95" s="84">
        <f>IFERROR((JUN_2023[[#This Row],[Sales Amount]]-JUN_2023[[#This Row],[Cost]])/JUN_2023[[#This Row],[CNTR AMOUNT]],JUN_2023[[#This Row],[Sales Amount]]-JUN_2023[[#This Row],[Cost]])</f>
        <v>189</v>
      </c>
      <c r="X95" s="1024">
        <f>IFERROR((JUN_2023[[#This Row],[Sales Amount]]-JUN_2023[[#This Row],[Cost]])/JUN_2023[[#This Row],[Cost]],"-")</f>
        <v>0.25166444740346205</v>
      </c>
      <c r="Y95" s="84"/>
      <c r="Z95" s="84"/>
    </row>
    <row r="96" spans="1:26" s="106" customFormat="1" hidden="1">
      <c r="A96" s="23" t="s">
        <v>171</v>
      </c>
      <c r="B96" s="23" t="s">
        <v>402</v>
      </c>
      <c r="C96" s="12" t="s">
        <v>28</v>
      </c>
      <c r="D96" s="57">
        <v>45096</v>
      </c>
      <c r="E96" s="54">
        <v>45104</v>
      </c>
      <c r="F96" s="23" t="s">
        <v>326</v>
      </c>
      <c r="G96" s="14" t="s">
        <v>46</v>
      </c>
      <c r="H96" s="946">
        <v>45105</v>
      </c>
      <c r="I96" s="12"/>
      <c r="J96" s="14" t="s">
        <v>32</v>
      </c>
      <c r="K96" s="23" t="s">
        <v>174</v>
      </c>
      <c r="L96" s="1171" t="s">
        <v>403</v>
      </c>
      <c r="M96" s="128">
        <v>45106</v>
      </c>
      <c r="N96" s="98">
        <v>45105</v>
      </c>
      <c r="O96" s="57">
        <v>45106</v>
      </c>
      <c r="P96" s="51" t="s">
        <v>404</v>
      </c>
      <c r="Q96" s="23" t="s">
        <v>35</v>
      </c>
      <c r="R96" s="12" t="s">
        <v>36</v>
      </c>
      <c r="S96" s="23" t="s">
        <v>37</v>
      </c>
      <c r="T96" s="85">
        <v>940</v>
      </c>
      <c r="U96" s="85">
        <v>751</v>
      </c>
      <c r="V96" s="85"/>
      <c r="W96" s="85">
        <f>IFERROR((JUN_2023[[#This Row],[Sales Amount]]-JUN_2023[[#This Row],[Cost]])/JUN_2023[[#This Row],[CNTR AMOUNT]],JUN_2023[[#This Row],[Sales Amount]]-JUN_2023[[#This Row],[Cost]])</f>
        <v>189</v>
      </c>
      <c r="X96" s="927">
        <f>IFERROR((JUN_2023[[#This Row],[Sales Amount]]-JUN_2023[[#This Row],[Cost]])/JUN_2023[[#This Row],[Cost]],"-")</f>
        <v>0.25166444740346205</v>
      </c>
      <c r="Y96" s="85"/>
      <c r="Z96" s="85"/>
    </row>
    <row r="97" spans="1:26" s="147" customFormat="1" hidden="1">
      <c r="A97" s="12" t="s">
        <v>210</v>
      </c>
      <c r="B97" s="14" t="s">
        <v>405</v>
      </c>
      <c r="C97" s="1140" t="s">
        <v>28</v>
      </c>
      <c r="D97" s="1110">
        <v>45069</v>
      </c>
      <c r="E97" s="1066">
        <v>45104</v>
      </c>
      <c r="F97" s="710" t="s">
        <v>135</v>
      </c>
      <c r="G97" s="58" t="s">
        <v>57</v>
      </c>
      <c r="H97" s="946">
        <v>45110</v>
      </c>
      <c r="I97" s="1116" t="s">
        <v>406</v>
      </c>
      <c r="J97" s="58" t="s">
        <v>32</v>
      </c>
      <c r="K97" s="710" t="s">
        <v>407</v>
      </c>
      <c r="L97" s="1171">
        <v>223683</v>
      </c>
      <c r="M97" s="1118">
        <v>45106</v>
      </c>
      <c r="N97" s="1115">
        <v>45106</v>
      </c>
      <c r="O97" s="1110">
        <v>45112</v>
      </c>
      <c r="P97" s="709" t="s">
        <v>408</v>
      </c>
      <c r="Q97" s="18" t="s">
        <v>35</v>
      </c>
      <c r="R97" s="58" t="s">
        <v>36</v>
      </c>
      <c r="S97" s="710" t="s">
        <v>37</v>
      </c>
      <c r="T97" s="85">
        <v>2780</v>
      </c>
      <c r="U97" s="85">
        <v>2320</v>
      </c>
      <c r="V97" s="85"/>
      <c r="W97" s="85">
        <f>IFERROR((JUN_2023[[#This Row],[Sales Amount]]-JUN_2023[[#This Row],[Cost]])/JUN_2023[[#This Row],[CNTR AMOUNT]],JUN_2023[[#This Row],[Sales Amount]]-JUN_2023[[#This Row],[Cost]])</f>
        <v>460</v>
      </c>
      <c r="X97" s="927">
        <f>IFERROR((JUN_2023[[#This Row],[Sales Amount]]-JUN_2023[[#This Row],[Cost]])/JUN_2023[[#This Row],[Cost]],"-")</f>
        <v>0.19827586206896552</v>
      </c>
      <c r="Y97" s="85"/>
      <c r="Z97" s="85"/>
    </row>
    <row r="98" spans="1:26" s="709" customFormat="1" hidden="1">
      <c r="A98" s="962" t="s">
        <v>409</v>
      </c>
      <c r="B98" s="1104" t="s">
        <v>410</v>
      </c>
      <c r="C98" s="967" t="s">
        <v>85</v>
      </c>
      <c r="D98" s="1100">
        <v>45103</v>
      </c>
      <c r="E98" s="1101">
        <v>45110</v>
      </c>
      <c r="F98" s="967" t="s">
        <v>45</v>
      </c>
      <c r="G98" s="800" t="s">
        <v>302</v>
      </c>
      <c r="H98" s="946"/>
      <c r="I98" s="800"/>
      <c r="J98" s="800" t="s">
        <v>32</v>
      </c>
      <c r="K98" s="967" t="s">
        <v>47</v>
      </c>
      <c r="L98" s="1171" t="s">
        <v>411</v>
      </c>
      <c r="M98" s="1100">
        <v>45113</v>
      </c>
      <c r="N98" s="961">
        <v>45112</v>
      </c>
      <c r="O98" s="1100">
        <v>45115</v>
      </c>
      <c r="P98" s="650" t="s">
        <v>412</v>
      </c>
      <c r="Q98" s="962" t="s">
        <v>89</v>
      </c>
      <c r="R98" s="962" t="s">
        <v>36</v>
      </c>
      <c r="S98" s="967"/>
      <c r="T98" s="967"/>
      <c r="U98" s="967"/>
      <c r="V98" s="967"/>
      <c r="W98" s="967">
        <f>IFERROR((JUN_2023[[#This Row],[Sales Amount]]-JUN_2023[[#This Row],[Cost]])/JUN_2023[[#This Row],[CNTR AMOUNT]],JUN_2023[[#This Row],[Sales Amount]]-JUN_2023[[#This Row],[Cost]])</f>
        <v>0</v>
      </c>
      <c r="X98" s="1150" t="str">
        <f>IFERROR((JUN_2023[[#This Row],[Sales Amount]]-JUN_2023[[#This Row],[Cost]])/JUN_2023[[#This Row],[Cost]],"-")</f>
        <v>-</v>
      </c>
      <c r="Y98" s="967"/>
      <c r="Z98" s="967"/>
    </row>
    <row r="99" spans="1:26" hidden="1">
      <c r="A99" s="12" t="s">
        <v>26</v>
      </c>
      <c r="B99" s="23" t="s">
        <v>413</v>
      </c>
      <c r="C99" s="23" t="s">
        <v>200</v>
      </c>
      <c r="D99" s="57">
        <v>45096</v>
      </c>
      <c r="E99" s="54">
        <v>45105</v>
      </c>
      <c r="F99" s="108" t="s">
        <v>167</v>
      </c>
      <c r="G99" s="123" t="s">
        <v>46</v>
      </c>
      <c r="H99" s="946">
        <v>45107</v>
      </c>
      <c r="I99" s="30" t="s">
        <v>178</v>
      </c>
      <c r="J99" s="14" t="s">
        <v>32</v>
      </c>
      <c r="K99" s="23" t="s">
        <v>414</v>
      </c>
      <c r="L99" s="1171" t="s">
        <v>415</v>
      </c>
      <c r="M99" s="128">
        <v>45107</v>
      </c>
      <c r="N99" s="98">
        <v>45106</v>
      </c>
      <c r="O99" s="57">
        <v>45107</v>
      </c>
      <c r="P99" s="56" t="s">
        <v>416</v>
      </c>
      <c r="Q99" s="12" t="s">
        <v>35</v>
      </c>
      <c r="R99" s="12" t="s">
        <v>36</v>
      </c>
      <c r="S99" s="23" t="s">
        <v>37</v>
      </c>
      <c r="T99" s="85">
        <v>1080</v>
      </c>
      <c r="U99" s="85">
        <v>756</v>
      </c>
      <c r="V99" s="85"/>
      <c r="W99" s="85">
        <f>IFERROR((JUN_2023[[#This Row],[Sales Amount]]-JUN_2023[[#This Row],[Cost]])/JUN_2023[[#This Row],[CNTR AMOUNT]],JUN_2023[[#This Row],[Sales Amount]]-JUN_2023[[#This Row],[Cost]])</f>
        <v>324</v>
      </c>
      <c r="X99" s="927">
        <f>IFERROR((JUN_2023[[#This Row],[Sales Amount]]-JUN_2023[[#This Row],[Cost]])/JUN_2023[[#This Row],[Cost]],"-")</f>
        <v>0.42857142857142855</v>
      </c>
      <c r="Y99" s="85"/>
      <c r="Z99" s="85"/>
    </row>
    <row r="100" spans="1:26" s="106" customFormat="1" hidden="1">
      <c r="A100" s="12" t="s">
        <v>171</v>
      </c>
      <c r="B100" s="29" t="s">
        <v>417</v>
      </c>
      <c r="C100" s="23" t="s">
        <v>28</v>
      </c>
      <c r="D100" s="57">
        <v>45086</v>
      </c>
      <c r="E100" s="54">
        <v>45105</v>
      </c>
      <c r="F100" s="23" t="s">
        <v>173</v>
      </c>
      <c r="G100" s="14" t="s">
        <v>46</v>
      </c>
      <c r="H100" s="946">
        <v>45106</v>
      </c>
      <c r="I100" s="12"/>
      <c r="J100" s="14" t="s">
        <v>32</v>
      </c>
      <c r="K100" s="23" t="s">
        <v>174</v>
      </c>
      <c r="L100" s="1171" t="s">
        <v>418</v>
      </c>
      <c r="M100" s="128">
        <v>45108</v>
      </c>
      <c r="N100" s="98">
        <v>45106</v>
      </c>
      <c r="O100" s="57">
        <v>45107</v>
      </c>
      <c r="P100" s="51" t="s">
        <v>419</v>
      </c>
      <c r="Q100" s="12" t="s">
        <v>35</v>
      </c>
      <c r="R100" s="12" t="s">
        <v>36</v>
      </c>
      <c r="S100" s="23" t="s">
        <v>37</v>
      </c>
      <c r="T100" s="85">
        <v>940</v>
      </c>
      <c r="U100" s="85">
        <v>751</v>
      </c>
      <c r="V100" s="85"/>
      <c r="W100" s="85">
        <f>IFERROR((JUN_2023[[#This Row],[Sales Amount]]-JUN_2023[[#This Row],[Cost]])/JUN_2023[[#This Row],[CNTR AMOUNT]],JUN_2023[[#This Row],[Sales Amount]]-JUN_2023[[#This Row],[Cost]])</f>
        <v>189</v>
      </c>
      <c r="X100" s="927">
        <f>IFERROR((JUN_2023[[#This Row],[Sales Amount]]-JUN_2023[[#This Row],[Cost]])/JUN_2023[[#This Row],[Cost]],"-")</f>
        <v>0.25166444740346205</v>
      </c>
      <c r="Y100" s="85"/>
      <c r="Z100" s="85"/>
    </row>
    <row r="101" spans="1:26" s="147" customFormat="1" hidden="1">
      <c r="A101" s="23" t="s">
        <v>171</v>
      </c>
      <c r="B101" s="29" t="s">
        <v>420</v>
      </c>
      <c r="C101" s="23" t="s">
        <v>28</v>
      </c>
      <c r="D101" s="57">
        <v>45086</v>
      </c>
      <c r="E101" s="54">
        <v>45105</v>
      </c>
      <c r="F101" s="23" t="s">
        <v>173</v>
      </c>
      <c r="G101" s="14" t="s">
        <v>46</v>
      </c>
      <c r="H101" s="946">
        <v>45106</v>
      </c>
      <c r="I101" s="12"/>
      <c r="J101" s="14" t="s">
        <v>32</v>
      </c>
      <c r="K101" s="23" t="s">
        <v>174</v>
      </c>
      <c r="L101" s="1171" t="s">
        <v>421</v>
      </c>
      <c r="M101" s="128">
        <v>45107</v>
      </c>
      <c r="N101" s="98">
        <v>45106</v>
      </c>
      <c r="O101" s="57">
        <v>45106</v>
      </c>
      <c r="P101" s="1059" t="s">
        <v>422</v>
      </c>
      <c r="Q101" s="12" t="s">
        <v>35</v>
      </c>
      <c r="R101" s="12" t="s">
        <v>36</v>
      </c>
      <c r="S101" s="23" t="s">
        <v>37</v>
      </c>
      <c r="T101" s="85">
        <v>940</v>
      </c>
      <c r="U101" s="85">
        <v>751</v>
      </c>
      <c r="V101" s="85"/>
      <c r="W101" s="85">
        <f>IFERROR((JUN_2023[[#This Row],[Sales Amount]]-JUN_2023[[#This Row],[Cost]])/JUN_2023[[#This Row],[CNTR AMOUNT]],JUN_2023[[#This Row],[Sales Amount]]-JUN_2023[[#This Row],[Cost]])</f>
        <v>189</v>
      </c>
      <c r="X101" s="927">
        <f>IFERROR((JUN_2023[[#This Row],[Sales Amount]]-JUN_2023[[#This Row],[Cost]])/JUN_2023[[#This Row],[Cost]],"-")</f>
        <v>0.25166444740346205</v>
      </c>
      <c r="Y101" s="85"/>
      <c r="Z101" s="85"/>
    </row>
    <row r="102" spans="1:26" s="106" customFormat="1" hidden="1">
      <c r="A102" s="967" t="s">
        <v>423</v>
      </c>
      <c r="B102" s="1132" t="s">
        <v>424</v>
      </c>
      <c r="C102" s="967" t="s">
        <v>28</v>
      </c>
      <c r="D102" s="1100">
        <v>45098</v>
      </c>
      <c r="E102" s="1196">
        <v>45105</v>
      </c>
      <c r="F102" s="967" t="s">
        <v>45</v>
      </c>
      <c r="G102" s="800" t="s">
        <v>361</v>
      </c>
      <c r="H102" s="946"/>
      <c r="I102" s="962" t="s">
        <v>425</v>
      </c>
      <c r="J102" s="800" t="s">
        <v>168</v>
      </c>
      <c r="K102" s="967" t="s">
        <v>426</v>
      </c>
      <c r="L102" s="1171"/>
      <c r="M102" s="1100"/>
      <c r="N102" s="962"/>
      <c r="O102" s="1100"/>
      <c r="P102" s="1102" t="s">
        <v>427</v>
      </c>
      <c r="Q102" s="962" t="s">
        <v>170</v>
      </c>
      <c r="R102" s="962" t="s">
        <v>51</v>
      </c>
      <c r="S102" s="850"/>
      <c r="T102" s="850">
        <v>3390</v>
      </c>
      <c r="U102" s="850">
        <v>2564</v>
      </c>
      <c r="V102" s="850"/>
      <c r="W102" s="850">
        <f>IFERROR((JUN_2023[[#This Row],[Sales Amount]]-JUN_2023[[#This Row],[Cost]])/JUN_2023[[#This Row],[CNTR AMOUNT]],JUN_2023[[#This Row],[Sales Amount]]-JUN_2023[[#This Row],[Cost]])</f>
        <v>826</v>
      </c>
      <c r="X102" s="1050">
        <f>IFERROR((JUN_2023[[#This Row],[Sales Amount]]-JUN_2023[[#This Row],[Cost]])/JUN_2023[[#This Row],[Cost]],"-")</f>
        <v>0.32215288611544463</v>
      </c>
      <c r="Y102" s="850"/>
      <c r="Z102" s="850"/>
    </row>
    <row r="103" spans="1:26" s="147" customFormat="1" hidden="1">
      <c r="A103" s="967" t="s">
        <v>423</v>
      </c>
      <c r="B103" s="1104" t="s">
        <v>428</v>
      </c>
      <c r="C103" s="967" t="s">
        <v>28</v>
      </c>
      <c r="D103" s="1100">
        <v>45098</v>
      </c>
      <c r="E103" s="1196">
        <v>45105</v>
      </c>
      <c r="F103" s="967" t="s">
        <v>45</v>
      </c>
      <c r="G103" s="800" t="s">
        <v>361</v>
      </c>
      <c r="H103" s="946"/>
      <c r="I103" s="967" t="s">
        <v>429</v>
      </c>
      <c r="J103" s="800" t="s">
        <v>168</v>
      </c>
      <c r="K103" s="967" t="s">
        <v>426</v>
      </c>
      <c r="L103" s="1171"/>
      <c r="M103" s="1100"/>
      <c r="N103" s="800"/>
      <c r="O103" s="1100"/>
      <c r="P103" s="1102" t="s">
        <v>427</v>
      </c>
      <c r="Q103" s="962" t="s">
        <v>170</v>
      </c>
      <c r="R103" s="967" t="s">
        <v>51</v>
      </c>
      <c r="S103" s="850"/>
      <c r="T103" s="850">
        <v>3390</v>
      </c>
      <c r="U103" s="850">
        <v>2564</v>
      </c>
      <c r="V103" s="850"/>
      <c r="W103" s="850">
        <f>IFERROR((JUN_2023[[#This Row],[Sales Amount]]-JUN_2023[[#This Row],[Cost]])/JUN_2023[[#This Row],[CNTR AMOUNT]],JUN_2023[[#This Row],[Sales Amount]]-JUN_2023[[#This Row],[Cost]])</f>
        <v>826</v>
      </c>
      <c r="X103" s="1050">
        <f>IFERROR((JUN_2023[[#This Row],[Sales Amount]]-JUN_2023[[#This Row],[Cost]])/JUN_2023[[#This Row],[Cost]],"-")</f>
        <v>0.32215288611544463</v>
      </c>
      <c r="Y103" s="850"/>
      <c r="Z103" s="850"/>
    </row>
    <row r="104" spans="1:26" s="147" customFormat="1" hidden="1">
      <c r="A104" s="967" t="s">
        <v>423</v>
      </c>
      <c r="B104" s="1104" t="s">
        <v>430</v>
      </c>
      <c r="C104" s="967" t="s">
        <v>28</v>
      </c>
      <c r="D104" s="1100">
        <v>45098</v>
      </c>
      <c r="E104" s="1196">
        <v>45105</v>
      </c>
      <c r="F104" s="967" t="s">
        <v>45</v>
      </c>
      <c r="G104" s="800" t="s">
        <v>361</v>
      </c>
      <c r="H104" s="946"/>
      <c r="I104" s="967"/>
      <c r="J104" s="800" t="s">
        <v>168</v>
      </c>
      <c r="K104" s="967" t="s">
        <v>426</v>
      </c>
      <c r="L104" s="1171"/>
      <c r="M104" s="1100"/>
      <c r="N104" s="800"/>
      <c r="O104" s="1100"/>
      <c r="P104" s="1102" t="s">
        <v>427</v>
      </c>
      <c r="Q104" s="962" t="s">
        <v>170</v>
      </c>
      <c r="R104" s="967" t="s">
        <v>51</v>
      </c>
      <c r="S104" s="850"/>
      <c r="T104" s="850">
        <v>3390</v>
      </c>
      <c r="U104" s="850">
        <v>2564</v>
      </c>
      <c r="V104" s="850"/>
      <c r="W104" s="850">
        <f>IFERROR((JUN_2023[[#This Row],[Sales Amount]]-JUN_2023[[#This Row],[Cost]])/JUN_2023[[#This Row],[CNTR AMOUNT]],JUN_2023[[#This Row],[Sales Amount]]-JUN_2023[[#This Row],[Cost]])</f>
        <v>826</v>
      </c>
      <c r="X104" s="1050">
        <f>IFERROR((JUN_2023[[#This Row],[Sales Amount]]-JUN_2023[[#This Row],[Cost]])/JUN_2023[[#This Row],[Cost]],"-")</f>
        <v>0.32215288611544463</v>
      </c>
      <c r="Y104" s="850"/>
      <c r="Z104" s="850"/>
    </row>
    <row r="105" spans="1:26" s="147" customFormat="1" hidden="1">
      <c r="A105" s="967" t="s">
        <v>423</v>
      </c>
      <c r="B105" s="1104" t="s">
        <v>431</v>
      </c>
      <c r="C105" s="967" t="s">
        <v>28</v>
      </c>
      <c r="D105" s="1100">
        <v>45098</v>
      </c>
      <c r="E105" s="1196">
        <v>45105</v>
      </c>
      <c r="F105" s="967" t="s">
        <v>45</v>
      </c>
      <c r="G105" s="800" t="s">
        <v>361</v>
      </c>
      <c r="H105" s="946"/>
      <c r="I105" s="967"/>
      <c r="J105" s="800" t="s">
        <v>168</v>
      </c>
      <c r="K105" s="967" t="s">
        <v>426</v>
      </c>
      <c r="L105" s="1171"/>
      <c r="M105" s="4833"/>
      <c r="N105" s="800"/>
      <c r="O105" s="946"/>
      <c r="P105" s="723" t="s">
        <v>427</v>
      </c>
      <c r="Q105" s="962" t="s">
        <v>170</v>
      </c>
      <c r="R105" s="967" t="s">
        <v>51</v>
      </c>
      <c r="S105" s="850"/>
      <c r="T105" s="850">
        <v>3390</v>
      </c>
      <c r="U105" s="850">
        <v>2564</v>
      </c>
      <c r="V105" s="850"/>
      <c r="W105" s="850">
        <f>IFERROR((JUN_2023[[#This Row],[Sales Amount]]-JUN_2023[[#This Row],[Cost]])/JUN_2023[[#This Row],[CNTR AMOUNT]],JUN_2023[[#This Row],[Sales Amount]]-JUN_2023[[#This Row],[Cost]])</f>
        <v>826</v>
      </c>
      <c r="X105" s="1050">
        <f>IFERROR((JUN_2023[[#This Row],[Sales Amount]]-JUN_2023[[#This Row],[Cost]])/JUN_2023[[#This Row],[Cost]],"-")</f>
        <v>0.32215288611544463</v>
      </c>
      <c r="Y105" s="850"/>
      <c r="Z105" s="850"/>
    </row>
    <row r="106" spans="1:26" s="106" customFormat="1" ht="75">
      <c r="A106" s="1064" t="s">
        <v>432</v>
      </c>
      <c r="B106" s="1057" t="s">
        <v>433</v>
      </c>
      <c r="C106" s="1064" t="s">
        <v>200</v>
      </c>
      <c r="D106" s="1238">
        <v>45103</v>
      </c>
      <c r="E106" s="1239">
        <v>45105</v>
      </c>
      <c r="F106" s="1064" t="s">
        <v>135</v>
      </c>
      <c r="G106" s="745" t="s">
        <v>434</v>
      </c>
      <c r="H106" s="946">
        <v>45112</v>
      </c>
      <c r="I106" s="1064"/>
      <c r="J106" s="745" t="s">
        <v>435</v>
      </c>
      <c r="K106" s="1064" t="s">
        <v>436</v>
      </c>
      <c r="L106" s="1171">
        <v>2901</v>
      </c>
      <c r="M106" s="1238">
        <v>45107</v>
      </c>
      <c r="N106" s="1250">
        <v>45108</v>
      </c>
      <c r="O106" s="1238">
        <v>45112</v>
      </c>
      <c r="P106" s="4107" t="s">
        <v>437</v>
      </c>
      <c r="Q106" s="1219" t="s">
        <v>75</v>
      </c>
      <c r="R106" s="40" t="s">
        <v>438</v>
      </c>
      <c r="S106" s="1064"/>
      <c r="T106" s="1064">
        <v>1587.5</v>
      </c>
      <c r="U106" s="1064">
        <v>1040</v>
      </c>
      <c r="V106" s="1064"/>
      <c r="W106" s="1064">
        <f>IFERROR((JUN_2023[[#This Row],[Sales Amount]]-JUN_2023[[#This Row],[Cost]])/JUN_2023[[#This Row],[CNTR AMOUNT]],JUN_2023[[#This Row],[Sales Amount]]-JUN_2023[[#This Row],[Cost]])</f>
        <v>547.5</v>
      </c>
      <c r="X106" s="1242">
        <f>IFERROR((JUN_2023[[#This Row],[Sales Amount]]-JUN_2023[[#This Row],[Cost]])/JUN_2023[[#This Row],[Cost]],"-")</f>
        <v>0.52644230769230771</v>
      </c>
      <c r="Y106" s="1064"/>
      <c r="Z106" s="1064"/>
    </row>
    <row r="107" spans="1:26" s="106" customFormat="1" hidden="1">
      <c r="A107" s="967" t="s">
        <v>165</v>
      </c>
      <c r="B107" s="800" t="s">
        <v>439</v>
      </c>
      <c r="C107" s="1104" t="s">
        <v>28</v>
      </c>
      <c r="D107" s="1100">
        <v>45091</v>
      </c>
      <c r="E107" s="1101">
        <v>45102</v>
      </c>
      <c r="F107" s="1104" t="s">
        <v>167</v>
      </c>
      <c r="G107" s="800" t="s">
        <v>46</v>
      </c>
      <c r="H107" s="946">
        <v>45105</v>
      </c>
      <c r="I107" s="967" t="s">
        <v>178</v>
      </c>
      <c r="J107" s="800" t="s">
        <v>440</v>
      </c>
      <c r="K107" s="1299" t="s">
        <v>441</v>
      </c>
      <c r="L107" s="1140" t="s">
        <v>442</v>
      </c>
      <c r="M107" s="1332">
        <v>45104</v>
      </c>
      <c r="N107" s="1163">
        <v>45104</v>
      </c>
      <c r="O107" s="1100">
        <v>45107</v>
      </c>
      <c r="P107" s="723" t="s">
        <v>443</v>
      </c>
      <c r="Q107" s="962" t="s">
        <v>170</v>
      </c>
      <c r="R107" s="967" t="s">
        <v>36</v>
      </c>
      <c r="S107" s="43"/>
      <c r="T107" s="850">
        <v>1405</v>
      </c>
      <c r="U107" s="850">
        <v>920</v>
      </c>
      <c r="V107" s="850"/>
      <c r="W107" s="850">
        <f>IFERROR((JUN_2023[[#This Row],[Sales Amount]]-JUN_2023[[#This Row],[Cost]])/JUN_2023[[#This Row],[CNTR AMOUNT]],JUN_2023[[#This Row],[Sales Amount]]-JUN_2023[[#This Row],[Cost]])</f>
        <v>485</v>
      </c>
      <c r="X107" s="1050">
        <f>IFERROR((JUN_2023[[#This Row],[Sales Amount]]-JUN_2023[[#This Row],[Cost]])/JUN_2023[[#This Row],[Cost]],"-")</f>
        <v>0.52717391304347827</v>
      </c>
      <c r="Y107" s="850"/>
      <c r="Z107" s="850"/>
    </row>
    <row r="108" spans="1:26" s="723" customFormat="1" hidden="1">
      <c r="A108" s="967" t="s">
        <v>165</v>
      </c>
      <c r="B108" s="967" t="s">
        <v>444</v>
      </c>
      <c r="C108" s="1104" t="s">
        <v>28</v>
      </c>
      <c r="D108" s="1100">
        <v>45091</v>
      </c>
      <c r="E108" s="1101">
        <v>45102</v>
      </c>
      <c r="F108" s="1104" t="s">
        <v>167</v>
      </c>
      <c r="G108" s="800" t="s">
        <v>46</v>
      </c>
      <c r="H108" s="946">
        <v>45105</v>
      </c>
      <c r="I108" s="967" t="s">
        <v>445</v>
      </c>
      <c r="J108" s="800" t="s">
        <v>440</v>
      </c>
      <c r="K108" s="1299" t="s">
        <v>441</v>
      </c>
      <c r="L108" s="1140">
        <v>45833</v>
      </c>
      <c r="M108" s="1332">
        <v>45104</v>
      </c>
      <c r="N108" s="961">
        <v>45104</v>
      </c>
      <c r="O108" s="1100">
        <v>45107</v>
      </c>
      <c r="P108" s="723" t="s">
        <v>446</v>
      </c>
      <c r="Q108" s="967" t="s">
        <v>170</v>
      </c>
      <c r="R108" s="967" t="s">
        <v>36</v>
      </c>
      <c r="S108" s="850"/>
      <c r="T108" s="850">
        <v>570</v>
      </c>
      <c r="U108" s="850">
        <v>490</v>
      </c>
      <c r="V108" s="850"/>
      <c r="W108" s="850">
        <f>IFERROR((JUN_2023[[#This Row],[Sales Amount]]-JUN_2023[[#This Row],[Cost]])/JUN_2023[[#This Row],[CNTR AMOUNT]],JUN_2023[[#This Row],[Sales Amount]]-JUN_2023[[#This Row],[Cost]])</f>
        <v>80</v>
      </c>
      <c r="X108" s="1050">
        <f>IFERROR((JUN_2023[[#This Row],[Sales Amount]]-JUN_2023[[#This Row],[Cost]])/JUN_2023[[#This Row],[Cost]],"-")</f>
        <v>0.16326530612244897</v>
      </c>
      <c r="Y108" s="850"/>
      <c r="Z108" s="850"/>
    </row>
    <row r="109" spans="1:26" s="106" customFormat="1" hidden="1">
      <c r="A109" s="1124" t="s">
        <v>165</v>
      </c>
      <c r="B109" s="1124" t="s">
        <v>447</v>
      </c>
      <c r="C109" s="1124" t="s">
        <v>200</v>
      </c>
      <c r="D109" s="1169">
        <v>45096</v>
      </c>
      <c r="E109" s="1169">
        <v>45105</v>
      </c>
      <c r="F109" s="1124" t="s">
        <v>167</v>
      </c>
      <c r="G109" s="1159" t="s">
        <v>46</v>
      </c>
      <c r="H109" s="946">
        <v>45108</v>
      </c>
      <c r="I109" s="967" t="s">
        <v>261</v>
      </c>
      <c r="J109" s="800" t="s">
        <v>32</v>
      </c>
      <c r="K109" s="1126" t="s">
        <v>448</v>
      </c>
      <c r="L109" s="1140"/>
      <c r="M109" s="4587"/>
      <c r="N109" s="800"/>
      <c r="O109" s="1100"/>
      <c r="P109" s="1173" t="s">
        <v>449</v>
      </c>
      <c r="Q109" s="967" t="s">
        <v>170</v>
      </c>
      <c r="R109" s="967" t="s">
        <v>51</v>
      </c>
      <c r="S109" s="43"/>
      <c r="T109" s="850">
        <v>4440</v>
      </c>
      <c r="U109" s="850">
        <v>3480</v>
      </c>
      <c r="V109" s="850"/>
      <c r="W109" s="850">
        <f>IFERROR((JUN_2023[[#This Row],[Sales Amount]]-JUN_2023[[#This Row],[Cost]])/JUN_2023[[#This Row],[CNTR AMOUNT]],JUN_2023[[#This Row],[Sales Amount]]-JUN_2023[[#This Row],[Cost]])</f>
        <v>960</v>
      </c>
      <c r="X109" s="1050">
        <f>IFERROR((JUN_2023[[#This Row],[Sales Amount]]-JUN_2023[[#This Row],[Cost]])/JUN_2023[[#This Row],[Cost]],"-")</f>
        <v>0.27586206896551724</v>
      </c>
      <c r="Y109" s="850"/>
      <c r="Z109" s="850"/>
    </row>
    <row r="110" spans="1:26" s="106" customFormat="1" hidden="1">
      <c r="A110" s="1124" t="s">
        <v>165</v>
      </c>
      <c r="B110" s="1124" t="s">
        <v>450</v>
      </c>
      <c r="C110" s="1124" t="s">
        <v>451</v>
      </c>
      <c r="D110" s="1169">
        <v>45096</v>
      </c>
      <c r="E110" s="1169">
        <v>45105</v>
      </c>
      <c r="F110" s="1124" t="s">
        <v>167</v>
      </c>
      <c r="G110" s="1159" t="s">
        <v>46</v>
      </c>
      <c r="H110" s="946">
        <v>45108</v>
      </c>
      <c r="I110" s="967" t="s">
        <v>290</v>
      </c>
      <c r="J110" s="800" t="s">
        <v>32</v>
      </c>
      <c r="K110" s="1126" t="s">
        <v>448</v>
      </c>
      <c r="L110" s="1140" t="s">
        <v>452</v>
      </c>
      <c r="M110" s="1172">
        <v>45107</v>
      </c>
      <c r="N110" s="962"/>
      <c r="O110" s="1100"/>
      <c r="P110" s="1173" t="s">
        <v>449</v>
      </c>
      <c r="Q110" s="967" t="s">
        <v>170</v>
      </c>
      <c r="R110" s="967" t="s">
        <v>51</v>
      </c>
      <c r="S110" s="850"/>
      <c r="T110" s="850">
        <v>4440</v>
      </c>
      <c r="U110" s="850">
        <v>3480</v>
      </c>
      <c r="V110" s="850"/>
      <c r="W110" s="850">
        <f>IFERROR((JUN_2023[[#This Row],[Sales Amount]]-JUN_2023[[#This Row],[Cost]])/JUN_2023[[#This Row],[CNTR AMOUNT]],JUN_2023[[#This Row],[Sales Amount]]-JUN_2023[[#This Row],[Cost]])</f>
        <v>960</v>
      </c>
      <c r="X110" s="1050">
        <f>IFERROR((JUN_2023[[#This Row],[Sales Amount]]-JUN_2023[[#This Row],[Cost]])/JUN_2023[[#This Row],[Cost]],"-")</f>
        <v>0.27586206896551724</v>
      </c>
      <c r="Y110" s="850"/>
      <c r="Z110" s="850"/>
    </row>
    <row r="111" spans="1:26" s="147" customFormat="1" hidden="1">
      <c r="A111" s="23" t="s">
        <v>198</v>
      </c>
      <c r="B111" s="23" t="s">
        <v>453</v>
      </c>
      <c r="C111" s="23" t="s">
        <v>200</v>
      </c>
      <c r="D111" s="57">
        <v>45085</v>
      </c>
      <c r="E111" s="54">
        <v>45106</v>
      </c>
      <c r="F111" s="23" t="s">
        <v>167</v>
      </c>
      <c r="G111" s="14" t="s">
        <v>201</v>
      </c>
      <c r="H111" s="946">
        <v>45104</v>
      </c>
      <c r="I111" s="1117" t="s">
        <v>454</v>
      </c>
      <c r="J111" s="58" t="s">
        <v>203</v>
      </c>
      <c r="K111" s="710" t="s">
        <v>204</v>
      </c>
      <c r="L111" s="1171" t="s">
        <v>455</v>
      </c>
      <c r="M111" s="1118">
        <v>45103</v>
      </c>
      <c r="N111" s="844">
        <v>45103</v>
      </c>
      <c r="O111" s="1110">
        <v>45104</v>
      </c>
      <c r="P111" s="727" t="s">
        <v>456</v>
      </c>
      <c r="Q111" s="710" t="s">
        <v>35</v>
      </c>
      <c r="R111" s="710" t="s">
        <v>36</v>
      </c>
      <c r="S111" s="710" t="s">
        <v>37</v>
      </c>
      <c r="T111" s="85">
        <v>815</v>
      </c>
      <c r="U111" s="85">
        <v>645</v>
      </c>
      <c r="V111" s="85"/>
      <c r="W111" s="85">
        <f>IFERROR((JUN_2023[[#This Row],[Sales Amount]]-JUN_2023[[#This Row],[Cost]])/JUN_2023[[#This Row],[CNTR AMOUNT]],JUN_2023[[#This Row],[Sales Amount]]-JUN_2023[[#This Row],[Cost]])</f>
        <v>170</v>
      </c>
      <c r="X111" s="927">
        <f>IFERROR((JUN_2023[[#This Row],[Sales Amount]]-JUN_2023[[#This Row],[Cost]])/JUN_2023[[#This Row],[Cost]],"-")</f>
        <v>0.26356589147286824</v>
      </c>
      <c r="Y111" s="85"/>
      <c r="Z111" s="85"/>
    </row>
    <row r="112" spans="1:26" s="147" customFormat="1" hidden="1">
      <c r="A112" s="23" t="s">
        <v>171</v>
      </c>
      <c r="B112" s="14" t="s">
        <v>457</v>
      </c>
      <c r="C112" s="23" t="s">
        <v>28</v>
      </c>
      <c r="D112" s="57">
        <v>45096</v>
      </c>
      <c r="E112" s="54">
        <v>45106</v>
      </c>
      <c r="F112" s="23" t="s">
        <v>326</v>
      </c>
      <c r="G112" s="14" t="s">
        <v>46</v>
      </c>
      <c r="H112" s="946">
        <v>45107</v>
      </c>
      <c r="I112" s="23"/>
      <c r="J112" s="14" t="s">
        <v>32</v>
      </c>
      <c r="K112" s="23" t="s">
        <v>174</v>
      </c>
      <c r="L112" s="1171" t="s">
        <v>458</v>
      </c>
      <c r="M112" s="128">
        <v>45109</v>
      </c>
      <c r="N112" s="98">
        <v>45107</v>
      </c>
      <c r="O112" s="57">
        <v>45107</v>
      </c>
      <c r="P112" s="1059" t="s">
        <v>459</v>
      </c>
      <c r="Q112" s="12" t="s">
        <v>35</v>
      </c>
      <c r="R112" s="23" t="s">
        <v>36</v>
      </c>
      <c r="S112" s="23" t="s">
        <v>37</v>
      </c>
      <c r="T112" s="85">
        <v>940</v>
      </c>
      <c r="U112" s="85">
        <v>751</v>
      </c>
      <c r="V112" s="85"/>
      <c r="W112" s="85">
        <f>IFERROR((JUN_2023[[#This Row],[Sales Amount]]-JUN_2023[[#This Row],[Cost]])/JUN_2023[[#This Row],[CNTR AMOUNT]],JUN_2023[[#This Row],[Sales Amount]]-JUN_2023[[#This Row],[Cost]])</f>
        <v>189</v>
      </c>
      <c r="X112" s="927">
        <f>IFERROR((JUN_2023[[#This Row],[Sales Amount]]-JUN_2023[[#This Row],[Cost]])/JUN_2023[[#This Row],[Cost]],"-")</f>
        <v>0.25166444740346205</v>
      </c>
      <c r="Y112" s="85"/>
      <c r="Z112" s="85"/>
    </row>
    <row r="113" spans="1:26" s="147" customFormat="1" hidden="1">
      <c r="A113" s="1124" t="s">
        <v>165</v>
      </c>
      <c r="B113" s="1124" t="s">
        <v>460</v>
      </c>
      <c r="C113" s="853" t="s">
        <v>200</v>
      </c>
      <c r="D113" s="1169">
        <v>45096</v>
      </c>
      <c r="E113" s="1169">
        <v>45105</v>
      </c>
      <c r="F113" s="853" t="s">
        <v>167</v>
      </c>
      <c r="G113" s="1159" t="s">
        <v>46</v>
      </c>
      <c r="H113" s="946">
        <v>45110</v>
      </c>
      <c r="I113" s="967" t="s">
        <v>104</v>
      </c>
      <c r="J113" s="800" t="s">
        <v>32</v>
      </c>
      <c r="K113" s="1159" t="s">
        <v>448</v>
      </c>
      <c r="L113" s="1140" t="s">
        <v>461</v>
      </c>
      <c r="M113" s="1172">
        <v>45107</v>
      </c>
      <c r="N113" s="800"/>
      <c r="O113" s="1100"/>
      <c r="P113" s="1170" t="s">
        <v>449</v>
      </c>
      <c r="Q113" s="800" t="s">
        <v>170</v>
      </c>
      <c r="R113" s="967" t="s">
        <v>51</v>
      </c>
      <c r="S113" s="850"/>
      <c r="T113" s="850">
        <v>4440</v>
      </c>
      <c r="U113" s="850">
        <v>3480</v>
      </c>
      <c r="V113" s="850"/>
      <c r="W113" s="850">
        <f>IFERROR((JUN_2023[[#This Row],[Sales Amount]]-JUN_2023[[#This Row],[Cost]])/JUN_2023[[#This Row],[CNTR AMOUNT]],JUN_2023[[#This Row],[Sales Amount]]-JUN_2023[[#This Row],[Cost]])</f>
        <v>960</v>
      </c>
      <c r="X113" s="1050">
        <f>IFERROR((JUN_2023[[#This Row],[Sales Amount]]-JUN_2023[[#This Row],[Cost]])/JUN_2023[[#This Row],[Cost]],"-")</f>
        <v>0.27586206896551724</v>
      </c>
      <c r="Y113" s="850"/>
      <c r="Z113" s="850"/>
    </row>
    <row r="114" spans="1:26" s="147" customFormat="1" hidden="1">
      <c r="A114" s="1117" t="s">
        <v>219</v>
      </c>
      <c r="B114" s="915" t="s">
        <v>462</v>
      </c>
      <c r="C114" s="710" t="s">
        <v>200</v>
      </c>
      <c r="D114" s="1110">
        <v>45091</v>
      </c>
      <c r="E114" s="1066">
        <v>45106</v>
      </c>
      <c r="F114" s="710" t="s">
        <v>151</v>
      </c>
      <c r="G114" s="58" t="s">
        <v>46</v>
      </c>
      <c r="H114" s="946">
        <v>45120</v>
      </c>
      <c r="I114" s="1117" t="s">
        <v>104</v>
      </c>
      <c r="J114" s="58" t="s">
        <v>463</v>
      </c>
      <c r="K114" s="710" t="s">
        <v>464</v>
      </c>
      <c r="L114" s="1171" t="s">
        <v>465</v>
      </c>
      <c r="M114" s="1118" t="s">
        <v>466</v>
      </c>
      <c r="N114" s="1115">
        <v>45118</v>
      </c>
      <c r="O114" s="1110">
        <v>45120</v>
      </c>
      <c r="P114" s="727" t="s">
        <v>467</v>
      </c>
      <c r="Q114" s="18" t="s">
        <v>35</v>
      </c>
      <c r="R114" s="710" t="s">
        <v>36</v>
      </c>
      <c r="S114" s="710" t="s">
        <v>37</v>
      </c>
      <c r="T114" s="85">
        <v>1322.5</v>
      </c>
      <c r="U114" s="85">
        <v>872.44</v>
      </c>
      <c r="V114" s="85"/>
      <c r="W114" s="85">
        <f>IFERROR((JUN_2023[[#This Row],[Sales Amount]]-JUN_2023[[#This Row],[Cost]])/JUN_2023[[#This Row],[CNTR AMOUNT]],JUN_2023[[#This Row],[Sales Amount]]-JUN_2023[[#This Row],[Cost]])</f>
        <v>450.05999999999995</v>
      </c>
      <c r="X114" s="927">
        <f>IFERROR((JUN_2023[[#This Row],[Sales Amount]]-JUN_2023[[#This Row],[Cost]])/JUN_2023[[#This Row],[Cost]],"-")</f>
        <v>0.51586355508688264</v>
      </c>
      <c r="Y114" s="85"/>
      <c r="Z114" s="85"/>
    </row>
    <row r="115" spans="1:26" s="106" customFormat="1" hidden="1">
      <c r="A115" s="967" t="s">
        <v>468</v>
      </c>
      <c r="B115" s="1314" t="s">
        <v>469</v>
      </c>
      <c r="C115" s="1100" t="s">
        <v>28</v>
      </c>
      <c r="D115" s="1100">
        <v>45106</v>
      </c>
      <c r="E115" s="1196">
        <v>45106</v>
      </c>
      <c r="F115" s="967" t="s">
        <v>93</v>
      </c>
      <c r="G115" s="1159" t="s">
        <v>470</v>
      </c>
      <c r="H115" s="946">
        <v>45113</v>
      </c>
      <c r="I115" s="967"/>
      <c r="J115" s="800" t="s">
        <v>471</v>
      </c>
      <c r="K115" s="967" t="s">
        <v>472</v>
      </c>
      <c r="L115" s="1171"/>
      <c r="M115" s="1100">
        <v>45113</v>
      </c>
      <c r="N115" s="961">
        <v>45112</v>
      </c>
      <c r="O115" s="1100"/>
      <c r="P115" s="1102" t="s">
        <v>473</v>
      </c>
      <c r="Q115" s="962" t="s">
        <v>170</v>
      </c>
      <c r="R115" s="967" t="s">
        <v>51</v>
      </c>
      <c r="S115" s="850"/>
      <c r="T115" s="850">
        <v>3620</v>
      </c>
      <c r="U115" s="850">
        <v>2445</v>
      </c>
      <c r="V115" s="850"/>
      <c r="W115" s="850">
        <f>IFERROR((JUN_2023[[#This Row],[Sales Amount]]-JUN_2023[[#This Row],[Cost]])/JUN_2023[[#This Row],[CNTR AMOUNT]],JUN_2023[[#This Row],[Sales Amount]]-JUN_2023[[#This Row],[Cost]])</f>
        <v>1175</v>
      </c>
      <c r="X115" s="1050">
        <f>IFERROR((JUN_2023[[#This Row],[Sales Amount]]-JUN_2023[[#This Row],[Cost]])/JUN_2023[[#This Row],[Cost]],"-")</f>
        <v>0.48057259713701433</v>
      </c>
      <c r="Y115" s="850"/>
      <c r="Z115" s="850"/>
    </row>
    <row r="116" spans="1:26" s="36" customFormat="1" hidden="1">
      <c r="A116" s="967" t="s">
        <v>468</v>
      </c>
      <c r="B116" s="1273" t="s">
        <v>474</v>
      </c>
      <c r="C116" s="967" t="s">
        <v>28</v>
      </c>
      <c r="D116" s="1100">
        <v>45106</v>
      </c>
      <c r="E116" s="1196">
        <v>45106</v>
      </c>
      <c r="F116" s="967" t="s">
        <v>93</v>
      </c>
      <c r="G116" s="1159" t="s">
        <v>470</v>
      </c>
      <c r="H116" s="946">
        <v>45113</v>
      </c>
      <c r="I116" s="967"/>
      <c r="J116" s="800" t="s">
        <v>471</v>
      </c>
      <c r="K116" s="967" t="s">
        <v>472</v>
      </c>
      <c r="L116" s="1171"/>
      <c r="M116" s="1100">
        <v>45113</v>
      </c>
      <c r="N116" s="1127">
        <v>45112</v>
      </c>
      <c r="O116" s="1100"/>
      <c r="P116" s="1102" t="s">
        <v>473</v>
      </c>
      <c r="Q116" s="962" t="s">
        <v>170</v>
      </c>
      <c r="R116" s="800" t="s">
        <v>51</v>
      </c>
      <c r="S116" s="850"/>
      <c r="T116" s="850">
        <v>3620</v>
      </c>
      <c r="U116" s="850">
        <v>2445</v>
      </c>
      <c r="V116" s="850"/>
      <c r="W116" s="850">
        <f>IFERROR((JUN_2023[[#This Row],[Sales Amount]]-JUN_2023[[#This Row],[Cost]])/JUN_2023[[#This Row],[CNTR AMOUNT]],JUN_2023[[#This Row],[Sales Amount]]-JUN_2023[[#This Row],[Cost]])</f>
        <v>1175</v>
      </c>
      <c r="X116" s="1050">
        <f>IFERROR((JUN_2023[[#This Row],[Sales Amount]]-JUN_2023[[#This Row],[Cost]])/JUN_2023[[#This Row],[Cost]],"-")</f>
        <v>0.48057259713701433</v>
      </c>
      <c r="Y116" s="850"/>
      <c r="Z116" s="850"/>
    </row>
    <row r="117" spans="1:26" s="147" customFormat="1" ht="105">
      <c r="A117" s="4099" t="s">
        <v>319</v>
      </c>
      <c r="B117" s="4087" t="s">
        <v>475</v>
      </c>
      <c r="C117" s="1064" t="s">
        <v>44</v>
      </c>
      <c r="D117" s="1238">
        <v>45106</v>
      </c>
      <c r="E117" s="1239">
        <v>45106</v>
      </c>
      <c r="F117" s="745" t="s">
        <v>135</v>
      </c>
      <c r="G117" s="1226" t="s">
        <v>159</v>
      </c>
      <c r="H117" s="946">
        <v>45113</v>
      </c>
      <c r="I117" s="1249">
        <v>0.33333333333333331</v>
      </c>
      <c r="J117" s="745" t="s">
        <v>476</v>
      </c>
      <c r="K117" s="4087" t="s">
        <v>477</v>
      </c>
      <c r="L117" s="1171"/>
      <c r="M117" s="1238">
        <v>45117</v>
      </c>
      <c r="N117" s="1241">
        <v>45110</v>
      </c>
      <c r="O117" s="1238">
        <v>45113</v>
      </c>
      <c r="P117" s="4108" t="s">
        <v>478</v>
      </c>
      <c r="Q117" s="745" t="s">
        <v>75</v>
      </c>
      <c r="R117" s="4099" t="s">
        <v>479</v>
      </c>
      <c r="S117" s="1064">
        <v>4</v>
      </c>
      <c r="T117" s="1064">
        <v>1470</v>
      </c>
      <c r="U117" s="1064">
        <v>1335</v>
      </c>
      <c r="V117" s="1064"/>
      <c r="W117" s="1064">
        <f>IFERROR((JUN_2023[[#This Row],[Sales Amount]]-JUN_2023[[#This Row],[Cost]])/JUN_2023[[#This Row],[CNTR AMOUNT]],JUN_2023[[#This Row],[Sales Amount]]-JUN_2023[[#This Row],[Cost]])</f>
        <v>135</v>
      </c>
      <c r="X117" s="1242">
        <f>IFERROR((JUN_2023[[#This Row],[Sales Amount]]-JUN_2023[[#This Row],[Cost]])/JUN_2023[[#This Row],[Cost]],"-")</f>
        <v>0.10112359550561797</v>
      </c>
      <c r="Y117" s="1064"/>
      <c r="Z117" s="1064"/>
    </row>
    <row r="118" spans="1:26" s="106" customFormat="1" ht="120">
      <c r="A118" s="4099" t="s">
        <v>319</v>
      </c>
      <c r="B118" s="4086" t="s">
        <v>480</v>
      </c>
      <c r="C118" s="1064" t="s">
        <v>44</v>
      </c>
      <c r="D118" s="1238">
        <v>45106</v>
      </c>
      <c r="E118" s="1239">
        <v>45106</v>
      </c>
      <c r="F118" s="1064" t="s">
        <v>135</v>
      </c>
      <c r="G118" s="1226" t="s">
        <v>159</v>
      </c>
      <c r="H118" s="946">
        <v>45118</v>
      </c>
      <c r="I118" s="1322">
        <v>0.75</v>
      </c>
      <c r="J118" s="745" t="s">
        <v>476</v>
      </c>
      <c r="K118" s="4087" t="s">
        <v>481</v>
      </c>
      <c r="L118" s="1171"/>
      <c r="M118" s="1238">
        <v>45117</v>
      </c>
      <c r="N118" s="1241">
        <v>45117</v>
      </c>
      <c r="O118" s="1238">
        <v>45119</v>
      </c>
      <c r="P118" s="4109" t="s">
        <v>482</v>
      </c>
      <c r="Q118" s="1219" t="s">
        <v>75</v>
      </c>
      <c r="R118" s="1064" t="s">
        <v>483</v>
      </c>
      <c r="S118" s="1064">
        <v>4</v>
      </c>
      <c r="T118" s="1064">
        <v>1415</v>
      </c>
      <c r="U118" s="1064">
        <v>1205</v>
      </c>
      <c r="V118" s="1064"/>
      <c r="W118" s="1064">
        <f>IFERROR((JUN_2023[[#This Row],[Sales Amount]]-JUN_2023[[#This Row],[Cost]])/JUN_2023[[#This Row],[CNTR AMOUNT]],JUN_2023[[#This Row],[Sales Amount]]-JUN_2023[[#This Row],[Cost]])</f>
        <v>210</v>
      </c>
      <c r="X118" s="1242">
        <f>IFERROR((JUN_2023[[#This Row],[Sales Amount]]-JUN_2023[[#This Row],[Cost]])/JUN_2023[[#This Row],[Cost]],"-")</f>
        <v>0.17427385892116182</v>
      </c>
      <c r="Y118" s="1064"/>
      <c r="Z118" s="1064"/>
    </row>
    <row r="119" spans="1:26" s="106" customFormat="1" ht="75">
      <c r="A119" s="1064" t="s">
        <v>68</v>
      </c>
      <c r="B119" s="4090" t="s">
        <v>484</v>
      </c>
      <c r="C119" s="1064" t="s">
        <v>28</v>
      </c>
      <c r="D119" s="1238">
        <v>45099</v>
      </c>
      <c r="E119" s="1239">
        <v>45107</v>
      </c>
      <c r="F119" s="1064" t="s">
        <v>45</v>
      </c>
      <c r="G119" s="1248" t="s">
        <v>70</v>
      </c>
      <c r="H119" s="946">
        <v>45110</v>
      </c>
      <c r="I119" s="1219"/>
      <c r="J119" s="745" t="s">
        <v>72</v>
      </c>
      <c r="K119" s="4087" t="s">
        <v>73</v>
      </c>
      <c r="L119" s="1171" t="s">
        <v>485</v>
      </c>
      <c r="M119" s="1250">
        <v>45108</v>
      </c>
      <c r="N119" s="1241">
        <v>45108</v>
      </c>
      <c r="O119" s="1250">
        <v>45110</v>
      </c>
      <c r="P119" s="4110" t="s">
        <v>486</v>
      </c>
      <c r="Q119" s="1219" t="s">
        <v>75</v>
      </c>
      <c r="R119" s="4099" t="s">
        <v>487</v>
      </c>
      <c r="S119" s="1064" t="s">
        <v>67</v>
      </c>
      <c r="T119" s="1219">
        <v>925</v>
      </c>
      <c r="U119" s="1219">
        <v>1215.05</v>
      </c>
      <c r="V119" s="1219"/>
      <c r="W119" s="1219">
        <f>IFERROR((JUN_2023[[#This Row],[Sales Amount]]-JUN_2023[[#This Row],[Cost]])/JUN_2023[[#This Row],[CNTR AMOUNT]],JUN_2023[[#This Row],[Sales Amount]]-JUN_2023[[#This Row],[Cost]])</f>
        <v>-290.04999999999995</v>
      </c>
      <c r="X119" s="1252">
        <f>IFERROR((JUN_2023[[#This Row],[Sales Amount]]-JUN_2023[[#This Row],[Cost]])/JUN_2023[[#This Row],[Cost]],"-")</f>
        <v>-0.23871445619521828</v>
      </c>
      <c r="Y119" s="1219"/>
      <c r="Z119" s="1219"/>
    </row>
    <row r="120" spans="1:26" s="106" customFormat="1" hidden="1">
      <c r="A120" s="967" t="s">
        <v>468</v>
      </c>
      <c r="B120" s="1126" t="s">
        <v>488</v>
      </c>
      <c r="C120" s="967" t="s">
        <v>200</v>
      </c>
      <c r="D120" s="1100">
        <v>45096</v>
      </c>
      <c r="E120" s="1210">
        <v>45107</v>
      </c>
      <c r="F120" s="1126" t="s">
        <v>93</v>
      </c>
      <c r="G120" s="800" t="s">
        <v>489</v>
      </c>
      <c r="H120" s="946">
        <v>45110</v>
      </c>
      <c r="I120" s="967" t="s">
        <v>445</v>
      </c>
      <c r="J120" s="800" t="s">
        <v>490</v>
      </c>
      <c r="K120" s="1124" t="s">
        <v>491</v>
      </c>
      <c r="L120" s="1171" t="s">
        <v>492</v>
      </c>
      <c r="M120" s="1100"/>
      <c r="N120" s="946">
        <v>45109</v>
      </c>
      <c r="O120" s="1100"/>
      <c r="P120" s="4111" t="s">
        <v>493</v>
      </c>
      <c r="Q120" s="967" t="s">
        <v>170</v>
      </c>
      <c r="R120" s="967" t="s">
        <v>51</v>
      </c>
      <c r="S120" s="850"/>
      <c r="T120" s="850">
        <v>2610</v>
      </c>
      <c r="U120" s="850">
        <v>1502.5</v>
      </c>
      <c r="V120" s="850"/>
      <c r="W120" s="850">
        <f>IFERROR((JUN_2023[[#This Row],[Sales Amount]]-JUN_2023[[#This Row],[Cost]])/JUN_2023[[#This Row],[CNTR AMOUNT]],JUN_2023[[#This Row],[Sales Amount]]-JUN_2023[[#This Row],[Cost]])</f>
        <v>1107.5</v>
      </c>
      <c r="X120" s="1050">
        <f>IFERROR((JUN_2023[[#This Row],[Sales Amount]]-JUN_2023[[#This Row],[Cost]])/JUN_2023[[#This Row],[Cost]],"-")</f>
        <v>0.73710482529118138</v>
      </c>
      <c r="Y120" s="850"/>
      <c r="Z120" s="850"/>
    </row>
    <row r="121" spans="1:26" s="106" customFormat="1" hidden="1">
      <c r="A121" s="967" t="s">
        <v>468</v>
      </c>
      <c r="B121" s="1126" t="s">
        <v>494</v>
      </c>
      <c r="C121" s="967" t="s">
        <v>200</v>
      </c>
      <c r="D121" s="1100">
        <v>45096</v>
      </c>
      <c r="E121" s="1210">
        <v>45107</v>
      </c>
      <c r="F121" s="1126" t="s">
        <v>93</v>
      </c>
      <c r="G121" s="800" t="s">
        <v>489</v>
      </c>
      <c r="H121" s="946">
        <v>45110</v>
      </c>
      <c r="I121" s="967" t="s">
        <v>495</v>
      </c>
      <c r="J121" s="800" t="s">
        <v>490</v>
      </c>
      <c r="K121" s="1124" t="s">
        <v>491</v>
      </c>
      <c r="L121" s="1171" t="s">
        <v>496</v>
      </c>
      <c r="M121" s="1100"/>
      <c r="N121" s="946">
        <v>45109</v>
      </c>
      <c r="O121" s="1100"/>
      <c r="P121" s="4111" t="s">
        <v>493</v>
      </c>
      <c r="Q121" s="967" t="s">
        <v>170</v>
      </c>
      <c r="R121" s="967" t="s">
        <v>51</v>
      </c>
      <c r="S121" s="850"/>
      <c r="T121" s="850">
        <v>2610</v>
      </c>
      <c r="U121" s="850">
        <v>1502.5</v>
      </c>
      <c r="V121" s="850"/>
      <c r="W121" s="850">
        <f>IFERROR((JUN_2023[[#This Row],[Sales Amount]]-JUN_2023[[#This Row],[Cost]])/JUN_2023[[#This Row],[CNTR AMOUNT]],JUN_2023[[#This Row],[Sales Amount]]-JUN_2023[[#This Row],[Cost]])</f>
        <v>1107.5</v>
      </c>
      <c r="X121" s="1050">
        <f>IFERROR((JUN_2023[[#This Row],[Sales Amount]]-JUN_2023[[#This Row],[Cost]])/JUN_2023[[#This Row],[Cost]],"-")</f>
        <v>0.73710482529118138</v>
      </c>
      <c r="Y121" s="850"/>
      <c r="Z121" s="850"/>
    </row>
    <row r="122" spans="1:26" s="106" customFormat="1" hidden="1">
      <c r="A122" s="962" t="s">
        <v>497</v>
      </c>
      <c r="B122" s="967" t="s">
        <v>498</v>
      </c>
      <c r="C122" s="967" t="s">
        <v>44</v>
      </c>
      <c r="D122" s="1100">
        <v>45097</v>
      </c>
      <c r="E122" s="1101">
        <v>45107</v>
      </c>
      <c r="F122" s="967" t="s">
        <v>93</v>
      </c>
      <c r="G122" s="800" t="s">
        <v>46</v>
      </c>
      <c r="H122" s="946">
        <v>45112</v>
      </c>
      <c r="I122" s="967"/>
      <c r="J122" s="800" t="s">
        <v>363</v>
      </c>
      <c r="K122" s="967" t="s">
        <v>499</v>
      </c>
      <c r="L122" s="1171" t="s">
        <v>500</v>
      </c>
      <c r="M122" s="946">
        <v>45112</v>
      </c>
      <c r="N122" s="961">
        <v>45111</v>
      </c>
      <c r="O122" s="1100">
        <v>45112</v>
      </c>
      <c r="P122" s="1157" t="s">
        <v>501</v>
      </c>
      <c r="Q122" s="967" t="s">
        <v>50</v>
      </c>
      <c r="R122" s="967" t="s">
        <v>51</v>
      </c>
      <c r="S122" s="967"/>
      <c r="T122" s="967"/>
      <c r="U122" s="967"/>
      <c r="V122" s="967"/>
      <c r="W122" s="967">
        <f>IFERROR((JUN_2023[[#This Row],[Sales Amount]]-JUN_2023[[#This Row],[Cost]])/JUN_2023[[#This Row],[CNTR AMOUNT]],JUN_2023[[#This Row],[Sales Amount]]-JUN_2023[[#This Row],[Cost]])</f>
        <v>0</v>
      </c>
      <c r="X122" s="1150" t="str">
        <f>IFERROR((JUN_2023[[#This Row],[Sales Amount]]-JUN_2023[[#This Row],[Cost]])/JUN_2023[[#This Row],[Cost]],"-")</f>
        <v>-</v>
      </c>
      <c r="Y122" s="967"/>
      <c r="Z122" s="967"/>
    </row>
    <row r="123" spans="1:26" s="147" customFormat="1" hidden="1">
      <c r="A123" s="962" t="s">
        <v>468</v>
      </c>
      <c r="B123" s="1160" t="s">
        <v>502</v>
      </c>
      <c r="C123" s="967" t="s">
        <v>200</v>
      </c>
      <c r="D123" s="1100">
        <v>45096</v>
      </c>
      <c r="E123" s="1196">
        <v>45108</v>
      </c>
      <c r="F123" s="967" t="s">
        <v>93</v>
      </c>
      <c r="G123" s="800" t="s">
        <v>46</v>
      </c>
      <c r="H123" s="946">
        <v>45112</v>
      </c>
      <c r="I123" s="967" t="s">
        <v>503</v>
      </c>
      <c r="J123" s="800" t="s">
        <v>32</v>
      </c>
      <c r="K123" s="1124" t="s">
        <v>504</v>
      </c>
      <c r="L123" s="1171" t="s">
        <v>505</v>
      </c>
      <c r="M123" s="1100">
        <v>45110</v>
      </c>
      <c r="N123" s="946">
        <v>45110</v>
      </c>
      <c r="O123" s="1100"/>
      <c r="P123" s="1102" t="s">
        <v>473</v>
      </c>
      <c r="Q123" s="967" t="s">
        <v>170</v>
      </c>
      <c r="R123" s="967" t="s">
        <v>36</v>
      </c>
      <c r="S123" s="850"/>
      <c r="T123" s="850">
        <v>1822.5</v>
      </c>
      <c r="U123" s="850">
        <v>1314</v>
      </c>
      <c r="V123" s="850"/>
      <c r="W123" s="850">
        <f>IFERROR((JUN_2023[[#This Row],[Sales Amount]]-JUN_2023[[#This Row],[Cost]])/JUN_2023[[#This Row],[CNTR AMOUNT]],JUN_2023[[#This Row],[Sales Amount]]-JUN_2023[[#This Row],[Cost]])</f>
        <v>508.5</v>
      </c>
      <c r="X123" s="1050">
        <f>IFERROR((JUN_2023[[#This Row],[Sales Amount]]-JUN_2023[[#This Row],[Cost]])/JUN_2023[[#This Row],[Cost]],"-")</f>
        <v>0.38698630136986301</v>
      </c>
      <c r="Y123" s="850"/>
      <c r="Z123" s="850"/>
    </row>
    <row r="124" spans="1:26" s="106" customFormat="1" hidden="1">
      <c r="A124" s="1129" t="s">
        <v>165</v>
      </c>
      <c r="B124" s="1124" t="s">
        <v>506</v>
      </c>
      <c r="C124" s="1124" t="s">
        <v>451</v>
      </c>
      <c r="D124" s="1169">
        <v>45096</v>
      </c>
      <c r="E124" s="1169">
        <v>45105</v>
      </c>
      <c r="F124" s="1124" t="s">
        <v>167</v>
      </c>
      <c r="G124" s="1159" t="s">
        <v>46</v>
      </c>
      <c r="H124" s="946">
        <v>45110</v>
      </c>
      <c r="I124" s="967" t="s">
        <v>178</v>
      </c>
      <c r="J124" s="800" t="s">
        <v>32</v>
      </c>
      <c r="K124" s="1126" t="s">
        <v>448</v>
      </c>
      <c r="L124" s="1140" t="s">
        <v>507</v>
      </c>
      <c r="M124" s="1172">
        <v>45107</v>
      </c>
      <c r="N124" s="800"/>
      <c r="O124" s="1100"/>
      <c r="P124" s="1173" t="s">
        <v>449</v>
      </c>
      <c r="Q124" s="967" t="s">
        <v>170</v>
      </c>
      <c r="R124" s="967" t="s">
        <v>51</v>
      </c>
      <c r="S124" s="850"/>
      <c r="T124" s="850">
        <v>4440</v>
      </c>
      <c r="U124" s="850">
        <v>3480</v>
      </c>
      <c r="V124" s="850"/>
      <c r="W124" s="850">
        <f>IFERROR((JUN_2023[[#This Row],[Sales Amount]]-JUN_2023[[#This Row],[Cost]])/JUN_2023[[#This Row],[CNTR AMOUNT]],JUN_2023[[#This Row],[Sales Amount]]-JUN_2023[[#This Row],[Cost]])</f>
        <v>960</v>
      </c>
      <c r="X124" s="1050">
        <f>IFERROR((JUN_2023[[#This Row],[Sales Amount]]-JUN_2023[[#This Row],[Cost]])/JUN_2023[[#This Row],[Cost]],"-")</f>
        <v>0.27586206896551724</v>
      </c>
      <c r="Y124" s="850"/>
      <c r="Z124" s="850"/>
    </row>
    <row r="125" spans="1:26" s="117" customFormat="1" hidden="1">
      <c r="A125" s="962" t="s">
        <v>468</v>
      </c>
      <c r="B125" s="1159" t="s">
        <v>508</v>
      </c>
      <c r="C125" s="1126" t="s">
        <v>28</v>
      </c>
      <c r="D125" s="1191">
        <v>45107</v>
      </c>
      <c r="E125" s="1169">
        <v>45108</v>
      </c>
      <c r="F125" s="1124" t="s">
        <v>45</v>
      </c>
      <c r="G125" s="1159" t="s">
        <v>509</v>
      </c>
      <c r="H125" s="946">
        <v>45113</v>
      </c>
      <c r="I125" s="1323">
        <v>0.52083333333333337</v>
      </c>
      <c r="J125" s="800" t="s">
        <v>510</v>
      </c>
      <c r="K125" s="967" t="s">
        <v>511</v>
      </c>
      <c r="L125" s="1171"/>
      <c r="M125" s="946"/>
      <c r="N125" s="946">
        <v>45113</v>
      </c>
      <c r="O125" s="1100"/>
      <c r="P125" s="1102" t="s">
        <v>512</v>
      </c>
      <c r="Q125" s="967" t="s">
        <v>170</v>
      </c>
      <c r="R125" s="967" t="s">
        <v>36</v>
      </c>
      <c r="S125" s="43"/>
      <c r="T125" s="850">
        <v>1482.5</v>
      </c>
      <c r="U125" s="850">
        <v>1137.5</v>
      </c>
      <c r="V125" s="850"/>
      <c r="W125" s="850">
        <f>IFERROR((JUN_2023[[#This Row],[Sales Amount]]-JUN_2023[[#This Row],[Cost]])/JUN_2023[[#This Row],[CNTR AMOUNT]],JUN_2023[[#This Row],[Sales Amount]]-JUN_2023[[#This Row],[Cost]])</f>
        <v>345</v>
      </c>
      <c r="X125" s="1050">
        <f>IFERROR((JUN_2023[[#This Row],[Sales Amount]]-JUN_2023[[#This Row],[Cost]])/JUN_2023[[#This Row],[Cost]],"-")</f>
        <v>0.30329670329670327</v>
      </c>
      <c r="Y125" s="850"/>
      <c r="Z125" s="850"/>
    </row>
    <row r="126" spans="1:26" s="147" customFormat="1" hidden="1">
      <c r="A126" s="18" t="s">
        <v>149</v>
      </c>
      <c r="B126" s="1" t="s">
        <v>513</v>
      </c>
      <c r="C126" s="710" t="s">
        <v>28</v>
      </c>
      <c r="D126" s="1110">
        <v>45090</v>
      </c>
      <c r="E126" s="1066">
        <v>45108</v>
      </c>
      <c r="F126" s="710" t="s">
        <v>151</v>
      </c>
      <c r="G126" s="58" t="s">
        <v>152</v>
      </c>
      <c r="H126" s="946">
        <v>45113</v>
      </c>
      <c r="I126" s="1164"/>
      <c r="J126" s="58" t="s">
        <v>154</v>
      </c>
      <c r="K126" s="710" t="s">
        <v>155</v>
      </c>
      <c r="L126" s="1171">
        <v>1967</v>
      </c>
      <c r="M126" s="1115">
        <v>45111</v>
      </c>
      <c r="N126" s="1141">
        <v>45110</v>
      </c>
      <c r="O126" s="1110">
        <v>45113</v>
      </c>
      <c r="P126" s="727" t="s">
        <v>514</v>
      </c>
      <c r="Q126" s="710" t="s">
        <v>35</v>
      </c>
      <c r="R126" s="710" t="s">
        <v>36</v>
      </c>
      <c r="S126" s="710" t="s">
        <v>67</v>
      </c>
      <c r="T126" s="85">
        <v>1230</v>
      </c>
      <c r="U126" s="85">
        <v>1004.8</v>
      </c>
      <c r="V126" s="85"/>
      <c r="W126" s="85">
        <f>IFERROR((JUN_2023[[#This Row],[Sales Amount]]-JUN_2023[[#This Row],[Cost]])/JUN_2023[[#This Row],[CNTR AMOUNT]],JUN_2023[[#This Row],[Sales Amount]]-JUN_2023[[#This Row],[Cost]])</f>
        <v>225.20000000000005</v>
      </c>
      <c r="X126" s="927">
        <f>IFERROR((JUN_2023[[#This Row],[Sales Amount]]-JUN_2023[[#This Row],[Cost]])/JUN_2023[[#This Row],[Cost]],"-")</f>
        <v>0.2241242038216561</v>
      </c>
      <c r="Y126" s="85"/>
      <c r="Z126" s="85"/>
    </row>
    <row r="127" spans="1:26" s="826" customFormat="1" hidden="1">
      <c r="A127" s="710" t="s">
        <v>26</v>
      </c>
      <c r="B127" s="58" t="s">
        <v>515</v>
      </c>
      <c r="C127" s="58" t="s">
        <v>200</v>
      </c>
      <c r="D127" s="1110">
        <v>45096</v>
      </c>
      <c r="E127" s="1066">
        <v>45109</v>
      </c>
      <c r="F127" s="710" t="s">
        <v>167</v>
      </c>
      <c r="G127" s="58" t="s">
        <v>201</v>
      </c>
      <c r="H127" s="946">
        <v>45114</v>
      </c>
      <c r="I127" s="1117" t="s">
        <v>202</v>
      </c>
      <c r="J127" s="58" t="s">
        <v>203</v>
      </c>
      <c r="K127" s="58" t="s">
        <v>204</v>
      </c>
      <c r="L127" s="1171" t="s">
        <v>516</v>
      </c>
      <c r="M127" s="1118">
        <v>45113</v>
      </c>
      <c r="N127" s="844">
        <v>45113</v>
      </c>
      <c r="O127" s="1110">
        <v>45114</v>
      </c>
      <c r="P127" s="727" t="s">
        <v>517</v>
      </c>
      <c r="Q127" s="710" t="s">
        <v>35</v>
      </c>
      <c r="R127" s="85" t="s">
        <v>36</v>
      </c>
      <c r="S127" s="85" t="s">
        <v>37</v>
      </c>
      <c r="T127" s="85">
        <v>790</v>
      </c>
      <c r="U127" s="85">
        <v>745</v>
      </c>
      <c r="V127" s="85"/>
      <c r="W127" s="85">
        <f>IFERROR((JUN_2023[[#This Row],[Sales Amount]]-JUN_2023[[#This Row],[Cost]])/JUN_2023[[#This Row],[CNTR AMOUNT]],JUN_2023[[#This Row],[Sales Amount]]-JUN_2023[[#This Row],[Cost]])</f>
        <v>45</v>
      </c>
      <c r="X127" s="927">
        <f>IFERROR((JUN_2023[[#This Row],[Sales Amount]]-JUN_2023[[#This Row],[Cost]])/JUN_2023[[#This Row],[Cost]],"-")</f>
        <v>6.0402684563758392E-2</v>
      </c>
      <c r="Y127" s="85"/>
      <c r="Z127" s="85"/>
    </row>
    <row r="128" spans="1:26" s="36" customFormat="1" hidden="1">
      <c r="A128" s="12" t="s">
        <v>61</v>
      </c>
      <c r="B128" s="12" t="s">
        <v>518</v>
      </c>
      <c r="C128" s="18" t="s">
        <v>85</v>
      </c>
      <c r="D128" s="661">
        <v>45092</v>
      </c>
      <c r="E128" s="708">
        <v>45109</v>
      </c>
      <c r="F128" s="18" t="s">
        <v>29</v>
      </c>
      <c r="G128" s="58" t="s">
        <v>152</v>
      </c>
      <c r="H128" s="946">
        <v>45108</v>
      </c>
      <c r="I128" s="1116" t="s">
        <v>115</v>
      </c>
      <c r="J128" s="18" t="s">
        <v>32</v>
      </c>
      <c r="K128" s="18" t="s">
        <v>65</v>
      </c>
      <c r="L128" s="1171">
        <v>1784</v>
      </c>
      <c r="M128" s="1130">
        <v>45107</v>
      </c>
      <c r="N128" s="1184">
        <v>45107</v>
      </c>
      <c r="O128" s="661">
        <v>45110</v>
      </c>
      <c r="P128" s="718" t="s">
        <v>519</v>
      </c>
      <c r="Q128" s="18" t="s">
        <v>35</v>
      </c>
      <c r="R128" s="58" t="s">
        <v>36</v>
      </c>
      <c r="S128" s="18" t="s">
        <v>67</v>
      </c>
      <c r="T128" s="84">
        <v>2145</v>
      </c>
      <c r="U128" s="84">
        <v>1757</v>
      </c>
      <c r="V128" s="84"/>
      <c r="W128" s="84">
        <f>IFERROR((JUN_2023[[#This Row],[Sales Amount]]-JUN_2023[[#This Row],[Cost]])/JUN_2023[[#This Row],[CNTR AMOUNT]],JUN_2023[[#This Row],[Sales Amount]]-JUN_2023[[#This Row],[Cost]])</f>
        <v>388</v>
      </c>
      <c r="X128" s="1024">
        <f>IFERROR((JUN_2023[[#This Row],[Sales Amount]]-JUN_2023[[#This Row],[Cost]])/JUN_2023[[#This Row],[Cost]],"-")</f>
        <v>0.22083096186681844</v>
      </c>
      <c r="Y128" s="84"/>
      <c r="Z128" s="84"/>
    </row>
    <row r="129" spans="1:26" s="147" customFormat="1" hidden="1">
      <c r="A129" s="12" t="s">
        <v>61</v>
      </c>
      <c r="B129" s="12" t="s">
        <v>520</v>
      </c>
      <c r="C129" s="12" t="s">
        <v>28</v>
      </c>
      <c r="D129" s="35">
        <v>45102</v>
      </c>
      <c r="E129" s="708">
        <v>45109</v>
      </c>
      <c r="F129" s="18" t="s">
        <v>260</v>
      </c>
      <c r="G129" s="18" t="s">
        <v>103</v>
      </c>
      <c r="H129" s="946">
        <v>45112</v>
      </c>
      <c r="I129" s="1116" t="s">
        <v>115</v>
      </c>
      <c r="J129" s="58" t="s">
        <v>32</v>
      </c>
      <c r="K129" s="18" t="s">
        <v>65</v>
      </c>
      <c r="L129" s="1171">
        <v>5225372</v>
      </c>
      <c r="M129" s="1130">
        <v>45111</v>
      </c>
      <c r="N129" s="1184">
        <v>45110</v>
      </c>
      <c r="O129" s="661">
        <v>45113</v>
      </c>
      <c r="P129" s="718" t="s">
        <v>521</v>
      </c>
      <c r="Q129" s="18" t="s">
        <v>35</v>
      </c>
      <c r="R129" s="58" t="s">
        <v>36</v>
      </c>
      <c r="S129" s="18" t="s">
        <v>67</v>
      </c>
      <c r="T129" s="84">
        <v>2010</v>
      </c>
      <c r="U129" s="84">
        <v>1832</v>
      </c>
      <c r="V129" s="84"/>
      <c r="W129" s="84">
        <f>IFERROR((JUN_2023[[#This Row],[Sales Amount]]-JUN_2023[[#This Row],[Cost]])/JUN_2023[[#This Row],[CNTR AMOUNT]],JUN_2023[[#This Row],[Sales Amount]]-JUN_2023[[#This Row],[Cost]])</f>
        <v>178</v>
      </c>
      <c r="X129" s="1024">
        <f>IFERROR((JUN_2023[[#This Row],[Sales Amount]]-JUN_2023[[#This Row],[Cost]])/JUN_2023[[#This Row],[Cost]],"-")</f>
        <v>9.7161572052401751E-2</v>
      </c>
      <c r="Y129" s="84"/>
      <c r="Z129" s="84"/>
    </row>
    <row r="130" spans="1:26" s="106" customFormat="1" hidden="1">
      <c r="A130" s="962" t="s">
        <v>468</v>
      </c>
      <c r="B130" s="962" t="s">
        <v>522</v>
      </c>
      <c r="C130" s="962" t="s">
        <v>200</v>
      </c>
      <c r="D130" s="1128">
        <v>45098</v>
      </c>
      <c r="E130" s="1281">
        <v>45110</v>
      </c>
      <c r="F130" s="962" t="s">
        <v>245</v>
      </c>
      <c r="G130" s="962" t="s">
        <v>57</v>
      </c>
      <c r="H130" s="946">
        <v>45113</v>
      </c>
      <c r="I130" s="4084" t="s">
        <v>40</v>
      </c>
      <c r="J130" s="962" t="s">
        <v>297</v>
      </c>
      <c r="K130" s="962" t="s">
        <v>523</v>
      </c>
      <c r="L130" s="1171">
        <v>1076368</v>
      </c>
      <c r="M130" s="1128">
        <v>45114</v>
      </c>
      <c r="N130" s="1128">
        <v>45113</v>
      </c>
      <c r="O130" s="1128">
        <v>45113</v>
      </c>
      <c r="P130" s="4112" t="s">
        <v>524</v>
      </c>
      <c r="Q130" s="962" t="s">
        <v>170</v>
      </c>
      <c r="R130" s="18" t="s">
        <v>36</v>
      </c>
      <c r="S130" s="647"/>
      <c r="T130" s="647">
        <v>3580</v>
      </c>
      <c r="U130" s="647">
        <v>2376</v>
      </c>
      <c r="V130" s="647"/>
      <c r="W130" s="647">
        <f>IFERROR((JUN_2023[[#This Row],[Sales Amount]]-JUN_2023[[#This Row],[Cost]])/JUN_2023[[#This Row],[CNTR AMOUNT]],JUN_2023[[#This Row],[Sales Amount]]-JUN_2023[[#This Row],[Cost]])</f>
        <v>1204</v>
      </c>
      <c r="X130" s="1084">
        <f>IFERROR((JUN_2023[[#This Row],[Sales Amount]]-JUN_2023[[#This Row],[Cost]])/JUN_2023[[#This Row],[Cost]],"-")</f>
        <v>0.5067340067340067</v>
      </c>
      <c r="Y130" s="647"/>
      <c r="Z130" s="647"/>
    </row>
    <row r="131" spans="1:26" s="36" customFormat="1" hidden="1">
      <c r="A131" s="962" t="s">
        <v>468</v>
      </c>
      <c r="B131" s="962" t="s">
        <v>525</v>
      </c>
      <c r="C131" s="962" t="s">
        <v>200</v>
      </c>
      <c r="D131" s="1128">
        <v>45098</v>
      </c>
      <c r="E131" s="1281">
        <v>45110</v>
      </c>
      <c r="F131" s="962" t="s">
        <v>245</v>
      </c>
      <c r="G131" s="962" t="s">
        <v>57</v>
      </c>
      <c r="H131" s="946">
        <v>45113</v>
      </c>
      <c r="I131" s="4084" t="s">
        <v>31</v>
      </c>
      <c r="J131" s="962" t="s">
        <v>297</v>
      </c>
      <c r="K131" s="962" t="s">
        <v>523</v>
      </c>
      <c r="L131" s="1171">
        <v>1076443</v>
      </c>
      <c r="M131" s="1128">
        <v>45114</v>
      </c>
      <c r="N131" s="1128">
        <v>45113</v>
      </c>
      <c r="O131" s="1128">
        <v>45113</v>
      </c>
      <c r="P131" s="724" t="s">
        <v>524</v>
      </c>
      <c r="Q131" s="962" t="s">
        <v>170</v>
      </c>
      <c r="R131" s="18" t="s">
        <v>36</v>
      </c>
      <c r="S131" s="647"/>
      <c r="T131" s="647">
        <v>3580</v>
      </c>
      <c r="U131" s="647">
        <v>2376</v>
      </c>
      <c r="V131" s="647"/>
      <c r="W131" s="647">
        <f>IFERROR((JUN_2023[[#This Row],[Sales Amount]]-JUN_2023[[#This Row],[Cost]])/JUN_2023[[#This Row],[CNTR AMOUNT]],JUN_2023[[#This Row],[Sales Amount]]-JUN_2023[[#This Row],[Cost]])</f>
        <v>1204</v>
      </c>
      <c r="X131" s="1084">
        <f>IFERROR((JUN_2023[[#This Row],[Sales Amount]]-JUN_2023[[#This Row],[Cost]])/JUN_2023[[#This Row],[Cost]],"-")</f>
        <v>0.5067340067340067</v>
      </c>
      <c r="Y131" s="647"/>
      <c r="Z131" s="647"/>
    </row>
    <row r="132" spans="1:26" s="147" customFormat="1" ht="98.25" customHeight="1">
      <c r="A132" s="1219" t="s">
        <v>68</v>
      </c>
      <c r="B132" s="4087" t="s">
        <v>526</v>
      </c>
      <c r="C132" s="1219" t="s">
        <v>28</v>
      </c>
      <c r="D132" s="1250">
        <v>45099</v>
      </c>
      <c r="E132" s="1251">
        <v>45110</v>
      </c>
      <c r="F132" s="1219" t="s">
        <v>45</v>
      </c>
      <c r="G132" s="1253" t="s">
        <v>70</v>
      </c>
      <c r="H132" s="946">
        <v>45114</v>
      </c>
      <c r="I132" s="1291">
        <v>0.33333333333333331</v>
      </c>
      <c r="J132" s="1219" t="s">
        <v>72</v>
      </c>
      <c r="K132" s="1219" t="s">
        <v>73</v>
      </c>
      <c r="L132" s="1171" t="s">
        <v>485</v>
      </c>
      <c r="M132" s="1250">
        <v>45114</v>
      </c>
      <c r="N132" s="1250">
        <v>45114</v>
      </c>
      <c r="O132" s="1250">
        <v>45114</v>
      </c>
      <c r="P132" s="4110" t="s">
        <v>527</v>
      </c>
      <c r="Q132" s="1219" t="s">
        <v>75</v>
      </c>
      <c r="R132" s="1219" t="s">
        <v>487</v>
      </c>
      <c r="S132" s="1219" t="s">
        <v>67</v>
      </c>
      <c r="T132" s="1219">
        <v>925</v>
      </c>
      <c r="U132" s="1219">
        <v>865.05</v>
      </c>
      <c r="V132" s="1219"/>
      <c r="W132" s="1219">
        <f>IFERROR((JUN_2023[[#This Row],[Sales Amount]]-JUN_2023[[#This Row],[Cost]])/JUN_2023[[#This Row],[CNTR AMOUNT]],JUN_2023[[#This Row],[Sales Amount]]-JUN_2023[[#This Row],[Cost]])</f>
        <v>59.950000000000045</v>
      </c>
      <c r="X132" s="1252">
        <f>IFERROR((JUN_2023[[#This Row],[Sales Amount]]-JUN_2023[[#This Row],[Cost]])/JUN_2023[[#This Row],[Cost]],"-")</f>
        <v>6.9302352465175479E-2</v>
      </c>
      <c r="Y132" s="1219"/>
      <c r="Z132" s="1219"/>
    </row>
    <row r="133" spans="1:26" s="731" customFormat="1" ht="60">
      <c r="A133" s="1064" t="s">
        <v>68</v>
      </c>
      <c r="B133" s="1064" t="s">
        <v>528</v>
      </c>
      <c r="C133" s="1064" t="s">
        <v>28</v>
      </c>
      <c r="D133" s="1238">
        <v>45099</v>
      </c>
      <c r="E133" s="1239">
        <v>45110</v>
      </c>
      <c r="F133" s="1064" t="s">
        <v>45</v>
      </c>
      <c r="G133" s="1285" t="s">
        <v>70</v>
      </c>
      <c r="H133" s="946">
        <v>45114</v>
      </c>
      <c r="I133" s="1255">
        <v>0.41666666666666669</v>
      </c>
      <c r="J133" s="1064" t="s">
        <v>72</v>
      </c>
      <c r="K133" s="1064" t="s">
        <v>73</v>
      </c>
      <c r="L133" s="1171">
        <v>239948</v>
      </c>
      <c r="M133" s="1238">
        <v>45114</v>
      </c>
      <c r="N133" s="1238">
        <v>45114</v>
      </c>
      <c r="O133" s="1238">
        <v>45114</v>
      </c>
      <c r="P133" s="4107" t="s">
        <v>529</v>
      </c>
      <c r="Q133" s="1064" t="s">
        <v>75</v>
      </c>
      <c r="R133" s="1064" t="s">
        <v>487</v>
      </c>
      <c r="S133" s="1064" t="s">
        <v>67</v>
      </c>
      <c r="T133" s="1064">
        <v>925</v>
      </c>
      <c r="U133" s="1064">
        <v>865.05</v>
      </c>
      <c r="V133" s="1064"/>
      <c r="W133" s="1064">
        <f>IFERROR((JUN_2023[[#This Row],[Sales Amount]]-JUN_2023[[#This Row],[Cost]])/JUN_2023[[#This Row],[CNTR AMOUNT]],JUN_2023[[#This Row],[Sales Amount]]-JUN_2023[[#This Row],[Cost]])</f>
        <v>59.950000000000045</v>
      </c>
      <c r="X133" s="1242">
        <f>IFERROR((JUN_2023[[#This Row],[Sales Amount]]-JUN_2023[[#This Row],[Cost]])/JUN_2023[[#This Row],[Cost]],"-")</f>
        <v>6.9302352465175479E-2</v>
      </c>
      <c r="Y133" s="1064"/>
      <c r="Z133" s="1064"/>
    </row>
    <row r="134" spans="1:26" s="147" customFormat="1" hidden="1">
      <c r="A134" s="962" t="s">
        <v>409</v>
      </c>
      <c r="B134" s="1162" t="s">
        <v>530</v>
      </c>
      <c r="C134" s="962" t="s">
        <v>85</v>
      </c>
      <c r="D134" s="1128">
        <v>45107</v>
      </c>
      <c r="E134" s="1149">
        <v>45107</v>
      </c>
      <c r="F134" s="962" t="s">
        <v>45</v>
      </c>
      <c r="G134" s="800" t="s">
        <v>302</v>
      </c>
      <c r="H134" s="946"/>
      <c r="I134" s="962"/>
      <c r="J134" s="800" t="s">
        <v>32</v>
      </c>
      <c r="K134" s="962" t="s">
        <v>47</v>
      </c>
      <c r="L134" s="1171" t="s">
        <v>531</v>
      </c>
      <c r="M134" s="4113" t="s">
        <v>532</v>
      </c>
      <c r="N134" s="961">
        <v>45107</v>
      </c>
      <c r="O134" s="1128">
        <v>45114</v>
      </c>
      <c r="P134" s="724" t="s">
        <v>533</v>
      </c>
      <c r="Q134" s="962" t="s">
        <v>89</v>
      </c>
      <c r="R134" s="967" t="s">
        <v>534</v>
      </c>
      <c r="S134" s="962"/>
      <c r="T134" s="962"/>
      <c r="U134" s="962"/>
      <c r="V134" s="962"/>
      <c r="W134" s="962">
        <f>IFERROR((JUN_2023[[#This Row],[Sales Amount]]-JUN_2023[[#This Row],[Cost]])/JUN_2023[[#This Row],[CNTR AMOUNT]],JUN_2023[[#This Row],[Sales Amount]]-JUN_2023[[#This Row],[Cost]])</f>
        <v>0</v>
      </c>
      <c r="X134" s="1152" t="str">
        <f>IFERROR((JUN_2023[[#This Row],[Sales Amount]]-JUN_2023[[#This Row],[Cost]])/JUN_2023[[#This Row],[Cost]],"-")</f>
        <v>-</v>
      </c>
      <c r="Y134" s="962"/>
      <c r="Z134" s="962"/>
    </row>
    <row r="135" spans="1:26" s="106" customFormat="1" hidden="1">
      <c r="A135" s="710" t="s">
        <v>198</v>
      </c>
      <c r="B135" s="710" t="s">
        <v>535</v>
      </c>
      <c r="C135" s="710" t="s">
        <v>200</v>
      </c>
      <c r="D135" s="1110">
        <v>45092</v>
      </c>
      <c r="E135" s="1066">
        <v>45112</v>
      </c>
      <c r="F135" s="18" t="s">
        <v>167</v>
      </c>
      <c r="G135" s="18" t="s">
        <v>201</v>
      </c>
      <c r="H135" s="946">
        <v>45114</v>
      </c>
      <c r="I135" s="1117" t="s">
        <v>202</v>
      </c>
      <c r="J135" s="58" t="s">
        <v>203</v>
      </c>
      <c r="K135" s="710" t="s">
        <v>204</v>
      </c>
      <c r="L135" s="1171" t="s">
        <v>536</v>
      </c>
      <c r="M135" s="1118">
        <v>45113</v>
      </c>
      <c r="N135" s="844">
        <v>45113</v>
      </c>
      <c r="O135" s="1110">
        <v>45114</v>
      </c>
      <c r="P135" s="727" t="s">
        <v>537</v>
      </c>
      <c r="Q135" s="18" t="s">
        <v>35</v>
      </c>
      <c r="R135" s="18" t="s">
        <v>36</v>
      </c>
      <c r="S135" s="18" t="s">
        <v>37</v>
      </c>
      <c r="T135" s="85">
        <v>615</v>
      </c>
      <c r="U135" s="85">
        <v>620</v>
      </c>
      <c r="V135" s="85"/>
      <c r="W135" s="85">
        <f>IFERROR((JUN_2023[[#This Row],[Sales Amount]]-JUN_2023[[#This Row],[Cost]])/JUN_2023[[#This Row],[CNTR AMOUNT]],JUN_2023[[#This Row],[Sales Amount]]-JUN_2023[[#This Row],[Cost]])</f>
        <v>-5</v>
      </c>
      <c r="X135" s="927">
        <f>IFERROR((JUN_2023[[#This Row],[Sales Amount]]-JUN_2023[[#This Row],[Cost]])/JUN_2023[[#This Row],[Cost]],"-")</f>
        <v>-8.0645161290322578E-3</v>
      </c>
      <c r="Y135" s="85"/>
      <c r="Z135" s="85"/>
    </row>
    <row r="136" spans="1:26" s="723" customFormat="1" hidden="1">
      <c r="A136" s="23" t="s">
        <v>538</v>
      </c>
      <c r="B136" s="23" t="s">
        <v>539</v>
      </c>
      <c r="C136" s="23" t="s">
        <v>28</v>
      </c>
      <c r="D136" s="57">
        <v>45084</v>
      </c>
      <c r="E136" s="57" t="e">
        <v>#REF!</v>
      </c>
      <c r="F136" s="12" t="s">
        <v>56</v>
      </c>
      <c r="G136" s="12"/>
      <c r="H136" s="946"/>
      <c r="I136" s="23"/>
      <c r="J136" s="14" t="s">
        <v>168</v>
      </c>
      <c r="K136" s="23" t="s">
        <v>47</v>
      </c>
      <c r="L136" s="1171"/>
      <c r="M136" s="57"/>
      <c r="N136" s="14"/>
      <c r="O136" s="57"/>
      <c r="P136" s="56" t="s">
        <v>540</v>
      </c>
      <c r="Q136" s="12" t="s">
        <v>89</v>
      </c>
      <c r="R136" s="12" t="s">
        <v>541</v>
      </c>
      <c r="S136" s="12"/>
      <c r="T136" s="23"/>
      <c r="U136" s="23"/>
      <c r="V136" s="23"/>
      <c r="W136" s="23" t="e">
        <v>#REF!</v>
      </c>
      <c r="X136" s="1058" t="s">
        <v>542</v>
      </c>
      <c r="Y136" s="23"/>
      <c r="Z136" s="23"/>
    </row>
    <row r="137" spans="1:26" s="147" customFormat="1" hidden="1">
      <c r="A137" s="967" t="s">
        <v>409</v>
      </c>
      <c r="B137" s="1132" t="s">
        <v>543</v>
      </c>
      <c r="C137" s="967" t="s">
        <v>85</v>
      </c>
      <c r="D137" s="1100">
        <v>45092</v>
      </c>
      <c r="E137" s="1101">
        <v>45102</v>
      </c>
      <c r="F137" s="967" t="s">
        <v>45</v>
      </c>
      <c r="G137" s="800" t="s">
        <v>302</v>
      </c>
      <c r="H137" s="946"/>
      <c r="I137" s="967"/>
      <c r="J137" s="800" t="s">
        <v>32</v>
      </c>
      <c r="K137" s="4834" t="s">
        <v>47</v>
      </c>
      <c r="L137" s="1171"/>
      <c r="M137" s="1100"/>
      <c r="N137" s="961">
        <v>45103</v>
      </c>
      <c r="O137" s="1100">
        <v>45104</v>
      </c>
      <c r="P137" s="1102" t="s">
        <v>544</v>
      </c>
      <c r="Q137" s="967" t="s">
        <v>89</v>
      </c>
      <c r="R137" s="1102" t="s">
        <v>36</v>
      </c>
      <c r="S137" s="967"/>
      <c r="T137" s="967"/>
      <c r="U137" s="967"/>
      <c r="V137" s="967"/>
      <c r="W137" s="967">
        <f>IFERROR((JUN_2023[[#This Row],[Sales Amount]]-JUN_2023[[#This Row],[Cost]])/JUN_2023[[#This Row],[CNTR AMOUNT]],JUN_2023[[#This Row],[Sales Amount]]-JUN_2023[[#This Row],[Cost]])</f>
        <v>0</v>
      </c>
      <c r="X137" s="1150" t="str">
        <f>IFERROR((JUN_2023[[#This Row],[Sales Amount]]-JUN_2023[[#This Row],[Cost]])/JUN_2023[[#This Row],[Cost]],"-")</f>
        <v>-</v>
      </c>
      <c r="Y137" s="967"/>
      <c r="Z137" s="967"/>
    </row>
    <row r="138" spans="1:26" s="147" customFormat="1">
      <c r="A138" s="712" t="s">
        <v>367</v>
      </c>
      <c r="B138" s="4098" t="s">
        <v>545</v>
      </c>
      <c r="C138" s="712" t="s">
        <v>28</v>
      </c>
      <c r="D138" s="1224">
        <v>45103</v>
      </c>
      <c r="E138" s="1236">
        <v>45113</v>
      </c>
      <c r="F138" s="712" t="s">
        <v>151</v>
      </c>
      <c r="G138" s="36" t="s">
        <v>46</v>
      </c>
      <c r="H138" s="946">
        <v>45117</v>
      </c>
      <c r="I138" s="1257" t="s">
        <v>108</v>
      </c>
      <c r="J138" s="36" t="s">
        <v>322</v>
      </c>
      <c r="K138" s="1300" t="s">
        <v>369</v>
      </c>
      <c r="L138" s="1171" t="s">
        <v>546</v>
      </c>
      <c r="M138" s="1258">
        <v>45116</v>
      </c>
      <c r="N138" s="1256">
        <v>45114</v>
      </c>
      <c r="O138" s="758">
        <v>45117</v>
      </c>
      <c r="P138" s="712" t="s">
        <v>547</v>
      </c>
      <c r="Q138" s="712" t="s">
        <v>75</v>
      </c>
      <c r="R138" s="40" t="s">
        <v>36</v>
      </c>
      <c r="S138" s="712" t="s">
        <v>37</v>
      </c>
      <c r="T138" s="712">
        <v>1950</v>
      </c>
      <c r="U138" s="712">
        <v>1287.5</v>
      </c>
      <c r="V138" s="712"/>
      <c r="W138" s="712">
        <f>IFERROR((JUN_2023[[#This Row],[Sales Amount]]-JUN_2023[[#This Row],[Cost]])/JUN_2023[[#This Row],[CNTR AMOUNT]],JUN_2023[[#This Row],[Sales Amount]]-JUN_2023[[#This Row],[Cost]])</f>
        <v>662.5</v>
      </c>
      <c r="X138" s="1230">
        <f>IFERROR((JUN_2023[[#This Row],[Sales Amount]]-JUN_2023[[#This Row],[Cost]])/JUN_2023[[#This Row],[Cost]],"-")</f>
        <v>0.5145631067961165</v>
      </c>
      <c r="Y138" s="712"/>
      <c r="Z138" s="712"/>
    </row>
    <row r="139" spans="1:26" s="106" customFormat="1" ht="45">
      <c r="A139" s="712" t="s">
        <v>548</v>
      </c>
      <c r="B139" s="1259" t="s">
        <v>549</v>
      </c>
      <c r="C139" s="712" t="s">
        <v>85</v>
      </c>
      <c r="D139" s="1224">
        <v>45112</v>
      </c>
      <c r="E139" s="1236">
        <v>45113</v>
      </c>
      <c r="F139" s="712" t="s">
        <v>173</v>
      </c>
      <c r="G139" s="36" t="s">
        <v>550</v>
      </c>
      <c r="H139" s="946">
        <v>45127</v>
      </c>
      <c r="I139" s="1057" t="s">
        <v>445</v>
      </c>
      <c r="J139" s="36" t="s">
        <v>551</v>
      </c>
      <c r="K139" s="1301" t="s">
        <v>552</v>
      </c>
      <c r="L139" s="1171" t="s">
        <v>553</v>
      </c>
      <c r="M139" s="1258">
        <v>45121</v>
      </c>
      <c r="N139" s="1256">
        <v>45121</v>
      </c>
      <c r="O139" s="1239">
        <v>45128</v>
      </c>
      <c r="P139" s="1329" t="s">
        <v>554</v>
      </c>
      <c r="Q139" s="1138" t="s">
        <v>75</v>
      </c>
      <c r="R139" s="24" t="s">
        <v>555</v>
      </c>
      <c r="S139" s="1138">
        <v>4</v>
      </c>
      <c r="T139" s="712">
        <v>2295</v>
      </c>
      <c r="U139" s="712">
        <v>1926</v>
      </c>
      <c r="V139" s="712">
        <v>1</v>
      </c>
      <c r="W139" s="712">
        <f>IFERROR((JUN_2023[[#This Row],[Sales Amount]]-JUN_2023[[#This Row],[Cost]])/JUN_2023[[#This Row],[CNTR AMOUNT]],JUN_2023[[#This Row],[Sales Amount]]-JUN_2023[[#This Row],[Cost]])</f>
        <v>369</v>
      </c>
      <c r="X139" s="1230">
        <f>IFERROR((JUN_2023[[#This Row],[Sales Amount]]-JUN_2023[[#This Row],[Cost]])/JUN_2023[[#This Row],[Cost]],"-")</f>
        <v>0.19158878504672897</v>
      </c>
      <c r="Y139" s="712"/>
      <c r="Z139" s="712"/>
    </row>
    <row r="140" spans="1:26" s="106" customFormat="1" hidden="1">
      <c r="A140" s="18" t="s">
        <v>556</v>
      </c>
      <c r="B140" s="18" t="s">
        <v>557</v>
      </c>
      <c r="C140" s="18" t="s">
        <v>451</v>
      </c>
      <c r="D140" s="661">
        <v>45099</v>
      </c>
      <c r="E140" s="708">
        <v>45113</v>
      </c>
      <c r="F140" s="710" t="s">
        <v>151</v>
      </c>
      <c r="G140" s="18" t="s">
        <v>46</v>
      </c>
      <c r="H140" s="946">
        <v>45117</v>
      </c>
      <c r="I140" s="1116" t="s">
        <v>104</v>
      </c>
      <c r="J140" s="58" t="s">
        <v>32</v>
      </c>
      <c r="K140" s="710" t="s">
        <v>558</v>
      </c>
      <c r="L140" s="1171" t="s">
        <v>559</v>
      </c>
      <c r="M140" s="1130">
        <v>45115</v>
      </c>
      <c r="N140" s="1115">
        <v>45114</v>
      </c>
      <c r="O140" s="1110">
        <v>45117</v>
      </c>
      <c r="P140" s="718" t="s">
        <v>560</v>
      </c>
      <c r="Q140" s="18" t="s">
        <v>35</v>
      </c>
      <c r="R140" s="18" t="s">
        <v>36</v>
      </c>
      <c r="S140" s="18" t="s">
        <v>37</v>
      </c>
      <c r="T140" s="84">
        <v>1980</v>
      </c>
      <c r="U140" s="84">
        <v>1536</v>
      </c>
      <c r="V140" s="84"/>
      <c r="W140" s="84">
        <f>IFERROR((JUN_2023[[#This Row],[Sales Amount]]-JUN_2023[[#This Row],[Cost]])/JUN_2023[[#This Row],[CNTR AMOUNT]],JUN_2023[[#This Row],[Sales Amount]]-JUN_2023[[#This Row],[Cost]])</f>
        <v>444</v>
      </c>
      <c r="X140" s="1024">
        <f>IFERROR((JUN_2023[[#This Row],[Sales Amount]]-JUN_2023[[#This Row],[Cost]])/JUN_2023[[#This Row],[Cost]],"-")</f>
        <v>0.2890625</v>
      </c>
      <c r="Y140" s="84"/>
      <c r="Z140" s="84"/>
    </row>
    <row r="141" spans="1:26" s="106" customFormat="1" ht="30">
      <c r="A141" s="1064" t="s">
        <v>561</v>
      </c>
      <c r="B141" s="1073" t="s">
        <v>562</v>
      </c>
      <c r="C141" s="1219" t="s">
        <v>44</v>
      </c>
      <c r="D141" s="1250">
        <v>45098</v>
      </c>
      <c r="E141" s="1251">
        <v>45113</v>
      </c>
      <c r="F141" s="1064" t="s">
        <v>563</v>
      </c>
      <c r="G141" s="4829" t="s">
        <v>564</v>
      </c>
      <c r="H141" s="946"/>
      <c r="I141" s="1261" t="s">
        <v>565</v>
      </c>
      <c r="J141" s="745" t="s">
        <v>566</v>
      </c>
      <c r="K141" s="1064" t="s">
        <v>567</v>
      </c>
      <c r="L141" s="1171">
        <v>1373236</v>
      </c>
      <c r="M141" s="1238">
        <v>45115</v>
      </c>
      <c r="N141" s="1244">
        <v>45115</v>
      </c>
      <c r="O141" s="1238">
        <v>45118</v>
      </c>
      <c r="P141" s="1330" t="s">
        <v>568</v>
      </c>
      <c r="Q141" s="1206" t="s">
        <v>75</v>
      </c>
      <c r="R141" s="28" t="s">
        <v>36</v>
      </c>
      <c r="S141" s="1206"/>
      <c r="T141" s="1246"/>
      <c r="U141" s="1246"/>
      <c r="V141" s="1246"/>
      <c r="W141" s="1246">
        <f>IFERROR((JUN_2023[[#This Row],[Sales Amount]]-JUN_2023[[#This Row],[Cost]])/JUN_2023[[#This Row],[CNTR AMOUNT]],JUN_2023[[#This Row],[Sales Amount]]-JUN_2023[[#This Row],[Cost]])</f>
        <v>0</v>
      </c>
      <c r="X141" s="1247" t="str">
        <f>IFERROR((JUN_2023[[#This Row],[Sales Amount]]-JUN_2023[[#This Row],[Cost]])/JUN_2023[[#This Row],[Cost]],"-")</f>
        <v>-</v>
      </c>
      <c r="Y141" s="1246"/>
      <c r="Z141" s="1246"/>
    </row>
    <row r="142" spans="1:26" s="106" customFormat="1" ht="60">
      <c r="A142" s="1064" t="s">
        <v>68</v>
      </c>
      <c r="B142" s="1064" t="s">
        <v>569</v>
      </c>
      <c r="C142" s="1219" t="s">
        <v>28</v>
      </c>
      <c r="D142" s="1238">
        <v>45099</v>
      </c>
      <c r="E142" s="1239">
        <v>45113</v>
      </c>
      <c r="F142" s="1219" t="s">
        <v>45</v>
      </c>
      <c r="G142" s="1319" t="s">
        <v>70</v>
      </c>
      <c r="H142" s="946">
        <v>45114</v>
      </c>
      <c r="I142" s="1255">
        <v>0.54166666666666663</v>
      </c>
      <c r="J142" s="745" t="s">
        <v>72</v>
      </c>
      <c r="K142" s="1219" t="s">
        <v>73</v>
      </c>
      <c r="L142" s="1171" t="s">
        <v>570</v>
      </c>
      <c r="M142" s="1238">
        <v>45114</v>
      </c>
      <c r="N142" s="1241">
        <v>45114</v>
      </c>
      <c r="O142" s="1238">
        <v>45114</v>
      </c>
      <c r="P142" s="4107" t="s">
        <v>529</v>
      </c>
      <c r="Q142" s="1064" t="s">
        <v>75</v>
      </c>
      <c r="R142" s="1064" t="s">
        <v>487</v>
      </c>
      <c r="S142" s="1064" t="s">
        <v>67</v>
      </c>
      <c r="T142" s="1064">
        <v>925</v>
      </c>
      <c r="U142" s="1064">
        <v>780.05</v>
      </c>
      <c r="V142" s="1064"/>
      <c r="W142" s="1064">
        <f>IFERROR((JUN_2023[[#This Row],[Sales Amount]]-JUN_2023[[#This Row],[Cost]])/JUN_2023[[#This Row],[CNTR AMOUNT]],JUN_2023[[#This Row],[Sales Amount]]-JUN_2023[[#This Row],[Cost]])</f>
        <v>144.95000000000005</v>
      </c>
      <c r="X142" s="1242">
        <f>IFERROR((JUN_2023[[#This Row],[Sales Amount]]-JUN_2023[[#This Row],[Cost]])/JUN_2023[[#This Row],[Cost]],"-")</f>
        <v>0.185821421703737</v>
      </c>
      <c r="Y142" s="1064"/>
      <c r="Z142" s="1064"/>
    </row>
    <row r="143" spans="1:26" s="147" customFormat="1" ht="105">
      <c r="A143" s="4099" t="s">
        <v>319</v>
      </c>
      <c r="B143" s="4099" t="s">
        <v>571</v>
      </c>
      <c r="C143" s="1064" t="s">
        <v>44</v>
      </c>
      <c r="D143" s="1238">
        <v>45113</v>
      </c>
      <c r="E143" s="1238">
        <v>45113</v>
      </c>
      <c r="F143" s="1219" t="s">
        <v>135</v>
      </c>
      <c r="G143" s="1222" t="s">
        <v>159</v>
      </c>
      <c r="H143" s="946">
        <v>45124</v>
      </c>
      <c r="I143" s="1263">
        <v>0.75</v>
      </c>
      <c r="J143" s="1226" t="s">
        <v>476</v>
      </c>
      <c r="K143" s="4090" t="s">
        <v>572</v>
      </c>
      <c r="L143" s="1171"/>
      <c r="M143" s="1238">
        <v>45124</v>
      </c>
      <c r="N143" s="1241">
        <v>45121</v>
      </c>
      <c r="O143" s="1238">
        <v>45125</v>
      </c>
      <c r="P143" s="4114" t="s">
        <v>573</v>
      </c>
      <c r="Q143" s="1219" t="s">
        <v>75</v>
      </c>
      <c r="R143" s="1138" t="s">
        <v>574</v>
      </c>
      <c r="S143" s="1219">
        <v>4</v>
      </c>
      <c r="T143" s="1064">
        <v>1705</v>
      </c>
      <c r="U143" s="1064">
        <v>1555</v>
      </c>
      <c r="V143" s="1064"/>
      <c r="W143" s="1064">
        <f>IFERROR((JUN_2023[[#This Row],[Sales Amount]]-JUN_2023[[#This Row],[Cost]])/JUN_2023[[#This Row],[CNTR AMOUNT]],JUN_2023[[#This Row],[Sales Amount]]-JUN_2023[[#This Row],[Cost]])</f>
        <v>150</v>
      </c>
      <c r="X143" s="1242">
        <f>IFERROR((JUN_2023[[#This Row],[Sales Amount]]-JUN_2023[[#This Row],[Cost]])/JUN_2023[[#This Row],[Cost]],"-")</f>
        <v>9.6463022508038579E-2</v>
      </c>
      <c r="Y143" s="1064"/>
      <c r="Z143" s="1064"/>
    </row>
    <row r="144" spans="1:26" s="147" customFormat="1" hidden="1">
      <c r="A144" s="710" t="s">
        <v>171</v>
      </c>
      <c r="B144" s="4115" t="s">
        <v>575</v>
      </c>
      <c r="C144" s="710" t="s">
        <v>28</v>
      </c>
      <c r="D144" s="1110">
        <v>45093</v>
      </c>
      <c r="E144" s="1066">
        <v>45114</v>
      </c>
      <c r="F144" s="710" t="s">
        <v>326</v>
      </c>
      <c r="G144" s="58" t="s">
        <v>46</v>
      </c>
      <c r="H144" s="946">
        <v>45115</v>
      </c>
      <c r="I144" s="710"/>
      <c r="J144" s="58" t="s">
        <v>32</v>
      </c>
      <c r="K144" s="710" t="s">
        <v>174</v>
      </c>
      <c r="L144" s="1171" t="s">
        <v>576</v>
      </c>
      <c r="M144" s="4116">
        <v>45116</v>
      </c>
      <c r="N144" s="844">
        <v>45115</v>
      </c>
      <c r="O144" s="1110">
        <v>45117</v>
      </c>
      <c r="P144" s="727" t="s">
        <v>577</v>
      </c>
      <c r="Q144" s="710" t="s">
        <v>35</v>
      </c>
      <c r="R144" s="18" t="s">
        <v>36</v>
      </c>
      <c r="S144" s="710" t="s">
        <v>37</v>
      </c>
      <c r="T144" s="85">
        <v>980</v>
      </c>
      <c r="U144" s="85">
        <v>789</v>
      </c>
      <c r="V144" s="85"/>
      <c r="W144" s="85">
        <f>IFERROR((JUN_2023[[#This Row],[Sales Amount]]-JUN_2023[[#This Row],[Cost]])/JUN_2023[[#This Row],[CNTR AMOUNT]],JUN_2023[[#This Row],[Sales Amount]]-JUN_2023[[#This Row],[Cost]])</f>
        <v>191</v>
      </c>
      <c r="X144" s="927">
        <f>IFERROR((JUN_2023[[#This Row],[Sales Amount]]-JUN_2023[[#This Row],[Cost]])/JUN_2023[[#This Row],[Cost]],"-")</f>
        <v>0.24207858048162231</v>
      </c>
      <c r="Y144" s="85"/>
      <c r="Z144" s="85"/>
    </row>
    <row r="145" spans="1:26" s="147" customFormat="1" ht="45">
      <c r="A145" s="712" t="s">
        <v>548</v>
      </c>
      <c r="B145" s="1259" t="s">
        <v>578</v>
      </c>
      <c r="C145" s="712" t="s">
        <v>85</v>
      </c>
      <c r="D145" s="1224">
        <v>45113</v>
      </c>
      <c r="E145" s="1236">
        <v>45114</v>
      </c>
      <c r="F145" s="712" t="s">
        <v>260</v>
      </c>
      <c r="G145" s="36" t="s">
        <v>550</v>
      </c>
      <c r="H145" s="946">
        <v>45128</v>
      </c>
      <c r="I145" s="1057" t="s">
        <v>445</v>
      </c>
      <c r="J145" s="36" t="s">
        <v>551</v>
      </c>
      <c r="K145" s="1301" t="s">
        <v>552</v>
      </c>
      <c r="L145" s="1171" t="s">
        <v>542</v>
      </c>
      <c r="M145" s="1258">
        <v>45120</v>
      </c>
      <c r="N145" s="1307">
        <v>45119</v>
      </c>
      <c r="O145" s="1224">
        <v>45128</v>
      </c>
      <c r="P145" s="4099" t="s">
        <v>579</v>
      </c>
      <c r="Q145" s="712" t="s">
        <v>75</v>
      </c>
      <c r="R145" s="1138" t="s">
        <v>580</v>
      </c>
      <c r="S145" s="712">
        <v>4</v>
      </c>
      <c r="T145" s="712">
        <v>2945</v>
      </c>
      <c r="U145" s="712">
        <v>2344.5</v>
      </c>
      <c r="V145" s="712">
        <v>1</v>
      </c>
      <c r="W145" s="712">
        <f>IFERROR((JUN_2023[[#This Row],[Sales Amount]]-JUN_2023[[#This Row],[Cost]])/JUN_2023[[#This Row],[CNTR AMOUNT]],JUN_2023[[#This Row],[Sales Amount]]-JUN_2023[[#This Row],[Cost]])</f>
        <v>600.5</v>
      </c>
      <c r="X145" s="1230">
        <f>IFERROR((JUN_2023[[#This Row],[Sales Amount]]-JUN_2023[[#This Row],[Cost]])/JUN_2023[[#This Row],[Cost]],"-")</f>
        <v>0.25613137129451907</v>
      </c>
      <c r="Y145" s="712"/>
      <c r="Z145" s="712"/>
    </row>
    <row r="146" spans="1:26" s="745" customFormat="1" ht="24" hidden="1">
      <c r="A146" s="800" t="s">
        <v>468</v>
      </c>
      <c r="B146" s="800" t="s">
        <v>581</v>
      </c>
      <c r="C146" s="800" t="s">
        <v>44</v>
      </c>
      <c r="D146" s="946"/>
      <c r="E146" s="1316">
        <v>45114</v>
      </c>
      <c r="F146" s="800" t="s">
        <v>151</v>
      </c>
      <c r="G146" s="1143" t="s">
        <v>582</v>
      </c>
      <c r="H146" s="946">
        <v>45121</v>
      </c>
      <c r="I146" s="800" t="s">
        <v>583</v>
      </c>
      <c r="J146" s="800" t="s">
        <v>510</v>
      </c>
      <c r="K146" s="962" t="s">
        <v>584</v>
      </c>
      <c r="L146" s="1171"/>
      <c r="M146" s="946">
        <v>45121</v>
      </c>
      <c r="N146" s="946">
        <v>45120</v>
      </c>
      <c r="O146" s="1100">
        <v>45121</v>
      </c>
      <c r="P146" s="1202" t="s">
        <v>585</v>
      </c>
      <c r="Q146" s="967" t="s">
        <v>170</v>
      </c>
      <c r="R146" s="962" t="s">
        <v>36</v>
      </c>
      <c r="S146" s="850"/>
      <c r="T146" s="850">
        <v>1225</v>
      </c>
      <c r="U146" s="850">
        <v>890</v>
      </c>
      <c r="V146" s="850"/>
      <c r="W146" s="850">
        <f>IFERROR((JUN_2023[[#This Row],[Sales Amount]]-JUN_2023[[#This Row],[Cost]])/JUN_2023[[#This Row],[CNTR AMOUNT]],JUN_2023[[#This Row],[Sales Amount]]-JUN_2023[[#This Row],[Cost]])</f>
        <v>335</v>
      </c>
      <c r="X146" s="1050">
        <f>IFERROR((JUN_2023[[#This Row],[Sales Amount]]-JUN_2023[[#This Row],[Cost]])/JUN_2023[[#This Row],[Cost]],"-")</f>
        <v>0.37640449438202245</v>
      </c>
      <c r="Y146" s="850"/>
      <c r="Z146" s="850"/>
    </row>
    <row r="147" spans="1:26" s="745" customFormat="1" hidden="1">
      <c r="A147" s="1076" t="s">
        <v>122</v>
      </c>
      <c r="B147" s="4117" t="s">
        <v>586</v>
      </c>
      <c r="C147" s="1076" t="s">
        <v>44</v>
      </c>
      <c r="D147" s="929">
        <v>45114</v>
      </c>
      <c r="E147" s="4118">
        <v>45114</v>
      </c>
      <c r="F147" s="1076" t="s">
        <v>45</v>
      </c>
      <c r="G147" s="483" t="s">
        <v>587</v>
      </c>
      <c r="H147" s="946"/>
      <c r="I147" s="1076"/>
      <c r="J147" s="3" t="s">
        <v>125</v>
      </c>
      <c r="K147" s="4102" t="s">
        <v>588</v>
      </c>
      <c r="L147" s="1171"/>
      <c r="M147" s="635">
        <v>45120</v>
      </c>
      <c r="N147" s="682"/>
      <c r="O147" s="635"/>
      <c r="P147" s="4096" t="s">
        <v>589</v>
      </c>
      <c r="Q147" s="1076" t="s">
        <v>128</v>
      </c>
      <c r="R147" s="4094" t="s">
        <v>36</v>
      </c>
      <c r="S147" s="1076"/>
      <c r="T147" s="1076">
        <v>3109.42</v>
      </c>
      <c r="U147" s="1201"/>
      <c r="V147" s="1201"/>
      <c r="W147" s="1201">
        <f>IFERROR((JUN_2023[[#This Row],[Sales Amount]]-JUN_2023[[#This Row],[Cost]])/JUN_2023[[#This Row],[CNTR AMOUNT]],JUN_2023[[#This Row],[Sales Amount]]-JUN_2023[[#This Row],[Cost]])</f>
        <v>3109.42</v>
      </c>
      <c r="X147" s="1093" t="str">
        <f>IFERROR((JUN_2023[[#This Row],[Sales Amount]]-JUN_2023[[#This Row],[Cost]])/JUN_2023[[#This Row],[Cost]],"-")</f>
        <v>-</v>
      </c>
      <c r="Y147" s="1076"/>
      <c r="Z147" s="1076"/>
    </row>
    <row r="148" spans="1:26" s="147" customFormat="1" hidden="1">
      <c r="A148" s="710" t="s">
        <v>171</v>
      </c>
      <c r="B148" s="710" t="s">
        <v>590</v>
      </c>
      <c r="C148" s="1125" t="s">
        <v>28</v>
      </c>
      <c r="D148" s="1110">
        <v>45093</v>
      </c>
      <c r="E148" s="1066">
        <v>45115</v>
      </c>
      <c r="F148" s="58" t="s">
        <v>173</v>
      </c>
      <c r="G148" s="58" t="s">
        <v>46</v>
      </c>
      <c r="H148" s="946">
        <v>45117</v>
      </c>
      <c r="I148" s="710"/>
      <c r="J148" s="58" t="s">
        <v>32</v>
      </c>
      <c r="K148" s="18" t="s">
        <v>174</v>
      </c>
      <c r="L148" s="1171" t="s">
        <v>591</v>
      </c>
      <c r="M148" s="1130">
        <v>45117</v>
      </c>
      <c r="N148" s="661">
        <v>45117</v>
      </c>
      <c r="O148" s="661">
        <v>45117</v>
      </c>
      <c r="P148" s="709" t="s">
        <v>592</v>
      </c>
      <c r="Q148" s="710" t="s">
        <v>35</v>
      </c>
      <c r="R148" s="18" t="s">
        <v>36</v>
      </c>
      <c r="S148" s="710" t="s">
        <v>37</v>
      </c>
      <c r="T148" s="85">
        <v>940</v>
      </c>
      <c r="U148" s="85">
        <v>751</v>
      </c>
      <c r="V148" s="85"/>
      <c r="W148" s="85">
        <f>IFERROR((JUN_2023[[#This Row],[Sales Amount]]-JUN_2023[[#This Row],[Cost]])/JUN_2023[[#This Row],[CNTR AMOUNT]],JUN_2023[[#This Row],[Sales Amount]]-JUN_2023[[#This Row],[Cost]])</f>
        <v>189</v>
      </c>
      <c r="X148" s="927">
        <f>IFERROR((JUN_2023[[#This Row],[Sales Amount]]-JUN_2023[[#This Row],[Cost]])/JUN_2023[[#This Row],[Cost]],"-")</f>
        <v>0.25166444740346205</v>
      </c>
      <c r="Y148" s="85"/>
      <c r="Z148" s="85"/>
    </row>
    <row r="149" spans="1:26" s="723" customFormat="1" hidden="1">
      <c r="A149" s="1076" t="s">
        <v>122</v>
      </c>
      <c r="B149" s="4835" t="s">
        <v>593</v>
      </c>
      <c r="C149" s="1076" t="s">
        <v>594</v>
      </c>
      <c r="D149" s="635">
        <v>45125</v>
      </c>
      <c r="E149" s="4836">
        <v>45125</v>
      </c>
      <c r="F149" s="1282" t="s">
        <v>173</v>
      </c>
      <c r="G149" s="483" t="s">
        <v>595</v>
      </c>
      <c r="H149" s="946"/>
      <c r="I149" s="682"/>
      <c r="J149" s="3" t="s">
        <v>596</v>
      </c>
      <c r="K149" s="4837" t="s">
        <v>596</v>
      </c>
      <c r="L149" s="1171"/>
      <c r="M149" s="635"/>
      <c r="N149" s="483"/>
      <c r="O149" s="635"/>
      <c r="P149" s="4104" t="s">
        <v>597</v>
      </c>
      <c r="Q149" s="682" t="s">
        <v>128</v>
      </c>
      <c r="R149" s="4094" t="s">
        <v>36</v>
      </c>
      <c r="S149" s="682"/>
      <c r="T149" s="682">
        <v>345</v>
      </c>
      <c r="U149" s="682">
        <v>55</v>
      </c>
      <c r="V149" s="682"/>
      <c r="W149" s="682">
        <f>IFERROR((JUN_2023[[#This Row],[Sales Amount]]-JUN_2023[[#This Row],[Cost]])/JUN_2023[[#This Row],[CNTR AMOUNT]],JUN_2023[[#This Row],[Sales Amount]]-JUN_2023[[#This Row],[Cost]])</f>
        <v>290</v>
      </c>
      <c r="X149" s="1108">
        <f>IFERROR((JUN_2023[[#This Row],[Sales Amount]]-JUN_2023[[#This Row],[Cost]])/JUN_2023[[#This Row],[Cost]],"-")</f>
        <v>5.2727272727272725</v>
      </c>
      <c r="Y149" s="682"/>
      <c r="Z149" s="682"/>
    </row>
    <row r="150" spans="1:26" s="147" customFormat="1" ht="30">
      <c r="A150" s="4099" t="s">
        <v>243</v>
      </c>
      <c r="B150" s="4119" t="s">
        <v>598</v>
      </c>
      <c r="C150" s="1064" t="s">
        <v>44</v>
      </c>
      <c r="D150" s="1241">
        <v>45116</v>
      </c>
      <c r="E150" s="1288">
        <v>45116</v>
      </c>
      <c r="F150" s="4120" t="s">
        <v>93</v>
      </c>
      <c r="G150" s="4087" t="s">
        <v>599</v>
      </c>
      <c r="H150" s="946">
        <v>45118</v>
      </c>
      <c r="I150" s="1292" t="s">
        <v>445</v>
      </c>
      <c r="J150" s="4087" t="s">
        <v>600</v>
      </c>
      <c r="K150" s="1254" t="s">
        <v>601</v>
      </c>
      <c r="L150" s="1171"/>
      <c r="M150" s="1238">
        <v>45120</v>
      </c>
      <c r="N150" s="1241">
        <v>45118</v>
      </c>
      <c r="O150" s="1227">
        <v>45118</v>
      </c>
      <c r="P150" s="4099" t="s">
        <v>602</v>
      </c>
      <c r="Q150" s="4090" t="s">
        <v>75</v>
      </c>
      <c r="R150" s="40" t="s">
        <v>603</v>
      </c>
      <c r="S150" s="1064">
        <v>4</v>
      </c>
      <c r="T150" s="1064">
        <v>895</v>
      </c>
      <c r="U150" s="1064">
        <v>660</v>
      </c>
      <c r="V150" s="1064"/>
      <c r="W150" s="1064">
        <f>IFERROR((JUN_2023[[#This Row],[Sales Amount]]-JUN_2023[[#This Row],[Cost]])/JUN_2023[[#This Row],[CNTR AMOUNT]],JUN_2023[[#This Row],[Sales Amount]]-JUN_2023[[#This Row],[Cost]])</f>
        <v>235</v>
      </c>
      <c r="X150" s="1242">
        <f>IFERROR((JUN_2023[[#This Row],[Sales Amount]]-JUN_2023[[#This Row],[Cost]])/JUN_2023[[#This Row],[Cost]],"-")</f>
        <v>0.35606060606060608</v>
      </c>
      <c r="Y150" s="1064"/>
      <c r="Z150" s="1064"/>
    </row>
    <row r="151" spans="1:26" s="106" customFormat="1" ht="30">
      <c r="A151" s="4099" t="s">
        <v>243</v>
      </c>
      <c r="B151" s="4829" t="s">
        <v>604</v>
      </c>
      <c r="C151" s="4838" t="s">
        <v>44</v>
      </c>
      <c r="D151" s="1241">
        <v>45116</v>
      </c>
      <c r="E151" s="1317">
        <v>45116</v>
      </c>
      <c r="F151" s="4099" t="s">
        <v>93</v>
      </c>
      <c r="G151" s="4087" t="s">
        <v>599</v>
      </c>
      <c r="H151" s="946">
        <v>45119</v>
      </c>
      <c r="I151" s="1266" t="s">
        <v>605</v>
      </c>
      <c r="J151" s="4087" t="s">
        <v>600</v>
      </c>
      <c r="K151" s="4838" t="s">
        <v>601</v>
      </c>
      <c r="L151" s="1171"/>
      <c r="M151" s="1238">
        <v>45120</v>
      </c>
      <c r="N151" s="1228">
        <v>45119</v>
      </c>
      <c r="O151" s="1227">
        <v>45120</v>
      </c>
      <c r="P151" s="4099" t="s">
        <v>606</v>
      </c>
      <c r="Q151" s="4099" t="s">
        <v>75</v>
      </c>
      <c r="R151" s="40" t="s">
        <v>607</v>
      </c>
      <c r="S151" s="1064">
        <v>4</v>
      </c>
      <c r="T151" s="1064">
        <v>895</v>
      </c>
      <c r="U151" s="1064">
        <v>660</v>
      </c>
      <c r="V151" s="1064"/>
      <c r="W151" s="1064">
        <f>IFERROR((JUN_2023[[#This Row],[Sales Amount]]-JUN_2023[[#This Row],[Cost]])/JUN_2023[[#This Row],[CNTR AMOUNT]],JUN_2023[[#This Row],[Sales Amount]]-JUN_2023[[#This Row],[Cost]])</f>
        <v>235</v>
      </c>
      <c r="X151" s="1242">
        <f>IFERROR((JUN_2023[[#This Row],[Sales Amount]]-JUN_2023[[#This Row],[Cost]])/JUN_2023[[#This Row],[Cost]],"-")</f>
        <v>0.35606060606060608</v>
      </c>
      <c r="Y151" s="1064"/>
      <c r="Z151" s="1064"/>
    </row>
    <row r="152" spans="1:26" s="106" customFormat="1" ht="30">
      <c r="A152" s="4099" t="s">
        <v>243</v>
      </c>
      <c r="B152" s="4099" t="s">
        <v>608</v>
      </c>
      <c r="C152" s="745" t="s">
        <v>44</v>
      </c>
      <c r="D152" s="1238">
        <v>45116</v>
      </c>
      <c r="E152" s="1265">
        <v>45116</v>
      </c>
      <c r="F152" s="4087" t="s">
        <v>93</v>
      </c>
      <c r="G152" s="4087" t="s">
        <v>599</v>
      </c>
      <c r="H152" s="946">
        <v>45120</v>
      </c>
      <c r="I152" s="1267" t="s">
        <v>445</v>
      </c>
      <c r="J152" s="4087" t="s">
        <v>600</v>
      </c>
      <c r="K152" t="s">
        <v>601</v>
      </c>
      <c r="L152" s="1171"/>
      <c r="M152" s="1238">
        <v>45120</v>
      </c>
      <c r="N152" s="1228">
        <v>45119</v>
      </c>
      <c r="O152" s="1227">
        <v>45120</v>
      </c>
      <c r="P152" s="4087" t="s">
        <v>609</v>
      </c>
      <c r="Q152" s="4099" t="s">
        <v>75</v>
      </c>
      <c r="R152" s="712" t="s">
        <v>610</v>
      </c>
      <c r="S152" s="1064">
        <v>4</v>
      </c>
      <c r="T152" s="1064">
        <v>895</v>
      </c>
      <c r="U152" s="1064">
        <v>660</v>
      </c>
      <c r="V152" s="1064"/>
      <c r="W152" s="1064">
        <f>IFERROR((JUN_2023[[#This Row],[Sales Amount]]-JUN_2023[[#This Row],[Cost]])/JUN_2023[[#This Row],[CNTR AMOUNT]],JUN_2023[[#This Row],[Sales Amount]]-JUN_2023[[#This Row],[Cost]])</f>
        <v>235</v>
      </c>
      <c r="X152" s="1242">
        <f>IFERROR((JUN_2023[[#This Row],[Sales Amount]]-JUN_2023[[#This Row],[Cost]])/JUN_2023[[#This Row],[Cost]],"-")</f>
        <v>0.35606060606060608</v>
      </c>
      <c r="Y152" s="1064"/>
      <c r="Z152" s="1064"/>
    </row>
    <row r="153" spans="1:26" s="147" customFormat="1" ht="45">
      <c r="A153" s="4090" t="s">
        <v>243</v>
      </c>
      <c r="B153" s="4090" t="s">
        <v>611</v>
      </c>
      <c r="C153" s="745" t="s">
        <v>44</v>
      </c>
      <c r="D153" s="1238">
        <v>45116</v>
      </c>
      <c r="E153" s="1265">
        <v>45116</v>
      </c>
      <c r="F153" s="4087" t="s">
        <v>93</v>
      </c>
      <c r="G153" s="4087" t="s">
        <v>599</v>
      </c>
      <c r="H153" s="946">
        <v>45127</v>
      </c>
      <c r="I153" s="1293"/>
      <c r="J153" s="4087" t="s">
        <v>600</v>
      </c>
      <c r="K153" s="745" t="s">
        <v>601</v>
      </c>
      <c r="L153" s="1171"/>
      <c r="M153" s="1264">
        <v>45121</v>
      </c>
      <c r="N153" s="1228">
        <v>45126</v>
      </c>
      <c r="O153" s="1250">
        <v>45127</v>
      </c>
      <c r="P153" s="1222" t="s">
        <v>612</v>
      </c>
      <c r="Q153" s="4099" t="s">
        <v>75</v>
      </c>
      <c r="R153" s="24" t="s">
        <v>613</v>
      </c>
      <c r="S153" s="1219">
        <v>4</v>
      </c>
      <c r="T153" s="1219">
        <v>1145</v>
      </c>
      <c r="U153" s="1219">
        <v>660</v>
      </c>
      <c r="V153" s="1219"/>
      <c r="W153" s="1219">
        <f>IFERROR((JUN_2023[[#This Row],[Sales Amount]]-JUN_2023[[#This Row],[Cost]])/JUN_2023[[#This Row],[CNTR AMOUNT]],JUN_2023[[#This Row],[Sales Amount]]-JUN_2023[[#This Row],[Cost]])</f>
        <v>485</v>
      </c>
      <c r="X153" s="1252">
        <f>IFERROR((JUN_2023[[#This Row],[Sales Amount]]-JUN_2023[[#This Row],[Cost]])/JUN_2023[[#This Row],[Cost]],"-")</f>
        <v>0.73484848484848486</v>
      </c>
      <c r="Y153" s="1219"/>
      <c r="Z153" s="1219"/>
    </row>
    <row r="154" spans="1:26" s="147" customFormat="1" ht="75">
      <c r="A154" s="4090" t="s">
        <v>243</v>
      </c>
      <c r="B154" s="4090" t="s">
        <v>614</v>
      </c>
      <c r="C154" s="745" t="s">
        <v>44</v>
      </c>
      <c r="D154" s="1238">
        <v>45116</v>
      </c>
      <c r="E154" s="1239">
        <v>45116</v>
      </c>
      <c r="F154" s="4087" t="s">
        <v>93</v>
      </c>
      <c r="G154" s="4087" t="s">
        <v>599</v>
      </c>
      <c r="H154" s="946">
        <v>45127</v>
      </c>
      <c r="I154" s="1293"/>
      <c r="J154" s="4087" t="s">
        <v>600</v>
      </c>
      <c r="K154" s="745" t="s">
        <v>601</v>
      </c>
      <c r="L154" s="1171"/>
      <c r="M154" s="1250">
        <v>45121</v>
      </c>
      <c r="N154" s="1262">
        <v>45126</v>
      </c>
      <c r="O154" s="1250">
        <v>45128</v>
      </c>
      <c r="P154" s="1222" t="s">
        <v>615</v>
      </c>
      <c r="Q154" s="4099" t="s">
        <v>75</v>
      </c>
      <c r="R154" s="24" t="s">
        <v>616</v>
      </c>
      <c r="S154" s="1219">
        <v>4</v>
      </c>
      <c r="T154" s="1219">
        <v>1190</v>
      </c>
      <c r="U154" s="1219">
        <v>660</v>
      </c>
      <c r="V154" s="1219"/>
      <c r="W154" s="1219">
        <f>IFERROR((JUN_2023[[#This Row],[Sales Amount]]-JUN_2023[[#This Row],[Cost]])/JUN_2023[[#This Row],[CNTR AMOUNT]],JUN_2023[[#This Row],[Sales Amount]]-JUN_2023[[#This Row],[Cost]])</f>
        <v>530</v>
      </c>
      <c r="X154" s="1252">
        <f>IFERROR((JUN_2023[[#This Row],[Sales Amount]]-JUN_2023[[#This Row],[Cost]])/JUN_2023[[#This Row],[Cost]],"-")</f>
        <v>0.80303030303030298</v>
      </c>
      <c r="Y154" s="1219"/>
      <c r="Z154" s="1219"/>
    </row>
    <row r="155" spans="1:26" s="147" customFormat="1" ht="30" hidden="1">
      <c r="A155" s="962" t="s">
        <v>313</v>
      </c>
      <c r="B155" s="1161" t="s">
        <v>617</v>
      </c>
      <c r="C155" s="800" t="s">
        <v>28</v>
      </c>
      <c r="D155" s="1100"/>
      <c r="E155" s="1196">
        <v>45117</v>
      </c>
      <c r="F155" s="800" t="s">
        <v>45</v>
      </c>
      <c r="G155" s="800" t="s">
        <v>46</v>
      </c>
      <c r="H155" s="946">
        <v>45120</v>
      </c>
      <c r="I155" s="962" t="s">
        <v>618</v>
      </c>
      <c r="J155" s="800" t="s">
        <v>168</v>
      </c>
      <c r="K155" s="1159" t="s">
        <v>619</v>
      </c>
      <c r="L155" s="1171" t="s">
        <v>620</v>
      </c>
      <c r="M155" s="1128">
        <v>45119</v>
      </c>
      <c r="N155" s="946"/>
      <c r="O155" s="1128"/>
      <c r="P155" s="724" t="s">
        <v>621</v>
      </c>
      <c r="Q155" s="967" t="s">
        <v>170</v>
      </c>
      <c r="R155" s="962" t="s">
        <v>36</v>
      </c>
      <c r="S155" s="647"/>
      <c r="T155" s="647">
        <v>1982</v>
      </c>
      <c r="U155" s="647">
        <v>1575</v>
      </c>
      <c r="V155" s="647"/>
      <c r="W155" s="647">
        <f>IFERROR((JUN_2023[[#This Row],[Sales Amount]]-JUN_2023[[#This Row],[Cost]])/JUN_2023[[#This Row],[CNTR AMOUNT]],JUN_2023[[#This Row],[Sales Amount]]-JUN_2023[[#This Row],[Cost]])</f>
        <v>407</v>
      </c>
      <c r="X155" s="1084">
        <f>IFERROR((JUN_2023[[#This Row],[Sales Amount]]-JUN_2023[[#This Row],[Cost]])/JUN_2023[[#This Row],[Cost]],"-")</f>
        <v>0.25841269841269843</v>
      </c>
      <c r="Y155" s="647"/>
      <c r="Z155" s="647"/>
    </row>
    <row r="156" spans="1:26" s="745" customFormat="1" ht="30" hidden="1">
      <c r="A156" s="962" t="s">
        <v>622</v>
      </c>
      <c r="B156" s="1104" t="s">
        <v>623</v>
      </c>
      <c r="C156" s="800" t="s">
        <v>44</v>
      </c>
      <c r="D156" s="1100">
        <v>45106</v>
      </c>
      <c r="E156" s="1101">
        <v>45117</v>
      </c>
      <c r="F156" s="800" t="s">
        <v>151</v>
      </c>
      <c r="G156" s="800" t="s">
        <v>46</v>
      </c>
      <c r="H156" s="946"/>
      <c r="I156" s="967"/>
      <c r="J156" s="800" t="s">
        <v>168</v>
      </c>
      <c r="K156" s="800" t="s">
        <v>624</v>
      </c>
      <c r="L156" s="1171" t="s">
        <v>625</v>
      </c>
      <c r="M156" s="1100">
        <v>45120</v>
      </c>
      <c r="N156" s="800"/>
      <c r="O156" s="1100"/>
      <c r="P156" s="4111" t="s">
        <v>626</v>
      </c>
      <c r="Q156" s="967" t="s">
        <v>627</v>
      </c>
      <c r="R156" s="800" t="s">
        <v>51</v>
      </c>
      <c r="S156" s="850"/>
      <c r="T156" s="850"/>
      <c r="U156" s="850"/>
      <c r="V156" s="850"/>
      <c r="W156" s="850">
        <f>IFERROR((JUN_2023[[#This Row],[Sales Amount]]-JUN_2023[[#This Row],[Cost]])/JUN_2023[[#This Row],[CNTR AMOUNT]],JUN_2023[[#This Row],[Sales Amount]]-JUN_2023[[#This Row],[Cost]])</f>
        <v>0</v>
      </c>
      <c r="X156" s="1050" t="str">
        <f>IFERROR((JUN_2023[[#This Row],[Sales Amount]]-JUN_2023[[#This Row],[Cost]])/JUN_2023[[#This Row],[Cost]],"-")</f>
        <v>-</v>
      </c>
      <c r="Y156" s="850"/>
      <c r="Z156" s="850"/>
    </row>
    <row r="157" spans="1:26" s="36" customFormat="1" hidden="1">
      <c r="A157" s="18" t="s">
        <v>61</v>
      </c>
      <c r="B157" s="710" t="s">
        <v>628</v>
      </c>
      <c r="C157" s="58" t="s">
        <v>85</v>
      </c>
      <c r="D157" s="1110">
        <v>45105</v>
      </c>
      <c r="E157" s="1066">
        <v>45118</v>
      </c>
      <c r="F157" s="710" t="s">
        <v>29</v>
      </c>
      <c r="G157" s="58" t="s">
        <v>152</v>
      </c>
      <c r="H157" s="946">
        <v>45120</v>
      </c>
      <c r="I157" s="1117" t="s">
        <v>290</v>
      </c>
      <c r="J157" s="58" t="s">
        <v>32</v>
      </c>
      <c r="K157" s="4839" t="s">
        <v>65</v>
      </c>
      <c r="L157" s="1171">
        <v>5194</v>
      </c>
      <c r="M157" s="1118">
        <v>45119</v>
      </c>
      <c r="N157" s="1308">
        <v>45119</v>
      </c>
      <c r="O157" s="1110">
        <v>45121</v>
      </c>
      <c r="P157" s="709" t="s">
        <v>629</v>
      </c>
      <c r="Q157" s="710" t="s">
        <v>35</v>
      </c>
      <c r="R157" s="58" t="s">
        <v>36</v>
      </c>
      <c r="S157" s="710" t="s">
        <v>67</v>
      </c>
      <c r="T157" s="85">
        <v>2010</v>
      </c>
      <c r="U157" s="85">
        <v>1639</v>
      </c>
      <c r="V157" s="85"/>
      <c r="W157" s="85">
        <f>IFERROR((JUN_2023[[#This Row],[Sales Amount]]-JUN_2023[[#This Row],[Cost]])/JUN_2023[[#This Row],[CNTR AMOUNT]],JUN_2023[[#This Row],[Sales Amount]]-JUN_2023[[#This Row],[Cost]])</f>
        <v>371</v>
      </c>
      <c r="X157" s="927">
        <f>IFERROR((JUN_2023[[#This Row],[Sales Amount]]-JUN_2023[[#This Row],[Cost]])/JUN_2023[[#This Row],[Cost]],"-")</f>
        <v>0.22635753508236731</v>
      </c>
      <c r="Y157" s="85"/>
      <c r="Z157" s="85"/>
    </row>
    <row r="158" spans="1:26" hidden="1">
      <c r="A158" s="710" t="s">
        <v>61</v>
      </c>
      <c r="B158" s="4115" t="s">
        <v>630</v>
      </c>
      <c r="C158" s="710" t="s">
        <v>85</v>
      </c>
      <c r="D158" s="1110">
        <v>45105</v>
      </c>
      <c r="E158" s="1066">
        <v>45118</v>
      </c>
      <c r="F158" s="710" t="s">
        <v>29</v>
      </c>
      <c r="G158" s="58" t="s">
        <v>152</v>
      </c>
      <c r="H158" s="946">
        <v>45120</v>
      </c>
      <c r="I158" s="1117" t="s">
        <v>631</v>
      </c>
      <c r="J158" s="18" t="s">
        <v>32</v>
      </c>
      <c r="K158" s="4839" t="s">
        <v>65</v>
      </c>
      <c r="L158" s="1171">
        <v>5270</v>
      </c>
      <c r="M158" s="1118">
        <v>45119</v>
      </c>
      <c r="N158" s="1174">
        <v>45119</v>
      </c>
      <c r="O158" s="1110">
        <v>45121</v>
      </c>
      <c r="P158" s="709" t="s">
        <v>632</v>
      </c>
      <c r="Q158" s="58" t="s">
        <v>35</v>
      </c>
      <c r="R158" s="58" t="s">
        <v>36</v>
      </c>
      <c r="S158" s="58" t="s">
        <v>67</v>
      </c>
      <c r="T158" s="85">
        <v>2062.5</v>
      </c>
      <c r="U158" s="85">
        <v>1534</v>
      </c>
      <c r="V158" s="85"/>
      <c r="W158" s="85">
        <f>IFERROR((JUN_2023[[#This Row],[Sales Amount]]-JUN_2023[[#This Row],[Cost]])/JUN_2023[[#This Row],[CNTR AMOUNT]],JUN_2023[[#This Row],[Sales Amount]]-JUN_2023[[#This Row],[Cost]])</f>
        <v>528.5</v>
      </c>
      <c r="X158" s="927">
        <f>IFERROR((JUN_2023[[#This Row],[Sales Amount]]-JUN_2023[[#This Row],[Cost]])/JUN_2023[[#This Row],[Cost]],"-")</f>
        <v>0.34452411994784876</v>
      </c>
      <c r="Y158" s="85"/>
      <c r="Z158" s="85"/>
    </row>
    <row r="159" spans="1:26" s="106" customFormat="1">
      <c r="A159" s="4099" t="s">
        <v>633</v>
      </c>
      <c r="B159" s="712" t="s">
        <v>634</v>
      </c>
      <c r="C159" s="1064" t="s">
        <v>200</v>
      </c>
      <c r="D159" s="1227">
        <v>45108</v>
      </c>
      <c r="E159" s="1239">
        <v>45118</v>
      </c>
      <c r="F159" s="4099" t="s">
        <v>167</v>
      </c>
      <c r="G159" s="4087" t="s">
        <v>46</v>
      </c>
      <c r="H159" s="946">
        <v>45120</v>
      </c>
      <c r="I159" s="712" t="s">
        <v>115</v>
      </c>
      <c r="J159" s="1064" t="s">
        <v>168</v>
      </c>
      <c r="K159" s="1064" t="s">
        <v>635</v>
      </c>
      <c r="L159" s="1171" t="s">
        <v>636</v>
      </c>
      <c r="M159" s="4121">
        <v>45120</v>
      </c>
      <c r="N159" s="4121">
        <v>45119</v>
      </c>
      <c r="O159" s="1238">
        <v>45120</v>
      </c>
      <c r="P159" t="s">
        <v>637</v>
      </c>
      <c r="Q159" s="4099" t="s">
        <v>75</v>
      </c>
      <c r="R159" s="40" t="s">
        <v>638</v>
      </c>
      <c r="S159" s="4087" t="s">
        <v>67</v>
      </c>
      <c r="T159" s="1064">
        <v>730</v>
      </c>
      <c r="U159" s="1064">
        <v>576</v>
      </c>
      <c r="V159" s="1064"/>
      <c r="W159" s="1064">
        <f>IFERROR((JUN_2023[[#This Row],[Sales Amount]]-JUN_2023[[#This Row],[Cost]])/JUN_2023[[#This Row],[CNTR AMOUNT]],JUN_2023[[#This Row],[Sales Amount]]-JUN_2023[[#This Row],[Cost]])</f>
        <v>154</v>
      </c>
      <c r="X159" s="1242">
        <f>IFERROR((JUN_2023[[#This Row],[Sales Amount]]-JUN_2023[[#This Row],[Cost]])/JUN_2023[[#This Row],[Cost]],"-")</f>
        <v>0.2673611111111111</v>
      </c>
      <c r="Y159" s="1064"/>
      <c r="Z159" s="1064"/>
    </row>
    <row r="160" spans="1:26" hidden="1">
      <c r="A160" s="710" t="s">
        <v>639</v>
      </c>
      <c r="B160" s="710" t="s">
        <v>640</v>
      </c>
      <c r="C160" s="710" t="s">
        <v>28</v>
      </c>
      <c r="D160" s="1110">
        <v>45106</v>
      </c>
      <c r="E160" s="1118">
        <v>45118</v>
      </c>
      <c r="F160" s="710" t="s">
        <v>93</v>
      </c>
      <c r="G160" s="58" t="s">
        <v>46</v>
      </c>
      <c r="H160" s="946">
        <v>45120</v>
      </c>
      <c r="I160" s="710" t="s">
        <v>115</v>
      </c>
      <c r="J160" s="58" t="s">
        <v>32</v>
      </c>
      <c r="K160" s="710" t="s">
        <v>641</v>
      </c>
      <c r="L160" s="1171"/>
      <c r="M160" s="1110"/>
      <c r="N160" s="844"/>
      <c r="O160" s="1110"/>
      <c r="P160" s="4122" t="s">
        <v>642</v>
      </c>
      <c r="Q160" s="710" t="s">
        <v>170</v>
      </c>
      <c r="R160" s="710" t="s">
        <v>36</v>
      </c>
      <c r="S160" s="85"/>
      <c r="T160" s="85">
        <v>860</v>
      </c>
      <c r="U160" s="85">
        <v>726</v>
      </c>
      <c r="V160" s="85"/>
      <c r="W160" s="85">
        <f>IFERROR((JUN_2023[[#This Row],[Sales Amount]]-JUN_2023[[#This Row],[Cost]])/JUN_2023[[#This Row],[CNTR AMOUNT]],JUN_2023[[#This Row],[Sales Amount]]-JUN_2023[[#This Row],[Cost]])</f>
        <v>134</v>
      </c>
      <c r="X160" s="927">
        <f>IFERROR((JUN_2023[[#This Row],[Sales Amount]]-JUN_2023[[#This Row],[Cost]])/JUN_2023[[#This Row],[Cost]],"-")</f>
        <v>0.18457300275482094</v>
      </c>
      <c r="Y160" s="85"/>
      <c r="Z160" s="85"/>
    </row>
    <row r="161" spans="1:26" s="745" customFormat="1" hidden="1">
      <c r="A161" s="710" t="s">
        <v>61</v>
      </c>
      <c r="B161" s="4123" t="s">
        <v>643</v>
      </c>
      <c r="C161" s="710" t="s">
        <v>85</v>
      </c>
      <c r="D161" s="1110">
        <v>45107</v>
      </c>
      <c r="E161" s="1066">
        <v>45119</v>
      </c>
      <c r="F161" s="710" t="s">
        <v>29</v>
      </c>
      <c r="G161" s="58" t="s">
        <v>152</v>
      </c>
      <c r="H161" s="946">
        <v>45124</v>
      </c>
      <c r="I161" s="1181" t="s">
        <v>58</v>
      </c>
      <c r="J161" s="58" t="s">
        <v>32</v>
      </c>
      <c r="K161" s="710" t="s">
        <v>65</v>
      </c>
      <c r="L161" s="1171">
        <v>5750</v>
      </c>
      <c r="M161" s="1118">
        <v>45121</v>
      </c>
      <c r="N161" s="844">
        <v>45121</v>
      </c>
      <c r="O161" s="1110">
        <v>45125</v>
      </c>
      <c r="P161" s="4124" t="s">
        <v>644</v>
      </c>
      <c r="Q161" s="710" t="s">
        <v>35</v>
      </c>
      <c r="R161" s="18" t="s">
        <v>36</v>
      </c>
      <c r="S161" s="710" t="s">
        <v>67</v>
      </c>
      <c r="T161" s="85">
        <v>2040</v>
      </c>
      <c r="U161" s="85">
        <v>1715</v>
      </c>
      <c r="V161" s="85"/>
      <c r="W161" s="85">
        <f>IFERROR((JUN_2023[[#This Row],[Sales Amount]]-JUN_2023[[#This Row],[Cost]])/JUN_2023[[#This Row],[CNTR AMOUNT]],JUN_2023[[#This Row],[Sales Amount]]-JUN_2023[[#This Row],[Cost]])</f>
        <v>325</v>
      </c>
      <c r="X161" s="927">
        <f>IFERROR((JUN_2023[[#This Row],[Sales Amount]]-JUN_2023[[#This Row],[Cost]])/JUN_2023[[#This Row],[Cost]],"-")</f>
        <v>0.18950437317784258</v>
      </c>
      <c r="Y161" s="85"/>
      <c r="Z161" s="85"/>
    </row>
    <row r="162" spans="1:26" s="147" customFormat="1">
      <c r="A162" s="1064" t="s">
        <v>561</v>
      </c>
      <c r="B162" s="1064" t="s">
        <v>645</v>
      </c>
      <c r="C162" s="1064" t="s">
        <v>44</v>
      </c>
      <c r="D162" s="1238">
        <v>45109</v>
      </c>
      <c r="E162" s="1239">
        <v>45119</v>
      </c>
      <c r="F162" s="1064" t="s">
        <v>563</v>
      </c>
      <c r="G162" s="4087" t="s">
        <v>564</v>
      </c>
      <c r="H162" s="946"/>
      <c r="I162" s="1064"/>
      <c r="J162" s="745" t="s">
        <v>566</v>
      </c>
      <c r="K162" s="4838" t="s">
        <v>567</v>
      </c>
      <c r="L162" s="1171">
        <v>1641656</v>
      </c>
      <c r="M162" s="1250">
        <v>45121</v>
      </c>
      <c r="N162" s="1250">
        <v>45120</v>
      </c>
      <c r="O162" s="1238">
        <v>45126</v>
      </c>
      <c r="P162" s="4099" t="s">
        <v>646</v>
      </c>
      <c r="Q162" s="1064" t="s">
        <v>75</v>
      </c>
      <c r="R162" s="1219" t="s">
        <v>36</v>
      </c>
      <c r="S162" s="1064"/>
      <c r="T162" s="1064"/>
      <c r="U162" s="1064"/>
      <c r="V162" s="1064"/>
      <c r="W162" s="1064">
        <f>IFERROR((JUN_2023[[#This Row],[Sales Amount]]-JUN_2023[[#This Row],[Cost]])/JUN_2023[[#This Row],[CNTR AMOUNT]],JUN_2023[[#This Row],[Sales Amount]]-JUN_2023[[#This Row],[Cost]])</f>
        <v>0</v>
      </c>
      <c r="X162" s="1242" t="str">
        <f>IFERROR((JUN_2023[[#This Row],[Sales Amount]]-JUN_2023[[#This Row],[Cost]])/JUN_2023[[#This Row],[Cost]],"-")</f>
        <v>-</v>
      </c>
      <c r="Y162" s="1064"/>
      <c r="Z162" s="1064"/>
    </row>
    <row r="163" spans="1:26" hidden="1">
      <c r="A163" s="1104" t="s">
        <v>622</v>
      </c>
      <c r="B163" s="1104" t="s">
        <v>647</v>
      </c>
      <c r="C163" s="1104" t="s">
        <v>44</v>
      </c>
      <c r="D163" s="1167">
        <v>45113</v>
      </c>
      <c r="E163" s="1167">
        <v>45119</v>
      </c>
      <c r="F163" s="1104" t="s">
        <v>151</v>
      </c>
      <c r="G163" s="1132" t="s">
        <v>46</v>
      </c>
      <c r="H163" s="946"/>
      <c r="I163" s="1104"/>
      <c r="J163" s="1132" t="s">
        <v>32</v>
      </c>
      <c r="K163" s="962" t="s">
        <v>624</v>
      </c>
      <c r="L163" s="1171"/>
      <c r="M163" s="1104"/>
      <c r="N163" s="1104"/>
      <c r="O163" s="1100"/>
      <c r="P163" s="1168" t="s">
        <v>648</v>
      </c>
      <c r="Q163" s="967" t="s">
        <v>627</v>
      </c>
      <c r="R163" s="800" t="s">
        <v>51</v>
      </c>
      <c r="S163" s="850"/>
      <c r="T163" s="850"/>
      <c r="U163" s="850"/>
      <c r="V163" s="850"/>
      <c r="W163" s="850">
        <f>IFERROR((JUN_2023[[#This Row],[Sales Amount]]-JUN_2023[[#This Row],[Cost]])/JUN_2023[[#This Row],[CNTR AMOUNT]],JUN_2023[[#This Row],[Sales Amount]]-JUN_2023[[#This Row],[Cost]])</f>
        <v>0</v>
      </c>
      <c r="X163" s="1050" t="str">
        <f>IFERROR((JUN_2023[[#This Row],[Sales Amount]]-JUN_2023[[#This Row],[Cost]])/JUN_2023[[#This Row],[Cost]],"-")</f>
        <v>-</v>
      </c>
      <c r="Y163" s="850"/>
      <c r="Z163" s="850"/>
    </row>
    <row r="164" spans="1:26" s="106" customFormat="1" hidden="1">
      <c r="A164" s="710" t="s">
        <v>61</v>
      </c>
      <c r="B164" s="710" t="s">
        <v>649</v>
      </c>
      <c r="C164" s="710" t="s">
        <v>85</v>
      </c>
      <c r="D164" s="1110">
        <v>45107</v>
      </c>
      <c r="E164" s="1066">
        <v>45120</v>
      </c>
      <c r="F164" s="710" t="s">
        <v>29</v>
      </c>
      <c r="G164" s="58" t="s">
        <v>152</v>
      </c>
      <c r="H164" s="946">
        <v>45122</v>
      </c>
      <c r="I164" s="1117" t="s">
        <v>650</v>
      </c>
      <c r="J164" s="58" t="s">
        <v>32</v>
      </c>
      <c r="K164" s="4839" t="s">
        <v>65</v>
      </c>
      <c r="L164" s="1171">
        <v>4480</v>
      </c>
      <c r="M164" s="1118">
        <v>45121</v>
      </c>
      <c r="N164" s="1110">
        <v>45121</v>
      </c>
      <c r="O164" s="1110">
        <v>45123</v>
      </c>
      <c r="P164" s="727" t="s">
        <v>651</v>
      </c>
      <c r="Q164" s="710" t="s">
        <v>35</v>
      </c>
      <c r="R164" s="710" t="s">
        <v>36</v>
      </c>
      <c r="S164" s="710" t="s">
        <v>67</v>
      </c>
      <c r="T164" s="85">
        <v>2100</v>
      </c>
      <c r="U164" s="85">
        <v>1674</v>
      </c>
      <c r="V164" s="85"/>
      <c r="W164" s="85">
        <f>IFERROR((JUN_2023[[#This Row],[Sales Amount]]-JUN_2023[[#This Row],[Cost]])/JUN_2023[[#This Row],[CNTR AMOUNT]],JUN_2023[[#This Row],[Sales Amount]]-JUN_2023[[#This Row],[Cost]])</f>
        <v>426</v>
      </c>
      <c r="X164" s="927">
        <f>IFERROR((JUN_2023[[#This Row],[Sales Amount]]-JUN_2023[[#This Row],[Cost]])/JUN_2023[[#This Row],[Cost]],"-")</f>
        <v>0.25448028673835127</v>
      </c>
      <c r="Y164" s="85"/>
      <c r="Z164" s="85"/>
    </row>
    <row r="165" spans="1:26" s="36" customFormat="1" hidden="1">
      <c r="A165" s="710" t="s">
        <v>61</v>
      </c>
      <c r="B165" s="1" t="s">
        <v>652</v>
      </c>
      <c r="C165" s="710" t="s">
        <v>28</v>
      </c>
      <c r="D165" s="1110">
        <v>45107</v>
      </c>
      <c r="E165" s="1066">
        <v>45120</v>
      </c>
      <c r="F165" s="710" t="s">
        <v>29</v>
      </c>
      <c r="G165" s="58" t="s">
        <v>152</v>
      </c>
      <c r="H165" s="946">
        <v>45124</v>
      </c>
      <c r="I165" s="1176" t="s">
        <v>261</v>
      </c>
      <c r="J165" s="58" t="s">
        <v>32</v>
      </c>
      <c r="K165" s="4839" t="s">
        <v>65</v>
      </c>
      <c r="L165" s="1171">
        <v>4446</v>
      </c>
      <c r="M165" s="1118">
        <v>45121</v>
      </c>
      <c r="N165" s="1110">
        <v>45121</v>
      </c>
      <c r="O165" s="1110">
        <v>45125</v>
      </c>
      <c r="P165" s="4124" t="s">
        <v>653</v>
      </c>
      <c r="Q165" s="710" t="s">
        <v>35</v>
      </c>
      <c r="R165" s="710" t="s">
        <v>36</v>
      </c>
      <c r="S165" s="710" t="s">
        <v>67</v>
      </c>
      <c r="T165" s="85">
        <v>1965</v>
      </c>
      <c r="U165" s="85">
        <v>1700</v>
      </c>
      <c r="V165" s="85"/>
      <c r="W165" s="85">
        <f>IFERROR((JUN_2023[[#This Row],[Sales Amount]]-JUN_2023[[#This Row],[Cost]])/JUN_2023[[#This Row],[CNTR AMOUNT]],JUN_2023[[#This Row],[Sales Amount]]-JUN_2023[[#This Row],[Cost]])</f>
        <v>265</v>
      </c>
      <c r="X165" s="927">
        <f>IFERROR((JUN_2023[[#This Row],[Sales Amount]]-JUN_2023[[#This Row],[Cost]])/JUN_2023[[#This Row],[Cost]],"-")</f>
        <v>0.15588235294117647</v>
      </c>
      <c r="Y165" s="85"/>
      <c r="Z165" s="85"/>
    </row>
    <row r="166" spans="1:26" s="106" customFormat="1" hidden="1">
      <c r="A166" s="710" t="s">
        <v>61</v>
      </c>
      <c r="B166" s="710" t="s">
        <v>654</v>
      </c>
      <c r="C166" s="710" t="s">
        <v>85</v>
      </c>
      <c r="D166" s="1110">
        <v>45116</v>
      </c>
      <c r="E166" s="1066">
        <v>45120</v>
      </c>
      <c r="F166" s="710" t="s">
        <v>29</v>
      </c>
      <c r="G166" s="58" t="s">
        <v>152</v>
      </c>
      <c r="H166" s="946">
        <v>45122</v>
      </c>
      <c r="I166" s="1117" t="s">
        <v>115</v>
      </c>
      <c r="J166" s="58" t="s">
        <v>32</v>
      </c>
      <c r="K166" s="58" t="s">
        <v>65</v>
      </c>
      <c r="L166" s="1171">
        <v>4460</v>
      </c>
      <c r="M166" s="1118">
        <v>45121</v>
      </c>
      <c r="N166" s="844">
        <v>45121</v>
      </c>
      <c r="O166" s="1110">
        <v>45124</v>
      </c>
      <c r="P166" s="727" t="s">
        <v>655</v>
      </c>
      <c r="Q166" s="710" t="s">
        <v>35</v>
      </c>
      <c r="R166" s="710" t="s">
        <v>36</v>
      </c>
      <c r="S166" s="18" t="s">
        <v>67</v>
      </c>
      <c r="T166" s="85">
        <v>1965</v>
      </c>
      <c r="U166" s="85">
        <v>1677</v>
      </c>
      <c r="V166" s="85"/>
      <c r="W166" s="85">
        <f>IFERROR((JUN_2023[[#This Row],[Sales Amount]]-JUN_2023[[#This Row],[Cost]])/JUN_2023[[#This Row],[CNTR AMOUNT]],JUN_2023[[#This Row],[Sales Amount]]-JUN_2023[[#This Row],[Cost]])</f>
        <v>288</v>
      </c>
      <c r="X166" s="927">
        <f>IFERROR((JUN_2023[[#This Row],[Sales Amount]]-JUN_2023[[#This Row],[Cost]])/JUN_2023[[#This Row],[Cost]],"-")</f>
        <v>0.17173524150268335</v>
      </c>
      <c r="Y166" s="85"/>
      <c r="Z166" s="85"/>
    </row>
    <row r="167" spans="1:26" s="106" customFormat="1" hidden="1">
      <c r="A167" s="710" t="s">
        <v>26</v>
      </c>
      <c r="B167" s="710" t="s">
        <v>656</v>
      </c>
      <c r="C167" s="710" t="s">
        <v>200</v>
      </c>
      <c r="D167" s="1110">
        <v>45100</v>
      </c>
      <c r="E167" s="1066">
        <v>45121</v>
      </c>
      <c r="F167" s="1125" t="s">
        <v>167</v>
      </c>
      <c r="G167" s="58" t="s">
        <v>201</v>
      </c>
      <c r="H167" s="946">
        <v>45121</v>
      </c>
      <c r="I167" s="1116" t="s">
        <v>657</v>
      </c>
      <c r="J167" s="58" t="s">
        <v>203</v>
      </c>
      <c r="K167" s="58" t="s">
        <v>204</v>
      </c>
      <c r="L167" s="1171" t="s">
        <v>658</v>
      </c>
      <c r="M167" s="1118">
        <v>45122</v>
      </c>
      <c r="N167" s="844">
        <v>45121</v>
      </c>
      <c r="O167" s="1110">
        <v>45124</v>
      </c>
      <c r="P167" s="727" t="s">
        <v>659</v>
      </c>
      <c r="Q167" s="710" t="s">
        <v>35</v>
      </c>
      <c r="R167" s="710" t="s">
        <v>36</v>
      </c>
      <c r="S167" s="710" t="s">
        <v>37</v>
      </c>
      <c r="T167" s="85">
        <v>890</v>
      </c>
      <c r="U167" s="85">
        <v>645</v>
      </c>
      <c r="V167" s="85"/>
      <c r="W167" s="85">
        <f>IFERROR((JUN_2023[[#This Row],[Sales Amount]]-JUN_2023[[#This Row],[Cost]])/JUN_2023[[#This Row],[CNTR AMOUNT]],JUN_2023[[#This Row],[Sales Amount]]-JUN_2023[[#This Row],[Cost]])</f>
        <v>245</v>
      </c>
      <c r="X167" s="927">
        <f>IFERROR((JUN_2023[[#This Row],[Sales Amount]]-JUN_2023[[#This Row],[Cost]])/JUN_2023[[#This Row],[Cost]],"-")</f>
        <v>0.37984496124031009</v>
      </c>
      <c r="Y167" s="85"/>
      <c r="Z167" s="85"/>
    </row>
    <row r="168" spans="1:26" s="106" customFormat="1" ht="30" hidden="1">
      <c r="A168" s="59" t="s">
        <v>329</v>
      </c>
      <c r="B168" s="1315" t="s">
        <v>660</v>
      </c>
      <c r="C168" s="59" t="s">
        <v>28</v>
      </c>
      <c r="D168" s="227">
        <v>45105</v>
      </c>
      <c r="E168" s="227">
        <v>45121</v>
      </c>
      <c r="F168" s="59" t="s">
        <v>29</v>
      </c>
      <c r="G168" s="69" t="s">
        <v>57</v>
      </c>
      <c r="H168" s="946">
        <v>45090</v>
      </c>
      <c r="I168" s="1091" t="s">
        <v>115</v>
      </c>
      <c r="J168" s="69" t="s">
        <v>32</v>
      </c>
      <c r="K168" s="69" t="s">
        <v>661</v>
      </c>
      <c r="L168" s="1171">
        <v>829047753</v>
      </c>
      <c r="M168" s="1090" t="s">
        <v>662</v>
      </c>
      <c r="N168" s="1090">
        <v>45090</v>
      </c>
      <c r="O168" s="1090">
        <v>45090</v>
      </c>
      <c r="P168" s="95" t="s">
        <v>663</v>
      </c>
      <c r="Q168" s="42" t="s">
        <v>35</v>
      </c>
      <c r="R168" s="42" t="s">
        <v>36</v>
      </c>
      <c r="S168" s="42" t="s">
        <v>664</v>
      </c>
      <c r="T168" s="647">
        <v>885</v>
      </c>
      <c r="U168" s="647">
        <v>666</v>
      </c>
      <c r="V168" s="647"/>
      <c r="W168" s="647">
        <f>IFERROR((JUN_2023[[#This Row],[Sales Amount]]-JUN_2023[[#This Row],[Cost]])/JUN_2023[[#This Row],[CNTR AMOUNT]],JUN_2023[[#This Row],[Sales Amount]]-JUN_2023[[#This Row],[Cost]])</f>
        <v>219</v>
      </c>
      <c r="X168" s="1084">
        <f>IFERROR((JUN_2023[[#This Row],[Sales Amount]]-JUN_2023[[#This Row],[Cost]])/JUN_2023[[#This Row],[Cost]],"-")</f>
        <v>0.32882882882882886</v>
      </c>
      <c r="Y168" s="647"/>
      <c r="Z168" s="647"/>
    </row>
    <row r="169" spans="1:26" s="106" customFormat="1" hidden="1">
      <c r="A169" s="710" t="s">
        <v>61</v>
      </c>
      <c r="B169" s="710" t="s">
        <v>665</v>
      </c>
      <c r="C169" s="710" t="s">
        <v>28</v>
      </c>
      <c r="D169" s="1110">
        <v>45117</v>
      </c>
      <c r="E169" s="1066">
        <v>45125</v>
      </c>
      <c r="F169" s="710" t="s">
        <v>56</v>
      </c>
      <c r="G169" s="58" t="s">
        <v>46</v>
      </c>
      <c r="H169" s="946">
        <v>45128</v>
      </c>
      <c r="I169" s="1290" t="s">
        <v>261</v>
      </c>
      <c r="J169" s="58" t="s">
        <v>32</v>
      </c>
      <c r="K169" s="710" t="s">
        <v>65</v>
      </c>
      <c r="L169" s="1171" t="s">
        <v>666</v>
      </c>
      <c r="M169" s="1118">
        <v>45127</v>
      </c>
      <c r="N169" s="1141">
        <v>45127</v>
      </c>
      <c r="O169" s="1110">
        <v>45128</v>
      </c>
      <c r="P169" s="727" t="s">
        <v>667</v>
      </c>
      <c r="Q169" s="710" t="s">
        <v>35</v>
      </c>
      <c r="R169" s="710" t="s">
        <v>36</v>
      </c>
      <c r="S169" s="58" t="s">
        <v>67</v>
      </c>
      <c r="T169" s="85">
        <v>1842.5</v>
      </c>
      <c r="U169" s="85">
        <v>1366</v>
      </c>
      <c r="V169" s="85"/>
      <c r="W169" s="85">
        <f>IFERROR((JUN_2023[[#This Row],[Sales Amount]]-JUN_2023[[#This Row],[Cost]])/JUN_2023[[#This Row],[CNTR AMOUNT]],JUN_2023[[#This Row],[Sales Amount]]-JUN_2023[[#This Row],[Cost]])</f>
        <v>476.5</v>
      </c>
      <c r="X169" s="927">
        <f>IFERROR((JUN_2023[[#This Row],[Sales Amount]]-JUN_2023[[#This Row],[Cost]])/JUN_2023[[#This Row],[Cost]],"-")</f>
        <v>0.34882869692532942</v>
      </c>
      <c r="Y169" s="85"/>
      <c r="Z169" s="85"/>
    </row>
    <row r="170" spans="1:26" s="745" customFormat="1" hidden="1">
      <c r="A170" s="967" t="s">
        <v>42</v>
      </c>
      <c r="B170" s="1162" t="s">
        <v>668</v>
      </c>
      <c r="C170" s="967" t="s">
        <v>28</v>
      </c>
      <c r="D170" s="1100">
        <v>45092</v>
      </c>
      <c r="E170" s="1101">
        <v>45102</v>
      </c>
      <c r="F170" s="967" t="s">
        <v>151</v>
      </c>
      <c r="G170" s="800" t="s">
        <v>669</v>
      </c>
      <c r="H170" s="946"/>
      <c r="I170" s="962"/>
      <c r="J170" s="800" t="s">
        <v>32</v>
      </c>
      <c r="K170" s="967" t="s">
        <v>47</v>
      </c>
      <c r="L170" s="1171"/>
      <c r="M170" s="1128"/>
      <c r="N170" s="961">
        <v>45103</v>
      </c>
      <c r="O170" s="1128">
        <v>45106</v>
      </c>
      <c r="P170" s="724" t="s">
        <v>670</v>
      </c>
      <c r="Q170" s="967" t="s">
        <v>89</v>
      </c>
      <c r="R170" s="800" t="s">
        <v>51</v>
      </c>
      <c r="S170" s="967"/>
      <c r="T170" s="962"/>
      <c r="U170" s="962"/>
      <c r="V170" s="962"/>
      <c r="W170" s="962">
        <f>IFERROR((JUN_2023[[#This Row],[Sales Amount]]-JUN_2023[[#This Row],[Cost]])/JUN_2023[[#This Row],[CNTR AMOUNT]],JUN_2023[[#This Row],[Sales Amount]]-JUN_2023[[#This Row],[Cost]])</f>
        <v>0</v>
      </c>
      <c r="X170" s="1152" t="str">
        <f>IFERROR((JUN_2023[[#This Row],[Sales Amount]]-JUN_2023[[#This Row],[Cost]])/JUN_2023[[#This Row],[Cost]],"-")</f>
        <v>-</v>
      </c>
      <c r="Y170" s="962"/>
      <c r="Z170" s="962"/>
    </row>
    <row r="171" spans="1:26" s="36" customFormat="1" ht="30" hidden="1">
      <c r="A171" s="1124" t="s">
        <v>423</v>
      </c>
      <c r="B171" s="853" t="s">
        <v>671</v>
      </c>
      <c r="C171" s="1124" t="s">
        <v>28</v>
      </c>
      <c r="D171" s="1169">
        <v>45119</v>
      </c>
      <c r="E171" s="1169">
        <v>45126</v>
      </c>
      <c r="F171" s="967" t="s">
        <v>45</v>
      </c>
      <c r="G171" s="967" t="s">
        <v>152</v>
      </c>
      <c r="H171" s="946">
        <v>45128</v>
      </c>
      <c r="I171" s="967" t="s">
        <v>672</v>
      </c>
      <c r="J171" s="800" t="s">
        <v>673</v>
      </c>
      <c r="K171" s="1126" t="s">
        <v>674</v>
      </c>
      <c r="L171" s="1171">
        <v>2954</v>
      </c>
      <c r="M171" s="1100">
        <v>45128</v>
      </c>
      <c r="N171" s="946"/>
      <c r="O171" s="1101"/>
      <c r="P171" s="1102" t="s">
        <v>675</v>
      </c>
      <c r="Q171" s="967" t="s">
        <v>170</v>
      </c>
      <c r="R171" s="800" t="s">
        <v>51</v>
      </c>
      <c r="S171" s="850"/>
      <c r="T171" s="850">
        <v>1167.5</v>
      </c>
      <c r="U171" s="850">
        <v>613.45000000000005</v>
      </c>
      <c r="V171" s="850"/>
      <c r="W171" s="850">
        <f>IFERROR((JUN_2023[[#This Row],[Sales Amount]]-JUN_2023[[#This Row],[Cost]])/JUN_2023[[#This Row],[CNTR AMOUNT]],JUN_2023[[#This Row],[Sales Amount]]-JUN_2023[[#This Row],[Cost]])</f>
        <v>554.04999999999995</v>
      </c>
      <c r="X171" s="1050">
        <f>IFERROR((JUN_2023[[#This Row],[Sales Amount]]-JUN_2023[[#This Row],[Cost]])/JUN_2023[[#This Row],[Cost]],"-")</f>
        <v>0.90317059255032994</v>
      </c>
      <c r="Y171" s="850"/>
      <c r="Z171" s="850"/>
    </row>
    <row r="172" spans="1:26" s="36" customFormat="1" hidden="1">
      <c r="A172" s="23" t="s">
        <v>676</v>
      </c>
      <c r="B172" s="1022">
        <v>6358169410</v>
      </c>
      <c r="C172" s="29" t="s">
        <v>44</v>
      </c>
      <c r="D172" s="57">
        <v>45128</v>
      </c>
      <c r="E172" s="57">
        <v>45128</v>
      </c>
      <c r="F172" s="29" t="s">
        <v>45</v>
      </c>
      <c r="G172" s="9" t="s">
        <v>46</v>
      </c>
      <c r="H172" s="946">
        <v>45082</v>
      </c>
      <c r="I172" s="23"/>
      <c r="J172" s="14" t="s">
        <v>32</v>
      </c>
      <c r="K172" s="29" t="s">
        <v>677</v>
      </c>
      <c r="L172" s="1171"/>
      <c r="M172" s="1059" t="s">
        <v>678</v>
      </c>
      <c r="N172" s="14"/>
      <c r="O172" s="57"/>
      <c r="P172" s="1059" t="s">
        <v>679</v>
      </c>
      <c r="Q172" s="29" t="s">
        <v>128</v>
      </c>
      <c r="R172" s="14" t="s">
        <v>36</v>
      </c>
      <c r="S172" s="23"/>
      <c r="T172" s="23">
        <v>5440</v>
      </c>
      <c r="U172" s="23">
        <f>1112+3036</f>
        <v>4148</v>
      </c>
      <c r="V172" s="23">
        <v>2</v>
      </c>
      <c r="W172" s="23">
        <f>IFERROR((JUN_2023[[#This Row],[Sales Amount]]-JUN_2023[[#This Row],[Cost]])/JUN_2023[[#This Row],[CNTR AMOUNT]],JUN_2023[[#This Row],[Sales Amount]]-JUN_2023[[#This Row],[Cost]])</f>
        <v>646</v>
      </c>
      <c r="X172" s="1058">
        <f>IFERROR((JUN_2023[[#This Row],[Sales Amount]]-JUN_2023[[#This Row],[Cost]])/JUN_2023[[#This Row],[Cost]],"-")</f>
        <v>0.31147540983606559</v>
      </c>
      <c r="Y172" s="23"/>
      <c r="Z172" s="23"/>
    </row>
    <row r="173" spans="1:26" s="36" customFormat="1" hidden="1">
      <c r="A173" s="23" t="s">
        <v>676</v>
      </c>
      <c r="B173" s="1158">
        <v>6358169410</v>
      </c>
      <c r="C173" s="23" t="s">
        <v>44</v>
      </c>
      <c r="D173" s="57">
        <v>45128</v>
      </c>
      <c r="E173" s="57">
        <v>45128</v>
      </c>
      <c r="F173" s="23" t="s">
        <v>45</v>
      </c>
      <c r="G173" s="14" t="s">
        <v>46</v>
      </c>
      <c r="H173" s="946">
        <v>45082</v>
      </c>
      <c r="I173" s="23"/>
      <c r="J173" s="14" t="s">
        <v>32</v>
      </c>
      <c r="K173" s="4125" t="s">
        <v>677</v>
      </c>
      <c r="L173" s="1171"/>
      <c r="M173" s="57" t="s">
        <v>678</v>
      </c>
      <c r="N173" s="14"/>
      <c r="O173" s="57"/>
      <c r="P173" s="1059" t="s">
        <v>680</v>
      </c>
      <c r="Q173" s="23" t="s">
        <v>128</v>
      </c>
      <c r="R173" s="14" t="s">
        <v>36</v>
      </c>
      <c r="S173" s="23"/>
      <c r="T173" s="23">
        <v>5440</v>
      </c>
      <c r="U173" s="23">
        <f>1112+3036</f>
        <v>4148</v>
      </c>
      <c r="V173" s="23">
        <v>2</v>
      </c>
      <c r="W173" s="23">
        <f>IFERROR((JUN_2023[[#This Row],[Sales Amount]]-JUN_2023[[#This Row],[Cost]])/JUN_2023[[#This Row],[CNTR AMOUNT]],JUN_2023[[#This Row],[Sales Amount]]-JUN_2023[[#This Row],[Cost]])</f>
        <v>646</v>
      </c>
      <c r="X173" s="1058">
        <f>IFERROR((JUN_2023[[#This Row],[Sales Amount]]-JUN_2023[[#This Row],[Cost]])/JUN_2023[[#This Row],[Cost]],"-")</f>
        <v>0.31147540983606559</v>
      </c>
      <c r="Y173" s="23"/>
      <c r="Z173" s="23"/>
    </row>
    <row r="174" spans="1:26" s="36" customFormat="1" hidden="1">
      <c r="A174" s="1076" t="s">
        <v>681</v>
      </c>
      <c r="B174" s="1099">
        <v>6358809490</v>
      </c>
      <c r="C174" s="1076" t="s">
        <v>44</v>
      </c>
      <c r="D174" s="1078">
        <v>45121</v>
      </c>
      <c r="E174" s="1078">
        <v>45130</v>
      </c>
      <c r="F174" s="1076" t="s">
        <v>45</v>
      </c>
      <c r="G174" s="483" t="s">
        <v>361</v>
      </c>
      <c r="H174" s="946">
        <v>45089</v>
      </c>
      <c r="I174" s="1076"/>
      <c r="J174" s="4102" t="s">
        <v>32</v>
      </c>
      <c r="K174" s="4835" t="s">
        <v>682</v>
      </c>
      <c r="L174" s="1171"/>
      <c r="M174" s="1078"/>
      <c r="N174" s="4126" t="s">
        <v>683</v>
      </c>
      <c r="O174" s="1078">
        <v>45089</v>
      </c>
      <c r="P174" s="4104" t="s">
        <v>684</v>
      </c>
      <c r="Q174" s="682" t="s">
        <v>128</v>
      </c>
      <c r="R174" s="1076" t="s">
        <v>36</v>
      </c>
      <c r="S174" s="483"/>
      <c r="T174" s="31">
        <v>2615</v>
      </c>
      <c r="U174" s="31">
        <f>1071+1282</f>
        <v>2353</v>
      </c>
      <c r="V174" s="1076">
        <v>1</v>
      </c>
      <c r="W174" s="1076">
        <f>IFERROR((JUN_2023[[#This Row],[Sales Amount]]-JUN_2023[[#This Row],[Cost]])/JUN_2023[[#This Row],[CNTR AMOUNT]],JUN_2023[[#This Row],[Sales Amount]]-JUN_2023[[#This Row],[Cost]])</f>
        <v>262</v>
      </c>
      <c r="X174" s="1093">
        <f>IFERROR((JUN_2023[[#This Row],[Sales Amount]]-JUN_2023[[#This Row],[Cost]])/JUN_2023[[#This Row],[Cost]],"-")</f>
        <v>0.111347216319592</v>
      </c>
      <c r="Y174" s="1076"/>
      <c r="Z174" s="1076"/>
    </row>
    <row r="175" spans="1:26" s="745" customFormat="1" ht="30" hidden="1">
      <c r="A175" s="682" t="s">
        <v>676</v>
      </c>
      <c r="B175" s="1275" t="s">
        <v>685</v>
      </c>
      <c r="C175" s="682" t="s">
        <v>44</v>
      </c>
      <c r="D175" s="1078">
        <v>45127</v>
      </c>
      <c r="E175" s="1078">
        <v>45136</v>
      </c>
      <c r="F175" s="682" t="s">
        <v>29</v>
      </c>
      <c r="G175" s="4588" t="s">
        <v>57</v>
      </c>
      <c r="H175" s="946">
        <v>45092</v>
      </c>
      <c r="I175" s="4840"/>
      <c r="J175" s="483" t="s">
        <v>32</v>
      </c>
      <c r="K175" s="4835" t="s">
        <v>677</v>
      </c>
      <c r="L175" s="1171"/>
      <c r="M175" s="1078" t="s">
        <v>686</v>
      </c>
      <c r="N175" s="980">
        <v>45092</v>
      </c>
      <c r="O175" s="635">
        <v>45092</v>
      </c>
      <c r="P175" s="715" t="s">
        <v>687</v>
      </c>
      <c r="Q175" s="682" t="s">
        <v>128</v>
      </c>
      <c r="R175" s="4093" t="s">
        <v>36</v>
      </c>
      <c r="S175" s="682"/>
      <c r="T175" s="682">
        <v>10700</v>
      </c>
      <c r="U175" s="682">
        <f>6800+2344</f>
        <v>9144</v>
      </c>
      <c r="V175" s="682">
        <v>4</v>
      </c>
      <c r="W175" s="682">
        <f>IFERROR((JUN_2023[[#This Row],[Sales Amount]]-JUN_2023[[#This Row],[Cost]])/JUN_2023[[#This Row],[CNTR AMOUNT]],JUN_2023[[#This Row],[Sales Amount]]-JUN_2023[[#This Row],[Cost]])</f>
        <v>389</v>
      </c>
      <c r="X175" s="1108">
        <f>IFERROR((JUN_2023[[#This Row],[Sales Amount]]-JUN_2023[[#This Row],[Cost]])/JUN_2023[[#This Row],[Cost]],"-")</f>
        <v>0.17016622922134733</v>
      </c>
      <c r="Y175" s="682"/>
      <c r="Z175" s="682"/>
    </row>
    <row r="176" spans="1:26" s="147" customFormat="1" ht="30" hidden="1">
      <c r="A176" s="682" t="s">
        <v>676</v>
      </c>
      <c r="B176" s="1275" t="s">
        <v>685</v>
      </c>
      <c r="C176" s="682" t="s">
        <v>44</v>
      </c>
      <c r="D176" s="1078">
        <v>45127</v>
      </c>
      <c r="E176" s="1078">
        <v>45136</v>
      </c>
      <c r="F176" s="682" t="s">
        <v>29</v>
      </c>
      <c r="G176" s="1282" t="s">
        <v>57</v>
      </c>
      <c r="H176" s="946">
        <v>45092</v>
      </c>
      <c r="I176" s="4840"/>
      <c r="J176" s="483" t="s">
        <v>32</v>
      </c>
      <c r="K176" s="4835" t="s">
        <v>677</v>
      </c>
      <c r="L176" s="1171"/>
      <c r="M176" s="1078" t="s">
        <v>686</v>
      </c>
      <c r="N176" s="1287">
        <v>45092</v>
      </c>
      <c r="O176" s="635">
        <v>45092</v>
      </c>
      <c r="P176" s="806" t="s">
        <v>688</v>
      </c>
      <c r="Q176" s="682" t="s">
        <v>128</v>
      </c>
      <c r="R176" s="4094" t="s">
        <v>36</v>
      </c>
      <c r="S176" s="682"/>
      <c r="T176" s="682">
        <v>10700</v>
      </c>
      <c r="U176" s="682">
        <f>6800+2344</f>
        <v>9144</v>
      </c>
      <c r="V176" s="682">
        <v>4</v>
      </c>
      <c r="W176" s="682">
        <f>IFERROR((JUN_2023[[#This Row],[Sales Amount]]-JUN_2023[[#This Row],[Cost]])/JUN_2023[[#This Row],[CNTR AMOUNT]],JUN_2023[[#This Row],[Sales Amount]]-JUN_2023[[#This Row],[Cost]])</f>
        <v>389</v>
      </c>
      <c r="X176" s="1108">
        <f>IFERROR((JUN_2023[[#This Row],[Sales Amount]]-JUN_2023[[#This Row],[Cost]])/JUN_2023[[#This Row],[Cost]],"-")</f>
        <v>0.17016622922134733</v>
      </c>
      <c r="Y176" s="682"/>
      <c r="Z176" s="682"/>
    </row>
    <row r="177" spans="1:26" s="147" customFormat="1" ht="30" hidden="1">
      <c r="A177" s="682" t="s">
        <v>676</v>
      </c>
      <c r="B177" s="1275" t="s">
        <v>685</v>
      </c>
      <c r="C177" s="682" t="s">
        <v>44</v>
      </c>
      <c r="D177" s="1078">
        <v>45127</v>
      </c>
      <c r="E177" s="1078">
        <v>45136</v>
      </c>
      <c r="F177" s="682" t="s">
        <v>29</v>
      </c>
      <c r="G177" s="1282" t="s">
        <v>57</v>
      </c>
      <c r="H177" s="946">
        <v>45093</v>
      </c>
      <c r="I177" s="4840"/>
      <c r="J177" s="483" t="s">
        <v>32</v>
      </c>
      <c r="K177" s="4835" t="s">
        <v>677</v>
      </c>
      <c r="L177" s="1171"/>
      <c r="M177" s="1078" t="s">
        <v>686</v>
      </c>
      <c r="N177" s="1287">
        <v>45093</v>
      </c>
      <c r="O177" s="635">
        <v>45093</v>
      </c>
      <c r="P177" s="806" t="s">
        <v>689</v>
      </c>
      <c r="Q177" s="682" t="s">
        <v>128</v>
      </c>
      <c r="R177" s="4094" t="s">
        <v>36</v>
      </c>
      <c r="S177" s="682"/>
      <c r="T177" s="682">
        <v>10700</v>
      </c>
      <c r="U177" s="682">
        <f>6800+2344</f>
        <v>9144</v>
      </c>
      <c r="V177" s="682">
        <v>4</v>
      </c>
      <c r="W177" s="682">
        <f>IFERROR((JUN_2023[[#This Row],[Sales Amount]]-JUN_2023[[#This Row],[Cost]])/JUN_2023[[#This Row],[CNTR AMOUNT]],JUN_2023[[#This Row],[Sales Amount]]-JUN_2023[[#This Row],[Cost]])</f>
        <v>389</v>
      </c>
      <c r="X177" s="1108">
        <f>IFERROR((JUN_2023[[#This Row],[Sales Amount]]-JUN_2023[[#This Row],[Cost]])/JUN_2023[[#This Row],[Cost]],"-")</f>
        <v>0.17016622922134733</v>
      </c>
      <c r="Y177" s="682"/>
      <c r="Z177" s="682"/>
    </row>
    <row r="178" spans="1:26" s="106" customFormat="1" ht="30" hidden="1">
      <c r="A178" s="1076" t="s">
        <v>676</v>
      </c>
      <c r="B178" s="1094" t="s">
        <v>685</v>
      </c>
      <c r="C178" s="4840" t="s">
        <v>44</v>
      </c>
      <c r="D178" s="1078">
        <v>45127</v>
      </c>
      <c r="E178" s="1078">
        <v>45136</v>
      </c>
      <c r="F178" s="1076" t="s">
        <v>29</v>
      </c>
      <c r="G178" s="1286" t="s">
        <v>57</v>
      </c>
      <c r="H178" s="946">
        <v>45093</v>
      </c>
      <c r="I178" s="1294"/>
      <c r="J178" s="483" t="s">
        <v>32</v>
      </c>
      <c r="K178" s="4835" t="s">
        <v>677</v>
      </c>
      <c r="L178" s="1171"/>
      <c r="M178" s="1078" t="s">
        <v>686</v>
      </c>
      <c r="N178" s="1287">
        <v>45092</v>
      </c>
      <c r="O178" s="1078">
        <v>45093</v>
      </c>
      <c r="P178" s="806" t="s">
        <v>690</v>
      </c>
      <c r="Q178" s="1076" t="s">
        <v>128</v>
      </c>
      <c r="R178" s="4102" t="s">
        <v>36</v>
      </c>
      <c r="S178" s="483"/>
      <c r="T178" s="1076">
        <v>10700</v>
      </c>
      <c r="U178" s="1076">
        <f>6800+2344</f>
        <v>9144</v>
      </c>
      <c r="V178" s="1076">
        <v>4</v>
      </c>
      <c r="W178" s="1076">
        <f>IFERROR((JUN_2023[[#This Row],[Sales Amount]]-JUN_2023[[#This Row],[Cost]])/JUN_2023[[#This Row],[CNTR AMOUNT]],JUN_2023[[#This Row],[Sales Amount]]-JUN_2023[[#This Row],[Cost]])</f>
        <v>389</v>
      </c>
      <c r="X178" s="1093">
        <f>IFERROR((JUN_2023[[#This Row],[Sales Amount]]-JUN_2023[[#This Row],[Cost]])/JUN_2023[[#This Row],[Cost]],"-")</f>
        <v>0.17016622922134733</v>
      </c>
      <c r="Y178" s="1076"/>
      <c r="Z178" s="1076"/>
    </row>
    <row r="179" spans="1:26" s="147" customFormat="1" hidden="1">
      <c r="A179" s="710" t="s">
        <v>556</v>
      </c>
      <c r="B179" s="58" t="s">
        <v>691</v>
      </c>
      <c r="C179" s="710" t="s">
        <v>451</v>
      </c>
      <c r="D179" s="1110">
        <v>45099</v>
      </c>
      <c r="E179" s="1066">
        <v>45136</v>
      </c>
      <c r="F179" s="710" t="s">
        <v>151</v>
      </c>
      <c r="G179" s="1147" t="s">
        <v>46</v>
      </c>
      <c r="H179" s="946">
        <v>45112</v>
      </c>
      <c r="I179" s="4841" t="s">
        <v>406</v>
      </c>
      <c r="J179" s="58" t="s">
        <v>32</v>
      </c>
      <c r="K179" s="4839" t="s">
        <v>558</v>
      </c>
      <c r="L179" s="1171" t="s">
        <v>692</v>
      </c>
      <c r="M179" s="1118">
        <v>45113</v>
      </c>
      <c r="N179" s="1110">
        <v>45112</v>
      </c>
      <c r="O179" s="1110">
        <v>45113</v>
      </c>
      <c r="P179" s="727" t="s">
        <v>693</v>
      </c>
      <c r="Q179" s="710" t="s">
        <v>35</v>
      </c>
      <c r="R179" s="710" t="s">
        <v>36</v>
      </c>
      <c r="S179" s="710" t="s">
        <v>37</v>
      </c>
      <c r="T179" s="85">
        <v>2010</v>
      </c>
      <c r="U179" s="85">
        <v>1750</v>
      </c>
      <c r="V179" s="85"/>
      <c r="W179" s="85">
        <f>IFERROR((JUN_2023[[#This Row],[Sales Amount]]-JUN_2023[[#This Row],[Cost]])/JUN_2023[[#This Row],[CNTR AMOUNT]],JUN_2023[[#This Row],[Sales Amount]]-JUN_2023[[#This Row],[Cost]])</f>
        <v>260</v>
      </c>
      <c r="X179" s="927">
        <f>IFERROR((JUN_2023[[#This Row],[Sales Amount]]-JUN_2023[[#This Row],[Cost]])/JUN_2023[[#This Row],[Cost]],"-")</f>
        <v>0.14857142857142858</v>
      </c>
      <c r="Y179" s="85"/>
      <c r="Z179" s="85"/>
    </row>
    <row r="180" spans="1:26" s="36" customFormat="1" ht="30" hidden="1">
      <c r="A180" s="682" t="s">
        <v>694</v>
      </c>
      <c r="B180" s="1277">
        <v>6359664650</v>
      </c>
      <c r="C180" s="4840" t="s">
        <v>44</v>
      </c>
      <c r="D180" s="1078">
        <v>45162</v>
      </c>
      <c r="E180" s="1078">
        <v>45162</v>
      </c>
      <c r="F180" s="1076" t="s">
        <v>45</v>
      </c>
      <c r="G180" s="1286" t="s">
        <v>152</v>
      </c>
      <c r="H180" s="946">
        <v>45105</v>
      </c>
      <c r="I180" s="1324">
        <v>0.375</v>
      </c>
      <c r="J180" s="4093" t="s">
        <v>695</v>
      </c>
      <c r="K180" s="4102" t="s">
        <v>696</v>
      </c>
      <c r="L180" s="1171"/>
      <c r="M180" s="1007" t="s">
        <v>697</v>
      </c>
      <c r="N180" s="1065">
        <v>45105</v>
      </c>
      <c r="O180" s="1007">
        <v>45105</v>
      </c>
      <c r="P180" s="4104" t="s">
        <v>698</v>
      </c>
      <c r="Q180" s="694" t="s">
        <v>128</v>
      </c>
      <c r="R180" s="4093" t="s">
        <v>36</v>
      </c>
      <c r="S180" s="1076"/>
      <c r="T180" s="1076">
        <v>2510</v>
      </c>
      <c r="U180" s="1076">
        <f>520+1381+35</f>
        <v>1936</v>
      </c>
      <c r="V180" s="1076"/>
      <c r="W180" s="1076">
        <f>IFERROR((JUN_2023[[#This Row],[Sales Amount]]-JUN_2023[[#This Row],[Cost]])/JUN_2023[[#This Row],[CNTR AMOUNT]],JUN_2023[[#This Row],[Sales Amount]]-JUN_2023[[#This Row],[Cost]])</f>
        <v>574</v>
      </c>
      <c r="X180" s="1093">
        <f>IFERROR((JUN_2023[[#This Row],[Sales Amount]]-JUN_2023[[#This Row],[Cost]])/JUN_2023[[#This Row],[Cost]],"-")</f>
        <v>0.29648760330578511</v>
      </c>
      <c r="Y180" s="715"/>
      <c r="Z180" s="715"/>
    </row>
    <row r="181" spans="1:26" s="106" customFormat="1" hidden="1">
      <c r="A181" s="4094" t="s">
        <v>694</v>
      </c>
      <c r="B181" s="1275">
        <v>6359896330</v>
      </c>
      <c r="C181" s="682" t="s">
        <v>44</v>
      </c>
      <c r="D181" s="635">
        <v>45156</v>
      </c>
      <c r="E181" s="635">
        <v>45160</v>
      </c>
      <c r="F181" s="4094" t="s">
        <v>45</v>
      </c>
      <c r="G181" s="4127" t="s">
        <v>46</v>
      </c>
      <c r="H181" s="946" t="s">
        <v>699</v>
      </c>
      <c r="I181" s="682"/>
      <c r="J181" s="4093" t="s">
        <v>32</v>
      </c>
      <c r="K181" s="4094" t="s">
        <v>677</v>
      </c>
      <c r="L181" s="1171"/>
      <c r="M181" s="635">
        <v>45110</v>
      </c>
      <c r="N181" s="1078">
        <v>45107</v>
      </c>
      <c r="O181" s="635">
        <v>45107</v>
      </c>
      <c r="P181" s="4128" t="s">
        <v>700</v>
      </c>
      <c r="Q181" s="4094" t="s">
        <v>128</v>
      </c>
      <c r="R181" s="4094" t="s">
        <v>36</v>
      </c>
      <c r="S181" s="682"/>
      <c r="T181" s="682">
        <v>8070</v>
      </c>
      <c r="U181" s="682">
        <f>4486+1668</f>
        <v>6154</v>
      </c>
      <c r="V181" s="682">
        <v>3</v>
      </c>
      <c r="W181" s="682">
        <f>IFERROR((JUN_2023[[#This Row],[Sales Amount]]-JUN_2023[[#This Row],[Cost]])/JUN_2023[[#This Row],[CNTR AMOUNT]],JUN_2023[[#This Row],[Sales Amount]]-JUN_2023[[#This Row],[Cost]])</f>
        <v>638.66666666666663</v>
      </c>
      <c r="X181" s="1108">
        <f>IFERROR((JUN_2023[[#This Row],[Sales Amount]]-JUN_2023[[#This Row],[Cost]])/JUN_2023[[#This Row],[Cost]],"-")</f>
        <v>0.31134221644458887</v>
      </c>
      <c r="Y181" s="682"/>
      <c r="Z181" s="682"/>
    </row>
    <row r="182" spans="1:26" s="147" customFormat="1" hidden="1">
      <c r="A182" s="4102" t="s">
        <v>694</v>
      </c>
      <c r="B182" s="1094">
        <v>6359896330</v>
      </c>
      <c r="C182" s="4840" t="s">
        <v>44</v>
      </c>
      <c r="D182" s="1078">
        <v>45156</v>
      </c>
      <c r="E182" s="1078">
        <v>45160</v>
      </c>
      <c r="F182" s="4093" t="s">
        <v>45</v>
      </c>
      <c r="G182" s="4127" t="s">
        <v>46</v>
      </c>
      <c r="H182" s="946"/>
      <c r="I182" s="1076"/>
      <c r="J182" s="4102" t="s">
        <v>32</v>
      </c>
      <c r="K182" s="4102" t="s">
        <v>677</v>
      </c>
      <c r="L182" s="1171"/>
      <c r="M182" s="1078">
        <v>45110</v>
      </c>
      <c r="N182" s="929">
        <v>45107</v>
      </c>
      <c r="O182" s="1078">
        <v>45107</v>
      </c>
      <c r="P182" s="4104" t="s">
        <v>701</v>
      </c>
      <c r="Q182" s="4102" t="s">
        <v>128</v>
      </c>
      <c r="R182" s="4102" t="s">
        <v>36</v>
      </c>
      <c r="S182" s="1076"/>
      <c r="T182" s="1076">
        <v>8070</v>
      </c>
      <c r="U182" s="1076">
        <f>4486+1668</f>
        <v>6154</v>
      </c>
      <c r="V182" s="1076">
        <v>3</v>
      </c>
      <c r="W182" s="1076">
        <f>IFERROR((JUN_2023[[#This Row],[Sales Amount]]-JUN_2023[[#This Row],[Cost]])/JUN_2023[[#This Row],[CNTR AMOUNT]],JUN_2023[[#This Row],[Sales Amount]]-JUN_2023[[#This Row],[Cost]])</f>
        <v>638.66666666666663</v>
      </c>
      <c r="X182" s="1093">
        <f>IFERROR((JUN_2023[[#This Row],[Sales Amount]]-JUN_2023[[#This Row],[Cost]])/JUN_2023[[#This Row],[Cost]],"-")</f>
        <v>0.31134221644458887</v>
      </c>
      <c r="Y182" s="1076"/>
      <c r="Z182" s="1076"/>
    </row>
    <row r="183" spans="1:26" s="731" customFormat="1" hidden="1">
      <c r="A183" s="4102" t="s">
        <v>694</v>
      </c>
      <c r="B183" s="1094">
        <v>6359896330</v>
      </c>
      <c r="C183" s="4840" t="s">
        <v>44</v>
      </c>
      <c r="D183" s="1078">
        <v>45156</v>
      </c>
      <c r="E183" s="1078">
        <v>45160</v>
      </c>
      <c r="F183" s="4102" t="s">
        <v>45</v>
      </c>
      <c r="G183" s="4127" t="s">
        <v>46</v>
      </c>
      <c r="H183" s="946"/>
      <c r="I183" s="1076"/>
      <c r="J183" s="4102" t="s">
        <v>32</v>
      </c>
      <c r="K183" s="4102" t="s">
        <v>677</v>
      </c>
      <c r="L183" s="1171"/>
      <c r="M183" s="1078">
        <v>45110</v>
      </c>
      <c r="N183" s="929">
        <v>45107</v>
      </c>
      <c r="O183" s="1078">
        <v>45107</v>
      </c>
      <c r="P183" s="4096" t="s">
        <v>702</v>
      </c>
      <c r="Q183" s="4102" t="s">
        <v>128</v>
      </c>
      <c r="R183" s="4102" t="s">
        <v>36</v>
      </c>
      <c r="S183" s="1076"/>
      <c r="T183" s="1076">
        <v>8070</v>
      </c>
      <c r="U183" s="1076">
        <f>4486+1668</f>
        <v>6154</v>
      </c>
      <c r="V183" s="1076">
        <v>3</v>
      </c>
      <c r="W183" s="1076">
        <f>IFERROR((JUN_2023[[#This Row],[Sales Amount]]-JUN_2023[[#This Row],[Cost]])/JUN_2023[[#This Row],[CNTR AMOUNT]],JUN_2023[[#This Row],[Sales Amount]]-JUN_2023[[#This Row],[Cost]])</f>
        <v>638.66666666666663</v>
      </c>
      <c r="X183" s="1093">
        <f>IFERROR((JUN_2023[[#This Row],[Sales Amount]]-JUN_2023[[#This Row],[Cost]])/JUN_2023[[#This Row],[Cost]],"-")</f>
        <v>0.31134221644458887</v>
      </c>
      <c r="Y183" s="1076"/>
      <c r="Z183" s="1076"/>
    </row>
    <row r="184" spans="1:26" s="147" customFormat="1" ht="30" hidden="1">
      <c r="A184" s="4129" t="s">
        <v>703</v>
      </c>
      <c r="B184" s="1274">
        <v>6359088630</v>
      </c>
      <c r="C184" s="4129" t="s">
        <v>704</v>
      </c>
      <c r="D184" s="231"/>
      <c r="E184" s="231"/>
      <c r="F184" s="4129" t="s">
        <v>45</v>
      </c>
      <c r="G184" s="4130" t="s">
        <v>46</v>
      </c>
      <c r="H184" s="946"/>
      <c r="I184" s="69"/>
      <c r="J184" s="59"/>
      <c r="K184" s="4129" t="s">
        <v>705</v>
      </c>
      <c r="L184" s="1171"/>
      <c r="M184" s="4131" t="s">
        <v>706</v>
      </c>
      <c r="N184" s="59" t="s">
        <v>707</v>
      </c>
      <c r="O184" s="231" t="s">
        <v>708</v>
      </c>
      <c r="P184" s="4132" t="s">
        <v>709</v>
      </c>
      <c r="Q184" s="4129" t="s">
        <v>50</v>
      </c>
      <c r="R184" s="59" t="s">
        <v>51</v>
      </c>
      <c r="S184" s="59"/>
      <c r="T184" s="59">
        <v>770</v>
      </c>
      <c r="U184" s="59">
        <v>656</v>
      </c>
      <c r="V184" s="59"/>
      <c r="W184" s="59">
        <f>IFERROR((JUN_2023[[#This Row],[Sales Amount]]-JUN_2023[[#This Row],[Cost]])/JUN_2023[[#This Row],[CNTR AMOUNT]],JUN_2023[[#This Row],[Sales Amount]]-JUN_2023[[#This Row],[Cost]])</f>
        <v>114</v>
      </c>
      <c r="X184" s="1081">
        <f>IFERROR((JUN_2023[[#This Row],[Sales Amount]]-JUN_2023[[#This Row],[Cost]])/JUN_2023[[#This Row],[Cost]],"-")</f>
        <v>0.17378048780487804</v>
      </c>
      <c r="Y184" s="59"/>
      <c r="Z184" s="59"/>
    </row>
    <row r="185" spans="1:26" s="826" customFormat="1" ht="45" hidden="1">
      <c r="A185" s="1076" t="s">
        <v>710</v>
      </c>
      <c r="B185" s="4133" t="s">
        <v>711</v>
      </c>
      <c r="C185" s="1076" t="s">
        <v>704</v>
      </c>
      <c r="D185" s="1078">
        <v>45092</v>
      </c>
      <c r="E185" s="1078">
        <v>45094</v>
      </c>
      <c r="F185" s="1076" t="s">
        <v>151</v>
      </c>
      <c r="G185" s="1076" t="s">
        <v>712</v>
      </c>
      <c r="H185" s="929"/>
      <c r="I185" s="1076"/>
      <c r="J185" s="483" t="s">
        <v>125</v>
      </c>
      <c r="K185" s="1076" t="s">
        <v>713</v>
      </c>
      <c r="L185" s="1342"/>
      <c r="M185" s="1078">
        <v>45100</v>
      </c>
      <c r="N185" s="1287">
        <v>45096</v>
      </c>
      <c r="O185" s="1078">
        <v>45098</v>
      </c>
      <c r="P185" s="4096" t="s">
        <v>714</v>
      </c>
      <c r="Q185" s="1076" t="s">
        <v>715</v>
      </c>
      <c r="R185" s="4134" t="s">
        <v>36</v>
      </c>
      <c r="S185" s="1076"/>
      <c r="T185" s="1076">
        <v>5214.21</v>
      </c>
      <c r="U185" s="1076">
        <f>1689.83+662.9+1350+160</f>
        <v>3862.73</v>
      </c>
      <c r="V185" s="1076">
        <v>1</v>
      </c>
      <c r="W185" s="1076">
        <f>IFERROR((JUN_2023[[#This Row],[Sales Amount]]-JUN_2023[[#This Row],[Cost]])/JUN_2023[[#This Row],[CNTR AMOUNT]],JUN_2023[[#This Row],[Sales Amount]]-JUN_2023[[#This Row],[Cost]])</f>
        <v>1351.48</v>
      </c>
      <c r="X185" s="1093">
        <f>IFERROR((JUN_2023[[#This Row],[Sales Amount]]-JUN_2023[[#This Row],[Cost]])/JUN_2023[[#This Row],[Cost]],"-")</f>
        <v>0.34987690053407822</v>
      </c>
      <c r="Y185" s="1076"/>
      <c r="Z185" s="1076"/>
    </row>
    <row r="186" spans="1:26" s="723" customFormat="1" hidden="1">
      <c r="A186" s="967" t="s">
        <v>308</v>
      </c>
      <c r="B186" s="1104" t="s">
        <v>716</v>
      </c>
      <c r="C186" s="967" t="s">
        <v>28</v>
      </c>
      <c r="D186" s="1100">
        <v>45097</v>
      </c>
      <c r="E186" s="1101">
        <v>45103</v>
      </c>
      <c r="F186" s="967" t="s">
        <v>86</v>
      </c>
      <c r="G186" s="800" t="s">
        <v>46</v>
      </c>
      <c r="H186" s="946"/>
      <c r="I186" s="967"/>
      <c r="J186" s="800" t="s">
        <v>32</v>
      </c>
      <c r="K186" s="967" t="s">
        <v>47</v>
      </c>
      <c r="L186" s="1171" t="s">
        <v>717</v>
      </c>
      <c r="M186" s="1100">
        <v>45105</v>
      </c>
      <c r="N186" s="961">
        <v>45105</v>
      </c>
      <c r="O186" s="1100">
        <v>45107</v>
      </c>
      <c r="P186" s="1102" t="s">
        <v>718</v>
      </c>
      <c r="Q186" s="967" t="s">
        <v>50</v>
      </c>
      <c r="R186" s="967" t="s">
        <v>51</v>
      </c>
      <c r="S186" s="967"/>
      <c r="T186" s="967"/>
      <c r="U186" s="967"/>
      <c r="V186" s="967"/>
      <c r="W186" s="967">
        <f>IFERROR((JUN_2023[[#This Row],[Sales Amount]]-JUN_2023[[#This Row],[Cost]])/JUN_2023[[#This Row],[CNTR AMOUNT]],JUN_2023[[#This Row],[Sales Amount]]-JUN_2023[[#This Row],[Cost]])</f>
        <v>0</v>
      </c>
      <c r="X186" s="1150" t="str">
        <f>IFERROR((JUN_2023[[#This Row],[Sales Amount]]-JUN_2023[[#This Row],[Cost]])/JUN_2023[[#This Row],[Cost]],"-")</f>
        <v>-</v>
      </c>
      <c r="Y186" s="967"/>
      <c r="Z186" s="967"/>
    </row>
    <row r="187" spans="1:26" s="147" customFormat="1" hidden="1">
      <c r="A187" s="710" t="s">
        <v>149</v>
      </c>
      <c r="B187" s="710" t="s">
        <v>719</v>
      </c>
      <c r="C187" s="710" t="s">
        <v>85</v>
      </c>
      <c r="D187" s="1110">
        <v>45126</v>
      </c>
      <c r="E187" s="1066">
        <v>45134</v>
      </c>
      <c r="F187" s="710" t="s">
        <v>260</v>
      </c>
      <c r="G187" s="58" t="s">
        <v>720</v>
      </c>
      <c r="H187" s="946">
        <v>45138</v>
      </c>
      <c r="I187" s="1117" t="s">
        <v>108</v>
      </c>
      <c r="J187" s="58" t="s">
        <v>154</v>
      </c>
      <c r="K187" s="4839" t="s">
        <v>721</v>
      </c>
      <c r="L187" s="1171">
        <v>96794204</v>
      </c>
      <c r="M187" s="1118">
        <v>45136</v>
      </c>
      <c r="N187" s="1119">
        <v>45135</v>
      </c>
      <c r="O187" s="844">
        <v>45138</v>
      </c>
      <c r="P187" s="4124" t="s">
        <v>722</v>
      </c>
      <c r="Q187" s="710" t="s">
        <v>35</v>
      </c>
      <c r="R187" s="710" t="s">
        <v>36</v>
      </c>
      <c r="S187" s="710" t="s">
        <v>67</v>
      </c>
      <c r="T187" s="85">
        <v>1360</v>
      </c>
      <c r="U187" s="85">
        <v>1220</v>
      </c>
      <c r="V187" s="85"/>
      <c r="W187" s="85">
        <f>IFERROR((JUN_2023[[#This Row],[Sales Amount]]-JUN_2023[[#This Row],[Cost]])/JUN_2023[[#This Row],[CNTR AMOUNT]],JUN_2023[[#This Row],[Sales Amount]]-JUN_2023[[#This Row],[Cost]])</f>
        <v>140</v>
      </c>
      <c r="X187" s="927">
        <f>IFERROR((JUN_2023[[#This Row],[Sales Amount]]-JUN_2023[[#This Row],[Cost]])/JUN_2023[[#This Row],[Cost]],"-")</f>
        <v>0.11475409836065574</v>
      </c>
      <c r="Y187" s="85"/>
      <c r="Z187" s="85"/>
    </row>
    <row r="188" spans="1:26" s="147" customFormat="1">
      <c r="A188" s="1231" t="s">
        <v>129</v>
      </c>
      <c r="B188" t="s">
        <v>723</v>
      </c>
      <c r="C188" s="1231" t="s">
        <v>85</v>
      </c>
      <c r="D188" s="1232">
        <v>45075</v>
      </c>
      <c r="E188" s="1233">
        <v>45084</v>
      </c>
      <c r="F188" s="1231" t="s">
        <v>98</v>
      </c>
      <c r="G188" s="63" t="s">
        <v>46</v>
      </c>
      <c r="H188" s="946"/>
      <c r="I188" s="1231"/>
      <c r="J188" s="63" t="s">
        <v>32</v>
      </c>
      <c r="K188" s="705" t="s">
        <v>47</v>
      </c>
      <c r="L188" s="1171" t="s">
        <v>724</v>
      </c>
      <c r="M188" s="1234">
        <v>45087</v>
      </c>
      <c r="N188" s="1207">
        <v>45087</v>
      </c>
      <c r="O188" s="1208">
        <v>45090</v>
      </c>
      <c r="P188" s="705" t="s">
        <v>725</v>
      </c>
      <c r="Q188" s="705" t="s">
        <v>75</v>
      </c>
      <c r="R188" s="705" t="s">
        <v>36</v>
      </c>
      <c r="S188" s="705" t="s">
        <v>101</v>
      </c>
      <c r="T188" s="705"/>
      <c r="U188" s="705">
        <v>822</v>
      </c>
      <c r="V188" s="705"/>
      <c r="W188" s="705">
        <f>IFERROR((JUN_2023[[#This Row],[Sales Amount]]-JUN_2023[[#This Row],[Cost]])/JUN_2023[[#This Row],[CNTR AMOUNT]],JUN_2023[[#This Row],[Sales Amount]]-JUN_2023[[#This Row],[Cost]])</f>
        <v>-822</v>
      </c>
      <c r="X188" s="1235">
        <f>IFERROR((JUN_2023[[#This Row],[Sales Amount]]-JUN_2023[[#This Row],[Cost]])/JUN_2023[[#This Row],[Cost]],"-")</f>
        <v>-1</v>
      </c>
      <c r="Y188" s="705"/>
      <c r="Z188" s="705"/>
    </row>
    <row r="189" spans="1:26" s="117" customFormat="1" ht="45">
      <c r="A189" s="712" t="s">
        <v>548</v>
      </c>
      <c r="B189" s="1259" t="s">
        <v>726</v>
      </c>
      <c r="C189" s="712" t="s">
        <v>85</v>
      </c>
      <c r="D189" s="1224">
        <v>45112</v>
      </c>
      <c r="E189" s="1236">
        <v>45113</v>
      </c>
      <c r="F189" s="712" t="s">
        <v>173</v>
      </c>
      <c r="G189" s="36" t="s">
        <v>550</v>
      </c>
      <c r="H189" s="929">
        <v>45127</v>
      </c>
      <c r="I189" s="1057" t="s">
        <v>495</v>
      </c>
      <c r="J189" s="712" t="s">
        <v>551</v>
      </c>
      <c r="K189" s="1301" t="s">
        <v>552</v>
      </c>
      <c r="L189" s="1342" t="s">
        <v>553</v>
      </c>
      <c r="M189" s="1258">
        <v>45121</v>
      </c>
      <c r="N189" s="1256">
        <v>45121</v>
      </c>
      <c r="O189" s="1288">
        <v>45128</v>
      </c>
      <c r="P189" s="1064" t="s">
        <v>727</v>
      </c>
      <c r="Q189" s="712" t="s">
        <v>75</v>
      </c>
      <c r="R189" s="3" t="s">
        <v>728</v>
      </c>
      <c r="S189" s="40">
        <v>4</v>
      </c>
      <c r="T189" s="712">
        <v>2295</v>
      </c>
      <c r="U189" s="712">
        <v>1926</v>
      </c>
      <c r="V189" s="712">
        <v>1</v>
      </c>
      <c r="W189" s="712">
        <f>IFERROR((JUN_2023[[#This Row],[Sales Amount]]-JUN_2023[[#This Row],[Cost]])/JUN_2023[[#This Row],[CNTR AMOUNT]],JUN_2023[[#This Row],[Sales Amount]]-JUN_2023[[#This Row],[Cost]])</f>
        <v>369</v>
      </c>
      <c r="X189" s="1230">
        <f>IFERROR((JUN_2023[[#This Row],[Sales Amount]]-JUN_2023[[#This Row],[Cost]])/JUN_2023[[#This Row],[Cost]],"-")</f>
        <v>0.19158878504672897</v>
      </c>
      <c r="Y189" s="712"/>
      <c r="Z189" s="712"/>
    </row>
    <row r="190" spans="1:26" s="117" customFormat="1" ht="45">
      <c r="A190" s="712" t="s">
        <v>548</v>
      </c>
      <c r="B190" s="4091" t="s">
        <v>729</v>
      </c>
      <c r="C190" s="712" t="s">
        <v>85</v>
      </c>
      <c r="D190" s="1224">
        <v>45109</v>
      </c>
      <c r="E190" s="1236">
        <v>45116</v>
      </c>
      <c r="F190" s="712" t="s">
        <v>167</v>
      </c>
      <c r="G190" s="36" t="s">
        <v>550</v>
      </c>
      <c r="H190" s="929">
        <v>45128</v>
      </c>
      <c r="I190" s="1295" t="s">
        <v>495</v>
      </c>
      <c r="J190" s="712" t="s">
        <v>551</v>
      </c>
      <c r="K190" s="1301" t="s">
        <v>552</v>
      </c>
      <c r="L190" s="1342" t="s">
        <v>542</v>
      </c>
      <c r="M190" s="1258">
        <v>45119</v>
      </c>
      <c r="N190" s="1307">
        <v>45118</v>
      </c>
      <c r="O190" s="758">
        <v>45131</v>
      </c>
      <c r="P190" s="1219" t="s">
        <v>730</v>
      </c>
      <c r="Q190" s="712" t="s">
        <v>75</v>
      </c>
      <c r="R190" s="3" t="s">
        <v>731</v>
      </c>
      <c r="S190" s="24">
        <v>4</v>
      </c>
      <c r="T190" s="1138">
        <v>4103.75</v>
      </c>
      <c r="U190" s="1138">
        <v>3189</v>
      </c>
      <c r="V190" s="1138">
        <v>1</v>
      </c>
      <c r="W190" s="1138">
        <f>IFERROR((JUN_2023[[#This Row],[Sales Amount]]-JUN_2023[[#This Row],[Cost]])/JUN_2023[[#This Row],[CNTR AMOUNT]],JUN_2023[[#This Row],[Sales Amount]]-JUN_2023[[#This Row],[Cost]])</f>
        <v>914.75</v>
      </c>
      <c r="X190" s="1223">
        <f>IFERROR((JUN_2023[[#This Row],[Sales Amount]]-JUN_2023[[#This Row],[Cost]])/JUN_2023[[#This Row],[Cost]],"-")</f>
        <v>0.28684540608341175</v>
      </c>
      <c r="Y190" s="1138"/>
      <c r="Z190" s="1138"/>
    </row>
    <row r="191" spans="1:26" s="147" customFormat="1" ht="60" hidden="1">
      <c r="A191" s="967" t="s">
        <v>732</v>
      </c>
      <c r="B191" s="962" t="s">
        <v>733</v>
      </c>
      <c r="C191" s="967" t="s">
        <v>200</v>
      </c>
      <c r="D191" s="1100">
        <v>45096</v>
      </c>
      <c r="E191" s="1101">
        <v>45098</v>
      </c>
      <c r="F191" s="967" t="s">
        <v>734</v>
      </c>
      <c r="G191" s="800" t="s">
        <v>735</v>
      </c>
      <c r="H191" s="946"/>
      <c r="I191" s="962"/>
      <c r="J191" s="967" t="s">
        <v>736</v>
      </c>
      <c r="K191" s="967" t="s">
        <v>737</v>
      </c>
      <c r="L191" s="1171" t="s">
        <v>738</v>
      </c>
      <c r="M191" s="1100">
        <v>45103</v>
      </c>
      <c r="N191" s="961">
        <v>45103</v>
      </c>
      <c r="O191" s="1128">
        <v>45105</v>
      </c>
      <c r="P191" s="724" t="s">
        <v>739</v>
      </c>
      <c r="Q191" s="967" t="s">
        <v>50</v>
      </c>
      <c r="R191" s="962" t="s">
        <v>51</v>
      </c>
      <c r="S191" s="962"/>
      <c r="T191" s="962"/>
      <c r="U191" s="962"/>
      <c r="V191" s="962"/>
      <c r="W191" s="962">
        <f>IFERROR((JUN_2023[[#This Row],[Sales Amount]]-JUN_2023[[#This Row],[Cost]])/JUN_2023[[#This Row],[CNTR AMOUNT]],JUN_2023[[#This Row],[Sales Amount]]-JUN_2023[[#This Row],[Cost]])</f>
        <v>0</v>
      </c>
      <c r="X191" s="1152" t="str">
        <f>IFERROR((JUN_2023[[#This Row],[Sales Amount]]-JUN_2023[[#This Row],[Cost]])/JUN_2023[[#This Row],[Cost]],"-")</f>
        <v>-</v>
      </c>
      <c r="Y191" s="962"/>
      <c r="Z191" s="962"/>
    </row>
    <row r="192" spans="1:26" s="709" customFormat="1" hidden="1">
      <c r="A192" s="967" t="s">
        <v>165</v>
      </c>
      <c r="B192" s="962" t="s">
        <v>740</v>
      </c>
      <c r="C192" s="1104" t="s">
        <v>28</v>
      </c>
      <c r="D192" s="1100"/>
      <c r="E192" s="1196">
        <v>45108</v>
      </c>
      <c r="F192" s="967" t="s">
        <v>151</v>
      </c>
      <c r="G192" s="1143" t="s">
        <v>741</v>
      </c>
      <c r="H192" s="946">
        <v>45112</v>
      </c>
      <c r="I192" s="962" t="s">
        <v>445</v>
      </c>
      <c r="J192" s="967" t="s">
        <v>673</v>
      </c>
      <c r="K192" s="1299" t="s">
        <v>742</v>
      </c>
      <c r="L192" s="1140">
        <v>1500</v>
      </c>
      <c r="M192" s="1100">
        <v>45111</v>
      </c>
      <c r="N192" s="1100">
        <v>45110</v>
      </c>
      <c r="O192" s="946">
        <v>45112</v>
      </c>
      <c r="P192" s="4135" t="s">
        <v>743</v>
      </c>
      <c r="Q192" s="967" t="s">
        <v>170</v>
      </c>
      <c r="R192" s="962" t="s">
        <v>36</v>
      </c>
      <c r="S192" s="647"/>
      <c r="T192" s="647">
        <v>1120</v>
      </c>
      <c r="U192" s="647">
        <v>845.5</v>
      </c>
      <c r="V192" s="647"/>
      <c r="W192" s="647">
        <f>IFERROR((JUN_2023[[#This Row],[Sales Amount]]-JUN_2023[[#This Row],[Cost]])/JUN_2023[[#This Row],[CNTR AMOUNT]],JUN_2023[[#This Row],[Sales Amount]]-JUN_2023[[#This Row],[Cost]])</f>
        <v>274.5</v>
      </c>
      <c r="X192" s="1084">
        <f>IFERROR((JUN_2023[[#This Row],[Sales Amount]]-JUN_2023[[#This Row],[Cost]])/JUN_2023[[#This Row],[Cost]],"-")</f>
        <v>0.32465996451803669</v>
      </c>
      <c r="Y192" s="647"/>
      <c r="Z192" s="647"/>
    </row>
    <row r="193" spans="1:26" s="723" customFormat="1" hidden="1">
      <c r="A193" s="967" t="s">
        <v>165</v>
      </c>
      <c r="B193" s="800" t="s">
        <v>744</v>
      </c>
      <c r="C193" s="1104" t="s">
        <v>28</v>
      </c>
      <c r="D193" s="1100">
        <v>45091</v>
      </c>
      <c r="E193" s="1101">
        <v>45112</v>
      </c>
      <c r="F193" s="1104" t="s">
        <v>167</v>
      </c>
      <c r="G193" s="800" t="s">
        <v>46</v>
      </c>
      <c r="H193" s="946">
        <v>45114</v>
      </c>
      <c r="I193" s="4136" t="s">
        <v>745</v>
      </c>
      <c r="J193" s="800" t="s">
        <v>440</v>
      </c>
      <c r="K193" s="1335" t="s">
        <v>441</v>
      </c>
      <c r="L193" s="1140" t="s">
        <v>746</v>
      </c>
      <c r="M193" s="1100">
        <v>45114</v>
      </c>
      <c r="N193" s="946">
        <v>45114</v>
      </c>
      <c r="O193" s="1100"/>
      <c r="P193" s="723" t="s">
        <v>747</v>
      </c>
      <c r="Q193" s="967" t="s">
        <v>170</v>
      </c>
      <c r="R193" s="967" t="s">
        <v>51</v>
      </c>
      <c r="S193" s="850"/>
      <c r="T193" s="850">
        <v>850</v>
      </c>
      <c r="U193" s="850">
        <v>745</v>
      </c>
      <c r="V193" s="850"/>
      <c r="W193" s="850">
        <f>IFERROR((JUN_2023[[#This Row],[Sales Amount]]-JUN_2023[[#This Row],[Cost]])/JUN_2023[[#This Row],[CNTR AMOUNT]],JUN_2023[[#This Row],[Sales Amount]]-JUN_2023[[#This Row],[Cost]])</f>
        <v>105</v>
      </c>
      <c r="X193" s="1050">
        <f>IFERROR((JUN_2023[[#This Row],[Sales Amount]]-JUN_2023[[#This Row],[Cost]])/JUN_2023[[#This Row],[Cost]],"-")</f>
        <v>0.14093959731543623</v>
      </c>
      <c r="Y193" s="850"/>
      <c r="Z193" s="850"/>
    </row>
    <row r="194" spans="1:26" s="147" customFormat="1" hidden="1">
      <c r="A194" s="967"/>
      <c r="B194" s="800" t="s">
        <v>748</v>
      </c>
      <c r="C194" s="967" t="s">
        <v>28</v>
      </c>
      <c r="D194" s="1128">
        <v>45104</v>
      </c>
      <c r="E194" s="1101">
        <v>45110</v>
      </c>
      <c r="F194" s="967" t="s">
        <v>734</v>
      </c>
      <c r="G194" s="800" t="s">
        <v>46</v>
      </c>
      <c r="H194" s="946"/>
      <c r="I194" s="962"/>
      <c r="J194" s="1132" t="s">
        <v>32</v>
      </c>
      <c r="K194" s="800" t="s">
        <v>47</v>
      </c>
      <c r="L194" s="1171" t="s">
        <v>749</v>
      </c>
      <c r="M194" s="1128">
        <v>45114</v>
      </c>
      <c r="N194" s="961">
        <v>45114</v>
      </c>
      <c r="O194" s="1128">
        <v>45119</v>
      </c>
      <c r="P194" s="723" t="s">
        <v>750</v>
      </c>
      <c r="Q194" s="967" t="s">
        <v>50</v>
      </c>
      <c r="R194" s="967" t="s">
        <v>51</v>
      </c>
      <c r="S194" s="962"/>
      <c r="T194" s="962"/>
      <c r="U194" s="962"/>
      <c r="V194" s="962"/>
      <c r="W194" s="962">
        <f>IFERROR((JUN_2023[[#This Row],[Sales Amount]]-JUN_2023[[#This Row],[Cost]])/JUN_2023[[#This Row],[CNTR AMOUNT]],JUN_2023[[#This Row],[Sales Amount]]-JUN_2023[[#This Row],[Cost]])</f>
        <v>0</v>
      </c>
      <c r="X194" s="1152" t="str">
        <f>IFERROR((JUN_2023[[#This Row],[Sales Amount]]-JUN_2023[[#This Row],[Cost]])/JUN_2023[[#This Row],[Cost]],"-")</f>
        <v>-</v>
      </c>
      <c r="Y194" s="962"/>
      <c r="Z194" s="962"/>
    </row>
    <row r="195" spans="1:26" s="826" customFormat="1" hidden="1">
      <c r="A195" s="962" t="s">
        <v>497</v>
      </c>
      <c r="B195" s="4084" t="s">
        <v>751</v>
      </c>
      <c r="C195" s="962" t="s">
        <v>44</v>
      </c>
      <c r="D195" s="1128">
        <v>45096</v>
      </c>
      <c r="E195" s="1101">
        <v>45112</v>
      </c>
      <c r="F195" s="1363" t="s">
        <v>93</v>
      </c>
      <c r="G195" s="800" t="s">
        <v>46</v>
      </c>
      <c r="H195" s="946"/>
      <c r="I195" s="800"/>
      <c r="J195" s="800" t="s">
        <v>168</v>
      </c>
      <c r="K195" s="962" t="s">
        <v>47</v>
      </c>
      <c r="L195" s="1171" t="s">
        <v>752</v>
      </c>
      <c r="M195" s="1128">
        <v>45115</v>
      </c>
      <c r="N195" s="1127">
        <v>45114</v>
      </c>
      <c r="O195" s="1128">
        <v>45119</v>
      </c>
      <c r="P195" s="1161" t="s">
        <v>753</v>
      </c>
      <c r="Q195" s="962" t="s">
        <v>50</v>
      </c>
      <c r="R195" s="962" t="s">
        <v>51</v>
      </c>
      <c r="S195" s="962"/>
      <c r="T195" s="962"/>
      <c r="U195" s="962"/>
      <c r="V195" s="962"/>
      <c r="W195" s="962">
        <f>IFERROR((JUN_2023[[#This Row],[Sales Amount]]-JUN_2023[[#This Row],[Cost]])/JUN_2023[[#This Row],[CNTR AMOUNT]],JUN_2023[[#This Row],[Sales Amount]]-JUN_2023[[#This Row],[Cost]])</f>
        <v>0</v>
      </c>
      <c r="X195" s="1152" t="str">
        <f>IFERROR((JUN_2023[[#This Row],[Sales Amount]]-JUN_2023[[#This Row],[Cost]])/JUN_2023[[#This Row],[Cost]],"-")</f>
        <v>-</v>
      </c>
      <c r="Y195" s="962"/>
      <c r="Z195" s="962"/>
    </row>
    <row r="196" spans="1:26" s="147" customFormat="1" ht="30" hidden="1">
      <c r="A196" s="967" t="s">
        <v>497</v>
      </c>
      <c r="B196" s="967" t="s">
        <v>754</v>
      </c>
      <c r="C196" s="967" t="s">
        <v>755</v>
      </c>
      <c r="D196" s="1100">
        <v>45097</v>
      </c>
      <c r="E196" s="1101">
        <v>45115</v>
      </c>
      <c r="F196" s="967" t="s">
        <v>45</v>
      </c>
      <c r="G196" s="4137" t="s">
        <v>361</v>
      </c>
      <c r="H196" s="946"/>
      <c r="I196" s="1364" t="s">
        <v>532</v>
      </c>
      <c r="J196" s="800" t="s">
        <v>168</v>
      </c>
      <c r="K196" s="967" t="s">
        <v>47</v>
      </c>
      <c r="L196" s="1171" t="s">
        <v>756</v>
      </c>
      <c r="M196" s="1100">
        <v>45116</v>
      </c>
      <c r="N196" s="1127">
        <v>45116</v>
      </c>
      <c r="O196" s="4138">
        <v>45117</v>
      </c>
      <c r="P196" s="1102" t="s">
        <v>757</v>
      </c>
      <c r="Q196" s="967" t="s">
        <v>50</v>
      </c>
      <c r="R196" s="967" t="s">
        <v>51</v>
      </c>
      <c r="S196" s="967"/>
      <c r="T196" s="967"/>
      <c r="U196" s="967"/>
      <c r="V196" s="967"/>
      <c r="W196" s="967">
        <f>IFERROR((JUN_2023[[#This Row],[Sales Amount]]-JUN_2023[[#This Row],[Cost]])/JUN_2023[[#This Row],[CNTR AMOUNT]],JUN_2023[[#This Row],[Sales Amount]]-JUN_2023[[#This Row],[Cost]])</f>
        <v>0</v>
      </c>
      <c r="X196" s="1150" t="str">
        <f>IFERROR((JUN_2023[[#This Row],[Sales Amount]]-JUN_2023[[#This Row],[Cost]])/JUN_2023[[#This Row],[Cost]],"-")</f>
        <v>-</v>
      </c>
      <c r="Y196" s="967"/>
      <c r="Z196" s="967"/>
    </row>
    <row r="197" spans="1:26" s="106" customFormat="1" hidden="1">
      <c r="A197" s="967" t="s">
        <v>165</v>
      </c>
      <c r="B197" s="967" t="s">
        <v>758</v>
      </c>
      <c r="C197" s="1104" t="s">
        <v>28</v>
      </c>
      <c r="D197" s="1100">
        <v>45091</v>
      </c>
      <c r="E197" s="1101">
        <v>45112</v>
      </c>
      <c r="F197" s="1104" t="s">
        <v>167</v>
      </c>
      <c r="G197" s="967" t="s">
        <v>46</v>
      </c>
      <c r="H197" s="946">
        <v>45114</v>
      </c>
      <c r="I197" s="4136" t="s">
        <v>745</v>
      </c>
      <c r="J197" s="967" t="s">
        <v>440</v>
      </c>
      <c r="K197" s="1299" t="s">
        <v>441</v>
      </c>
      <c r="L197" s="1140" t="s">
        <v>759</v>
      </c>
      <c r="M197" s="1100">
        <v>45114</v>
      </c>
      <c r="N197" s="1100">
        <v>45114</v>
      </c>
      <c r="O197" s="1100"/>
      <c r="P197" s="723" t="s">
        <v>760</v>
      </c>
      <c r="Q197" s="967" t="s">
        <v>170</v>
      </c>
      <c r="R197" s="967" t="s">
        <v>51</v>
      </c>
      <c r="S197" s="850"/>
      <c r="T197" s="850">
        <v>400</v>
      </c>
      <c r="U197" s="850">
        <v>315</v>
      </c>
      <c r="V197" s="850"/>
      <c r="W197" s="850">
        <f>IFERROR((JUN_2023[[#This Row],[Sales Amount]]-JUN_2023[[#This Row],[Cost]])/JUN_2023[[#This Row],[CNTR AMOUNT]],JUN_2023[[#This Row],[Sales Amount]]-JUN_2023[[#This Row],[Cost]])</f>
        <v>85</v>
      </c>
      <c r="X197" s="1050">
        <f>IFERROR((JUN_2023[[#This Row],[Sales Amount]]-JUN_2023[[#This Row],[Cost]])/JUN_2023[[#This Row],[Cost]],"-")</f>
        <v>0.26984126984126983</v>
      </c>
      <c r="Y197" s="850"/>
      <c r="Z197" s="850"/>
    </row>
    <row r="198" spans="1:26" s="106" customFormat="1" hidden="1">
      <c r="A198" s="967" t="s">
        <v>165</v>
      </c>
      <c r="B198" s="967" t="s">
        <v>761</v>
      </c>
      <c r="C198" s="1132" t="s">
        <v>28</v>
      </c>
      <c r="D198" s="1100">
        <v>45091</v>
      </c>
      <c r="E198" s="1101">
        <v>45112</v>
      </c>
      <c r="F198" s="1104" t="s">
        <v>167</v>
      </c>
      <c r="G198" s="800" t="s">
        <v>46</v>
      </c>
      <c r="H198" s="946">
        <v>45114</v>
      </c>
      <c r="I198" s="4136" t="s">
        <v>745</v>
      </c>
      <c r="J198" s="800" t="s">
        <v>440</v>
      </c>
      <c r="K198" s="1299" t="s">
        <v>441</v>
      </c>
      <c r="L198" s="1140">
        <v>71300</v>
      </c>
      <c r="M198" s="1100">
        <v>45114</v>
      </c>
      <c r="N198" s="946">
        <v>45114</v>
      </c>
      <c r="O198" s="1100"/>
      <c r="P198" s="1102" t="s">
        <v>762</v>
      </c>
      <c r="Q198" s="967" t="s">
        <v>170</v>
      </c>
      <c r="R198" s="967" t="s">
        <v>51</v>
      </c>
      <c r="S198" s="850"/>
      <c r="T198" s="43">
        <v>895</v>
      </c>
      <c r="U198" s="43">
        <v>790</v>
      </c>
      <c r="V198" s="850"/>
      <c r="W198" s="850">
        <f>IFERROR((JUN_2023[[#This Row],[Sales Amount]]-JUN_2023[[#This Row],[Cost]])/JUN_2023[[#This Row],[CNTR AMOUNT]],JUN_2023[[#This Row],[Sales Amount]]-JUN_2023[[#This Row],[Cost]])</f>
        <v>105</v>
      </c>
      <c r="X198" s="1050">
        <f>IFERROR((JUN_2023[[#This Row],[Sales Amount]]-JUN_2023[[#This Row],[Cost]])/JUN_2023[[#This Row],[Cost]],"-")</f>
        <v>0.13291139240506328</v>
      </c>
      <c r="Y198" s="850"/>
      <c r="Z198" s="850"/>
    </row>
    <row r="199" spans="1:26" s="1365" customFormat="1" hidden="1">
      <c r="A199" s="967" t="s">
        <v>763</v>
      </c>
      <c r="B199" s="800" t="s">
        <v>764</v>
      </c>
      <c r="C199" s="967" t="s">
        <v>44</v>
      </c>
      <c r="D199" s="1100">
        <v>45096</v>
      </c>
      <c r="E199" s="1196">
        <v>45106</v>
      </c>
      <c r="F199" s="967" t="s">
        <v>167</v>
      </c>
      <c r="G199" s="800" t="s">
        <v>489</v>
      </c>
      <c r="H199" s="946" t="s">
        <v>765</v>
      </c>
      <c r="I199" s="967" t="s">
        <v>445</v>
      </c>
      <c r="J199" s="800" t="s">
        <v>297</v>
      </c>
      <c r="K199" s="4834" t="s">
        <v>766</v>
      </c>
      <c r="L199" s="1140" t="s">
        <v>767</v>
      </c>
      <c r="M199" s="1172">
        <v>45108</v>
      </c>
      <c r="N199" s="961">
        <v>45108</v>
      </c>
      <c r="O199" s="1100">
        <v>45113</v>
      </c>
      <c r="P199" s="723" t="s">
        <v>768</v>
      </c>
      <c r="Q199" s="967" t="s">
        <v>170</v>
      </c>
      <c r="R199" s="967" t="s">
        <v>51</v>
      </c>
      <c r="S199" s="43"/>
      <c r="T199" s="850">
        <v>1205</v>
      </c>
      <c r="U199" s="850">
        <v>695.5</v>
      </c>
      <c r="V199" s="850"/>
      <c r="W199" s="850">
        <f>IFERROR((JUN_2023[[#This Row],[Sales Amount]]-JUN_2023[[#This Row],[Cost]])/JUN_2023[[#This Row],[CNTR AMOUNT]],JUN_2023[[#This Row],[Sales Amount]]-JUN_2023[[#This Row],[Cost]])</f>
        <v>509.5</v>
      </c>
      <c r="X199" s="1050">
        <f>IFERROR((JUN_2023[[#This Row],[Sales Amount]]-JUN_2023[[#This Row],[Cost]])/JUN_2023[[#This Row],[Cost]],"-")</f>
        <v>0.73256649892163905</v>
      </c>
      <c r="Y199" s="850"/>
      <c r="Z199" s="850"/>
    </row>
    <row r="200" spans="1:26" s="147" customFormat="1" ht="45" hidden="1">
      <c r="A200" s="967" t="s">
        <v>42</v>
      </c>
      <c r="B200" s="1390" t="s">
        <v>769</v>
      </c>
      <c r="C200" s="967" t="s">
        <v>755</v>
      </c>
      <c r="D200" s="1100">
        <v>45119</v>
      </c>
      <c r="E200" s="1101">
        <v>45119</v>
      </c>
      <c r="F200" s="967" t="s">
        <v>770</v>
      </c>
      <c r="G200" s="800" t="s">
        <v>771</v>
      </c>
      <c r="H200" s="800"/>
      <c r="I200" s="967"/>
      <c r="J200" s="800" t="s">
        <v>772</v>
      </c>
      <c r="K200" s="967" t="s">
        <v>773</v>
      </c>
      <c r="L200" s="967" t="s">
        <v>738</v>
      </c>
      <c r="M200" s="1100">
        <v>45125</v>
      </c>
      <c r="N200" s="961">
        <v>45125</v>
      </c>
      <c r="O200" s="1100">
        <v>45126</v>
      </c>
      <c r="P200" s="1102" t="s">
        <v>774</v>
      </c>
      <c r="Q200" s="967" t="s">
        <v>50</v>
      </c>
      <c r="R200" s="967" t="s">
        <v>51</v>
      </c>
      <c r="S200" s="967"/>
      <c r="T200" s="967">
        <v>1370</v>
      </c>
      <c r="U200" s="967">
        <v>1183.05</v>
      </c>
      <c r="V200" s="967"/>
      <c r="W200" s="967">
        <f>IFERROR((JUN_2023[[#This Row],[Sales Amount]]-JUN_2023[[#This Row],[Cost]])/JUN_2023[[#This Row],[CNTR AMOUNT]],JUN_2023[[#This Row],[Sales Amount]]-JUN_2023[[#This Row],[Cost]])</f>
        <v>186.95000000000005</v>
      </c>
      <c r="X200" s="1150">
        <f>IFERROR((JUN_2023[[#This Row],[Sales Amount]]-JUN_2023[[#This Row],[Cost]])/JUN_2023[[#This Row],[Cost]],"-")</f>
        <v>0.15802375216601164</v>
      </c>
      <c r="Y200" s="967"/>
      <c r="Z200" s="967"/>
    </row>
    <row r="201" spans="1:26" s="723" customFormat="1" ht="36" hidden="1">
      <c r="A201" s="962" t="s">
        <v>468</v>
      </c>
      <c r="B201" s="4084" t="s">
        <v>775</v>
      </c>
      <c r="C201" s="962" t="s">
        <v>28</v>
      </c>
      <c r="D201" s="1128"/>
      <c r="E201" s="1128">
        <v>45119</v>
      </c>
      <c r="F201" s="962" t="s">
        <v>135</v>
      </c>
      <c r="G201" s="4589"/>
      <c r="H201" s="946">
        <v>45120</v>
      </c>
      <c r="I201" s="1163" t="s">
        <v>776</v>
      </c>
      <c r="J201" s="4589" t="s">
        <v>322</v>
      </c>
      <c r="K201" s="962" t="s">
        <v>777</v>
      </c>
      <c r="L201" s="1140">
        <v>4731</v>
      </c>
      <c r="M201" s="1404" t="s">
        <v>778</v>
      </c>
      <c r="N201" s="4587">
        <v>45120</v>
      </c>
      <c r="O201" s="1128">
        <v>45126</v>
      </c>
      <c r="P201" s="724" t="s">
        <v>779</v>
      </c>
      <c r="Q201" s="962" t="s">
        <v>170</v>
      </c>
      <c r="R201" s="967" t="s">
        <v>780</v>
      </c>
      <c r="S201" s="647"/>
      <c r="T201" s="850">
        <v>1400</v>
      </c>
      <c r="U201" s="850"/>
      <c r="V201" s="850"/>
      <c r="W201" s="647">
        <f>IFERROR((JUN_2023[[#This Row],[Sales Amount]]-JUN_2023[[#This Row],[Cost]])/JUN_2023[[#This Row],[CNTR AMOUNT]],JUN_2023[[#This Row],[Sales Amount]]-JUN_2023[[#This Row],[Cost]])</f>
        <v>1400</v>
      </c>
      <c r="X201" s="1084" t="str">
        <f>IFERROR((JUN_2023[[#This Row],[Sales Amount]]-JUN_2023[[#This Row],[Cost]])/JUN_2023[[#This Row],[Cost]],"-")</f>
        <v>-</v>
      </c>
      <c r="Y201" s="647"/>
      <c r="Z201" s="647"/>
    </row>
    <row r="202" spans="1:26" s="117" customFormat="1" ht="75">
      <c r="A202" s="1064" t="s">
        <v>732</v>
      </c>
      <c r="B202" s="4099" t="s">
        <v>781</v>
      </c>
      <c r="C202" s="1064" t="s">
        <v>755</v>
      </c>
      <c r="D202" s="1238">
        <v>45133</v>
      </c>
      <c r="E202" s="1239">
        <v>45133</v>
      </c>
      <c r="F202" s="1064" t="s">
        <v>782</v>
      </c>
      <c r="G202" s="4139" t="s">
        <v>783</v>
      </c>
      <c r="H202" s="1244">
        <v>45135</v>
      </c>
      <c r="I202" s="1064"/>
      <c r="J202" s="1397" t="s">
        <v>784</v>
      </c>
      <c r="K202" s="712" t="s">
        <v>785</v>
      </c>
      <c r="L202" s="1064"/>
      <c r="M202" s="1238">
        <v>45139</v>
      </c>
      <c r="N202" s="1241">
        <v>45135</v>
      </c>
      <c r="O202" s="1238">
        <v>45135</v>
      </c>
      <c r="P202" s="4099" t="s">
        <v>786</v>
      </c>
      <c r="Q202" s="712" t="s">
        <v>75</v>
      </c>
      <c r="R202" s="4140" t="s">
        <v>787</v>
      </c>
      <c r="S202" s="712" t="s">
        <v>67</v>
      </c>
      <c r="T202" s="1064">
        <v>1487</v>
      </c>
      <c r="U202" s="40">
        <f>900+91+43.85+128</f>
        <v>1162.8499999999999</v>
      </c>
      <c r="V202" s="1064">
        <v>1</v>
      </c>
      <c r="W202" s="1064">
        <f>IFERROR((JUN_2023[[#This Row],[Sales Amount]]-JUN_2023[[#This Row],[Cost]])/JUN_2023[[#This Row],[CNTR AMOUNT]],JUN_2023[[#This Row],[Sales Amount]]-JUN_2023[[#This Row],[Cost]])</f>
        <v>324.15000000000009</v>
      </c>
      <c r="X202" s="1242">
        <f>IFERROR((JUN_2023[[#This Row],[Sales Amount]]-JUN_2023[[#This Row],[Cost]])/JUN_2023[[#This Row],[Cost]],"-")</f>
        <v>0.27875478350604127</v>
      </c>
      <c r="Y202" s="1064"/>
      <c r="Z202" s="1064"/>
    </row>
    <row r="203" spans="1:26" s="147" customFormat="1" ht="36" hidden="1">
      <c r="A203" s="967" t="s">
        <v>788</v>
      </c>
      <c r="B203" s="1371" t="s">
        <v>789</v>
      </c>
      <c r="C203" s="967" t="s">
        <v>28</v>
      </c>
      <c r="D203" s="1100"/>
      <c r="E203" s="1196">
        <v>45135</v>
      </c>
      <c r="F203" s="967" t="s">
        <v>45</v>
      </c>
      <c r="G203" s="58" t="s">
        <v>152</v>
      </c>
      <c r="H203" s="1391">
        <v>45139</v>
      </c>
      <c r="I203" s="1173" t="s">
        <v>790</v>
      </c>
      <c r="J203" s="800" t="s">
        <v>673</v>
      </c>
      <c r="K203" s="967" t="s">
        <v>791</v>
      </c>
      <c r="L203" s="967"/>
      <c r="M203" s="4590" t="s">
        <v>778</v>
      </c>
      <c r="N203" s="946"/>
      <c r="O203" s="1100"/>
      <c r="P203" s="1102" t="s">
        <v>792</v>
      </c>
      <c r="Q203" s="967" t="s">
        <v>170</v>
      </c>
      <c r="R203" s="967" t="s">
        <v>51</v>
      </c>
      <c r="S203" s="850"/>
      <c r="T203" s="850">
        <v>5485</v>
      </c>
      <c r="U203" s="44">
        <v>3346.1</v>
      </c>
      <c r="V203" s="850"/>
      <c r="W203" s="85">
        <f>IFERROR((JUN_2023[[#This Row],[Sales Amount]]-JUN_2023[[#This Row],[Cost]])/JUN_2023[[#This Row],[CNTR AMOUNT]],JUN_2023[[#This Row],[Sales Amount]]-JUN_2023[[#This Row],[Cost]])</f>
        <v>2138.9</v>
      </c>
      <c r="X203" s="927">
        <f>IFERROR((JUN_2023[[#This Row],[Sales Amount]]-JUN_2023[[#This Row],[Cost]])/JUN_2023[[#This Row],[Cost]],"-")</f>
        <v>0.63922178058037715</v>
      </c>
      <c r="Y203" s="850"/>
      <c r="Z203" s="850"/>
    </row>
    <row r="204" spans="1:26" s="147" customFormat="1" ht="36" hidden="1">
      <c r="A204" s="967" t="s">
        <v>788</v>
      </c>
      <c r="B204" s="1168" t="s">
        <v>793</v>
      </c>
      <c r="C204" s="967" t="s">
        <v>794</v>
      </c>
      <c r="D204" s="1110"/>
      <c r="E204" s="1174">
        <v>45135</v>
      </c>
      <c r="F204" s="967" t="s">
        <v>45</v>
      </c>
      <c r="G204" s="58" t="s">
        <v>152</v>
      </c>
      <c r="H204" s="1391">
        <v>45140</v>
      </c>
      <c r="I204" s="1171" t="s">
        <v>672</v>
      </c>
      <c r="J204" s="800" t="s">
        <v>673</v>
      </c>
      <c r="K204" s="967" t="s">
        <v>791</v>
      </c>
      <c r="L204" s="710"/>
      <c r="M204" s="4590" t="s">
        <v>778</v>
      </c>
      <c r="N204" s="844"/>
      <c r="O204" s="1110"/>
      <c r="P204" s="723" t="s">
        <v>792</v>
      </c>
      <c r="Q204" s="967" t="s">
        <v>170</v>
      </c>
      <c r="R204" s="967" t="s">
        <v>51</v>
      </c>
      <c r="S204" s="85"/>
      <c r="T204" s="85">
        <v>5485</v>
      </c>
      <c r="U204" s="44">
        <v>3346.1</v>
      </c>
      <c r="V204" s="85"/>
      <c r="W204" s="85">
        <f>IFERROR((JUN_2023[[#This Row],[Sales Amount]]-JUN_2023[[#This Row],[Cost]])/JUN_2023[[#This Row],[CNTR AMOUNT]],JUN_2023[[#This Row],[Sales Amount]]-JUN_2023[[#This Row],[Cost]])</f>
        <v>2138.9</v>
      </c>
      <c r="X204" s="927">
        <f>IFERROR((JUN_2023[[#This Row],[Sales Amount]]-JUN_2023[[#This Row],[Cost]])/JUN_2023[[#This Row],[Cost]],"-")</f>
        <v>0.63922178058037715</v>
      </c>
      <c r="Y204" s="85"/>
      <c r="Z204" s="85"/>
    </row>
    <row r="205" spans="1:26" s="147" customFormat="1" ht="36" hidden="1">
      <c r="A205" s="967" t="s">
        <v>788</v>
      </c>
      <c r="B205" s="1168" t="s">
        <v>795</v>
      </c>
      <c r="C205" s="800" t="s">
        <v>794</v>
      </c>
      <c r="D205" s="1110"/>
      <c r="E205" s="1174">
        <v>45135</v>
      </c>
      <c r="F205" s="967" t="s">
        <v>45</v>
      </c>
      <c r="G205" s="58" t="s">
        <v>152</v>
      </c>
      <c r="H205" s="1391">
        <v>45140</v>
      </c>
      <c r="I205" s="1171" t="s">
        <v>790</v>
      </c>
      <c r="J205" s="800" t="s">
        <v>673</v>
      </c>
      <c r="K205" s="967" t="s">
        <v>791</v>
      </c>
      <c r="L205" s="710"/>
      <c r="M205" s="1400" t="s">
        <v>778</v>
      </c>
      <c r="N205" s="844"/>
      <c r="O205" s="1110"/>
      <c r="P205" s="1102" t="s">
        <v>792</v>
      </c>
      <c r="Q205" s="967" t="s">
        <v>170</v>
      </c>
      <c r="R205" s="967" t="s">
        <v>51</v>
      </c>
      <c r="S205" s="85"/>
      <c r="T205" s="85">
        <v>5485</v>
      </c>
      <c r="U205" s="44">
        <v>3346.1</v>
      </c>
      <c r="V205" s="85"/>
      <c r="W205" s="85">
        <f>IFERROR((JUN_2023[[#This Row],[Sales Amount]]-JUN_2023[[#This Row],[Cost]])/JUN_2023[[#This Row],[CNTR AMOUNT]],JUN_2023[[#This Row],[Sales Amount]]-JUN_2023[[#This Row],[Cost]])</f>
        <v>2138.9</v>
      </c>
      <c r="X205" s="927">
        <f>IFERROR((JUN_2023[[#This Row],[Sales Amount]]-JUN_2023[[#This Row],[Cost]])/JUN_2023[[#This Row],[Cost]],"-")</f>
        <v>0.63922178058037715</v>
      </c>
      <c r="Y205" s="85"/>
      <c r="Z205" s="85"/>
    </row>
    <row r="206" spans="1:26" s="147" customFormat="1" ht="36" hidden="1">
      <c r="A206" s="967" t="s">
        <v>788</v>
      </c>
      <c r="B206" s="1372" t="s">
        <v>796</v>
      </c>
      <c r="C206" s="967" t="s">
        <v>794</v>
      </c>
      <c r="D206" s="1110"/>
      <c r="E206" s="1174">
        <v>45135</v>
      </c>
      <c r="F206" s="967" t="s">
        <v>45</v>
      </c>
      <c r="G206" s="58" t="s">
        <v>152</v>
      </c>
      <c r="H206" s="1391" t="s">
        <v>797</v>
      </c>
      <c r="I206" s="1171" t="s">
        <v>672</v>
      </c>
      <c r="J206" s="800" t="s">
        <v>673</v>
      </c>
      <c r="K206" s="967" t="s">
        <v>791</v>
      </c>
      <c r="L206" s="710"/>
      <c r="M206" s="1402" t="s">
        <v>778</v>
      </c>
      <c r="N206" s="844"/>
      <c r="O206" s="1110"/>
      <c r="P206" s="1102" t="s">
        <v>798</v>
      </c>
      <c r="Q206" s="967" t="s">
        <v>170</v>
      </c>
      <c r="R206" s="800" t="s">
        <v>51</v>
      </c>
      <c r="S206" s="85"/>
      <c r="T206" s="85">
        <v>5485</v>
      </c>
      <c r="U206" s="44">
        <v>3346.1</v>
      </c>
      <c r="V206" s="85"/>
      <c r="W206" s="85">
        <f>IFERROR((JUN_2023[[#This Row],[Sales Amount]]-JUN_2023[[#This Row],[Cost]])/JUN_2023[[#This Row],[CNTR AMOUNT]],JUN_2023[[#This Row],[Sales Amount]]-JUN_2023[[#This Row],[Cost]])</f>
        <v>2138.9</v>
      </c>
      <c r="X206" s="927">
        <f>IFERROR((JUN_2023[[#This Row],[Sales Amount]]-JUN_2023[[#This Row],[Cost]])/JUN_2023[[#This Row],[Cost]],"-")</f>
        <v>0.63922178058037715</v>
      </c>
      <c r="Y206" s="85"/>
      <c r="Z206" s="85"/>
    </row>
    <row r="207" spans="1:26" s="723" customFormat="1" hidden="1">
      <c r="A207" s="85" t="s">
        <v>799</v>
      </c>
      <c r="B207" s="4842" t="s">
        <v>800</v>
      </c>
      <c r="C207" s="4591" t="s">
        <v>85</v>
      </c>
      <c r="D207" s="4592">
        <v>45032</v>
      </c>
      <c r="E207" s="4593">
        <v>45046</v>
      </c>
      <c r="F207" s="4591" t="s">
        <v>151</v>
      </c>
      <c r="G207" s="4594" t="s">
        <v>801</v>
      </c>
      <c r="H207" s="4587"/>
      <c r="I207" s="4591"/>
      <c r="J207" s="4591" t="s">
        <v>32</v>
      </c>
      <c r="K207" s="4595" t="s">
        <v>802</v>
      </c>
      <c r="L207" s="1340" t="s">
        <v>803</v>
      </c>
      <c r="M207" s="126">
        <v>45048</v>
      </c>
      <c r="N207" s="4596">
        <v>45099</v>
      </c>
      <c r="O207" s="4597">
        <v>45103</v>
      </c>
      <c r="P207" s="152" t="s">
        <v>804</v>
      </c>
      <c r="Q207" s="85" t="s">
        <v>50</v>
      </c>
      <c r="R207" s="152" t="s">
        <v>805</v>
      </c>
      <c r="S207" s="85"/>
      <c r="T207" s="85"/>
      <c r="U207" s="85"/>
      <c r="V207" s="85"/>
      <c r="W207" s="85" t="e">
        <v>#REF!</v>
      </c>
      <c r="X207" s="926" t="s">
        <v>542</v>
      </c>
      <c r="Y207" s="85"/>
      <c r="Z207" s="85"/>
    </row>
    <row r="208" spans="1:26" s="147" customFormat="1" hidden="1">
      <c r="A208" s="850" t="s">
        <v>806</v>
      </c>
      <c r="B208" s="44" t="s">
        <v>807</v>
      </c>
      <c r="C208" s="850" t="s">
        <v>85</v>
      </c>
      <c r="D208" s="1077">
        <v>45095</v>
      </c>
      <c r="E208" s="1082">
        <v>45102</v>
      </c>
      <c r="F208" s="4598" t="s">
        <v>29</v>
      </c>
      <c r="G208" s="43" t="s">
        <v>57</v>
      </c>
      <c r="H208" s="946"/>
      <c r="I208" s="1103"/>
      <c r="J208" s="43"/>
      <c r="K208" s="1398" t="s">
        <v>808</v>
      </c>
      <c r="L208" s="1171"/>
      <c r="M208" s="262"/>
      <c r="N208" s="262">
        <v>45104</v>
      </c>
      <c r="O208" s="1077">
        <v>45104</v>
      </c>
      <c r="P208" s="4141" t="s">
        <v>809</v>
      </c>
      <c r="Q208" s="850" t="s">
        <v>35</v>
      </c>
      <c r="R208" s="850" t="s">
        <v>810</v>
      </c>
      <c r="S208" s="1103"/>
      <c r="T208" s="850"/>
      <c r="U208" s="850"/>
      <c r="V208" s="850"/>
      <c r="W208" s="850">
        <f>IFERROR((JUN_2023[[#This Row],[Sales Amount]]-JUN_2023[[#This Row],[Cost]])/JUN_2023[[#This Row],[CNTR AMOUNT]],JUN_2023[[#This Row],[Sales Amount]]-JUN_2023[[#This Row],[Cost]])</f>
        <v>0</v>
      </c>
      <c r="X208" s="1050" t="str">
        <f>IFERROR((JUN_2023[[#This Row],[Sales Amount]]-JUN_2023[[#This Row],[Cost]])/JUN_2023[[#This Row],[Cost]],"-")</f>
        <v>-</v>
      </c>
      <c r="Y208" s="850"/>
      <c r="Z208" s="850"/>
    </row>
    <row r="209" spans="1:26" s="723" customFormat="1" hidden="1">
      <c r="A209" s="967" t="s">
        <v>811</v>
      </c>
      <c r="B209" s="1168" t="s">
        <v>812</v>
      </c>
      <c r="C209" s="800" t="s">
        <v>44</v>
      </c>
      <c r="D209" s="1100">
        <v>45092</v>
      </c>
      <c r="E209" s="1100">
        <v>45099</v>
      </c>
      <c r="F209" s="967" t="s">
        <v>151</v>
      </c>
      <c r="G209" s="800" t="s">
        <v>669</v>
      </c>
      <c r="H209" s="946"/>
      <c r="I209" s="967"/>
      <c r="J209" s="800" t="s">
        <v>32</v>
      </c>
      <c r="K209" s="4589" t="s">
        <v>47</v>
      </c>
      <c r="L209" s="4843" t="s">
        <v>813</v>
      </c>
      <c r="M209" s="1100">
        <v>45109</v>
      </c>
      <c r="N209" s="961">
        <v>45107</v>
      </c>
      <c r="O209" s="1100">
        <v>45110</v>
      </c>
      <c r="P209" s="1168" t="s">
        <v>814</v>
      </c>
      <c r="Q209" s="967" t="s">
        <v>50</v>
      </c>
      <c r="R209" s="1168" t="s">
        <v>815</v>
      </c>
      <c r="S209" s="967"/>
      <c r="T209" s="967">
        <v>1995</v>
      </c>
      <c r="U209" s="967">
        <v>602</v>
      </c>
      <c r="V209" s="967"/>
      <c r="W209" s="967">
        <f>IFERROR((JUN_2023[[#This Row],[Sales Amount]]-JUN_2023[[#This Row],[Cost]])/JUN_2023[[#This Row],[CNTR AMOUNT]],JUN_2023[[#This Row],[Sales Amount]]-JUN_2023[[#This Row],[Cost]])</f>
        <v>1393</v>
      </c>
      <c r="X209" s="1150">
        <f>IFERROR((JUN_2023[[#This Row],[Sales Amount]]-JUN_2023[[#This Row],[Cost]])/JUN_2023[[#This Row],[Cost]],"-")</f>
        <v>2.3139534883720931</v>
      </c>
      <c r="Y209" s="967"/>
      <c r="Z209" s="967"/>
    </row>
    <row r="210" spans="1:26" s="723" customFormat="1" hidden="1">
      <c r="A210" s="967" t="s">
        <v>816</v>
      </c>
      <c r="B210" s="962" t="s">
        <v>817</v>
      </c>
      <c r="C210" s="967" t="s">
        <v>755</v>
      </c>
      <c r="D210" s="1100">
        <v>45100</v>
      </c>
      <c r="E210" s="1101">
        <v>45106</v>
      </c>
      <c r="F210" s="967" t="s">
        <v>86</v>
      </c>
      <c r="G210" s="800" t="s">
        <v>46</v>
      </c>
      <c r="H210" s="946"/>
      <c r="I210" s="1409" t="s">
        <v>818</v>
      </c>
      <c r="J210" s="800" t="s">
        <v>168</v>
      </c>
      <c r="K210" s="967" t="s">
        <v>47</v>
      </c>
      <c r="L210" s="1399" t="s">
        <v>819</v>
      </c>
      <c r="M210" s="1100">
        <v>45110</v>
      </c>
      <c r="N210" s="1127">
        <v>45110</v>
      </c>
      <c r="O210" s="1100">
        <v>45112</v>
      </c>
      <c r="P210" s="1102" t="s">
        <v>820</v>
      </c>
      <c r="Q210" s="967" t="s">
        <v>50</v>
      </c>
      <c r="R210" s="800" t="s">
        <v>51</v>
      </c>
      <c r="S210" s="962"/>
      <c r="T210" s="962"/>
      <c r="U210" s="800"/>
      <c r="V210" s="962"/>
      <c r="W210" s="962">
        <f>IFERROR((JUN_2023[[#This Row],[Sales Amount]]-JUN_2023[[#This Row],[Cost]])/JUN_2023[[#This Row],[CNTR AMOUNT]],JUN_2023[[#This Row],[Sales Amount]]-JUN_2023[[#This Row],[Cost]])</f>
        <v>0</v>
      </c>
      <c r="X210" s="1152" t="str">
        <f>IFERROR((JUN_2023[[#This Row],[Sales Amount]]-JUN_2023[[#This Row],[Cost]])/JUN_2023[[#This Row],[Cost]],"-")</f>
        <v>-</v>
      </c>
      <c r="Y210" s="962"/>
      <c r="Z210" s="962"/>
    </row>
    <row r="211" spans="1:26" s="147" customFormat="1" ht="30" hidden="1">
      <c r="A211" s="850" t="s">
        <v>821</v>
      </c>
      <c r="B211" s="850" t="s">
        <v>822</v>
      </c>
      <c r="C211" s="850" t="s">
        <v>28</v>
      </c>
      <c r="D211" s="1077">
        <v>45104</v>
      </c>
      <c r="E211" s="1082">
        <v>45110</v>
      </c>
      <c r="F211" s="850" t="s">
        <v>734</v>
      </c>
      <c r="G211" s="43" t="s">
        <v>46</v>
      </c>
      <c r="H211" s="4833"/>
      <c r="I211" s="4598"/>
      <c r="J211" s="1296" t="s">
        <v>32</v>
      </c>
      <c r="K211" s="43" t="s">
        <v>47</v>
      </c>
      <c r="L211" s="1171" t="s">
        <v>823</v>
      </c>
      <c r="M211" s="262">
        <v>45114</v>
      </c>
      <c r="N211" s="1083">
        <v>45112</v>
      </c>
      <c r="O211" s="1077">
        <v>45114</v>
      </c>
      <c r="P211" s="4142" t="s">
        <v>824</v>
      </c>
      <c r="Q211" s="850" t="s">
        <v>50</v>
      </c>
      <c r="R211" s="850" t="s">
        <v>51</v>
      </c>
      <c r="S211" s="850"/>
      <c r="T211" s="850"/>
      <c r="U211" s="43"/>
      <c r="V211" s="850"/>
      <c r="W211" s="850">
        <f>IFERROR((JUN_2023[[#This Row],[Sales Amount]]-JUN_2023[[#This Row],[Cost]])/JUN_2023[[#This Row],[CNTR AMOUNT]],JUN_2023[[#This Row],[Sales Amount]]-JUN_2023[[#This Row],[Cost]])</f>
        <v>0</v>
      </c>
      <c r="X211" s="1050" t="str">
        <f>IFERROR((JUN_2023[[#This Row],[Sales Amount]]-JUN_2023[[#This Row],[Cost]])/JUN_2023[[#This Row],[Cost]],"-")</f>
        <v>-</v>
      </c>
      <c r="Y211" s="850"/>
      <c r="Z211" s="850"/>
    </row>
    <row r="212" spans="1:26" s="709" customFormat="1" hidden="1">
      <c r="A212" s="967" t="s">
        <v>497</v>
      </c>
      <c r="B212" s="800" t="s">
        <v>825</v>
      </c>
      <c r="C212" s="967" t="s">
        <v>44</v>
      </c>
      <c r="D212" s="1100">
        <v>45096</v>
      </c>
      <c r="E212" s="1101">
        <v>45112</v>
      </c>
      <c r="F212" s="1126" t="s">
        <v>93</v>
      </c>
      <c r="G212" s="1405" t="s">
        <v>46</v>
      </c>
      <c r="H212" s="1394"/>
      <c r="I212" s="1406"/>
      <c r="J212" s="800" t="s">
        <v>168</v>
      </c>
      <c r="K212" s="967" t="s">
        <v>47</v>
      </c>
      <c r="L212" s="1171" t="s">
        <v>826</v>
      </c>
      <c r="M212" s="946">
        <v>45115</v>
      </c>
      <c r="N212" s="961">
        <v>45113</v>
      </c>
      <c r="O212" s="1100">
        <v>45116</v>
      </c>
      <c r="P212" s="1407" t="s">
        <v>827</v>
      </c>
      <c r="Q212" s="967" t="s">
        <v>50</v>
      </c>
      <c r="R212" s="967" t="s">
        <v>51</v>
      </c>
      <c r="S212" s="967"/>
      <c r="T212" s="967"/>
      <c r="U212" s="800"/>
      <c r="V212" s="967"/>
      <c r="W212" s="967">
        <f>IFERROR((JUN_2023[[#This Row],[Sales Amount]]-JUN_2023[[#This Row],[Cost]])/JUN_2023[[#This Row],[CNTR AMOUNT]],JUN_2023[[#This Row],[Sales Amount]]-JUN_2023[[#This Row],[Cost]])</f>
        <v>0</v>
      </c>
      <c r="X212" s="1150" t="str">
        <f>IFERROR((JUN_2023[[#This Row],[Sales Amount]]-JUN_2023[[#This Row],[Cost]])/JUN_2023[[#This Row],[Cost]],"-")</f>
        <v>-</v>
      </c>
      <c r="Y212" s="967"/>
      <c r="Z212" s="967"/>
    </row>
    <row r="213" spans="1:26" s="106" customFormat="1" ht="60" hidden="1">
      <c r="A213" s="1095" t="s">
        <v>168</v>
      </c>
      <c r="B213" s="1097" t="s">
        <v>828</v>
      </c>
      <c r="C213" s="1095" t="s">
        <v>44</v>
      </c>
      <c r="D213" s="1096">
        <v>45106</v>
      </c>
      <c r="E213" s="1096">
        <f>7+JUN_2023[[#This Row],[ETA PORT]]</f>
        <v>45113</v>
      </c>
      <c r="F213" s="1095" t="s">
        <v>151</v>
      </c>
      <c r="G213" s="1097" t="s">
        <v>829</v>
      </c>
      <c r="H213" s="1392"/>
      <c r="I213" s="1395"/>
      <c r="J213" s="1097" t="s">
        <v>168</v>
      </c>
      <c r="K213" s="1097" t="s">
        <v>168</v>
      </c>
      <c r="L213" s="4143" t="s">
        <v>830</v>
      </c>
      <c r="M213" s="1401"/>
      <c r="N213" s="1165" t="s">
        <v>303</v>
      </c>
      <c r="O213" s="1096"/>
      <c r="P213" s="1105" t="s">
        <v>831</v>
      </c>
      <c r="Q213" s="1095" t="s">
        <v>50</v>
      </c>
      <c r="R213" s="1095" t="s">
        <v>36</v>
      </c>
      <c r="S213" s="1095"/>
      <c r="T213" s="1095"/>
      <c r="U213" s="1097"/>
      <c r="V213" s="1095"/>
      <c r="W213" s="1095">
        <f>IFERROR((JUN_2023[[#This Row],[Sales Amount]]-JUN_2023[[#This Row],[Cost]])/JUN_2023[[#This Row],[CNTR AMOUNT]],JUN_2023[[#This Row],[Sales Amount]]-JUN_2023[[#This Row],[Cost]])</f>
        <v>0</v>
      </c>
      <c r="X213" s="1106" t="str">
        <f>IFERROR((JUN_2023[[#This Row],[Sales Amount]]-JUN_2023[[#This Row],[Cost]])/JUN_2023[[#This Row],[Cost]],"-")</f>
        <v>-</v>
      </c>
      <c r="Y213" s="1095"/>
      <c r="Z213" s="1095"/>
    </row>
    <row r="214" spans="1:26" s="106" customFormat="1" ht="45">
      <c r="A214" s="1246" t="s">
        <v>633</v>
      </c>
      <c r="B214" s="1276" t="s">
        <v>832</v>
      </c>
      <c r="C214" s="1246" t="s">
        <v>833</v>
      </c>
      <c r="D214" s="1268">
        <v>45096</v>
      </c>
      <c r="E214" s="1260">
        <v>45131</v>
      </c>
      <c r="F214" s="1246" t="s">
        <v>29</v>
      </c>
      <c r="G214" s="4144" t="s">
        <v>834</v>
      </c>
      <c r="H214" s="1393"/>
      <c r="I214" s="1396"/>
      <c r="J214" s="826" t="s">
        <v>835</v>
      </c>
      <c r="K214" s="1246" t="s">
        <v>836</v>
      </c>
      <c r="L214" s="705" t="s">
        <v>837</v>
      </c>
      <c r="M214" s="1403">
        <v>45133</v>
      </c>
      <c r="N214" s="1337">
        <v>45135</v>
      </c>
      <c r="O214" s="1268">
        <v>45135</v>
      </c>
      <c r="P214" s="4145" t="s">
        <v>838</v>
      </c>
      <c r="Q214" s="4145" t="s">
        <v>75</v>
      </c>
      <c r="R214" s="1246"/>
      <c r="S214" s="1246"/>
      <c r="T214" s="1246"/>
      <c r="U214" s="826"/>
      <c r="V214" s="1246"/>
      <c r="W214" s="1246">
        <f>IFERROR((JUN_2023[[#This Row],[Sales Amount]]-JUN_2023[[#This Row],[Cost]])/JUN_2023[[#This Row],[CNTR AMOUNT]],JUN_2023[[#This Row],[Sales Amount]]-JUN_2023[[#This Row],[Cost]])</f>
        <v>0</v>
      </c>
      <c r="X214" s="1247" t="str">
        <f>IFERROR((JUN_2023[[#This Row],[Sales Amount]]-JUN_2023[[#This Row],[Cost]])/JUN_2023[[#This Row],[Cost]],"-")</f>
        <v>-</v>
      </c>
      <c r="Y214" s="1246"/>
      <c r="Z214" s="1246"/>
    </row>
    <row r="215" spans="1:26" s="106" customFormat="1" ht="15.75" hidden="1">
      <c r="A215" s="850" t="s">
        <v>839</v>
      </c>
      <c r="B215" s="1375">
        <v>6359463650</v>
      </c>
      <c r="C215" s="850" t="s">
        <v>44</v>
      </c>
      <c r="D215" s="1077">
        <v>45143</v>
      </c>
      <c r="E215" s="1077">
        <v>45143</v>
      </c>
      <c r="F215" s="1098" t="s">
        <v>45</v>
      </c>
      <c r="G215" s="43"/>
      <c r="H215" s="43"/>
      <c r="I215" s="850"/>
      <c r="J215" s="43"/>
      <c r="K215" s="1109"/>
      <c r="L215" s="850" t="s">
        <v>840</v>
      </c>
      <c r="M215" s="1077" t="s">
        <v>841</v>
      </c>
      <c r="N215" s="1083">
        <v>45099</v>
      </c>
      <c r="O215" s="1077">
        <v>45100</v>
      </c>
      <c r="P215" s="1092" t="s">
        <v>842</v>
      </c>
      <c r="Q215" s="43" t="s">
        <v>50</v>
      </c>
      <c r="R215" s="850"/>
      <c r="S215" s="850"/>
      <c r="T215" s="850"/>
      <c r="U215" s="850"/>
      <c r="V215" s="850"/>
      <c r="W215" s="850">
        <f>IFERROR((JUN_2023[[#This Row],[Sales Amount]]-JUN_2023[[#This Row],[Cost]])/JUN_2023[[#This Row],[CNTR AMOUNT]],JUN_2023[[#This Row],[Sales Amount]]-JUN_2023[[#This Row],[Cost]])</f>
        <v>0</v>
      </c>
      <c r="X215" s="1050" t="str">
        <f>IFERROR((JUN_2023[[#This Row],[Sales Amount]]-JUN_2023[[#This Row],[Cost]])/JUN_2023[[#This Row],[Cost]],"-")</f>
        <v>-</v>
      </c>
      <c r="Y215" s="850"/>
      <c r="Z215" s="850"/>
    </row>
    <row r="216" spans="1:26" s="1442" customFormat="1" hidden="1">
      <c r="A216" s="4146" t="s">
        <v>308</v>
      </c>
      <c r="B216" s="4146" t="s">
        <v>843</v>
      </c>
      <c r="C216" s="4146" t="s">
        <v>44</v>
      </c>
      <c r="D216" s="1460">
        <v>45075</v>
      </c>
      <c r="E216" s="1461">
        <v>45155</v>
      </c>
      <c r="F216" s="4146" t="s">
        <v>45</v>
      </c>
      <c r="G216" s="4146" t="s">
        <v>46</v>
      </c>
      <c r="H216" s="1462"/>
      <c r="I216" s="1463" t="s">
        <v>844</v>
      </c>
      <c r="J216" s="1456" t="s">
        <v>32</v>
      </c>
      <c r="K216" s="4146" t="s">
        <v>47</v>
      </c>
      <c r="L216" s="1462" t="s">
        <v>845</v>
      </c>
      <c r="M216" s="1460">
        <v>45158</v>
      </c>
      <c r="N216" s="1464">
        <v>45156</v>
      </c>
      <c r="O216" s="1460">
        <v>45159</v>
      </c>
      <c r="P216" s="4147" t="s">
        <v>846</v>
      </c>
      <c r="Q216" s="4146" t="s">
        <v>50</v>
      </c>
      <c r="R216" s="1462" t="s">
        <v>51</v>
      </c>
      <c r="S216" s="1462"/>
      <c r="T216" s="1462"/>
      <c r="U216" s="1462"/>
      <c r="V216" s="1462"/>
      <c r="W216" s="1462">
        <f>IFERROR((JUN_2023[[#This Row],[Sales Amount]]-JUN_2023[[#This Row],[Cost]])/JUN_2023[[#This Row],[CNTR AMOUNT]],JUN_2023[[#This Row],[Sales Amount]]-JUN_2023[[#This Row],[Cost]])</f>
        <v>0</v>
      </c>
      <c r="X216" s="1465" t="str">
        <f>IFERROR((JUN_2023[[#This Row],[Sales Amount]]-JUN_2023[[#This Row],[Cost]])/JUN_2023[[#This Row],[Cost]],"-")</f>
        <v>-</v>
      </c>
      <c r="Y216" s="1462"/>
      <c r="Z216" s="1462"/>
    </row>
    <row r="220" spans="1:26">
      <c r="O220" t="s">
        <v>847</v>
      </c>
      <c r="P220" s="4148"/>
    </row>
    <row r="231" spans="16:16">
      <c r="P231" s="4148"/>
    </row>
  </sheetData>
  <conditionalFormatting sqref="B1">
    <cfRule type="duplicateValues" dxfId="541" priority="1"/>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D9DF4-9E39-4BF6-AD93-12D8F9F876A0}">
  <sheetPr codeName="Sheet8"/>
  <dimension ref="A1:Z204"/>
  <sheetViews>
    <sheetView zoomScaleNormal="100" workbookViewId="0">
      <pane xSplit="7" ySplit="1" topLeftCell="N12" activePane="bottomRight" state="frozen"/>
      <selection pane="bottomRight" activeCell="D119" sqref="D119"/>
      <selection pane="bottomLeft"/>
      <selection pane="topRight"/>
    </sheetView>
  </sheetViews>
  <sheetFormatPr defaultColWidth="9" defaultRowHeight="15"/>
  <cols>
    <col min="1" max="1" width="17.125" style="106" customWidth="1"/>
    <col min="2" max="2" width="14.125" style="106" bestFit="1" customWidth="1"/>
    <col min="3" max="3" width="9.125" style="106"/>
    <col min="4" max="4" width="14" style="144" bestFit="1" customWidth="1"/>
    <col min="5" max="5" width="9.125" style="144"/>
    <col min="6" max="6" width="11.25" style="106" bestFit="1" customWidth="1"/>
    <col min="7" max="7" width="18" style="106" customWidth="1"/>
    <col min="8" max="8" width="13.25" style="144" customWidth="1"/>
    <col min="9" max="9" width="11.25" style="106" customWidth="1"/>
    <col min="10" max="10" width="13.25" style="106" customWidth="1"/>
    <col min="11" max="11" width="24.125" style="106" bestFit="1" customWidth="1"/>
    <col min="12" max="12" width="21" style="106" customWidth="1"/>
    <col min="13" max="13" width="20.25" style="144" bestFit="1" customWidth="1"/>
    <col min="14" max="14" width="16.25" style="144" customWidth="1"/>
    <col min="15" max="15" width="22.25" style="144" customWidth="1"/>
    <col min="16" max="16" width="59.25" style="106" customWidth="1"/>
    <col min="17" max="17" width="9.125" style="106"/>
    <col min="18" max="18" width="15.25" style="106" customWidth="1"/>
    <col min="19" max="19" width="14" style="106" customWidth="1"/>
    <col min="20" max="20" width="15.25" style="106" customWidth="1"/>
    <col min="21" max="21" width="9.125" style="106" bestFit="1" customWidth="1"/>
    <col min="22" max="22" width="16.25" style="106" customWidth="1"/>
    <col min="23" max="23" width="9.125" style="106" bestFit="1" customWidth="1"/>
    <col min="24" max="24" width="13.125" style="106" customWidth="1"/>
    <col min="25" max="25" width="9" style="106"/>
    <col min="26" max="26" width="11.875" style="106" customWidth="1"/>
    <col min="27" max="16384" width="9" style="106"/>
  </cols>
  <sheetData>
    <row r="1" spans="1:26">
      <c r="A1" s="1560" t="s">
        <v>0</v>
      </c>
      <c r="B1" s="1561" t="s">
        <v>1</v>
      </c>
      <c r="C1" s="1561" t="s">
        <v>2</v>
      </c>
      <c r="D1" s="1561" t="s">
        <v>3</v>
      </c>
      <c r="E1" s="1562" t="s">
        <v>4</v>
      </c>
      <c r="F1" s="1561" t="s">
        <v>5</v>
      </c>
      <c r="G1" s="1561" t="s">
        <v>6</v>
      </c>
      <c r="H1" s="1561" t="s">
        <v>7</v>
      </c>
      <c r="I1" s="1561" t="s">
        <v>8</v>
      </c>
      <c r="J1" s="1561" t="s">
        <v>9</v>
      </c>
      <c r="K1" s="1571" t="s">
        <v>10</v>
      </c>
      <c r="L1" s="1563" t="s">
        <v>11</v>
      </c>
      <c r="M1" s="1562" t="s">
        <v>12</v>
      </c>
      <c r="N1" s="1561" t="s">
        <v>13</v>
      </c>
      <c r="O1" s="1561" t="s">
        <v>14</v>
      </c>
      <c r="P1" s="1069" t="s">
        <v>15</v>
      </c>
      <c r="Q1" s="1069" t="s">
        <v>16</v>
      </c>
      <c r="R1" s="1069" t="s">
        <v>17</v>
      </c>
      <c r="S1" s="1069" t="s">
        <v>18</v>
      </c>
      <c r="T1" s="1070" t="s">
        <v>19</v>
      </c>
      <c r="U1" s="1069" t="s">
        <v>20</v>
      </c>
      <c r="V1" s="1069" t="s">
        <v>21</v>
      </c>
      <c r="W1" s="1069" t="s">
        <v>22</v>
      </c>
      <c r="X1" s="1071" t="s">
        <v>23</v>
      </c>
      <c r="Y1" s="1071" t="s">
        <v>24</v>
      </c>
      <c r="Z1" s="1072" t="s">
        <v>25</v>
      </c>
    </row>
    <row r="2" spans="1:26" hidden="1">
      <c r="A2" s="18" t="s">
        <v>254</v>
      </c>
      <c r="B2" s="4149" t="s">
        <v>848</v>
      </c>
      <c r="C2" s="58" t="s">
        <v>85</v>
      </c>
      <c r="D2" s="844">
        <v>45103</v>
      </c>
      <c r="E2" s="1112">
        <v>45110</v>
      </c>
      <c r="F2" s="58" t="s">
        <v>56</v>
      </c>
      <c r="G2" s="58" t="s">
        <v>57</v>
      </c>
      <c r="H2" s="1119">
        <v>45113</v>
      </c>
      <c r="I2" s="915" t="s">
        <v>58</v>
      </c>
      <c r="J2" s="58" t="s">
        <v>297</v>
      </c>
      <c r="K2" s="58" t="s">
        <v>353</v>
      </c>
      <c r="L2" s="915">
        <v>1383644</v>
      </c>
      <c r="M2" s="1115">
        <v>45114</v>
      </c>
      <c r="N2" s="844">
        <v>45113</v>
      </c>
      <c r="O2" s="844">
        <v>45117</v>
      </c>
      <c r="P2" s="709" t="s">
        <v>849</v>
      </c>
      <c r="Q2" s="58" t="s">
        <v>35</v>
      </c>
      <c r="R2" s="58" t="s">
        <v>36</v>
      </c>
      <c r="S2" s="58" t="s">
        <v>37</v>
      </c>
      <c r="T2" s="106">
        <v>720</v>
      </c>
      <c r="U2" s="84">
        <v>481.65</v>
      </c>
      <c r="V2" s="93"/>
      <c r="W2" s="93">
        <f>IFERROR((JUL_2023[[#This Row],[Sales Amount]]-JUL_2023[[#This Row],[Cost]])/JUL_2023[[#This Row],[CNTR AMOUNT]],JUL_2023[[#This Row],[Sales Amount]]-JUL_2023[[#This Row],[Cost]])</f>
        <v>238.35000000000002</v>
      </c>
      <c r="X2" s="970">
        <f>IFERROR((JUL_2023[[#This Row],[Sales Amount]]-JUL_2023[[#This Row],[Cost]])/JUL_2023[[#This Row],[Cost]],"-")</f>
        <v>0.49486141388975402</v>
      </c>
      <c r="Y2" s="93"/>
      <c r="Z2" s="1068"/>
    </row>
    <row r="3" spans="1:26">
      <c r="A3" s="117" t="s">
        <v>319</v>
      </c>
      <c r="B3" s="117" t="s">
        <v>850</v>
      </c>
      <c r="C3" s="117" t="s">
        <v>28</v>
      </c>
      <c r="D3" s="822">
        <v>45111</v>
      </c>
      <c r="E3" s="879">
        <v>45111</v>
      </c>
      <c r="F3" s="117" t="s">
        <v>135</v>
      </c>
      <c r="G3" s="117" t="s">
        <v>851</v>
      </c>
      <c r="H3" s="879">
        <v>45119</v>
      </c>
      <c r="I3" s="117" t="s">
        <v>445</v>
      </c>
      <c r="J3" s="117" t="s">
        <v>852</v>
      </c>
      <c r="K3" s="117" t="s">
        <v>853</v>
      </c>
      <c r="L3" s="117"/>
      <c r="M3" s="879">
        <v>45119</v>
      </c>
      <c r="N3" s="822">
        <v>45118</v>
      </c>
      <c r="O3" s="822">
        <v>45122</v>
      </c>
      <c r="P3" s="4150" t="s">
        <v>854</v>
      </c>
      <c r="Q3" s="117" t="s">
        <v>75</v>
      </c>
      <c r="R3" s="3" t="s">
        <v>855</v>
      </c>
      <c r="S3" s="117">
        <v>4</v>
      </c>
      <c r="T3" s="117">
        <v>2215</v>
      </c>
      <c r="U3" s="120">
        <v>1990</v>
      </c>
      <c r="V3" s="1420">
        <v>1</v>
      </c>
      <c r="W3" s="1420">
        <f>IFERROR((JUL_2023[[#This Row],[Sales Amount]]-JUL_2023[[#This Row],[Cost]])/JUL_2023[[#This Row],[CNTR AMOUNT]],JUL_2023[[#This Row],[Sales Amount]]-JUL_2023[[#This Row],[Cost]])</f>
        <v>225</v>
      </c>
      <c r="X3" s="1448">
        <f>IFERROR((JUL_2023[[#This Row],[Sales Amount]]-JUL_2023[[#This Row],[Cost]])/JUL_2023[[#This Row],[Cost]],"-")</f>
        <v>0.11306532663316583</v>
      </c>
      <c r="Y3" s="1420"/>
      <c r="Z3" s="1449"/>
    </row>
    <row r="4" spans="1:26" hidden="1">
      <c r="A4" s="4151" t="s">
        <v>856</v>
      </c>
      <c r="B4" s="4151" t="s">
        <v>857</v>
      </c>
      <c r="C4" s="4151" t="s">
        <v>28</v>
      </c>
      <c r="D4" s="126">
        <v>45111</v>
      </c>
      <c r="E4" s="126">
        <v>45111</v>
      </c>
      <c r="F4" s="4151" t="s">
        <v>135</v>
      </c>
      <c r="G4" s="4151" t="s">
        <v>858</v>
      </c>
      <c r="H4" s="338">
        <v>45120</v>
      </c>
      <c r="I4" s="4151" t="s">
        <v>672</v>
      </c>
      <c r="J4" s="4151" t="s">
        <v>859</v>
      </c>
      <c r="K4" s="7" t="s">
        <v>860</v>
      </c>
      <c r="L4" s="7"/>
      <c r="M4" s="338">
        <v>45119</v>
      </c>
      <c r="N4" s="7"/>
      <c r="O4" s="7"/>
      <c r="P4" s="4152" t="s">
        <v>861</v>
      </c>
      <c r="Q4" s="4151" t="s">
        <v>862</v>
      </c>
      <c r="U4" s="152"/>
      <c r="V4" s="152"/>
      <c r="W4" s="152">
        <f>IFERROR((JUL_2023[[#This Row],[Sales Amount]]-JUL_2023[[#This Row],[Cost]])/JUL_2023[[#This Row],[CNTR AMOUNT]],JUL_2023[[#This Row],[Sales Amount]]-JUL_2023[[#This Row],[Cost]])</f>
        <v>0</v>
      </c>
      <c r="X4" s="888" t="str">
        <f>IFERROR((JUL_2023[[#This Row],[Sales Amount]]-JUL_2023[[#This Row],[Cost]])/JUL_2023[[#This Row],[Cost]],"-")</f>
        <v>-</v>
      </c>
      <c r="Y4" s="152"/>
      <c r="Z4" s="645"/>
    </row>
    <row r="5" spans="1:26" s="117" customFormat="1" hidden="1">
      <c r="A5" s="4151" t="s">
        <v>856</v>
      </c>
      <c r="B5" s="4151" t="s">
        <v>863</v>
      </c>
      <c r="C5" s="4151" t="s">
        <v>28</v>
      </c>
      <c r="D5" s="126">
        <v>45111</v>
      </c>
      <c r="E5" s="126">
        <v>45111</v>
      </c>
      <c r="F5" s="4151" t="s">
        <v>135</v>
      </c>
      <c r="G5" s="4151" t="s">
        <v>858</v>
      </c>
      <c r="H5" s="338">
        <v>45118</v>
      </c>
      <c r="I5" s="4151" t="s">
        <v>178</v>
      </c>
      <c r="J5" s="4151" t="s">
        <v>859</v>
      </c>
      <c r="K5" s="7" t="s">
        <v>860</v>
      </c>
      <c r="L5" s="7"/>
      <c r="M5" s="338">
        <v>45118</v>
      </c>
      <c r="N5" s="7"/>
      <c r="O5" s="7"/>
      <c r="P5" s="4152" t="s">
        <v>861</v>
      </c>
      <c r="Q5" s="4151" t="s">
        <v>862</v>
      </c>
      <c r="R5" s="106"/>
      <c r="S5" s="106"/>
      <c r="T5" s="106"/>
      <c r="U5" s="152"/>
      <c r="V5" s="152"/>
      <c r="W5" s="152">
        <f>IFERROR((JUL_2023[[#This Row],[Sales Amount]]-JUL_2023[[#This Row],[Cost]])/JUL_2023[[#This Row],[CNTR AMOUNT]],JUL_2023[[#This Row],[Sales Amount]]-JUL_2023[[#This Row],[Cost]])</f>
        <v>0</v>
      </c>
      <c r="X5" s="888" t="str">
        <f>IFERROR((JUL_2023[[#This Row],[Sales Amount]]-JUL_2023[[#This Row],[Cost]])/JUL_2023[[#This Row],[Cost]],"-")</f>
        <v>-</v>
      </c>
      <c r="Y5" s="152"/>
      <c r="Z5" s="645"/>
    </row>
    <row r="6" spans="1:26" s="52" customFormat="1" hidden="1">
      <c r="A6" s="58" t="s">
        <v>129</v>
      </c>
      <c r="B6" s="1114" t="s">
        <v>864</v>
      </c>
      <c r="C6" s="1111" t="s">
        <v>28</v>
      </c>
      <c r="D6" s="844">
        <v>45104</v>
      </c>
      <c r="E6" s="1112">
        <v>45112</v>
      </c>
      <c r="F6" s="58" t="s">
        <v>98</v>
      </c>
      <c r="G6" s="58" t="s">
        <v>46</v>
      </c>
      <c r="H6" s="1113"/>
      <c r="I6" s="58"/>
      <c r="J6" s="58" t="s">
        <v>32</v>
      </c>
      <c r="K6" s="58" t="s">
        <v>47</v>
      </c>
      <c r="L6" s="915" t="s">
        <v>865</v>
      </c>
      <c r="M6" s="1115">
        <v>45114</v>
      </c>
      <c r="N6" s="844">
        <v>45113</v>
      </c>
      <c r="O6" s="844">
        <v>45118</v>
      </c>
      <c r="P6" s="1175" t="s">
        <v>866</v>
      </c>
      <c r="Q6" s="1111" t="s">
        <v>35</v>
      </c>
      <c r="R6" s="58" t="s">
        <v>36</v>
      </c>
      <c r="S6" s="58" t="s">
        <v>101</v>
      </c>
      <c r="T6" s="106">
        <v>1075</v>
      </c>
      <c r="U6" s="85">
        <v>989</v>
      </c>
      <c r="V6" s="152"/>
      <c r="W6" s="152">
        <f>IFERROR((JUL_2023[[#This Row],[Sales Amount]]-JUL_2023[[#This Row],[Cost]])/JUL_2023[[#This Row],[CNTR AMOUNT]],JUL_2023[[#This Row],[Sales Amount]]-JUL_2023[[#This Row],[Cost]])</f>
        <v>86</v>
      </c>
      <c r="X6" s="888">
        <f>IFERROR((JUL_2023[[#This Row],[Sales Amount]]-JUL_2023[[#This Row],[Cost]])/JUL_2023[[#This Row],[Cost]],"-")</f>
        <v>8.6956521739130432E-2</v>
      </c>
      <c r="Y6" s="152"/>
      <c r="Z6" s="645"/>
    </row>
    <row r="7" spans="1:26">
      <c r="A7" s="117" t="s">
        <v>96</v>
      </c>
      <c r="B7" s="507" t="s">
        <v>867</v>
      </c>
      <c r="C7" s="1182" t="s">
        <v>28</v>
      </c>
      <c r="D7" s="822">
        <v>45104</v>
      </c>
      <c r="E7" s="879">
        <v>45112</v>
      </c>
      <c r="F7" s="117" t="s">
        <v>98</v>
      </c>
      <c r="G7" s="117" t="s">
        <v>46</v>
      </c>
      <c r="H7" s="860"/>
      <c r="I7" s="117"/>
      <c r="J7" s="117" t="s">
        <v>32</v>
      </c>
      <c r="K7" s="117" t="s">
        <v>47</v>
      </c>
      <c r="L7" s="1061" t="s">
        <v>868</v>
      </c>
      <c r="M7" s="1333">
        <v>45114</v>
      </c>
      <c r="N7" s="822">
        <v>45113</v>
      </c>
      <c r="O7" s="822">
        <v>45117</v>
      </c>
      <c r="P7" s="507" t="s">
        <v>869</v>
      </c>
      <c r="Q7" s="1182" t="s">
        <v>75</v>
      </c>
      <c r="R7" s="507" t="s">
        <v>870</v>
      </c>
      <c r="S7" s="117" t="s">
        <v>101</v>
      </c>
      <c r="T7" s="117">
        <v>6500</v>
      </c>
      <c r="U7" s="660">
        <v>860</v>
      </c>
      <c r="V7" s="660">
        <v>1</v>
      </c>
      <c r="W7" s="660">
        <f>IFERROR((JUL_2023[[#This Row],[Sales Amount]]-JUL_2023[[#This Row],[Cost]])/JUL_2023[[#This Row],[CNTR AMOUNT]],JUL_2023[[#This Row],[Sales Amount]]-JUL_2023[[#This Row],[Cost]])</f>
        <v>5640</v>
      </c>
      <c r="X7" s="919">
        <f>IFERROR((JUL_2023[[#This Row],[Sales Amount]]-JUL_2023[[#This Row],[Cost]])/JUL_2023[[#This Row],[Cost]],"-")</f>
        <v>6.558139534883721</v>
      </c>
      <c r="Y7" s="660"/>
      <c r="Z7" s="113"/>
    </row>
    <row r="8" spans="1:26" hidden="1">
      <c r="A8" s="4149" t="s">
        <v>133</v>
      </c>
      <c r="B8" s="4149" t="s">
        <v>871</v>
      </c>
      <c r="C8" s="4149" t="s">
        <v>44</v>
      </c>
      <c r="D8" s="844">
        <v>45113</v>
      </c>
      <c r="E8" s="1112">
        <v>45113</v>
      </c>
      <c r="F8" s="4149" t="s">
        <v>167</v>
      </c>
      <c r="G8" s="4149" t="s">
        <v>872</v>
      </c>
      <c r="H8" s="844">
        <v>45120</v>
      </c>
      <c r="I8" s="58" t="s">
        <v>650</v>
      </c>
      <c r="J8" s="58" t="s">
        <v>221</v>
      </c>
      <c r="K8" s="4149" t="s">
        <v>873</v>
      </c>
      <c r="L8" s="915" t="s">
        <v>542</v>
      </c>
      <c r="M8" s="1115">
        <v>45118</v>
      </c>
      <c r="N8" s="1115">
        <v>45120</v>
      </c>
      <c r="O8" s="1192">
        <v>45122</v>
      </c>
      <c r="P8" s="4122" t="s">
        <v>874</v>
      </c>
      <c r="Q8" s="4149" t="s">
        <v>35</v>
      </c>
      <c r="R8" s="915" t="s">
        <v>36</v>
      </c>
      <c r="S8" s="58" t="s">
        <v>37</v>
      </c>
      <c r="T8" s="7">
        <v>860</v>
      </c>
      <c r="U8" s="152">
        <v>724</v>
      </c>
      <c r="V8" s="152"/>
      <c r="W8" s="152">
        <f>IFERROR((JUL_2023[[#This Row],[Sales Amount]]-JUL_2023[[#This Row],[Cost]])/JUL_2023[[#This Row],[CNTR AMOUNT]],JUL_2023[[#This Row],[Sales Amount]]-JUL_2023[[#This Row],[Cost]])</f>
        <v>136</v>
      </c>
      <c r="X8" s="888">
        <f>IFERROR((JUL_2023[[#This Row],[Sales Amount]]-JUL_2023[[#This Row],[Cost]])/JUL_2023[[#This Row],[Cost]],"-")</f>
        <v>0.18784530386740331</v>
      </c>
      <c r="Y8" s="152"/>
      <c r="Z8" s="645"/>
    </row>
    <row r="9" spans="1:26" hidden="1">
      <c r="A9" s="58" t="s">
        <v>171</v>
      </c>
      <c r="B9" s="58" t="s">
        <v>875</v>
      </c>
      <c r="C9" s="1111" t="s">
        <v>28</v>
      </c>
      <c r="D9" s="844">
        <v>45102</v>
      </c>
      <c r="E9" s="1112">
        <v>45114</v>
      </c>
      <c r="F9" s="58" t="s">
        <v>173</v>
      </c>
      <c r="G9" s="58" t="s">
        <v>46</v>
      </c>
      <c r="H9" s="1139">
        <v>45116</v>
      </c>
      <c r="I9" s="58"/>
      <c r="J9" s="58" t="s">
        <v>32</v>
      </c>
      <c r="K9" s="58" t="s">
        <v>174</v>
      </c>
      <c r="L9" s="915" t="s">
        <v>876</v>
      </c>
      <c r="M9" s="1115">
        <v>45116</v>
      </c>
      <c r="N9" s="844">
        <v>45116</v>
      </c>
      <c r="O9" s="844">
        <v>45119</v>
      </c>
      <c r="P9" s="709" t="s">
        <v>877</v>
      </c>
      <c r="Q9" s="58" t="s">
        <v>35</v>
      </c>
      <c r="R9" s="58" t="s">
        <v>36</v>
      </c>
      <c r="S9" s="58" t="s">
        <v>37</v>
      </c>
      <c r="T9" s="106">
        <v>1020</v>
      </c>
      <c r="U9" s="152">
        <v>827</v>
      </c>
      <c r="V9" s="152"/>
      <c r="W9" s="152">
        <f>IFERROR((JUL_2023[[#This Row],[Sales Amount]]-JUL_2023[[#This Row],[Cost]])/JUL_2023[[#This Row],[CNTR AMOUNT]],JUL_2023[[#This Row],[Sales Amount]]-JUL_2023[[#This Row],[Cost]])</f>
        <v>193</v>
      </c>
      <c r="X9" s="888">
        <f>IFERROR((JUL_2023[[#This Row],[Sales Amount]]-JUL_2023[[#This Row],[Cost]])/JUL_2023[[#This Row],[Cost]],"-")</f>
        <v>0.23337363966142685</v>
      </c>
      <c r="Y9" s="152"/>
      <c r="Z9" s="645"/>
    </row>
    <row r="10" spans="1:26" hidden="1">
      <c r="A10" s="117" t="s">
        <v>219</v>
      </c>
      <c r="B10" s="908" t="s">
        <v>878</v>
      </c>
      <c r="C10" s="1182" t="s">
        <v>28</v>
      </c>
      <c r="D10" s="822">
        <v>45103</v>
      </c>
      <c r="E10" s="889">
        <v>45114</v>
      </c>
      <c r="F10" s="58" t="s">
        <v>151</v>
      </c>
      <c r="G10" s="58" t="s">
        <v>152</v>
      </c>
      <c r="H10" s="877">
        <v>45127</v>
      </c>
      <c r="I10" s="1185" t="s">
        <v>104</v>
      </c>
      <c r="J10" s="709" t="s">
        <v>435</v>
      </c>
      <c r="K10" s="709" t="s">
        <v>879</v>
      </c>
      <c r="L10" s="1188">
        <v>1261</v>
      </c>
      <c r="M10" s="1190">
        <v>45115</v>
      </c>
      <c r="N10" s="912">
        <v>45117</v>
      </c>
      <c r="O10" s="912">
        <v>45127</v>
      </c>
      <c r="P10" s="1175" t="s">
        <v>880</v>
      </c>
      <c r="Q10" s="58" t="s">
        <v>35</v>
      </c>
      <c r="R10" s="58" t="s">
        <v>36</v>
      </c>
      <c r="S10" s="58" t="s">
        <v>37</v>
      </c>
      <c r="T10" s="106">
        <v>2690</v>
      </c>
      <c r="U10" s="152">
        <v>2280</v>
      </c>
      <c r="V10" s="152"/>
      <c r="W10" s="152">
        <f>IFERROR((JUL_2023[[#This Row],[Sales Amount]]-JUL_2023[[#This Row],[Cost]])/JUL_2023[[#This Row],[CNTR AMOUNT]],JUL_2023[[#This Row],[Sales Amount]]-JUL_2023[[#This Row],[Cost]])</f>
        <v>410</v>
      </c>
      <c r="X10" s="888">
        <f>IFERROR((JUL_2023[[#This Row],[Sales Amount]]-JUL_2023[[#This Row],[Cost]])/JUL_2023[[#This Row],[Cost]],"-")</f>
        <v>0.17982456140350878</v>
      </c>
      <c r="Y10" s="152"/>
      <c r="Z10" s="645"/>
    </row>
    <row r="11" spans="1:26" hidden="1">
      <c r="A11" s="58" t="s">
        <v>42</v>
      </c>
      <c r="B11" s="1344" t="s">
        <v>881</v>
      </c>
      <c r="C11" s="709" t="s">
        <v>44</v>
      </c>
      <c r="D11" s="844">
        <v>45108</v>
      </c>
      <c r="E11" s="1112">
        <v>45114</v>
      </c>
      <c r="F11" s="58" t="s">
        <v>86</v>
      </c>
      <c r="G11" s="58" t="s">
        <v>829</v>
      </c>
      <c r="H11" s="58"/>
      <c r="I11" s="58"/>
      <c r="J11" s="58" t="s">
        <v>168</v>
      </c>
      <c r="K11" s="58" t="s">
        <v>310</v>
      </c>
      <c r="L11" s="58" t="s">
        <v>882</v>
      </c>
      <c r="M11" s="844">
        <v>45118</v>
      </c>
      <c r="N11" s="844">
        <v>45117</v>
      </c>
      <c r="O11" s="844">
        <v>45119</v>
      </c>
      <c r="P11" s="709" t="s">
        <v>883</v>
      </c>
      <c r="Q11" s="58" t="s">
        <v>50</v>
      </c>
      <c r="R11" s="709" t="s">
        <v>51</v>
      </c>
      <c r="S11" s="709"/>
      <c r="T11" s="709"/>
      <c r="U11" s="727"/>
      <c r="V11" s="727"/>
      <c r="W11" s="727">
        <f>IFERROR((JUL_2023[[#This Row],[Sales Amount]]-JUL_2023[[#This Row],[Cost]])/JUL_2023[[#This Row],[CNTR AMOUNT]],JUL_2023[[#This Row],[Sales Amount]]-JUL_2023[[#This Row],[Cost]])</f>
        <v>0</v>
      </c>
      <c r="X11" s="1179" t="str">
        <f>IFERROR((JUL_2023[[#This Row],[Sales Amount]]-JUL_2023[[#This Row],[Cost]])/JUL_2023[[#This Row],[Cost]],"-")</f>
        <v>-</v>
      </c>
      <c r="Y11" s="727"/>
      <c r="Z11" s="711"/>
    </row>
    <row r="12" spans="1:26" hidden="1">
      <c r="A12" s="4149" t="s">
        <v>639</v>
      </c>
      <c r="B12" s="4149" t="s">
        <v>884</v>
      </c>
      <c r="C12" s="4149" t="s">
        <v>85</v>
      </c>
      <c r="D12" s="844"/>
      <c r="E12" s="1112">
        <v>45114</v>
      </c>
      <c r="F12" s="4149" t="s">
        <v>885</v>
      </c>
      <c r="G12" s="4149" t="s">
        <v>886</v>
      </c>
      <c r="H12" s="1339">
        <v>45118</v>
      </c>
      <c r="I12" s="58" t="s">
        <v>115</v>
      </c>
      <c r="J12" s="4149" t="s">
        <v>32</v>
      </c>
      <c r="K12" s="4149" t="s">
        <v>887</v>
      </c>
      <c r="L12" s="58"/>
      <c r="M12" s="1139">
        <v>45118</v>
      </c>
      <c r="N12" s="126">
        <v>45118</v>
      </c>
      <c r="O12" s="126">
        <v>45118</v>
      </c>
      <c r="P12" s="4122" t="s">
        <v>888</v>
      </c>
      <c r="Q12" s="4149" t="s">
        <v>170</v>
      </c>
      <c r="R12" s="709" t="s">
        <v>36</v>
      </c>
      <c r="T12" s="106">
        <v>995</v>
      </c>
      <c r="U12" s="152">
        <v>851</v>
      </c>
      <c r="V12" s="152"/>
      <c r="W12" s="152">
        <f>IFERROR((JUL_2023[[#This Row],[Sales Amount]]-JUL_2023[[#This Row],[Cost]])/JUL_2023[[#This Row],[CNTR AMOUNT]],JUL_2023[[#This Row],[Sales Amount]]-JUL_2023[[#This Row],[Cost]])</f>
        <v>144</v>
      </c>
      <c r="X12" s="888">
        <f>IFERROR((JUL_2023[[#This Row],[Sales Amount]]-JUL_2023[[#This Row],[Cost]])/JUL_2023[[#This Row],[Cost]],"-")</f>
        <v>0.1692126909518214</v>
      </c>
      <c r="Y12" s="152"/>
      <c r="Z12" s="645"/>
    </row>
    <row r="13" spans="1:26" hidden="1">
      <c r="A13" s="58" t="s">
        <v>889</v>
      </c>
      <c r="B13" s="58" t="s">
        <v>890</v>
      </c>
      <c r="C13" s="58" t="s">
        <v>28</v>
      </c>
      <c r="D13" s="844">
        <v>45105</v>
      </c>
      <c r="E13" s="1112">
        <v>45116</v>
      </c>
      <c r="F13" s="58" t="s">
        <v>45</v>
      </c>
      <c r="G13" s="58" t="s">
        <v>46</v>
      </c>
      <c r="H13" s="1119">
        <v>45120</v>
      </c>
      <c r="I13" s="915" t="s">
        <v>108</v>
      </c>
      <c r="J13" s="58" t="s">
        <v>32</v>
      </c>
      <c r="K13" s="58" t="s">
        <v>891</v>
      </c>
      <c r="L13" s="915" t="s">
        <v>892</v>
      </c>
      <c r="M13" s="1115">
        <v>45118</v>
      </c>
      <c r="N13" s="844">
        <v>45117</v>
      </c>
      <c r="O13" s="844" t="s">
        <v>893</v>
      </c>
      <c r="P13" s="650" t="s">
        <v>894</v>
      </c>
      <c r="Q13" s="58" t="s">
        <v>35</v>
      </c>
      <c r="R13" s="58" t="s">
        <v>36</v>
      </c>
      <c r="S13" s="58" t="s">
        <v>37</v>
      </c>
      <c r="T13" s="106">
        <v>2080</v>
      </c>
      <c r="U13" s="152">
        <v>1464</v>
      </c>
      <c r="V13" s="152"/>
      <c r="W13" s="152">
        <f>IFERROR((JUL_2023[[#This Row],[Sales Amount]]-JUL_2023[[#This Row],[Cost]])/JUL_2023[[#This Row],[CNTR AMOUNT]],JUL_2023[[#This Row],[Sales Amount]]-JUL_2023[[#This Row],[Cost]])</f>
        <v>616</v>
      </c>
      <c r="X13" s="888">
        <f>IFERROR((JUL_2023[[#This Row],[Sales Amount]]-JUL_2023[[#This Row],[Cost]])/JUL_2023[[#This Row],[Cost]],"-")</f>
        <v>0.42076502732240439</v>
      </c>
      <c r="Y13" s="152"/>
      <c r="Z13" s="645"/>
    </row>
    <row r="14" spans="1:26" s="709" customFormat="1" hidden="1">
      <c r="A14" s="58" t="s">
        <v>42</v>
      </c>
      <c r="B14" s="58" t="s">
        <v>881</v>
      </c>
      <c r="C14" s="1111" t="s">
        <v>28</v>
      </c>
      <c r="D14" s="844">
        <v>45106</v>
      </c>
      <c r="E14" s="1112">
        <v>45116</v>
      </c>
      <c r="F14" s="58" t="s">
        <v>45</v>
      </c>
      <c r="G14" s="58" t="s">
        <v>46</v>
      </c>
      <c r="H14" s="58"/>
      <c r="I14" s="58"/>
      <c r="J14" s="58" t="s">
        <v>168</v>
      </c>
      <c r="K14" s="58" t="s">
        <v>47</v>
      </c>
      <c r="L14" s="58" t="s">
        <v>882</v>
      </c>
      <c r="M14" s="844">
        <v>45117</v>
      </c>
      <c r="N14" s="844">
        <v>45117</v>
      </c>
      <c r="O14" s="844">
        <v>45119</v>
      </c>
      <c r="P14" s="709" t="s">
        <v>895</v>
      </c>
      <c r="Q14" s="58" t="s">
        <v>50</v>
      </c>
      <c r="R14" s="709" t="s">
        <v>51</v>
      </c>
      <c r="U14" s="727"/>
      <c r="V14" s="727"/>
      <c r="W14" s="727">
        <f>IFERROR((JUL_2023[[#This Row],[Sales Amount]]-JUL_2023[[#This Row],[Cost]])/JUL_2023[[#This Row],[CNTR AMOUNT]],JUL_2023[[#This Row],[Sales Amount]]-JUL_2023[[#This Row],[Cost]])</f>
        <v>0</v>
      </c>
      <c r="X14" s="1179" t="str">
        <f>IFERROR((JUL_2023[[#This Row],[Sales Amount]]-JUL_2023[[#This Row],[Cost]])/JUL_2023[[#This Row],[Cost]],"-")</f>
        <v>-</v>
      </c>
      <c r="Y14" s="727"/>
      <c r="Z14" s="711"/>
    </row>
    <row r="15" spans="1:26" s="117" customFormat="1">
      <c r="A15" s="117" t="s">
        <v>896</v>
      </c>
      <c r="B15" s="4150" t="s">
        <v>897</v>
      </c>
      <c r="C15" s="908" t="s">
        <v>28</v>
      </c>
      <c r="D15" s="822">
        <v>45117</v>
      </c>
      <c r="E15" s="879">
        <v>45117</v>
      </c>
      <c r="F15" s="117" t="s">
        <v>151</v>
      </c>
      <c r="G15" s="117" t="s">
        <v>898</v>
      </c>
      <c r="H15" s="828">
        <v>45127</v>
      </c>
      <c r="I15" s="117" t="s">
        <v>899</v>
      </c>
      <c r="J15" s="117" t="s">
        <v>266</v>
      </c>
      <c r="K15" s="117" t="s">
        <v>900</v>
      </c>
      <c r="L15" s="766"/>
      <c r="M15" s="839">
        <v>45127</v>
      </c>
      <c r="N15" s="822">
        <v>45127</v>
      </c>
      <c r="O15" s="822">
        <v>45132</v>
      </c>
      <c r="P15" s="4150" t="s">
        <v>901</v>
      </c>
      <c r="Q15" s="117" t="s">
        <v>75</v>
      </c>
      <c r="R15" s="4150" t="s">
        <v>902</v>
      </c>
      <c r="S15" s="117">
        <v>4</v>
      </c>
      <c r="T15" s="117">
        <v>1220</v>
      </c>
      <c r="U15" s="660">
        <v>1212.5</v>
      </c>
      <c r="V15" s="660">
        <v>1</v>
      </c>
      <c r="W15" s="660">
        <f>IFERROR((JUL_2023[[#This Row],[Sales Amount]]-JUL_2023[[#This Row],[Cost]])/JUL_2023[[#This Row],[CNTR AMOUNT]],JUL_2023[[#This Row],[Sales Amount]]-JUL_2023[[#This Row],[Cost]])</f>
        <v>7.5</v>
      </c>
      <c r="X15" s="919">
        <f>IFERROR((JUL_2023[[#This Row],[Sales Amount]]-JUL_2023[[#This Row],[Cost]])/JUL_2023[[#This Row],[Cost]],"-")</f>
        <v>6.1855670103092781E-3</v>
      </c>
      <c r="Y15" s="660"/>
      <c r="Z15" s="113"/>
    </row>
    <row r="16" spans="1:26" s="117" customFormat="1" hidden="1">
      <c r="A16" s="58" t="s">
        <v>171</v>
      </c>
      <c r="B16" s="4149" t="s">
        <v>903</v>
      </c>
      <c r="C16" s="1111" t="s">
        <v>28</v>
      </c>
      <c r="D16" s="844">
        <v>45102</v>
      </c>
      <c r="E16" s="1112">
        <v>45118</v>
      </c>
      <c r="F16" s="58" t="s">
        <v>173</v>
      </c>
      <c r="G16" s="58" t="s">
        <v>46</v>
      </c>
      <c r="H16" s="1139">
        <v>45119</v>
      </c>
      <c r="I16" s="58"/>
      <c r="J16" s="58" t="s">
        <v>32</v>
      </c>
      <c r="K16" s="4839" t="s">
        <v>174</v>
      </c>
      <c r="L16" s="915" t="s">
        <v>904</v>
      </c>
      <c r="M16" s="1115">
        <v>45121</v>
      </c>
      <c r="N16" s="844">
        <v>45119</v>
      </c>
      <c r="O16" s="844">
        <v>45120</v>
      </c>
      <c r="P16" s="709" t="s">
        <v>905</v>
      </c>
      <c r="Q16" s="58" t="s">
        <v>35</v>
      </c>
      <c r="R16" s="58" t="s">
        <v>36</v>
      </c>
      <c r="S16" s="58" t="s">
        <v>37</v>
      </c>
      <c r="T16" s="106">
        <v>940</v>
      </c>
      <c r="U16" s="85">
        <v>751</v>
      </c>
      <c r="V16" s="152"/>
      <c r="W16" s="152">
        <f>IFERROR((JUL_2023[[#This Row],[Sales Amount]]-JUL_2023[[#This Row],[Cost]])/JUL_2023[[#This Row],[CNTR AMOUNT]],JUL_2023[[#This Row],[Sales Amount]]-JUL_2023[[#This Row],[Cost]])</f>
        <v>189</v>
      </c>
      <c r="X16" s="888">
        <f>IFERROR((JUL_2023[[#This Row],[Sales Amount]]-JUL_2023[[#This Row],[Cost]])/JUL_2023[[#This Row],[Cost]],"-")</f>
        <v>0.25166444740346205</v>
      </c>
      <c r="Y16" s="152"/>
      <c r="Z16" s="645"/>
    </row>
    <row r="17" spans="1:26" s="117" customFormat="1" hidden="1">
      <c r="A17" s="58" t="s">
        <v>171</v>
      </c>
      <c r="B17" s="58" t="s">
        <v>906</v>
      </c>
      <c r="C17" s="1111" t="s">
        <v>28</v>
      </c>
      <c r="D17" s="844">
        <v>45102</v>
      </c>
      <c r="E17" s="1112">
        <v>45118</v>
      </c>
      <c r="F17" s="58" t="s">
        <v>173</v>
      </c>
      <c r="G17" s="58" t="s">
        <v>46</v>
      </c>
      <c r="H17" s="844">
        <v>45120</v>
      </c>
      <c r="I17" s="58"/>
      <c r="J17" s="58" t="s">
        <v>32</v>
      </c>
      <c r="K17" s="4839" t="s">
        <v>174</v>
      </c>
      <c r="L17" s="915" t="s">
        <v>907</v>
      </c>
      <c r="M17" s="1115">
        <v>45121</v>
      </c>
      <c r="N17" s="844">
        <v>45120</v>
      </c>
      <c r="O17" s="844">
        <v>45120</v>
      </c>
      <c r="P17" s="709" t="s">
        <v>908</v>
      </c>
      <c r="Q17" s="58" t="s">
        <v>35</v>
      </c>
      <c r="R17" s="58" t="s">
        <v>36</v>
      </c>
      <c r="S17" s="58" t="s">
        <v>37</v>
      </c>
      <c r="T17" s="106">
        <v>940</v>
      </c>
      <c r="U17" s="84">
        <v>751</v>
      </c>
      <c r="V17" s="93"/>
      <c r="W17" s="93">
        <f>IFERROR((JUL_2023[[#This Row],[Sales Amount]]-JUL_2023[[#This Row],[Cost]])/JUL_2023[[#This Row],[CNTR AMOUNT]],JUL_2023[[#This Row],[Sales Amount]]-JUL_2023[[#This Row],[Cost]])</f>
        <v>189</v>
      </c>
      <c r="X17" s="970">
        <f>IFERROR((JUL_2023[[#This Row],[Sales Amount]]-JUL_2023[[#This Row],[Cost]])/JUL_2023[[#This Row],[Cost]],"-")</f>
        <v>0.25166444740346205</v>
      </c>
      <c r="Y17" s="93"/>
      <c r="Z17" s="1068"/>
    </row>
    <row r="18" spans="1:26" s="709" customFormat="1" hidden="1">
      <c r="A18" s="58" t="s">
        <v>42</v>
      </c>
      <c r="B18" s="58" t="s">
        <v>909</v>
      </c>
      <c r="C18" s="58" t="s">
        <v>44</v>
      </c>
      <c r="D18" s="844">
        <v>45103</v>
      </c>
      <c r="E18" s="1112">
        <v>45118</v>
      </c>
      <c r="F18" s="58" t="s">
        <v>56</v>
      </c>
      <c r="G18" s="58" t="s">
        <v>829</v>
      </c>
      <c r="H18" s="58"/>
      <c r="I18" s="58"/>
      <c r="J18" s="58" t="s">
        <v>32</v>
      </c>
      <c r="K18" s="4839" t="s">
        <v>47</v>
      </c>
      <c r="L18" s="58" t="s">
        <v>910</v>
      </c>
      <c r="M18" s="844">
        <v>45120</v>
      </c>
      <c r="N18" s="844">
        <v>45119</v>
      </c>
      <c r="O18" s="844">
        <v>45124</v>
      </c>
      <c r="P18" s="709" t="s">
        <v>911</v>
      </c>
      <c r="Q18" s="58" t="s">
        <v>89</v>
      </c>
      <c r="R18" s="709" t="s">
        <v>51</v>
      </c>
      <c r="U18" s="718"/>
      <c r="V18" s="718"/>
      <c r="W18" s="718">
        <f>IFERROR((JUL_2023[[#This Row],[Sales Amount]]-JUL_2023[[#This Row],[Cost]])/JUL_2023[[#This Row],[CNTR AMOUNT]],JUL_2023[[#This Row],[Sales Amount]]-JUL_2023[[#This Row],[Cost]])</f>
        <v>0</v>
      </c>
      <c r="X18" s="1348" t="str">
        <f>IFERROR((JUL_2023[[#This Row],[Sales Amount]]-JUL_2023[[#This Row],[Cost]])/JUL_2023[[#This Row],[Cost]],"-")</f>
        <v>-</v>
      </c>
      <c r="Y18" s="718"/>
      <c r="Z18" s="1349"/>
    </row>
    <row r="19" spans="1:26" s="709" customFormat="1" hidden="1">
      <c r="A19" s="58" t="s">
        <v>821</v>
      </c>
      <c r="B19" s="58" t="s">
        <v>912</v>
      </c>
      <c r="C19" s="58" t="s">
        <v>913</v>
      </c>
      <c r="D19" s="844">
        <v>45113</v>
      </c>
      <c r="E19" s="1112">
        <v>45118</v>
      </c>
      <c r="F19" s="58" t="s">
        <v>734</v>
      </c>
      <c r="G19" s="58" t="s">
        <v>46</v>
      </c>
      <c r="H19" s="58"/>
      <c r="I19" s="58"/>
      <c r="J19" s="58" t="s">
        <v>32</v>
      </c>
      <c r="K19" s="58" t="s">
        <v>47</v>
      </c>
      <c r="L19" s="58" t="s">
        <v>914</v>
      </c>
      <c r="M19" s="844">
        <v>45120</v>
      </c>
      <c r="N19" s="844">
        <v>45119</v>
      </c>
      <c r="O19" s="844">
        <v>45122</v>
      </c>
      <c r="P19" s="709" t="s">
        <v>915</v>
      </c>
      <c r="Q19" s="58" t="s">
        <v>50</v>
      </c>
      <c r="R19" s="709" t="s">
        <v>51</v>
      </c>
      <c r="U19" s="727"/>
      <c r="V19" s="727"/>
      <c r="W19" s="727">
        <f>IFERROR((JUL_2023[[#This Row],[Sales Amount]]-JUL_2023[[#This Row],[Cost]])/JUL_2023[[#This Row],[CNTR AMOUNT]],JUL_2023[[#This Row],[Sales Amount]]-JUL_2023[[#This Row],[Cost]])</f>
        <v>0</v>
      </c>
      <c r="X19" s="1179" t="str">
        <f>IFERROR((JUL_2023[[#This Row],[Sales Amount]]-JUL_2023[[#This Row],[Cost]])/JUL_2023[[#This Row],[Cost]],"-")</f>
        <v>-</v>
      </c>
      <c r="Y19" s="727"/>
      <c r="Z19" s="711"/>
    </row>
    <row r="20" spans="1:26" hidden="1">
      <c r="A20" s="58" t="s">
        <v>26</v>
      </c>
      <c r="B20" s="58" t="s">
        <v>916</v>
      </c>
      <c r="C20" s="58" t="s">
        <v>200</v>
      </c>
      <c r="D20" s="844">
        <v>45105</v>
      </c>
      <c r="E20" s="1112">
        <v>45119</v>
      </c>
      <c r="F20" s="58" t="s">
        <v>167</v>
      </c>
      <c r="G20" s="58" t="s">
        <v>57</v>
      </c>
      <c r="H20" s="1115">
        <v>45124</v>
      </c>
      <c r="I20" s="915" t="s">
        <v>108</v>
      </c>
      <c r="J20" s="58" t="s">
        <v>247</v>
      </c>
      <c r="K20" s="58" t="s">
        <v>281</v>
      </c>
      <c r="L20" s="915">
        <v>1396271</v>
      </c>
      <c r="M20" s="1115">
        <v>45122</v>
      </c>
      <c r="N20" s="1115">
        <v>45121</v>
      </c>
      <c r="O20" s="844">
        <v>45124</v>
      </c>
      <c r="P20" s="709" t="s">
        <v>917</v>
      </c>
      <c r="Q20" s="58" t="s">
        <v>35</v>
      </c>
      <c r="R20" s="58" t="s">
        <v>36</v>
      </c>
      <c r="S20" s="58" t="s">
        <v>37</v>
      </c>
      <c r="T20" s="106">
        <v>1665</v>
      </c>
      <c r="U20" s="152">
        <v>1066.7</v>
      </c>
      <c r="V20" s="152"/>
      <c r="W20" s="152">
        <f>IFERROR((JUL_2023[[#This Row],[Sales Amount]]-JUL_2023[[#This Row],[Cost]])/JUL_2023[[#This Row],[CNTR AMOUNT]],JUL_2023[[#This Row],[Sales Amount]]-JUL_2023[[#This Row],[Cost]])</f>
        <v>598.29999999999995</v>
      </c>
      <c r="X20" s="888">
        <f>IFERROR((JUL_2023[[#This Row],[Sales Amount]]-JUL_2023[[#This Row],[Cost]])/JUL_2023[[#This Row],[Cost]],"-")</f>
        <v>0.56088872222743036</v>
      </c>
      <c r="Y20" s="152"/>
      <c r="Z20" s="645"/>
    </row>
    <row r="21" spans="1:26">
      <c r="A21" s="4150" t="s">
        <v>68</v>
      </c>
      <c r="B21" s="4150" t="s">
        <v>918</v>
      </c>
      <c r="C21" s="117" t="s">
        <v>28</v>
      </c>
      <c r="D21" s="822">
        <v>45114</v>
      </c>
      <c r="E21" s="879">
        <v>45119</v>
      </c>
      <c r="F21" s="117" t="s">
        <v>45</v>
      </c>
      <c r="G21" s="4150" t="s">
        <v>919</v>
      </c>
      <c r="H21" s="839">
        <v>45121</v>
      </c>
      <c r="I21" s="117" t="s">
        <v>618</v>
      </c>
      <c r="J21" s="117" t="s">
        <v>72</v>
      </c>
      <c r="K21" s="117" t="s">
        <v>73</v>
      </c>
      <c r="L21" s="766" t="s">
        <v>920</v>
      </c>
      <c r="M21" s="839">
        <v>45121</v>
      </c>
      <c r="N21" s="839">
        <v>45120</v>
      </c>
      <c r="O21" s="828">
        <v>45121</v>
      </c>
      <c r="P21" s="4150" t="s">
        <v>921</v>
      </c>
      <c r="Q21" s="117" t="s">
        <v>75</v>
      </c>
      <c r="R21" s="507" t="s">
        <v>922</v>
      </c>
      <c r="S21" s="117">
        <v>4</v>
      </c>
      <c r="T21" s="117">
        <v>965</v>
      </c>
      <c r="U21" s="660">
        <v>865.05</v>
      </c>
      <c r="V21" s="660"/>
      <c r="W21" s="660">
        <f>IFERROR((JUL_2023[[#This Row],[Sales Amount]]-JUL_2023[[#This Row],[Cost]])/JUL_2023[[#This Row],[CNTR AMOUNT]],JUL_2023[[#This Row],[Sales Amount]]-JUL_2023[[#This Row],[Cost]])</f>
        <v>99.950000000000045</v>
      </c>
      <c r="X21" s="919">
        <f>IFERROR((JUL_2023[[#This Row],[Sales Amount]]-JUL_2023[[#This Row],[Cost]])/JUL_2023[[#This Row],[Cost]],"-")</f>
        <v>0.11554245419339929</v>
      </c>
      <c r="Y21" s="660"/>
      <c r="Z21" s="113"/>
    </row>
    <row r="22" spans="1:26">
      <c r="A22" s="660" t="s">
        <v>68</v>
      </c>
      <c r="B22" s="4150" t="s">
        <v>923</v>
      </c>
      <c r="C22" s="117" t="s">
        <v>28</v>
      </c>
      <c r="D22" s="822">
        <v>45114</v>
      </c>
      <c r="E22" s="879">
        <v>45119</v>
      </c>
      <c r="F22" s="117" t="s">
        <v>45</v>
      </c>
      <c r="G22" s="4150" t="s">
        <v>919</v>
      </c>
      <c r="H22" s="839">
        <v>45121</v>
      </c>
      <c r="I22" s="117" t="s">
        <v>445</v>
      </c>
      <c r="J22" s="117" t="s">
        <v>72</v>
      </c>
      <c r="K22" s="660" t="s">
        <v>73</v>
      </c>
      <c r="L22" s="117" t="s">
        <v>924</v>
      </c>
      <c r="M22" s="839">
        <v>45121</v>
      </c>
      <c r="N22" s="839">
        <v>45120</v>
      </c>
      <c r="O22" s="828">
        <v>45121</v>
      </c>
      <c r="P22" s="4150" t="s">
        <v>921</v>
      </c>
      <c r="Q22" s="117" t="s">
        <v>75</v>
      </c>
      <c r="R22" s="507" t="s">
        <v>922</v>
      </c>
      <c r="S22" s="117">
        <v>4</v>
      </c>
      <c r="T22" s="117">
        <v>965</v>
      </c>
      <c r="U22" s="660">
        <v>865.05</v>
      </c>
      <c r="V22" s="660"/>
      <c r="W22" s="660">
        <f>IFERROR((JUL_2023[[#This Row],[Sales Amount]]-JUL_2023[[#This Row],[Cost]])/JUL_2023[[#This Row],[CNTR AMOUNT]],JUL_2023[[#This Row],[Sales Amount]]-JUL_2023[[#This Row],[Cost]])</f>
        <v>99.950000000000045</v>
      </c>
      <c r="X22" s="919">
        <f>IFERROR((JUL_2023[[#This Row],[Sales Amount]]-JUL_2023[[#This Row],[Cost]])/JUL_2023[[#This Row],[Cost]],"-")</f>
        <v>0.11554245419339929</v>
      </c>
      <c r="Y22" s="660"/>
      <c r="Z22" s="113"/>
    </row>
    <row r="23" spans="1:26" s="117" customFormat="1">
      <c r="A23" s="660" t="s">
        <v>68</v>
      </c>
      <c r="B23" s="4150" t="s">
        <v>925</v>
      </c>
      <c r="C23" s="117" t="s">
        <v>28</v>
      </c>
      <c r="D23" s="822">
        <v>45114</v>
      </c>
      <c r="E23" s="879">
        <v>45119</v>
      </c>
      <c r="F23" s="117" t="s">
        <v>45</v>
      </c>
      <c r="G23" s="4150" t="s">
        <v>919</v>
      </c>
      <c r="H23" s="839">
        <v>45121</v>
      </c>
      <c r="I23" s="117" t="s">
        <v>926</v>
      </c>
      <c r="J23" s="117" t="s">
        <v>72</v>
      </c>
      <c r="K23" s="117" t="s">
        <v>73</v>
      </c>
      <c r="L23" s="117" t="s">
        <v>927</v>
      </c>
      <c r="M23" s="839">
        <v>45121</v>
      </c>
      <c r="N23" s="839">
        <v>45121</v>
      </c>
      <c r="O23" s="828">
        <v>45121</v>
      </c>
      <c r="P23" s="4150" t="s">
        <v>921</v>
      </c>
      <c r="Q23" s="117" t="s">
        <v>75</v>
      </c>
      <c r="R23" s="507" t="s">
        <v>922</v>
      </c>
      <c r="S23" s="117">
        <v>4</v>
      </c>
      <c r="T23" s="117">
        <v>965</v>
      </c>
      <c r="U23" s="660">
        <v>780.05</v>
      </c>
      <c r="V23" s="660"/>
      <c r="W23" s="660">
        <f>IFERROR((JUL_2023[[#This Row],[Sales Amount]]-JUL_2023[[#This Row],[Cost]])/JUL_2023[[#This Row],[CNTR AMOUNT]],JUL_2023[[#This Row],[Sales Amount]]-JUL_2023[[#This Row],[Cost]])</f>
        <v>184.95000000000005</v>
      </c>
      <c r="X23" s="919">
        <f>IFERROR((JUL_2023[[#This Row],[Sales Amount]]-JUL_2023[[#This Row],[Cost]])/JUL_2023[[#This Row],[Cost]],"-")</f>
        <v>0.23710018588552023</v>
      </c>
      <c r="Y23" s="660"/>
      <c r="Z23" s="113"/>
    </row>
    <row r="24" spans="1:26" s="117" customFormat="1" hidden="1">
      <c r="A24" s="727" t="s">
        <v>468</v>
      </c>
      <c r="B24" s="709" t="s">
        <v>928</v>
      </c>
      <c r="C24" s="709"/>
      <c r="D24" s="912"/>
      <c r="E24" s="912">
        <v>45120</v>
      </c>
      <c r="F24" s="709" t="s">
        <v>245</v>
      </c>
      <c r="G24" s="709" t="s">
        <v>57</v>
      </c>
      <c r="H24" s="709"/>
      <c r="I24" s="709"/>
      <c r="J24" s="709" t="s">
        <v>490</v>
      </c>
      <c r="K24" s="727" t="s">
        <v>929</v>
      </c>
      <c r="L24" s="709"/>
      <c r="M24" s="709"/>
      <c r="N24" s="709"/>
      <c r="O24" s="709"/>
      <c r="P24" s="709" t="s">
        <v>930</v>
      </c>
      <c r="Q24" s="709" t="s">
        <v>170</v>
      </c>
      <c r="R24" s="709" t="s">
        <v>51</v>
      </c>
      <c r="S24" s="106"/>
      <c r="T24" s="106">
        <v>6406.5</v>
      </c>
      <c r="U24" s="152">
        <v>5213</v>
      </c>
      <c r="V24" s="152"/>
      <c r="W24" s="152">
        <f>IFERROR((JUL_2023[[#This Row],[Sales Amount]]-JUL_2023[[#This Row],[Cost]])/JUL_2023[[#This Row],[CNTR AMOUNT]],JUL_2023[[#This Row],[Sales Amount]]-JUL_2023[[#This Row],[Cost]])</f>
        <v>1193.5</v>
      </c>
      <c r="X24" s="888">
        <f>IFERROR((JUL_2023[[#This Row],[Sales Amount]]-JUL_2023[[#This Row],[Cost]])/JUL_2023[[#This Row],[Cost]],"-")</f>
        <v>0.22894686361020525</v>
      </c>
      <c r="Y24" s="152"/>
      <c r="Z24" s="645"/>
    </row>
    <row r="25" spans="1:26" hidden="1">
      <c r="A25" s="710" t="s">
        <v>171</v>
      </c>
      <c r="B25" s="58" t="s">
        <v>931</v>
      </c>
      <c r="C25" s="1111" t="s">
        <v>28</v>
      </c>
      <c r="D25" s="844">
        <v>45102</v>
      </c>
      <c r="E25" s="1112">
        <v>45120</v>
      </c>
      <c r="F25" s="58" t="s">
        <v>173</v>
      </c>
      <c r="G25" s="58" t="s">
        <v>46</v>
      </c>
      <c r="H25" s="1139">
        <v>45122</v>
      </c>
      <c r="I25" s="58"/>
      <c r="J25" s="58" t="s">
        <v>32</v>
      </c>
      <c r="K25" s="710" t="s">
        <v>174</v>
      </c>
      <c r="L25" s="915" t="s">
        <v>932</v>
      </c>
      <c r="M25" s="1115">
        <v>45122</v>
      </c>
      <c r="N25" s="844">
        <v>45122</v>
      </c>
      <c r="O25" s="844">
        <v>45122</v>
      </c>
      <c r="P25" s="709" t="s">
        <v>933</v>
      </c>
      <c r="Q25" s="58" t="s">
        <v>35</v>
      </c>
      <c r="R25" s="58" t="s">
        <v>36</v>
      </c>
      <c r="S25" s="58" t="s">
        <v>37</v>
      </c>
      <c r="T25" s="106">
        <v>680</v>
      </c>
      <c r="U25" s="152">
        <v>556</v>
      </c>
      <c r="V25" s="152"/>
      <c r="W25" s="152">
        <f>IFERROR((JUL_2023[[#This Row],[Sales Amount]]-JUL_2023[[#This Row],[Cost]])/JUL_2023[[#This Row],[CNTR AMOUNT]],JUL_2023[[#This Row],[Sales Amount]]-JUL_2023[[#This Row],[Cost]])</f>
        <v>124</v>
      </c>
      <c r="X25" s="888">
        <f>IFERROR((JUL_2023[[#This Row],[Sales Amount]]-JUL_2023[[#This Row],[Cost]])/JUL_2023[[#This Row],[Cost]],"-")</f>
        <v>0.22302158273381295</v>
      </c>
      <c r="Y25" s="152"/>
      <c r="Z25" s="645"/>
    </row>
    <row r="26" spans="1:26" s="117" customFormat="1" hidden="1">
      <c r="A26" s="4153" t="s">
        <v>934</v>
      </c>
      <c r="B26" s="4154" t="s">
        <v>935</v>
      </c>
      <c r="C26" s="25" t="s">
        <v>44</v>
      </c>
      <c r="D26" s="353">
        <v>45120</v>
      </c>
      <c r="E26" s="758">
        <v>45120</v>
      </c>
      <c r="F26" s="4154" t="s">
        <v>245</v>
      </c>
      <c r="G26" s="4154" t="s">
        <v>936</v>
      </c>
      <c r="H26" s="4155">
        <v>45125</v>
      </c>
      <c r="I26" s="1338">
        <v>0.83333333333333337</v>
      </c>
      <c r="J26" s="4154" t="s">
        <v>937</v>
      </c>
      <c r="K26" s="25" t="s">
        <v>938</v>
      </c>
      <c r="L26" s="25"/>
      <c r="M26" s="25"/>
      <c r="N26" s="4156">
        <v>45124</v>
      </c>
      <c r="O26" s="373">
        <v>45126</v>
      </c>
      <c r="P26" s="4150" t="s">
        <v>939</v>
      </c>
      <c r="Q26" s="25" t="s">
        <v>128</v>
      </c>
      <c r="R26" s="117" t="s">
        <v>36</v>
      </c>
      <c r="T26" s="117">
        <v>2270</v>
      </c>
      <c r="U26" s="660">
        <v>1955</v>
      </c>
      <c r="V26" s="660">
        <v>1</v>
      </c>
      <c r="W26" s="660">
        <f>IFERROR((JUL_2023[[#This Row],[Sales Amount]]-JUL_2023[[#This Row],[Cost]])/JUL_2023[[#This Row],[CNTR AMOUNT]],JUL_2023[[#This Row],[Sales Amount]]-JUL_2023[[#This Row],[Cost]])</f>
        <v>315</v>
      </c>
      <c r="X26" s="919">
        <f>IFERROR((JUL_2023[[#This Row],[Sales Amount]]-JUL_2023[[#This Row],[Cost]])/JUL_2023[[#This Row],[Cost]],"-")</f>
        <v>0.16112531969309463</v>
      </c>
      <c r="Y26" s="660"/>
      <c r="Z26" s="113"/>
    </row>
    <row r="27" spans="1:26" s="1352" customFormat="1" hidden="1">
      <c r="A27" s="709" t="s">
        <v>468</v>
      </c>
      <c r="B27" s="709" t="s">
        <v>940</v>
      </c>
      <c r="C27" s="709"/>
      <c r="D27" s="912"/>
      <c r="E27" s="912">
        <v>45120</v>
      </c>
      <c r="F27" s="709" t="s">
        <v>245</v>
      </c>
      <c r="G27" s="709" t="s">
        <v>57</v>
      </c>
      <c r="H27" s="709"/>
      <c r="I27" s="709"/>
      <c r="J27" s="709" t="s">
        <v>490</v>
      </c>
      <c r="K27" s="709" t="s">
        <v>929</v>
      </c>
      <c r="L27" s="709"/>
      <c r="M27" s="709"/>
      <c r="N27" s="709"/>
      <c r="O27" s="709"/>
      <c r="P27" s="709" t="s">
        <v>930</v>
      </c>
      <c r="Q27" s="709" t="s">
        <v>170</v>
      </c>
      <c r="R27" s="709" t="s">
        <v>51</v>
      </c>
      <c r="S27" s="106"/>
      <c r="T27" s="106">
        <v>6406.5</v>
      </c>
      <c r="U27" s="152">
        <v>5213</v>
      </c>
      <c r="V27" s="152"/>
      <c r="W27" s="152">
        <f>IFERROR((JUL_2023[[#This Row],[Sales Amount]]-JUL_2023[[#This Row],[Cost]])/JUL_2023[[#This Row],[CNTR AMOUNT]],JUL_2023[[#This Row],[Sales Amount]]-JUL_2023[[#This Row],[Cost]])</f>
        <v>1193.5</v>
      </c>
      <c r="X27" s="888">
        <f>IFERROR((JUL_2023[[#This Row],[Sales Amount]]-JUL_2023[[#This Row],[Cost]])/JUL_2023[[#This Row],[Cost]],"-")</f>
        <v>0.22894686361020525</v>
      </c>
      <c r="Y27" s="152"/>
      <c r="Z27" s="645"/>
    </row>
    <row r="28" spans="1:26" hidden="1">
      <c r="A28" s="4157" t="s">
        <v>941</v>
      </c>
      <c r="B28" s="4157" t="s">
        <v>942</v>
      </c>
      <c r="C28" s="4157" t="s">
        <v>44</v>
      </c>
      <c r="D28" s="1353">
        <v>45113</v>
      </c>
      <c r="E28" s="1353">
        <v>45120</v>
      </c>
      <c r="F28" s="4157" t="s">
        <v>98</v>
      </c>
      <c r="G28" s="1211" t="s">
        <v>46</v>
      </c>
      <c r="H28" s="1211"/>
      <c r="I28" s="1211"/>
      <c r="J28" s="1211" t="s">
        <v>32</v>
      </c>
      <c r="K28" s="1496" t="s">
        <v>47</v>
      </c>
      <c r="L28" s="1211" t="s">
        <v>943</v>
      </c>
      <c r="M28" s="1353">
        <v>45121</v>
      </c>
      <c r="N28" s="1353">
        <v>45120</v>
      </c>
      <c r="O28" s="1353">
        <v>45125</v>
      </c>
      <c r="P28" s="4158" t="s">
        <v>944</v>
      </c>
      <c r="Q28" s="4157" t="s">
        <v>89</v>
      </c>
      <c r="R28" s="1352" t="s">
        <v>51</v>
      </c>
      <c r="S28" s="1352"/>
      <c r="T28" s="1352"/>
      <c r="U28" s="1355"/>
      <c r="V28" s="1355"/>
      <c r="W28" s="1355">
        <f>IFERROR((JUL_2023[[#This Row],[Sales Amount]]-JUL_2023[[#This Row],[Cost]])/JUL_2023[[#This Row],[CNTR AMOUNT]],JUL_2023[[#This Row],[Sales Amount]]-JUL_2023[[#This Row],[Cost]])</f>
        <v>0</v>
      </c>
      <c r="X28" s="1356" t="str">
        <f>IFERROR((JUL_2023[[#This Row],[Sales Amount]]-JUL_2023[[#This Row],[Cost]])/JUL_2023[[#This Row],[Cost]],"-")</f>
        <v>-</v>
      </c>
      <c r="Y28" s="1355"/>
      <c r="Z28" s="1357"/>
    </row>
    <row r="29" spans="1:26">
      <c r="A29" s="117" t="s">
        <v>945</v>
      </c>
      <c r="B29" s="4150" t="s">
        <v>946</v>
      </c>
      <c r="C29" s="117" t="s">
        <v>44</v>
      </c>
      <c r="D29" s="822">
        <v>45114</v>
      </c>
      <c r="E29" s="879">
        <v>45121</v>
      </c>
      <c r="F29" s="117" t="s">
        <v>45</v>
      </c>
      <c r="G29" s="507" t="s">
        <v>947</v>
      </c>
      <c r="H29" s="822">
        <v>45124</v>
      </c>
      <c r="I29" s="4159" t="s">
        <v>108</v>
      </c>
      <c r="J29" s="117" t="s">
        <v>948</v>
      </c>
      <c r="K29" s="4150" t="s">
        <v>949</v>
      </c>
      <c r="L29" s="4150">
        <v>3180</v>
      </c>
      <c r="M29" s="822">
        <v>45122</v>
      </c>
      <c r="N29" s="822">
        <v>45124</v>
      </c>
      <c r="O29" s="828">
        <v>45125</v>
      </c>
      <c r="P29" s="766" t="s">
        <v>950</v>
      </c>
      <c r="Q29" s="117" t="s">
        <v>75</v>
      </c>
      <c r="R29" s="117" t="s">
        <v>951</v>
      </c>
      <c r="S29" s="117">
        <v>4</v>
      </c>
      <c r="T29" s="117">
        <v>1650</v>
      </c>
      <c r="U29" s="660">
        <v>917.5</v>
      </c>
      <c r="V29" s="660">
        <v>1</v>
      </c>
      <c r="W29" s="660">
        <f>IFERROR((JUL_2023[[#This Row],[Sales Amount]]-JUL_2023[[#This Row],[Cost]])/JUL_2023[[#This Row],[CNTR AMOUNT]],JUL_2023[[#This Row],[Sales Amount]]-JUL_2023[[#This Row],[Cost]])</f>
        <v>732.5</v>
      </c>
      <c r="X29" s="919">
        <f>IFERROR((JUL_2023[[#This Row],[Sales Amount]]-JUL_2023[[#This Row],[Cost]])/JUL_2023[[#This Row],[Cost]],"-")</f>
        <v>0.79836512261580383</v>
      </c>
      <c r="Y29" s="660"/>
      <c r="Z29" s="113"/>
    </row>
    <row r="30" spans="1:26" hidden="1">
      <c r="A30" s="58" t="s">
        <v>26</v>
      </c>
      <c r="B30" s="1" t="s">
        <v>952</v>
      </c>
      <c r="C30" s="1166" t="s">
        <v>28</v>
      </c>
      <c r="D30" s="844">
        <v>45113</v>
      </c>
      <c r="E30" s="1112">
        <v>45121</v>
      </c>
      <c r="F30" s="58" t="s">
        <v>953</v>
      </c>
      <c r="G30" s="58" t="s">
        <v>669</v>
      </c>
      <c r="H30" s="1115">
        <v>45124</v>
      </c>
      <c r="I30" s="915" t="s">
        <v>178</v>
      </c>
      <c r="J30" s="58" t="s">
        <v>32</v>
      </c>
      <c r="K30" s="58" t="s">
        <v>954</v>
      </c>
      <c r="L30" s="915" t="s">
        <v>955</v>
      </c>
      <c r="M30" s="1115">
        <v>45124</v>
      </c>
      <c r="N30" s="844">
        <v>45124</v>
      </c>
      <c r="O30" s="1192">
        <v>45124</v>
      </c>
      <c r="P30" s="709" t="s">
        <v>956</v>
      </c>
      <c r="Q30" s="58" t="s">
        <v>35</v>
      </c>
      <c r="R30" s="58" t="s">
        <v>36</v>
      </c>
      <c r="S30" s="58" t="s">
        <v>37</v>
      </c>
      <c r="T30" s="106">
        <v>1200</v>
      </c>
      <c r="U30" s="152">
        <v>1026</v>
      </c>
      <c r="V30" s="152"/>
      <c r="W30" s="152">
        <f>IFERROR((JUL_2023[[#This Row],[Sales Amount]]-JUL_2023[[#This Row],[Cost]])/JUL_2023[[#This Row],[CNTR AMOUNT]],JUL_2023[[#This Row],[Sales Amount]]-JUL_2023[[#This Row],[Cost]])</f>
        <v>174</v>
      </c>
      <c r="X30" s="888">
        <f>IFERROR((JUL_2023[[#This Row],[Sales Amount]]-JUL_2023[[#This Row],[Cost]])/JUL_2023[[#This Row],[Cost]],"-")</f>
        <v>0.16959064327485379</v>
      </c>
      <c r="Y30" s="152"/>
      <c r="Z30" s="645"/>
    </row>
    <row r="31" spans="1:26">
      <c r="A31" s="4150" t="s">
        <v>243</v>
      </c>
      <c r="B31" s="117" t="s">
        <v>957</v>
      </c>
      <c r="C31" s="117" t="s">
        <v>28</v>
      </c>
      <c r="D31" s="822">
        <v>45106</v>
      </c>
      <c r="E31" s="879">
        <v>45121</v>
      </c>
      <c r="F31" s="4150" t="s">
        <v>245</v>
      </c>
      <c r="G31" s="4150" t="s">
        <v>958</v>
      </c>
      <c r="H31" s="839">
        <v>45121</v>
      </c>
      <c r="I31" s="4160" t="s">
        <v>959</v>
      </c>
      <c r="J31" s="117" t="s">
        <v>247</v>
      </c>
      <c r="K31" s="117" t="s">
        <v>960</v>
      </c>
      <c r="L31" s="117">
        <v>1646747</v>
      </c>
      <c r="M31" s="839">
        <v>45123</v>
      </c>
      <c r="N31" s="839">
        <v>45121</v>
      </c>
      <c r="O31" s="839">
        <v>45124</v>
      </c>
      <c r="P31" s="766" t="s">
        <v>961</v>
      </c>
      <c r="Q31" s="117" t="s">
        <v>75</v>
      </c>
      <c r="R31" s="507" t="s">
        <v>962</v>
      </c>
      <c r="S31" s="117">
        <v>4</v>
      </c>
      <c r="T31" s="117">
        <v>830</v>
      </c>
      <c r="U31" s="660">
        <v>501.3</v>
      </c>
      <c r="V31" s="660"/>
      <c r="W31" s="660">
        <f>IFERROR((JUL_2023[[#This Row],[Sales Amount]]-JUL_2023[[#This Row],[Cost]])/JUL_2023[[#This Row],[CNTR AMOUNT]],JUL_2023[[#This Row],[Sales Amount]]-JUL_2023[[#This Row],[Cost]])</f>
        <v>328.7</v>
      </c>
      <c r="X31" s="919">
        <f>IFERROR((JUL_2023[[#This Row],[Sales Amount]]-JUL_2023[[#This Row],[Cost]])/JUL_2023[[#This Row],[Cost]],"-")</f>
        <v>0.65569519249950126</v>
      </c>
      <c r="Y31" s="660"/>
      <c r="Z31" s="113"/>
    </row>
    <row r="32" spans="1:26" ht="15.75" hidden="1">
      <c r="A32" s="58" t="s">
        <v>42</v>
      </c>
      <c r="B32" s="58" t="s">
        <v>963</v>
      </c>
      <c r="C32" s="58" t="s">
        <v>28</v>
      </c>
      <c r="D32" s="844">
        <v>45113</v>
      </c>
      <c r="E32" s="1112">
        <v>45121</v>
      </c>
      <c r="F32" s="58" t="s">
        <v>45</v>
      </c>
      <c r="G32" s="58" t="s">
        <v>829</v>
      </c>
      <c r="H32" s="58"/>
      <c r="I32" s="58"/>
      <c r="J32" s="58" t="s">
        <v>32</v>
      </c>
      <c r="K32" s="58" t="s">
        <v>47</v>
      </c>
      <c r="L32" s="58">
        <v>759219</v>
      </c>
      <c r="M32" s="844">
        <v>45123</v>
      </c>
      <c r="N32" s="844">
        <v>45123</v>
      </c>
      <c r="O32" s="844">
        <v>45124</v>
      </c>
      <c r="P32" s="1343" t="s">
        <v>964</v>
      </c>
      <c r="Q32" s="58" t="s">
        <v>50</v>
      </c>
      <c r="R32" s="709" t="s">
        <v>51</v>
      </c>
      <c r="S32" s="709"/>
      <c r="T32" s="709"/>
      <c r="U32" s="727"/>
      <c r="V32" s="727"/>
      <c r="W32" s="727">
        <f>IFERROR((JUL_2023[[#This Row],[Sales Amount]]-JUL_2023[[#This Row],[Cost]])/JUL_2023[[#This Row],[CNTR AMOUNT]],JUL_2023[[#This Row],[Sales Amount]]-JUL_2023[[#This Row],[Cost]])</f>
        <v>0</v>
      </c>
      <c r="X32" s="1179" t="str">
        <f>IFERROR((JUL_2023[[#This Row],[Sales Amount]]-JUL_2023[[#This Row],[Cost]])/JUL_2023[[#This Row],[Cost]],"-")</f>
        <v>-</v>
      </c>
      <c r="Y32" s="727"/>
      <c r="Z32" s="711"/>
    </row>
    <row r="33" spans="1:26" s="117" customFormat="1" hidden="1">
      <c r="A33" s="58" t="s">
        <v>821</v>
      </c>
      <c r="B33" s="4161" t="s">
        <v>965</v>
      </c>
      <c r="C33" s="1111" t="s">
        <v>28</v>
      </c>
      <c r="D33" s="844">
        <v>45112</v>
      </c>
      <c r="E33" s="1178">
        <v>45122</v>
      </c>
      <c r="F33" s="58" t="s">
        <v>45</v>
      </c>
      <c r="G33" s="58" t="s">
        <v>46</v>
      </c>
      <c r="H33" s="58"/>
      <c r="I33" s="58"/>
      <c r="J33" s="709" t="s">
        <v>32</v>
      </c>
      <c r="K33" s="58" t="s">
        <v>966</v>
      </c>
      <c r="L33" s="58" t="s">
        <v>967</v>
      </c>
      <c r="M33" s="1139">
        <v>45122</v>
      </c>
      <c r="N33" s="126">
        <v>45122</v>
      </c>
      <c r="O33" s="844">
        <v>45124</v>
      </c>
      <c r="P33" s="709" t="s">
        <v>968</v>
      </c>
      <c r="Q33" s="58" t="s">
        <v>50</v>
      </c>
      <c r="R33" s="709" t="s">
        <v>51</v>
      </c>
      <c r="S33" s="709"/>
      <c r="T33" s="709">
        <v>1400</v>
      </c>
      <c r="U33" s="727">
        <v>1064</v>
      </c>
      <c r="V33" s="727"/>
      <c r="W33" s="727">
        <f>IFERROR((JUL_2023[[#This Row],[Sales Amount]]-JUL_2023[[#This Row],[Cost]])/JUL_2023[[#This Row],[CNTR AMOUNT]],JUL_2023[[#This Row],[Sales Amount]]-JUL_2023[[#This Row],[Cost]])</f>
        <v>336</v>
      </c>
      <c r="X33" s="1179">
        <f>IFERROR((JUL_2023[[#This Row],[Sales Amount]]-JUL_2023[[#This Row],[Cost]])/JUL_2023[[#This Row],[Cost]],"-")</f>
        <v>0.31578947368421051</v>
      </c>
      <c r="Y33" s="727"/>
      <c r="Z33" s="711"/>
    </row>
    <row r="34" spans="1:26" s="1352" customFormat="1" hidden="1">
      <c r="A34" s="709" t="s">
        <v>165</v>
      </c>
      <c r="B34" s="4122" t="s">
        <v>969</v>
      </c>
      <c r="C34" s="4122" t="s">
        <v>85</v>
      </c>
      <c r="D34" s="4162">
        <v>45118</v>
      </c>
      <c r="E34" s="912">
        <v>45122</v>
      </c>
      <c r="F34" s="4122" t="s">
        <v>245</v>
      </c>
      <c r="G34" s="4122" t="s">
        <v>970</v>
      </c>
      <c r="H34" s="912">
        <v>45128</v>
      </c>
      <c r="I34" s="1426">
        <v>0.3125</v>
      </c>
      <c r="J34" s="709" t="s">
        <v>322</v>
      </c>
      <c r="K34" s="4122" t="s">
        <v>971</v>
      </c>
      <c r="L34" s="709"/>
      <c r="M34" s="709"/>
      <c r="N34" s="1194"/>
      <c r="O34" s="1270"/>
      <c r="P34" s="4122" t="s">
        <v>972</v>
      </c>
      <c r="Q34" s="4122" t="s">
        <v>170</v>
      </c>
      <c r="R34" s="709" t="s">
        <v>36</v>
      </c>
      <c r="S34" s="106"/>
      <c r="T34" s="106">
        <v>1260</v>
      </c>
      <c r="U34" s="152">
        <v>1117.5999999999999</v>
      </c>
      <c r="V34" s="152"/>
      <c r="W34" s="152">
        <f>IFERROR((JUL_2023[[#This Row],[Sales Amount]]-JUL_2023[[#This Row],[Cost]])/JUL_2023[[#This Row],[CNTR AMOUNT]],JUL_2023[[#This Row],[Sales Amount]]-JUL_2023[[#This Row],[Cost]])</f>
        <v>142.40000000000009</v>
      </c>
      <c r="X34" s="888">
        <f>IFERROR((JUL_2023[[#This Row],[Sales Amount]]-JUL_2023[[#This Row],[Cost]])/JUL_2023[[#This Row],[Cost]],"-")</f>
        <v>0.12741589119541885</v>
      </c>
      <c r="Y34" s="152"/>
      <c r="Z34" s="645"/>
    </row>
    <row r="35" spans="1:26" s="1352" customFormat="1" hidden="1">
      <c r="A35" s="709" t="s">
        <v>165</v>
      </c>
      <c r="B35" s="727" t="s">
        <v>973</v>
      </c>
      <c r="C35" s="709" t="s">
        <v>28</v>
      </c>
      <c r="D35" s="912"/>
      <c r="E35" s="912">
        <v>45122</v>
      </c>
      <c r="F35" s="709" t="s">
        <v>245</v>
      </c>
      <c r="G35" s="707" t="s">
        <v>970</v>
      </c>
      <c r="H35" s="912">
        <v>45126</v>
      </c>
      <c r="I35" s="1426">
        <v>0.27083333333333331</v>
      </c>
      <c r="J35" s="709" t="s">
        <v>322</v>
      </c>
      <c r="K35" s="707" t="s">
        <v>974</v>
      </c>
      <c r="L35" s="709"/>
      <c r="M35" s="709"/>
      <c r="N35" s="709"/>
      <c r="O35" s="1270"/>
      <c r="P35" s="709" t="s">
        <v>975</v>
      </c>
      <c r="Q35" s="707" t="s">
        <v>170</v>
      </c>
      <c r="R35" s="709" t="s">
        <v>36</v>
      </c>
      <c r="S35" s="106"/>
      <c r="T35" s="106">
        <v>1535</v>
      </c>
      <c r="U35" s="152">
        <v>1388.6</v>
      </c>
      <c r="V35" s="152"/>
      <c r="W35" s="152">
        <f>IFERROR((JUL_2023[[#This Row],[Sales Amount]]-JUL_2023[[#This Row],[Cost]])/JUL_2023[[#This Row],[CNTR AMOUNT]],JUL_2023[[#This Row],[Sales Amount]]-JUL_2023[[#This Row],[Cost]])</f>
        <v>146.40000000000009</v>
      </c>
      <c r="X35" s="888">
        <f>IFERROR((JUL_2023[[#This Row],[Sales Amount]]-JUL_2023[[#This Row],[Cost]])/JUL_2023[[#This Row],[Cost]],"-")</f>
        <v>0.10542992942532053</v>
      </c>
      <c r="Y35" s="152"/>
      <c r="Z35" s="645"/>
    </row>
    <row r="36" spans="1:26" hidden="1">
      <c r="A36" s="1211" t="s">
        <v>821</v>
      </c>
      <c r="B36" s="1211" t="s">
        <v>976</v>
      </c>
      <c r="C36" s="1211" t="s">
        <v>28</v>
      </c>
      <c r="D36" s="1353">
        <v>45116</v>
      </c>
      <c r="E36" s="1354">
        <v>45122</v>
      </c>
      <c r="F36" s="1211" t="s">
        <v>98</v>
      </c>
      <c r="G36" s="1211" t="s">
        <v>46</v>
      </c>
      <c r="H36" s="1211"/>
      <c r="I36" s="1211"/>
      <c r="J36" s="1211" t="s">
        <v>32</v>
      </c>
      <c r="K36" s="1211" t="s">
        <v>47</v>
      </c>
      <c r="L36" s="1211" t="s">
        <v>977</v>
      </c>
      <c r="M36" s="1353">
        <v>45126</v>
      </c>
      <c r="N36" s="1353">
        <v>45125</v>
      </c>
      <c r="O36" s="1353">
        <v>45127</v>
      </c>
      <c r="P36" s="1352" t="s">
        <v>978</v>
      </c>
      <c r="Q36" s="1211" t="s">
        <v>50</v>
      </c>
      <c r="R36" s="1352"/>
      <c r="S36" s="1352"/>
      <c r="T36" s="1352"/>
      <c r="U36" s="1355"/>
      <c r="V36" s="1355"/>
      <c r="W36" s="1355">
        <f>IFERROR((JUL_2023[[#This Row],[Sales Amount]]-JUL_2023[[#This Row],[Cost]])/JUL_2023[[#This Row],[CNTR AMOUNT]],JUL_2023[[#This Row],[Sales Amount]]-JUL_2023[[#This Row],[Cost]])</f>
        <v>0</v>
      </c>
      <c r="X36" s="1356" t="str">
        <f>IFERROR((JUL_2023[[#This Row],[Sales Amount]]-JUL_2023[[#This Row],[Cost]])/JUL_2023[[#This Row],[Cost]],"-")</f>
        <v>-</v>
      </c>
      <c r="Y36" s="1355"/>
      <c r="Z36" s="1357"/>
    </row>
    <row r="37" spans="1:26" s="709" customFormat="1" hidden="1">
      <c r="A37" s="1211" t="s">
        <v>821</v>
      </c>
      <c r="B37" s="1211" t="s">
        <v>979</v>
      </c>
      <c r="C37" s="1211" t="s">
        <v>28</v>
      </c>
      <c r="D37" s="1353">
        <v>45113</v>
      </c>
      <c r="E37" s="1354">
        <v>45122</v>
      </c>
      <c r="F37" s="1211" t="s">
        <v>98</v>
      </c>
      <c r="G37" s="1211" t="s">
        <v>46</v>
      </c>
      <c r="H37" s="1211"/>
      <c r="I37" s="1211"/>
      <c r="J37" s="1211" t="s">
        <v>32</v>
      </c>
      <c r="K37" s="1211" t="s">
        <v>47</v>
      </c>
      <c r="L37" s="1211" t="s">
        <v>980</v>
      </c>
      <c r="M37" s="1353">
        <v>45126</v>
      </c>
      <c r="N37" s="1353">
        <v>45124</v>
      </c>
      <c r="O37" s="1353">
        <v>45125</v>
      </c>
      <c r="P37" s="1352" t="s">
        <v>981</v>
      </c>
      <c r="Q37" s="1211" t="s">
        <v>50</v>
      </c>
      <c r="R37" s="1352" t="s">
        <v>51</v>
      </c>
      <c r="S37" s="1352"/>
      <c r="T37" s="1352"/>
      <c r="U37" s="1355"/>
      <c r="V37" s="1355"/>
      <c r="W37" s="1355">
        <f>IFERROR((JUL_2023[[#This Row],[Sales Amount]]-JUL_2023[[#This Row],[Cost]])/JUL_2023[[#This Row],[CNTR AMOUNT]],JUL_2023[[#This Row],[Sales Amount]]-JUL_2023[[#This Row],[Cost]])</f>
        <v>0</v>
      </c>
      <c r="X37" s="1356" t="str">
        <f>IFERROR((JUL_2023[[#This Row],[Sales Amount]]-JUL_2023[[#This Row],[Cost]])/JUL_2023[[#This Row],[Cost]],"-")</f>
        <v>-</v>
      </c>
      <c r="Y37" s="1355"/>
      <c r="Z37" s="1357"/>
    </row>
    <row r="38" spans="1:26">
      <c r="A38" s="117" t="s">
        <v>319</v>
      </c>
      <c r="B38" s="4150" t="s">
        <v>982</v>
      </c>
      <c r="C38" s="117" t="s">
        <v>44</v>
      </c>
      <c r="D38" s="822">
        <v>45123</v>
      </c>
      <c r="E38" s="879">
        <v>45123</v>
      </c>
      <c r="F38" s="117" t="s">
        <v>135</v>
      </c>
      <c r="G38" s="117" t="s">
        <v>983</v>
      </c>
      <c r="H38" s="856">
        <v>45131</v>
      </c>
      <c r="I38" s="4150" t="s">
        <v>672</v>
      </c>
      <c r="J38" s="117" t="s">
        <v>984</v>
      </c>
      <c r="K38" s="4150" t="s">
        <v>985</v>
      </c>
      <c r="L38" s="117" t="s">
        <v>986</v>
      </c>
      <c r="M38" s="822">
        <v>45127</v>
      </c>
      <c r="N38" s="822">
        <v>45125</v>
      </c>
      <c r="O38" s="822">
        <v>45127</v>
      </c>
      <c r="P38" s="4150" t="s">
        <v>987</v>
      </c>
      <c r="Q38" s="117" t="s">
        <v>75</v>
      </c>
      <c r="R38" s="507" t="s">
        <v>988</v>
      </c>
      <c r="S38" s="117">
        <v>4</v>
      </c>
      <c r="T38" s="117">
        <v>3565</v>
      </c>
      <c r="U38" s="660">
        <f>2025+944</f>
        <v>2969</v>
      </c>
      <c r="V38" s="660">
        <v>1</v>
      </c>
      <c r="W38" s="660">
        <f>IFERROR((JUL_2023[[#This Row],[Sales Amount]]-JUL_2023[[#This Row],[Cost]])/JUL_2023[[#This Row],[CNTR AMOUNT]],JUL_2023[[#This Row],[Sales Amount]]-JUL_2023[[#This Row],[Cost]])</f>
        <v>596</v>
      </c>
      <c r="X38" s="919">
        <f>IFERROR((JUL_2023[[#This Row],[Sales Amount]]-JUL_2023[[#This Row],[Cost]])/JUL_2023[[#This Row],[Cost]],"-")</f>
        <v>0.20074099023240149</v>
      </c>
      <c r="Y38" s="660"/>
      <c r="Z38" s="113"/>
    </row>
    <row r="39" spans="1:26" hidden="1">
      <c r="A39" s="58" t="s">
        <v>497</v>
      </c>
      <c r="B39" s="58" t="s">
        <v>989</v>
      </c>
      <c r="C39" s="58" t="s">
        <v>44</v>
      </c>
      <c r="D39" s="844">
        <v>45118</v>
      </c>
      <c r="E39" s="1178">
        <v>45124</v>
      </c>
      <c r="F39" s="58" t="s">
        <v>990</v>
      </c>
      <c r="G39" s="1" t="s">
        <v>46</v>
      </c>
      <c r="H39" s="58"/>
      <c r="I39" s="58"/>
      <c r="J39" s="58" t="s">
        <v>168</v>
      </c>
      <c r="K39" s="58" t="s">
        <v>47</v>
      </c>
      <c r="L39" s="1362" t="s">
        <v>991</v>
      </c>
      <c r="M39" s="844">
        <v>45126</v>
      </c>
      <c r="N39" s="844">
        <v>45125</v>
      </c>
      <c r="O39" s="1270">
        <v>45131</v>
      </c>
      <c r="P39" s="1572" t="s">
        <v>992</v>
      </c>
      <c r="Q39" s="58" t="s">
        <v>50</v>
      </c>
      <c r="R39" s="709" t="s">
        <v>51</v>
      </c>
      <c r="S39" s="709"/>
      <c r="T39" s="709"/>
      <c r="U39" s="727"/>
      <c r="V39" s="727"/>
      <c r="W39" s="727">
        <f>IFERROR((JUL_2023[[#This Row],[Sales Amount]]-JUL_2023[[#This Row],[Cost]])/JUL_2023[[#This Row],[CNTR AMOUNT]],JUL_2023[[#This Row],[Sales Amount]]-JUL_2023[[#This Row],[Cost]])</f>
        <v>0</v>
      </c>
      <c r="X39" s="1179" t="str">
        <f>IFERROR((JUL_2023[[#This Row],[Sales Amount]]-JUL_2023[[#This Row],[Cost]])/JUL_2023[[#This Row],[Cost]],"-")</f>
        <v>-</v>
      </c>
      <c r="Y39" s="727"/>
      <c r="Z39" s="711"/>
    </row>
    <row r="40" spans="1:26" hidden="1">
      <c r="A40" s="4149" t="s">
        <v>145</v>
      </c>
      <c r="B40" s="58" t="s">
        <v>993</v>
      </c>
      <c r="C40" s="58" t="s">
        <v>994</v>
      </c>
      <c r="D40" s="844">
        <v>45117</v>
      </c>
      <c r="E40" s="1112">
        <v>45124</v>
      </c>
      <c r="F40" s="58" t="s">
        <v>56</v>
      </c>
      <c r="G40" s="58" t="s">
        <v>46</v>
      </c>
      <c r="H40" s="58"/>
      <c r="I40" s="58"/>
      <c r="J40" s="58" t="s">
        <v>32</v>
      </c>
      <c r="K40" s="58" t="s">
        <v>47</v>
      </c>
      <c r="L40" s="1346" t="s">
        <v>995</v>
      </c>
      <c r="M40" s="844">
        <v>45127</v>
      </c>
      <c r="N40" s="844">
        <v>45127</v>
      </c>
      <c r="O40" s="1192">
        <v>45131</v>
      </c>
      <c r="P40" s="709" t="s">
        <v>996</v>
      </c>
      <c r="Q40" s="58" t="s">
        <v>50</v>
      </c>
      <c r="R40" s="709" t="s">
        <v>51</v>
      </c>
      <c r="S40" s="709"/>
      <c r="T40" s="709"/>
      <c r="U40" s="727"/>
      <c r="V40" s="727"/>
      <c r="W40" s="727">
        <f>IFERROR((JUL_2023[[#This Row],[Sales Amount]]-JUL_2023[[#This Row],[Cost]])/JUL_2023[[#This Row],[CNTR AMOUNT]],JUL_2023[[#This Row],[Sales Amount]]-JUL_2023[[#This Row],[Cost]])</f>
        <v>0</v>
      </c>
      <c r="X40" s="1179" t="str">
        <f>IFERROR((JUL_2023[[#This Row],[Sales Amount]]-JUL_2023[[#This Row],[Cost]])/JUL_2023[[#This Row],[Cost]],"-")</f>
        <v>-</v>
      </c>
      <c r="Y40" s="727"/>
      <c r="Z40" s="711"/>
    </row>
    <row r="41" spans="1:26" s="709" customFormat="1">
      <c r="A41" s="709" t="s">
        <v>556</v>
      </c>
      <c r="B41" s="4122" t="s">
        <v>997</v>
      </c>
      <c r="C41" s="709" t="s">
        <v>28</v>
      </c>
      <c r="D41" s="912">
        <v>45113</v>
      </c>
      <c r="E41" s="877">
        <v>45124</v>
      </c>
      <c r="F41" s="709" t="s">
        <v>151</v>
      </c>
      <c r="G41" s="709" t="s">
        <v>46</v>
      </c>
      <c r="H41" s="1187">
        <v>45127</v>
      </c>
      <c r="I41" s="1188" t="s">
        <v>104</v>
      </c>
      <c r="J41" s="709" t="s">
        <v>32</v>
      </c>
      <c r="K41" s="709" t="s">
        <v>558</v>
      </c>
      <c r="L41" s="1188" t="s">
        <v>998</v>
      </c>
      <c r="M41" s="1190">
        <v>45127</v>
      </c>
      <c r="N41" s="912">
        <v>45126</v>
      </c>
      <c r="O41" s="1194">
        <v>45127</v>
      </c>
      <c r="P41" s="4122" t="s">
        <v>999</v>
      </c>
      <c r="Q41" s="709" t="s">
        <v>75</v>
      </c>
      <c r="R41" s="4122" t="s">
        <v>1000</v>
      </c>
      <c r="S41" s="709">
        <v>4</v>
      </c>
      <c r="T41" s="709">
        <v>1875</v>
      </c>
      <c r="U41" s="727">
        <v>1470</v>
      </c>
      <c r="V41" s="727">
        <v>1</v>
      </c>
      <c r="W41" s="727">
        <f>IFERROR((JUL_2023[[#This Row],[Sales Amount]]-JUL_2023[[#This Row],[Cost]])/JUL_2023[[#This Row],[CNTR AMOUNT]],JUL_2023[[#This Row],[Sales Amount]]-JUL_2023[[#This Row],[Cost]])</f>
        <v>405</v>
      </c>
      <c r="X41" s="1179">
        <f>IFERROR((JUL_2023[[#This Row],[Sales Amount]]-JUL_2023[[#This Row],[Cost]])/JUL_2023[[#This Row],[Cost]],"-")</f>
        <v>0.27551020408163263</v>
      </c>
      <c r="Y41" s="727"/>
      <c r="Z41" s="711"/>
    </row>
    <row r="42" spans="1:26" hidden="1">
      <c r="A42" s="709" t="s">
        <v>165</v>
      </c>
      <c r="B42" s="1419" t="s">
        <v>1001</v>
      </c>
      <c r="C42" s="1419" t="s">
        <v>200</v>
      </c>
      <c r="D42" s="912"/>
      <c r="E42" s="1427">
        <v>45124</v>
      </c>
      <c r="F42" s="1419" t="s">
        <v>167</v>
      </c>
      <c r="G42" s="709" t="s">
        <v>46</v>
      </c>
      <c r="H42" s="1427">
        <v>45134</v>
      </c>
      <c r="I42" s="709"/>
      <c r="J42" s="709" t="s">
        <v>32</v>
      </c>
      <c r="K42" s="709" t="s">
        <v>1002</v>
      </c>
      <c r="L42" s="709"/>
      <c r="M42" s="709"/>
      <c r="N42" s="709"/>
      <c r="O42" s="709"/>
      <c r="P42" s="709" t="s">
        <v>1003</v>
      </c>
      <c r="Q42" s="709" t="s">
        <v>170</v>
      </c>
      <c r="R42" s="709" t="s">
        <v>36</v>
      </c>
      <c r="T42" s="106">
        <v>4440</v>
      </c>
      <c r="U42" s="152">
        <v>3480</v>
      </c>
      <c r="V42" s="152"/>
      <c r="W42" s="152">
        <f>IFERROR((JUL_2023[[#This Row],[Sales Amount]]-JUL_2023[[#This Row],[Cost]])/JUL_2023[[#This Row],[CNTR AMOUNT]],JUL_2023[[#This Row],[Sales Amount]]-JUL_2023[[#This Row],[Cost]])</f>
        <v>960</v>
      </c>
      <c r="X42" s="888">
        <f>IFERROR((JUL_2023[[#This Row],[Sales Amount]]-JUL_2023[[#This Row],[Cost]])/JUL_2023[[#This Row],[Cost]],"-")</f>
        <v>0.27586206896551724</v>
      </c>
      <c r="Y42" s="152"/>
      <c r="Z42" s="645"/>
    </row>
    <row r="43" spans="1:26" hidden="1">
      <c r="A43" s="727" t="s">
        <v>165</v>
      </c>
      <c r="B43" s="1419" t="s">
        <v>1004</v>
      </c>
      <c r="C43" s="1419" t="s">
        <v>451</v>
      </c>
      <c r="D43" s="912"/>
      <c r="E43" s="1493">
        <v>45124</v>
      </c>
      <c r="F43" s="1419" t="s">
        <v>167</v>
      </c>
      <c r="G43" s="709" t="s">
        <v>46</v>
      </c>
      <c r="H43" s="1427" t="s">
        <v>1005</v>
      </c>
      <c r="I43" s="709"/>
      <c r="J43" s="709" t="s">
        <v>32</v>
      </c>
      <c r="K43" s="727" t="s">
        <v>1002</v>
      </c>
      <c r="L43" s="709"/>
      <c r="M43" s="709"/>
      <c r="N43" s="709"/>
      <c r="O43" s="709"/>
      <c r="P43" s="709" t="s">
        <v>1003</v>
      </c>
      <c r="Q43" s="709" t="s">
        <v>170</v>
      </c>
      <c r="R43" s="709" t="s">
        <v>36</v>
      </c>
      <c r="T43" s="106">
        <v>4440</v>
      </c>
      <c r="U43" s="152">
        <v>3480</v>
      </c>
      <c r="V43" s="152"/>
      <c r="W43" s="152">
        <f>IFERROR((JUL_2023[[#This Row],[Sales Amount]]-JUL_2023[[#This Row],[Cost]])/JUL_2023[[#This Row],[CNTR AMOUNT]],JUL_2023[[#This Row],[Sales Amount]]-JUL_2023[[#This Row],[Cost]])</f>
        <v>960</v>
      </c>
      <c r="X43" s="888">
        <f>IFERROR((JUL_2023[[#This Row],[Sales Amount]]-JUL_2023[[#This Row],[Cost]])/JUL_2023[[#This Row],[Cost]],"-")</f>
        <v>0.27586206896551724</v>
      </c>
      <c r="Y43" s="152"/>
      <c r="Z43" s="645"/>
    </row>
    <row r="44" spans="1:26" s="709" customFormat="1" hidden="1">
      <c r="A44" s="709" t="s">
        <v>165</v>
      </c>
      <c r="B44" s="1419" t="s">
        <v>1006</v>
      </c>
      <c r="C44" s="1419" t="s">
        <v>451</v>
      </c>
      <c r="D44" s="912"/>
      <c r="E44" s="1427">
        <v>45124</v>
      </c>
      <c r="F44" s="1419" t="s">
        <v>167</v>
      </c>
      <c r="G44" s="709" t="s">
        <v>46</v>
      </c>
      <c r="H44" s="1427" t="s">
        <v>1007</v>
      </c>
      <c r="J44" s="709" t="s">
        <v>32</v>
      </c>
      <c r="K44" s="727" t="s">
        <v>1002</v>
      </c>
      <c r="P44" s="709" t="s">
        <v>1003</v>
      </c>
      <c r="Q44" s="709" t="s">
        <v>170</v>
      </c>
      <c r="R44" s="709" t="s">
        <v>36</v>
      </c>
      <c r="S44" s="106"/>
      <c r="T44" s="106">
        <v>4440</v>
      </c>
      <c r="U44" s="152">
        <v>3480</v>
      </c>
      <c r="V44" s="152"/>
      <c r="W44" s="152">
        <f>IFERROR((JUL_2023[[#This Row],[Sales Amount]]-JUL_2023[[#This Row],[Cost]])/JUL_2023[[#This Row],[CNTR AMOUNT]],JUL_2023[[#This Row],[Sales Amount]]-JUL_2023[[#This Row],[Cost]])</f>
        <v>960</v>
      </c>
      <c r="X44" s="888">
        <f>IFERROR((JUL_2023[[#This Row],[Sales Amount]]-JUL_2023[[#This Row],[Cost]])/JUL_2023[[#This Row],[Cost]],"-")</f>
        <v>0.27586206896551724</v>
      </c>
      <c r="Y44" s="152"/>
      <c r="Z44" s="645"/>
    </row>
    <row r="45" spans="1:26" hidden="1">
      <c r="A45" s="709" t="s">
        <v>165</v>
      </c>
      <c r="B45" s="1419" t="s">
        <v>1008</v>
      </c>
      <c r="C45" s="1419" t="s">
        <v>200</v>
      </c>
      <c r="D45" s="912"/>
      <c r="E45" s="1427">
        <v>45124</v>
      </c>
      <c r="F45" s="1419" t="s">
        <v>167</v>
      </c>
      <c r="G45" s="709" t="s">
        <v>46</v>
      </c>
      <c r="H45" s="1427">
        <v>45134</v>
      </c>
      <c r="I45" s="709"/>
      <c r="J45" s="709" t="s">
        <v>32</v>
      </c>
      <c r="K45" s="709" t="s">
        <v>1002</v>
      </c>
      <c r="L45" s="709"/>
      <c r="M45" s="709"/>
      <c r="N45" s="709"/>
      <c r="O45" s="709"/>
      <c r="P45" s="709" t="s">
        <v>1003</v>
      </c>
      <c r="Q45" s="709" t="s">
        <v>170</v>
      </c>
      <c r="R45" s="709" t="s">
        <v>36</v>
      </c>
      <c r="T45" s="106">
        <v>4440</v>
      </c>
      <c r="U45" s="152">
        <v>3480</v>
      </c>
      <c r="V45" s="152"/>
      <c r="W45" s="152">
        <f>IFERROR((JUL_2023[[#This Row],[Sales Amount]]-JUL_2023[[#This Row],[Cost]])/JUL_2023[[#This Row],[CNTR AMOUNT]],JUL_2023[[#This Row],[Sales Amount]]-JUL_2023[[#This Row],[Cost]])</f>
        <v>960</v>
      </c>
      <c r="X45" s="888">
        <f>IFERROR((JUL_2023[[#This Row],[Sales Amount]]-JUL_2023[[#This Row],[Cost]])/JUL_2023[[#This Row],[Cost]],"-")</f>
        <v>0.27586206896551724</v>
      </c>
      <c r="Y45" s="152"/>
      <c r="Z45" s="645"/>
    </row>
    <row r="46" spans="1:26">
      <c r="A46" s="117" t="s">
        <v>243</v>
      </c>
      <c r="B46" s="4150" t="s">
        <v>1009</v>
      </c>
      <c r="C46" s="117" t="s">
        <v>28</v>
      </c>
      <c r="D46" s="822">
        <v>45113</v>
      </c>
      <c r="E46" s="879">
        <v>45125</v>
      </c>
      <c r="F46" s="117" t="s">
        <v>245</v>
      </c>
      <c r="G46" s="117" t="s">
        <v>958</v>
      </c>
      <c r="H46" s="4844">
        <v>45127</v>
      </c>
      <c r="I46" s="117" t="s">
        <v>1010</v>
      </c>
      <c r="J46" s="4150" t="s">
        <v>247</v>
      </c>
      <c r="K46" s="117" t="s">
        <v>960</v>
      </c>
      <c r="L46" s="4150">
        <v>1797156</v>
      </c>
      <c r="M46" s="828">
        <v>45127</v>
      </c>
      <c r="N46" s="828">
        <v>45127</v>
      </c>
      <c r="O46" s="828">
        <v>45127</v>
      </c>
      <c r="P46" s="766" t="s">
        <v>1011</v>
      </c>
      <c r="Q46" s="117" t="s">
        <v>75</v>
      </c>
      <c r="R46" s="117" t="s">
        <v>1012</v>
      </c>
      <c r="S46" s="117">
        <v>4</v>
      </c>
      <c r="T46" s="117">
        <v>560</v>
      </c>
      <c r="U46" s="660">
        <v>411.3</v>
      </c>
      <c r="V46" s="660"/>
      <c r="W46" s="660">
        <f>IFERROR((JUL_2023[[#This Row],[Sales Amount]]-JUL_2023[[#This Row],[Cost]])/JUL_2023[[#This Row],[CNTR AMOUNT]],JUL_2023[[#This Row],[Sales Amount]]-JUL_2023[[#This Row],[Cost]])</f>
        <v>148.69999999999999</v>
      </c>
      <c r="X46" s="919">
        <f>IFERROR((JUL_2023[[#This Row],[Sales Amount]]-JUL_2023[[#This Row],[Cost]])/JUL_2023[[#This Row],[Cost]],"-")</f>
        <v>0.36153659129589105</v>
      </c>
      <c r="Y46" s="660"/>
      <c r="Z46" s="113"/>
    </row>
    <row r="47" spans="1:26">
      <c r="A47" s="117" t="s">
        <v>243</v>
      </c>
      <c r="B47" s="4150" t="s">
        <v>1013</v>
      </c>
      <c r="C47" s="117" t="s">
        <v>28</v>
      </c>
      <c r="D47" s="822">
        <v>45113</v>
      </c>
      <c r="E47" s="879">
        <v>45125</v>
      </c>
      <c r="F47" s="117" t="s">
        <v>245</v>
      </c>
      <c r="G47" s="117" t="s">
        <v>958</v>
      </c>
      <c r="H47" s="1055">
        <v>45127</v>
      </c>
      <c r="I47" s="117" t="s">
        <v>1010</v>
      </c>
      <c r="J47" s="4150" t="s">
        <v>247</v>
      </c>
      <c r="K47" s="660" t="s">
        <v>960</v>
      </c>
      <c r="L47" s="4150">
        <v>1797060</v>
      </c>
      <c r="M47" s="828">
        <v>45127</v>
      </c>
      <c r="N47" s="828">
        <v>45127</v>
      </c>
      <c r="O47" s="828">
        <v>45127</v>
      </c>
      <c r="P47" s="766" t="s">
        <v>1014</v>
      </c>
      <c r="Q47" s="117" t="s">
        <v>75</v>
      </c>
      <c r="R47" s="117" t="s">
        <v>1015</v>
      </c>
      <c r="S47" s="117">
        <v>4</v>
      </c>
      <c r="T47" s="117">
        <v>560</v>
      </c>
      <c r="U47" s="660">
        <v>351.3</v>
      </c>
      <c r="V47" s="660"/>
      <c r="W47" s="660">
        <f>IFERROR((JUL_2023[[#This Row],[Sales Amount]]-JUL_2023[[#This Row],[Cost]])/JUL_2023[[#This Row],[CNTR AMOUNT]],JUL_2023[[#This Row],[Sales Amount]]-JUL_2023[[#This Row],[Cost]])</f>
        <v>208.7</v>
      </c>
      <c r="X47" s="919">
        <f>IFERROR((JUL_2023[[#This Row],[Sales Amount]]-JUL_2023[[#This Row],[Cost]])/JUL_2023[[#This Row],[Cost]],"-")</f>
        <v>0.59407913464275541</v>
      </c>
      <c r="Y47" s="660"/>
      <c r="Z47" s="113"/>
    </row>
    <row r="48" spans="1:26" s="709" customFormat="1" hidden="1">
      <c r="A48" s="58" t="s">
        <v>497</v>
      </c>
      <c r="B48" s="1114" t="s">
        <v>1016</v>
      </c>
      <c r="C48" s="58" t="s">
        <v>44</v>
      </c>
      <c r="D48" s="844">
        <v>45119</v>
      </c>
      <c r="E48" s="1112">
        <v>45125</v>
      </c>
      <c r="F48" s="58" t="s">
        <v>1017</v>
      </c>
      <c r="G48" s="58" t="s">
        <v>829</v>
      </c>
      <c r="H48" s="1495" t="s">
        <v>1018</v>
      </c>
      <c r="I48" s="1573" t="s">
        <v>1019</v>
      </c>
      <c r="J48" s="58" t="s">
        <v>32</v>
      </c>
      <c r="K48" s="58" t="s">
        <v>1020</v>
      </c>
      <c r="L48" s="709" t="s">
        <v>1021</v>
      </c>
      <c r="M48" s="1139">
        <v>45128</v>
      </c>
      <c r="N48" s="1139">
        <v>45128</v>
      </c>
      <c r="O48" s="1139">
        <v>45140</v>
      </c>
      <c r="P48" s="650" t="s">
        <v>1022</v>
      </c>
      <c r="Q48" s="58" t="s">
        <v>50</v>
      </c>
      <c r="R48" s="709" t="s">
        <v>51</v>
      </c>
      <c r="U48" s="727"/>
      <c r="V48" s="727"/>
      <c r="W48" s="727">
        <f>IFERROR((JUL_2023[[#This Row],[Sales Amount]]-JUL_2023[[#This Row],[Cost]])/JUL_2023[[#This Row],[CNTR AMOUNT]],JUL_2023[[#This Row],[Sales Amount]]-JUL_2023[[#This Row],[Cost]])</f>
        <v>0</v>
      </c>
      <c r="X48" s="1179" t="str">
        <f>IFERROR((JUL_2023[[#This Row],[Sales Amount]]-JUL_2023[[#This Row],[Cost]])/JUL_2023[[#This Row],[Cost]],"-")</f>
        <v>-</v>
      </c>
      <c r="Y48" s="727"/>
      <c r="Z48" s="711"/>
    </row>
    <row r="49" spans="1:26">
      <c r="A49" s="117" t="s">
        <v>556</v>
      </c>
      <c r="B49" s="4150" t="s">
        <v>1023</v>
      </c>
      <c r="C49" s="660" t="s">
        <v>28</v>
      </c>
      <c r="D49" s="728">
        <v>45113</v>
      </c>
      <c r="E49" s="879">
        <v>45125</v>
      </c>
      <c r="F49" s="660" t="s">
        <v>151</v>
      </c>
      <c r="G49" s="117" t="s">
        <v>46</v>
      </c>
      <c r="H49" s="1494">
        <v>45129</v>
      </c>
      <c r="I49" s="766" t="s">
        <v>40</v>
      </c>
      <c r="J49" s="766" t="s">
        <v>32</v>
      </c>
      <c r="K49" s="943" t="s">
        <v>558</v>
      </c>
      <c r="L49" s="766" t="s">
        <v>1024</v>
      </c>
      <c r="M49" s="839">
        <v>45127</v>
      </c>
      <c r="N49" s="839">
        <v>45127</v>
      </c>
      <c r="O49" s="839">
        <v>45129</v>
      </c>
      <c r="P49" s="4150" t="s">
        <v>1025</v>
      </c>
      <c r="Q49" s="660" t="s">
        <v>75</v>
      </c>
      <c r="R49" s="4163" t="s">
        <v>1026</v>
      </c>
      <c r="S49" s="660" t="s">
        <v>37</v>
      </c>
      <c r="T49" s="660">
        <v>2215</v>
      </c>
      <c r="U49" s="660">
        <v>1608</v>
      </c>
      <c r="V49" s="660"/>
      <c r="W49" s="660">
        <f>IFERROR((JUL_2023[[#This Row],[Sales Amount]]-JUL_2023[[#This Row],[Cost]])/JUL_2023[[#This Row],[CNTR AMOUNT]],JUL_2023[[#This Row],[Sales Amount]]-JUL_2023[[#This Row],[Cost]])</f>
        <v>607</v>
      </c>
      <c r="X49" s="919">
        <f>IFERROR((JUL_2023[[#This Row],[Sales Amount]]-JUL_2023[[#This Row],[Cost]])/JUL_2023[[#This Row],[Cost]],"-")</f>
        <v>0.37748756218905472</v>
      </c>
      <c r="Y49" s="660"/>
      <c r="Z49" s="113"/>
    </row>
    <row r="50" spans="1:26" s="117" customFormat="1">
      <c r="A50" s="117" t="s">
        <v>219</v>
      </c>
      <c r="B50" s="507" t="s">
        <v>1027</v>
      </c>
      <c r="C50" s="660" t="s">
        <v>451</v>
      </c>
      <c r="D50" s="728">
        <v>45111</v>
      </c>
      <c r="E50" s="729">
        <v>45126</v>
      </c>
      <c r="F50" s="660" t="s">
        <v>135</v>
      </c>
      <c r="G50" s="117" t="s">
        <v>57</v>
      </c>
      <c r="H50" s="856">
        <v>45128</v>
      </c>
      <c r="I50" s="507" t="s">
        <v>618</v>
      </c>
      <c r="J50" s="117" t="s">
        <v>1028</v>
      </c>
      <c r="K50" s="943" t="s">
        <v>1029</v>
      </c>
      <c r="L50" s="766">
        <v>1982074</v>
      </c>
      <c r="M50" s="840">
        <v>45129</v>
      </c>
      <c r="N50" s="840">
        <v>45127</v>
      </c>
      <c r="O50" s="822">
        <v>45128</v>
      </c>
      <c r="P50" s="4150" t="s">
        <v>1030</v>
      </c>
      <c r="Q50" s="117" t="s">
        <v>75</v>
      </c>
      <c r="R50" s="507" t="s">
        <v>1031</v>
      </c>
      <c r="S50" s="117">
        <v>4</v>
      </c>
      <c r="T50" s="117">
        <v>1725</v>
      </c>
      <c r="U50" s="660">
        <v>1443.5</v>
      </c>
      <c r="V50" s="660">
        <v>1</v>
      </c>
      <c r="W50" s="660">
        <f>IFERROR((JUL_2023[[#This Row],[Sales Amount]]-JUL_2023[[#This Row],[Cost]])/JUL_2023[[#This Row],[CNTR AMOUNT]],JUL_2023[[#This Row],[Sales Amount]]-JUL_2023[[#This Row],[Cost]])</f>
        <v>281.5</v>
      </c>
      <c r="X50" s="919">
        <f>IFERROR((JUL_2023[[#This Row],[Sales Amount]]-JUL_2023[[#This Row],[Cost]])/JUL_2023[[#This Row],[Cost]],"-")</f>
        <v>0.19501212331139592</v>
      </c>
      <c r="Y50" s="660"/>
      <c r="Z50" s="113"/>
    </row>
    <row r="51" spans="1:26">
      <c r="A51" s="117" t="s">
        <v>68</v>
      </c>
      <c r="B51" s="660" t="s">
        <v>1032</v>
      </c>
      <c r="C51" s="660" t="s">
        <v>28</v>
      </c>
      <c r="D51" s="728">
        <v>45114</v>
      </c>
      <c r="E51" s="729">
        <v>45126</v>
      </c>
      <c r="F51" s="660" t="s">
        <v>45</v>
      </c>
      <c r="G51" s="4164" t="s">
        <v>919</v>
      </c>
      <c r="H51" s="828">
        <v>45128</v>
      </c>
      <c r="I51" s="117" t="s">
        <v>31</v>
      </c>
      <c r="J51" s="117" t="s">
        <v>72</v>
      </c>
      <c r="K51" s="117" t="s">
        <v>73</v>
      </c>
      <c r="L51" s="4150" t="s">
        <v>1033</v>
      </c>
      <c r="M51" s="1004">
        <v>45128</v>
      </c>
      <c r="N51" s="1004">
        <v>45128</v>
      </c>
      <c r="O51" s="828">
        <v>45128</v>
      </c>
      <c r="P51" s="4150" t="s">
        <v>1034</v>
      </c>
      <c r="Q51" s="117" t="s">
        <v>75</v>
      </c>
      <c r="R51" s="507" t="s">
        <v>922</v>
      </c>
      <c r="S51" s="117">
        <v>4</v>
      </c>
      <c r="T51" s="117">
        <v>965</v>
      </c>
      <c r="U51" s="660">
        <v>865.05</v>
      </c>
      <c r="V51" s="660"/>
      <c r="W51" s="660">
        <f>IFERROR((JUL_2023[[#This Row],[Sales Amount]]-JUL_2023[[#This Row],[Cost]])/JUL_2023[[#This Row],[CNTR AMOUNT]],JUL_2023[[#This Row],[Sales Amount]]-JUL_2023[[#This Row],[Cost]])</f>
        <v>99.950000000000045</v>
      </c>
      <c r="X51" s="919">
        <f>IFERROR((JUL_2023[[#This Row],[Sales Amount]]-JUL_2023[[#This Row],[Cost]])/JUL_2023[[#This Row],[Cost]],"-")</f>
        <v>0.11554245419339929</v>
      </c>
      <c r="Y51" s="660"/>
      <c r="Z51" s="113"/>
    </row>
    <row r="52" spans="1:26">
      <c r="A52" s="660" t="s">
        <v>1035</v>
      </c>
      <c r="B52" s="117" t="s">
        <v>1036</v>
      </c>
      <c r="C52" s="4150" t="s">
        <v>85</v>
      </c>
      <c r="D52" s="822">
        <v>45126</v>
      </c>
      <c r="E52" s="822">
        <v>45126</v>
      </c>
      <c r="F52" s="4150" t="s">
        <v>151</v>
      </c>
      <c r="G52" s="4150" t="s">
        <v>1037</v>
      </c>
      <c r="H52" s="117" t="s">
        <v>1038</v>
      </c>
      <c r="I52" s="117"/>
      <c r="J52" s="4150" t="s">
        <v>32</v>
      </c>
      <c r="K52" s="4150" t="s">
        <v>162</v>
      </c>
      <c r="L52" s="117"/>
      <c r="M52" s="1189">
        <v>45133</v>
      </c>
      <c r="N52" s="144">
        <v>45132</v>
      </c>
      <c r="O52" s="144">
        <v>45133</v>
      </c>
      <c r="P52" s="4150" t="s">
        <v>1039</v>
      </c>
      <c r="Q52" s="4150" t="s">
        <v>75</v>
      </c>
      <c r="R52" s="26" t="s">
        <v>36</v>
      </c>
      <c r="S52" s="117"/>
      <c r="T52" s="117"/>
      <c r="U52" s="660"/>
      <c r="V52" s="660"/>
      <c r="W52" s="660">
        <f>IFERROR((JUL_2023[[#This Row],[Sales Amount]]-JUL_2023[[#This Row],[Cost]])/JUL_2023[[#This Row],[CNTR AMOUNT]],JUL_2023[[#This Row],[Sales Amount]]-JUL_2023[[#This Row],[Cost]])</f>
        <v>0</v>
      </c>
      <c r="X52" s="919" t="str">
        <f>IFERROR((JUL_2023[[#This Row],[Sales Amount]]-JUL_2023[[#This Row],[Cost]])/JUL_2023[[#This Row],[Cost]],"-")</f>
        <v>-</v>
      </c>
      <c r="Y52" s="660"/>
      <c r="Z52" s="113"/>
    </row>
    <row r="53" spans="1:26" s="117" customFormat="1" hidden="1">
      <c r="A53" s="710" t="s">
        <v>171</v>
      </c>
      <c r="B53" s="58" t="s">
        <v>1040</v>
      </c>
      <c r="C53" s="58" t="s">
        <v>28</v>
      </c>
      <c r="D53" s="844">
        <v>45109</v>
      </c>
      <c r="E53" s="1112">
        <v>45127</v>
      </c>
      <c r="F53" s="58" t="s">
        <v>173</v>
      </c>
      <c r="G53" s="58" t="s">
        <v>46</v>
      </c>
      <c r="H53" s="844">
        <v>45128</v>
      </c>
      <c r="I53" s="58"/>
      <c r="J53" s="58" t="s">
        <v>32</v>
      </c>
      <c r="K53" s="58" t="s">
        <v>174</v>
      </c>
      <c r="L53" s="915" t="s">
        <v>1041</v>
      </c>
      <c r="M53" s="1115">
        <v>45129</v>
      </c>
      <c r="N53" s="1115">
        <v>45128</v>
      </c>
      <c r="O53" s="1115">
        <v>45128</v>
      </c>
      <c r="P53" s="709" t="s">
        <v>1042</v>
      </c>
      <c r="Q53" s="58" t="s">
        <v>35</v>
      </c>
      <c r="R53" s="58" t="s">
        <v>36</v>
      </c>
      <c r="S53" s="58" t="s">
        <v>37</v>
      </c>
      <c r="T53" s="106">
        <v>990</v>
      </c>
      <c r="U53" s="85">
        <v>801</v>
      </c>
      <c r="V53" s="152"/>
      <c r="W53" s="152">
        <f>IFERROR((JUL_2023[[#This Row],[Sales Amount]]-JUL_2023[[#This Row],[Cost]])/JUL_2023[[#This Row],[CNTR AMOUNT]],JUL_2023[[#This Row],[Sales Amount]]-JUL_2023[[#This Row],[Cost]])</f>
        <v>189</v>
      </c>
      <c r="X53" s="888">
        <f>IFERROR((JUL_2023[[#This Row],[Sales Amount]]-JUL_2023[[#This Row],[Cost]])/JUL_2023[[#This Row],[Cost]],"-")</f>
        <v>0.23595505617977527</v>
      </c>
      <c r="Y53" s="152"/>
      <c r="Z53" s="645"/>
    </row>
    <row r="54" spans="1:26" s="117" customFormat="1" hidden="1">
      <c r="A54" s="25" t="s">
        <v>263</v>
      </c>
      <c r="B54" s="4097" t="s">
        <v>1043</v>
      </c>
      <c r="C54" s="25" t="s">
        <v>44</v>
      </c>
      <c r="D54" s="353">
        <v>45127</v>
      </c>
      <c r="E54" s="353">
        <v>45127</v>
      </c>
      <c r="F54" s="25" t="s">
        <v>63</v>
      </c>
      <c r="G54" s="25" t="s">
        <v>265</v>
      </c>
      <c r="H54" s="353">
        <v>45132</v>
      </c>
      <c r="I54" s="1338">
        <v>0.41666666666666669</v>
      </c>
      <c r="J54" s="25" t="s">
        <v>377</v>
      </c>
      <c r="K54" s="4154" t="s">
        <v>267</v>
      </c>
      <c r="L54" s="25"/>
      <c r="M54" s="353">
        <v>45133</v>
      </c>
      <c r="N54" s="373">
        <v>45132</v>
      </c>
      <c r="O54" s="353">
        <v>45134</v>
      </c>
      <c r="P54" s="4165" t="s">
        <v>1044</v>
      </c>
      <c r="Q54" s="25" t="s">
        <v>128</v>
      </c>
      <c r="R54" s="117" t="s">
        <v>36</v>
      </c>
      <c r="T54" s="117">
        <v>1620.16</v>
      </c>
      <c r="U54" s="660">
        <f>1185+80</f>
        <v>1265</v>
      </c>
      <c r="V54" s="660">
        <v>1</v>
      </c>
      <c r="W54" s="660">
        <f>IFERROR((JUL_2023[[#This Row],[Sales Amount]]-JUL_2023[[#This Row],[Cost]])/JUL_2023[[#This Row],[CNTR AMOUNT]],JUL_2023[[#This Row],[Sales Amount]]-JUL_2023[[#This Row],[Cost]])</f>
        <v>355.16000000000008</v>
      </c>
      <c r="X54" s="919">
        <f>IFERROR((JUL_2023[[#This Row],[Sales Amount]]-JUL_2023[[#This Row],[Cost]])/JUL_2023[[#This Row],[Cost]],"-")</f>
        <v>0.28075889328063247</v>
      </c>
      <c r="Y54" s="660"/>
      <c r="Z54" s="113"/>
    </row>
    <row r="55" spans="1:26">
      <c r="A55" s="117" t="s">
        <v>1035</v>
      </c>
      <c r="B55" s="4150" t="s">
        <v>1045</v>
      </c>
      <c r="C55" s="4150" t="s">
        <v>85</v>
      </c>
      <c r="D55" s="822">
        <v>45119</v>
      </c>
      <c r="E55" s="879">
        <v>45127</v>
      </c>
      <c r="F55" s="4150" t="s">
        <v>151</v>
      </c>
      <c r="G55" s="117" t="s">
        <v>46</v>
      </c>
      <c r="H55" s="117" t="s">
        <v>1038</v>
      </c>
      <c r="I55" s="117"/>
      <c r="J55" s="4150" t="s">
        <v>32</v>
      </c>
      <c r="K55" s="4150" t="s">
        <v>162</v>
      </c>
      <c r="L55" s="766" t="s">
        <v>1046</v>
      </c>
      <c r="M55" s="839">
        <v>45129</v>
      </c>
      <c r="N55" s="144">
        <v>45128</v>
      </c>
      <c r="O55" s="144">
        <v>45128</v>
      </c>
      <c r="P55" s="4150" t="s">
        <v>1047</v>
      </c>
      <c r="Q55" s="4150" t="s">
        <v>75</v>
      </c>
      <c r="R55" s="4150" t="s">
        <v>36</v>
      </c>
      <c r="S55" s="117"/>
      <c r="T55" s="117">
        <v>0</v>
      </c>
      <c r="U55" s="660">
        <v>0</v>
      </c>
      <c r="V55" s="660">
        <v>1</v>
      </c>
      <c r="W55" s="660">
        <f>IFERROR((JUL_2023[[#This Row],[Sales Amount]]-JUL_2023[[#This Row],[Cost]])/JUL_2023[[#This Row],[CNTR AMOUNT]],JUL_2023[[#This Row],[Sales Amount]]-JUL_2023[[#This Row],[Cost]])</f>
        <v>0</v>
      </c>
      <c r="X55" s="919" t="str">
        <f>IFERROR((JUL_2023[[#This Row],[Sales Amount]]-JUL_2023[[#This Row],[Cost]])/JUL_2023[[#This Row],[Cost]],"-")</f>
        <v>-</v>
      </c>
      <c r="Y55" s="660"/>
      <c r="Z55" s="113"/>
    </row>
    <row r="56" spans="1:26" hidden="1">
      <c r="A56" s="58" t="s">
        <v>171</v>
      </c>
      <c r="B56" s="58" t="s">
        <v>1048</v>
      </c>
      <c r="C56" s="1166" t="s">
        <v>28</v>
      </c>
      <c r="D56" s="844">
        <v>45112</v>
      </c>
      <c r="E56" s="1112">
        <v>45128</v>
      </c>
      <c r="F56" s="58" t="s">
        <v>173</v>
      </c>
      <c r="G56" s="58" t="s">
        <v>46</v>
      </c>
      <c r="H56" s="844">
        <v>45131</v>
      </c>
      <c r="I56" s="58"/>
      <c r="J56" s="58" t="s">
        <v>32</v>
      </c>
      <c r="K56" s="58" t="s">
        <v>174</v>
      </c>
      <c r="L56" s="4841" t="s">
        <v>1049</v>
      </c>
      <c r="M56" s="1115">
        <v>45131</v>
      </c>
      <c r="N56" s="844">
        <v>45131</v>
      </c>
      <c r="O56" s="844">
        <v>45131</v>
      </c>
      <c r="P56" s="709" t="s">
        <v>1050</v>
      </c>
      <c r="Q56" s="58" t="s">
        <v>35</v>
      </c>
      <c r="R56" s="58" t="s">
        <v>36</v>
      </c>
      <c r="S56" s="58" t="s">
        <v>37</v>
      </c>
      <c r="T56" s="106">
        <v>940</v>
      </c>
      <c r="U56" s="85">
        <v>751</v>
      </c>
      <c r="V56" s="152"/>
      <c r="W56" s="152">
        <f>IFERROR((JUL_2023[[#This Row],[Sales Amount]]-JUL_2023[[#This Row],[Cost]])/JUL_2023[[#This Row],[CNTR AMOUNT]],JUL_2023[[#This Row],[Sales Amount]]-JUL_2023[[#This Row],[Cost]])</f>
        <v>189</v>
      </c>
      <c r="X56" s="888">
        <f>IFERROR((JUL_2023[[#This Row],[Sales Amount]]-JUL_2023[[#This Row],[Cost]])/JUL_2023[[#This Row],[Cost]],"-")</f>
        <v>0.25166444740346205</v>
      </c>
      <c r="Y56" s="152"/>
      <c r="Z56" s="645"/>
    </row>
    <row r="57" spans="1:26">
      <c r="A57" s="117" t="s">
        <v>1051</v>
      </c>
      <c r="B57" s="1382" t="s">
        <v>1052</v>
      </c>
      <c r="C57" s="117" t="s">
        <v>200</v>
      </c>
      <c r="D57" s="822">
        <v>45118</v>
      </c>
      <c r="E57" s="879">
        <v>45128</v>
      </c>
      <c r="F57" s="117" t="s">
        <v>93</v>
      </c>
      <c r="G57" s="117" t="s">
        <v>46</v>
      </c>
      <c r="H57" s="1189">
        <v>45132</v>
      </c>
      <c r="I57" s="117" t="s">
        <v>631</v>
      </c>
      <c r="J57" s="117" t="s">
        <v>32</v>
      </c>
      <c r="K57" s="660" t="s">
        <v>1053</v>
      </c>
      <c r="L57" s="4166" t="s">
        <v>1054</v>
      </c>
      <c r="M57" s="839">
        <v>45131</v>
      </c>
      <c r="N57" s="839">
        <v>45132</v>
      </c>
      <c r="O57" s="1189">
        <v>45133</v>
      </c>
      <c r="P57" s="4150" t="s">
        <v>1055</v>
      </c>
      <c r="Q57" s="117" t="s">
        <v>75</v>
      </c>
      <c r="R57" s="4150" t="s">
        <v>1056</v>
      </c>
      <c r="S57" s="117">
        <v>4</v>
      </c>
      <c r="T57" s="117">
        <v>1215</v>
      </c>
      <c r="U57" s="660">
        <v>1051</v>
      </c>
      <c r="V57" s="660"/>
      <c r="W57" s="660">
        <f>IFERROR((JUL_2023[[#This Row],[Sales Amount]]-JUL_2023[[#This Row],[Cost]])/JUL_2023[[#This Row],[CNTR AMOUNT]],JUL_2023[[#This Row],[Sales Amount]]-JUL_2023[[#This Row],[Cost]])</f>
        <v>164</v>
      </c>
      <c r="X57" s="919">
        <f>IFERROR((JUL_2023[[#This Row],[Sales Amount]]-JUL_2023[[#This Row],[Cost]])/JUL_2023[[#This Row],[Cost]],"-")</f>
        <v>0.15604186489058039</v>
      </c>
      <c r="Y57" s="660"/>
      <c r="Z57" s="113"/>
    </row>
    <row r="58" spans="1:26">
      <c r="A58" s="4150" t="s">
        <v>1035</v>
      </c>
      <c r="B58" s="4150" t="s">
        <v>1057</v>
      </c>
      <c r="C58" s="4150" t="s">
        <v>85</v>
      </c>
      <c r="D58" s="822">
        <v>45118</v>
      </c>
      <c r="E58" s="879">
        <v>45128</v>
      </c>
      <c r="F58" s="4150" t="s">
        <v>151</v>
      </c>
      <c r="G58" s="117" t="s">
        <v>46</v>
      </c>
      <c r="H58" s="117" t="s">
        <v>1038</v>
      </c>
      <c r="I58" s="117"/>
      <c r="J58" s="4150" t="s">
        <v>32</v>
      </c>
      <c r="K58" s="4150" t="s">
        <v>162</v>
      </c>
      <c r="L58" s="4150" t="s">
        <v>1058</v>
      </c>
      <c r="M58" s="839">
        <v>45130</v>
      </c>
      <c r="N58" s="144">
        <v>45129</v>
      </c>
      <c r="O58" s="144">
        <v>45131</v>
      </c>
      <c r="P58" s="4150" t="s">
        <v>1059</v>
      </c>
      <c r="Q58" s="4150" t="s">
        <v>75</v>
      </c>
      <c r="R58" s="4150" t="s">
        <v>1060</v>
      </c>
      <c r="S58" s="117"/>
      <c r="T58" s="117"/>
      <c r="U58" s="660"/>
      <c r="V58" s="660"/>
      <c r="W58" s="660">
        <f>IFERROR((JUL_2023[[#This Row],[Sales Amount]]-JUL_2023[[#This Row],[Cost]])/JUL_2023[[#This Row],[CNTR AMOUNT]],JUL_2023[[#This Row],[Sales Amount]]-JUL_2023[[#This Row],[Cost]])</f>
        <v>0</v>
      </c>
      <c r="X58" s="919" t="str">
        <f>IFERROR((JUL_2023[[#This Row],[Sales Amount]]-JUL_2023[[#This Row],[Cost]])/JUL_2023[[#This Row],[Cost]],"-")</f>
        <v>-</v>
      </c>
      <c r="Y58" s="660"/>
      <c r="Z58" s="113"/>
    </row>
    <row r="59" spans="1:26">
      <c r="A59" s="4150" t="s">
        <v>1035</v>
      </c>
      <c r="B59" s="4150" t="s">
        <v>1061</v>
      </c>
      <c r="C59" s="4150" t="s">
        <v>85</v>
      </c>
      <c r="D59" s="822">
        <v>45118</v>
      </c>
      <c r="E59" s="879">
        <v>45128</v>
      </c>
      <c r="F59" s="4150" t="s">
        <v>151</v>
      </c>
      <c r="G59" s="117" t="s">
        <v>46</v>
      </c>
      <c r="H59" s="117" t="s">
        <v>1038</v>
      </c>
      <c r="I59" s="117"/>
      <c r="J59" s="4150" t="s">
        <v>32</v>
      </c>
      <c r="K59" s="4150" t="s">
        <v>162</v>
      </c>
      <c r="L59" s="4150" t="s">
        <v>1062</v>
      </c>
      <c r="M59" s="839">
        <v>45131</v>
      </c>
      <c r="N59" s="144">
        <v>45131</v>
      </c>
      <c r="O59" s="144">
        <v>45131</v>
      </c>
      <c r="P59" s="4150" t="s">
        <v>1063</v>
      </c>
      <c r="Q59" s="4150" t="s">
        <v>75</v>
      </c>
      <c r="R59" s="117" t="s">
        <v>36</v>
      </c>
      <c r="S59" s="117"/>
      <c r="T59" s="117"/>
      <c r="U59" s="660"/>
      <c r="V59" s="660"/>
      <c r="W59" s="660">
        <f>IFERROR((JUL_2023[[#This Row],[Sales Amount]]-JUL_2023[[#This Row],[Cost]])/JUL_2023[[#This Row],[CNTR AMOUNT]],JUL_2023[[#This Row],[Sales Amount]]-JUL_2023[[#This Row],[Cost]])</f>
        <v>0</v>
      </c>
      <c r="X59" s="919" t="str">
        <f>IFERROR((JUL_2023[[#This Row],[Sales Amount]]-JUL_2023[[#This Row],[Cost]])/JUL_2023[[#This Row],[Cost]],"-")</f>
        <v>-</v>
      </c>
      <c r="Y59" s="660"/>
      <c r="Z59" s="113"/>
    </row>
    <row r="60" spans="1:26" hidden="1">
      <c r="A60" s="58" t="s">
        <v>171</v>
      </c>
      <c r="B60" s="58" t="s">
        <v>1064</v>
      </c>
      <c r="C60" s="1114" t="s">
        <v>28</v>
      </c>
      <c r="D60" s="844">
        <v>45117</v>
      </c>
      <c r="E60" s="1112">
        <v>45129</v>
      </c>
      <c r="F60" s="58" t="s">
        <v>326</v>
      </c>
      <c r="G60" s="58" t="s">
        <v>46</v>
      </c>
      <c r="H60" s="844">
        <v>45131</v>
      </c>
      <c r="I60" s="58"/>
      <c r="J60" s="58" t="s">
        <v>32</v>
      </c>
      <c r="K60" s="58" t="s">
        <v>174</v>
      </c>
      <c r="L60" s="915" t="s">
        <v>1065</v>
      </c>
      <c r="M60" s="1115">
        <v>45131</v>
      </c>
      <c r="N60" s="844">
        <v>45131</v>
      </c>
      <c r="O60" s="844">
        <v>45131</v>
      </c>
      <c r="P60" s="709" t="s">
        <v>1066</v>
      </c>
      <c r="Q60" s="58" t="s">
        <v>35</v>
      </c>
      <c r="R60" s="58" t="s">
        <v>36</v>
      </c>
      <c r="S60" s="58" t="s">
        <v>37</v>
      </c>
      <c r="T60" s="106">
        <v>990</v>
      </c>
      <c r="U60" s="85">
        <v>801</v>
      </c>
      <c r="V60" s="152"/>
      <c r="W60" s="152">
        <f>IFERROR((JUL_2023[[#This Row],[Sales Amount]]-JUL_2023[[#This Row],[Cost]])/JUL_2023[[#This Row],[CNTR AMOUNT]],JUL_2023[[#This Row],[Sales Amount]]-JUL_2023[[#This Row],[Cost]])</f>
        <v>189</v>
      </c>
      <c r="X60" s="888">
        <f>IFERROR((JUL_2023[[#This Row],[Sales Amount]]-JUL_2023[[#This Row],[Cost]])/JUL_2023[[#This Row],[Cost]],"-")</f>
        <v>0.23595505617977527</v>
      </c>
      <c r="Y60" s="152"/>
      <c r="Z60" s="645"/>
    </row>
    <row r="61" spans="1:26" hidden="1">
      <c r="A61" s="58" t="s">
        <v>171</v>
      </c>
      <c r="B61" s="58" t="s">
        <v>1067</v>
      </c>
      <c r="C61" s="1114" t="s">
        <v>28</v>
      </c>
      <c r="D61" s="844">
        <v>45117</v>
      </c>
      <c r="E61" s="1112">
        <v>45129</v>
      </c>
      <c r="F61" s="58" t="s">
        <v>326</v>
      </c>
      <c r="G61" s="58" t="s">
        <v>46</v>
      </c>
      <c r="H61" s="844">
        <v>45131</v>
      </c>
      <c r="I61" s="58"/>
      <c r="J61" s="58" t="s">
        <v>32</v>
      </c>
      <c r="K61" s="58" t="s">
        <v>174</v>
      </c>
      <c r="L61" s="915" t="s">
        <v>1068</v>
      </c>
      <c r="M61" s="1115">
        <v>45131</v>
      </c>
      <c r="N61" s="844">
        <v>45131</v>
      </c>
      <c r="O61" s="844">
        <v>45131</v>
      </c>
      <c r="P61" s="709" t="s">
        <v>1069</v>
      </c>
      <c r="Q61" s="58" t="s">
        <v>35</v>
      </c>
      <c r="R61" s="58" t="s">
        <v>36</v>
      </c>
      <c r="S61" s="58" t="s">
        <v>37</v>
      </c>
      <c r="T61" s="106">
        <v>990</v>
      </c>
      <c r="U61" s="85">
        <v>801</v>
      </c>
      <c r="V61" s="152"/>
      <c r="W61" s="152">
        <f>IFERROR((JUL_2023[[#This Row],[Sales Amount]]-JUL_2023[[#This Row],[Cost]])/JUL_2023[[#This Row],[CNTR AMOUNT]],JUL_2023[[#This Row],[Sales Amount]]-JUL_2023[[#This Row],[Cost]])</f>
        <v>189</v>
      </c>
      <c r="X61" s="888">
        <f>IFERROR((JUL_2023[[#This Row],[Sales Amount]]-JUL_2023[[#This Row],[Cost]])/JUL_2023[[#This Row],[Cost]],"-")</f>
        <v>0.23595505617977527</v>
      </c>
      <c r="Y61" s="152"/>
      <c r="Z61" s="645"/>
    </row>
    <row r="62" spans="1:26" hidden="1">
      <c r="A62" s="58" t="s">
        <v>171</v>
      </c>
      <c r="B62" s="4149" t="s">
        <v>1070</v>
      </c>
      <c r="C62" s="1114" t="s">
        <v>28</v>
      </c>
      <c r="D62" s="844">
        <v>45117</v>
      </c>
      <c r="E62" s="1112">
        <v>45129</v>
      </c>
      <c r="F62" s="58" t="s">
        <v>326</v>
      </c>
      <c r="G62" s="58" t="s">
        <v>46</v>
      </c>
      <c r="H62" s="844">
        <v>45131</v>
      </c>
      <c r="I62" s="58"/>
      <c r="J62" s="58" t="s">
        <v>32</v>
      </c>
      <c r="K62" s="58" t="s">
        <v>174</v>
      </c>
      <c r="L62" s="915" t="s">
        <v>1071</v>
      </c>
      <c r="M62" s="1115">
        <v>45131</v>
      </c>
      <c r="N62" s="844">
        <v>45131</v>
      </c>
      <c r="O62" s="844">
        <v>45131</v>
      </c>
      <c r="P62" s="709" t="s">
        <v>1072</v>
      </c>
      <c r="Q62" s="58" t="s">
        <v>35</v>
      </c>
      <c r="R62" s="58" t="s">
        <v>36</v>
      </c>
      <c r="S62" s="58" t="s">
        <v>37</v>
      </c>
      <c r="T62" s="106">
        <v>990</v>
      </c>
      <c r="U62" s="85">
        <v>801</v>
      </c>
      <c r="V62" s="152"/>
      <c r="W62" s="152">
        <f>IFERROR((JUL_2023[[#This Row],[Sales Amount]]-JUL_2023[[#This Row],[Cost]])/JUL_2023[[#This Row],[CNTR AMOUNT]],JUL_2023[[#This Row],[Sales Amount]]-JUL_2023[[#This Row],[Cost]])</f>
        <v>189</v>
      </c>
      <c r="X62" s="888">
        <f>IFERROR((JUL_2023[[#This Row],[Sales Amount]]-JUL_2023[[#This Row],[Cost]])/JUL_2023[[#This Row],[Cost]],"-")</f>
        <v>0.23595505617977527</v>
      </c>
      <c r="Y62" s="152"/>
      <c r="Z62" s="645"/>
    </row>
    <row r="63" spans="1:26">
      <c r="A63" s="117" t="s">
        <v>1035</v>
      </c>
      <c r="B63" s="4150" t="s">
        <v>1073</v>
      </c>
      <c r="C63" s="4150" t="s">
        <v>85</v>
      </c>
      <c r="D63" s="822">
        <v>45119</v>
      </c>
      <c r="E63" s="879">
        <v>45129</v>
      </c>
      <c r="F63" s="4150" t="s">
        <v>151</v>
      </c>
      <c r="G63" s="117" t="s">
        <v>46</v>
      </c>
      <c r="H63" s="117" t="s">
        <v>1038</v>
      </c>
      <c r="I63" s="117"/>
      <c r="J63" s="4150" t="s">
        <v>32</v>
      </c>
      <c r="K63" s="4150" t="s">
        <v>162</v>
      </c>
      <c r="L63" s="766" t="s">
        <v>1074</v>
      </c>
      <c r="M63" s="839">
        <v>45132</v>
      </c>
      <c r="N63" s="144">
        <v>45132</v>
      </c>
      <c r="O63" s="144">
        <v>45132</v>
      </c>
      <c r="P63" s="4150" t="s">
        <v>1047</v>
      </c>
      <c r="Q63" s="4150" t="s">
        <v>75</v>
      </c>
      <c r="R63" s="117" t="s">
        <v>36</v>
      </c>
      <c r="S63" s="117"/>
      <c r="T63" s="117"/>
      <c r="U63" s="660"/>
      <c r="V63" s="660"/>
      <c r="W63" s="660">
        <f>IFERROR((JUL_2023[[#This Row],[Sales Amount]]-JUL_2023[[#This Row],[Cost]])/JUL_2023[[#This Row],[CNTR AMOUNT]],JUL_2023[[#This Row],[Sales Amount]]-JUL_2023[[#This Row],[Cost]])</f>
        <v>0</v>
      </c>
      <c r="X63" s="919" t="str">
        <f>IFERROR((JUL_2023[[#This Row],[Sales Amount]]-JUL_2023[[#This Row],[Cost]])/JUL_2023[[#This Row],[Cost]],"-")</f>
        <v>-</v>
      </c>
      <c r="Y63" s="660"/>
      <c r="Z63" s="113"/>
    </row>
    <row r="64" spans="1:26" s="709" customFormat="1" hidden="1">
      <c r="A64" s="58" t="s">
        <v>732</v>
      </c>
      <c r="B64" s="58" t="s">
        <v>1075</v>
      </c>
      <c r="C64" s="58" t="s">
        <v>28</v>
      </c>
      <c r="D64" s="844">
        <v>45121</v>
      </c>
      <c r="E64" s="1112">
        <v>45129</v>
      </c>
      <c r="F64" s="58" t="s">
        <v>45</v>
      </c>
      <c r="G64" s="58" t="s">
        <v>361</v>
      </c>
      <c r="H64" s="58"/>
      <c r="I64" s="58"/>
      <c r="J64" s="58" t="s">
        <v>168</v>
      </c>
      <c r="K64" s="58" t="s">
        <v>47</v>
      </c>
      <c r="L64" s="58">
        <v>475352</v>
      </c>
      <c r="M64" s="844">
        <v>45132</v>
      </c>
      <c r="N64" s="844">
        <v>45132</v>
      </c>
      <c r="O64" s="844">
        <v>45133</v>
      </c>
      <c r="P64" s="1422" t="s">
        <v>1076</v>
      </c>
      <c r="Q64" s="58" t="s">
        <v>50</v>
      </c>
      <c r="R64" s="709" t="s">
        <v>51</v>
      </c>
      <c r="U64" s="727"/>
      <c r="V64" s="727"/>
      <c r="W64" s="727">
        <f>IFERROR((JUL_2023[[#This Row],[Sales Amount]]-JUL_2023[[#This Row],[Cost]])/JUL_2023[[#This Row],[CNTR AMOUNT]],JUL_2023[[#This Row],[Sales Amount]]-JUL_2023[[#This Row],[Cost]])</f>
        <v>0</v>
      </c>
      <c r="X64" s="1179" t="str">
        <f>IFERROR((JUL_2023[[#This Row],[Sales Amount]]-JUL_2023[[#This Row],[Cost]])/JUL_2023[[#This Row],[Cost]],"-")</f>
        <v>-</v>
      </c>
      <c r="Y64" s="727"/>
      <c r="Z64" s="711"/>
    </row>
    <row r="65" spans="1:26" hidden="1">
      <c r="A65" s="58" t="s">
        <v>171</v>
      </c>
      <c r="B65" s="58" t="s">
        <v>1077</v>
      </c>
      <c r="C65" s="1114" t="s">
        <v>28</v>
      </c>
      <c r="D65" s="844">
        <v>45117</v>
      </c>
      <c r="E65" s="1112">
        <v>45130</v>
      </c>
      <c r="F65" s="58" t="s">
        <v>326</v>
      </c>
      <c r="G65" s="58" t="s">
        <v>46</v>
      </c>
      <c r="H65" s="844">
        <v>45131</v>
      </c>
      <c r="I65" s="58"/>
      <c r="J65" s="58" t="s">
        <v>32</v>
      </c>
      <c r="K65" s="58" t="s">
        <v>174</v>
      </c>
      <c r="L65" s="915" t="s">
        <v>1078</v>
      </c>
      <c r="M65" s="1115">
        <v>45132</v>
      </c>
      <c r="N65" s="844">
        <v>45131</v>
      </c>
      <c r="O65" s="844">
        <v>45133</v>
      </c>
      <c r="P65" s="709" t="s">
        <v>1079</v>
      </c>
      <c r="Q65" s="58" t="s">
        <v>35</v>
      </c>
      <c r="R65" s="58" t="s">
        <v>36</v>
      </c>
      <c r="S65" s="58" t="s">
        <v>37</v>
      </c>
      <c r="T65" s="106">
        <v>990</v>
      </c>
      <c r="U65" s="85">
        <v>751</v>
      </c>
      <c r="V65" s="152"/>
      <c r="W65" s="152">
        <f>IFERROR((JUL_2023[[#This Row],[Sales Amount]]-JUL_2023[[#This Row],[Cost]])/JUL_2023[[#This Row],[CNTR AMOUNT]],JUL_2023[[#This Row],[Sales Amount]]-JUL_2023[[#This Row],[Cost]])</f>
        <v>239</v>
      </c>
      <c r="X65" s="888">
        <f>IFERROR((JUL_2023[[#This Row],[Sales Amount]]-JUL_2023[[#This Row],[Cost]])/JUL_2023[[#This Row],[Cost]],"-")</f>
        <v>0.31824234354194408</v>
      </c>
      <c r="Y65" s="152"/>
      <c r="Z65" s="645"/>
    </row>
    <row r="66" spans="1:26" hidden="1">
      <c r="A66" s="58" t="s">
        <v>171</v>
      </c>
      <c r="B66" s="58" t="s">
        <v>1080</v>
      </c>
      <c r="C66" s="1114" t="s">
        <v>28</v>
      </c>
      <c r="D66" s="844">
        <v>45117</v>
      </c>
      <c r="E66" s="1112">
        <v>45130</v>
      </c>
      <c r="F66" s="58" t="s">
        <v>326</v>
      </c>
      <c r="G66" s="58" t="s">
        <v>46</v>
      </c>
      <c r="H66" s="844">
        <v>45132</v>
      </c>
      <c r="I66" s="58"/>
      <c r="J66" s="58" t="s">
        <v>32</v>
      </c>
      <c r="K66" s="18" t="s">
        <v>174</v>
      </c>
      <c r="L66" s="915" t="s">
        <v>1081</v>
      </c>
      <c r="M66" s="1115">
        <v>45132</v>
      </c>
      <c r="N66" s="844">
        <v>45131</v>
      </c>
      <c r="O66" s="844">
        <v>45132</v>
      </c>
      <c r="P66" s="709" t="s">
        <v>1082</v>
      </c>
      <c r="Q66" s="58" t="s">
        <v>35</v>
      </c>
      <c r="R66" s="58" t="s">
        <v>36</v>
      </c>
      <c r="S66" s="58" t="s">
        <v>37</v>
      </c>
      <c r="T66" s="106">
        <v>990</v>
      </c>
      <c r="U66" s="85">
        <v>801</v>
      </c>
      <c r="V66" s="152"/>
      <c r="W66" s="152">
        <f>IFERROR((JUL_2023[[#This Row],[Sales Amount]]-JUL_2023[[#This Row],[Cost]])/JUL_2023[[#This Row],[CNTR AMOUNT]],JUL_2023[[#This Row],[Sales Amount]]-JUL_2023[[#This Row],[Cost]])</f>
        <v>189</v>
      </c>
      <c r="X66" s="888">
        <f>IFERROR((JUL_2023[[#This Row],[Sales Amount]]-JUL_2023[[#This Row],[Cost]])/JUL_2023[[#This Row],[Cost]],"-")</f>
        <v>0.23595505617977527</v>
      </c>
      <c r="Y66" s="152"/>
      <c r="Z66" s="645"/>
    </row>
    <row r="67" spans="1:26" hidden="1">
      <c r="A67" s="58" t="s">
        <v>171</v>
      </c>
      <c r="B67" s="58" t="s">
        <v>1083</v>
      </c>
      <c r="C67" s="4149" t="s">
        <v>44</v>
      </c>
      <c r="D67" s="844">
        <v>45124</v>
      </c>
      <c r="E67" s="1112">
        <v>45130</v>
      </c>
      <c r="F67" s="58" t="s">
        <v>326</v>
      </c>
      <c r="G67" s="58" t="s">
        <v>46</v>
      </c>
      <c r="H67" s="844">
        <v>45132</v>
      </c>
      <c r="I67" s="58"/>
      <c r="J67" s="58" t="s">
        <v>32</v>
      </c>
      <c r="K67" s="58" t="s">
        <v>174</v>
      </c>
      <c r="L67" s="915" t="s">
        <v>1084</v>
      </c>
      <c r="M67" s="1115">
        <v>45132</v>
      </c>
      <c r="N67" s="844">
        <v>45132</v>
      </c>
      <c r="O67" s="844">
        <v>45132</v>
      </c>
      <c r="P67" s="709" t="s">
        <v>1085</v>
      </c>
      <c r="Q67" s="4149" t="s">
        <v>35</v>
      </c>
      <c r="R67" s="58" t="s">
        <v>36</v>
      </c>
      <c r="S67" s="710" t="s">
        <v>37</v>
      </c>
      <c r="T67" s="106">
        <v>990</v>
      </c>
      <c r="U67" s="85">
        <v>801</v>
      </c>
      <c r="V67" s="152"/>
      <c r="W67" s="152">
        <f>IFERROR((JUL_2023[[#This Row],[Sales Amount]]-JUL_2023[[#This Row],[Cost]])/JUL_2023[[#This Row],[CNTR AMOUNT]],JUL_2023[[#This Row],[Sales Amount]]-JUL_2023[[#This Row],[Cost]])</f>
        <v>189</v>
      </c>
      <c r="X67" s="888">
        <f>IFERROR((JUL_2023[[#This Row],[Sales Amount]]-JUL_2023[[#This Row],[Cost]])/JUL_2023[[#This Row],[Cost]],"-")</f>
        <v>0.23595505617977527</v>
      </c>
      <c r="Y67" s="152"/>
      <c r="Z67" s="645"/>
    </row>
    <row r="68" spans="1:26" hidden="1">
      <c r="A68" s="58" t="s">
        <v>497</v>
      </c>
      <c r="B68" s="4161" t="s">
        <v>1086</v>
      </c>
      <c r="C68" s="1114" t="s">
        <v>28</v>
      </c>
      <c r="D68" s="844">
        <v>45121</v>
      </c>
      <c r="E68" s="1112">
        <v>45130</v>
      </c>
      <c r="F68" s="58" t="s">
        <v>151</v>
      </c>
      <c r="G68" s="58" t="s">
        <v>361</v>
      </c>
      <c r="H68" s="1574"/>
      <c r="I68" s="1575"/>
      <c r="J68" s="4599" t="s">
        <v>168</v>
      </c>
      <c r="K68" s="58" t="s">
        <v>310</v>
      </c>
      <c r="L68" s="58">
        <v>142829</v>
      </c>
      <c r="M68" s="1139">
        <v>45132</v>
      </c>
      <c r="N68" s="1139">
        <v>45132</v>
      </c>
      <c r="O68" s="58"/>
      <c r="P68" s="709" t="s">
        <v>1087</v>
      </c>
      <c r="Q68" s="58" t="s">
        <v>89</v>
      </c>
      <c r="R68" s="709" t="s">
        <v>51</v>
      </c>
      <c r="S68" s="727"/>
      <c r="T68" s="709"/>
      <c r="U68" s="727"/>
      <c r="V68" s="727"/>
      <c r="W68" s="727">
        <f>IFERROR((JUL_2023[[#This Row],[Sales Amount]]-JUL_2023[[#This Row],[Cost]])/JUL_2023[[#This Row],[CNTR AMOUNT]],JUL_2023[[#This Row],[Sales Amount]]-JUL_2023[[#This Row],[Cost]])</f>
        <v>0</v>
      </c>
      <c r="X68" s="1179" t="str">
        <f>IFERROR((JUL_2023[[#This Row],[Sales Amount]]-JUL_2023[[#This Row],[Cost]])/JUL_2023[[#This Row],[Cost]],"-")</f>
        <v>-</v>
      </c>
      <c r="Y68" s="727"/>
      <c r="Z68" s="711"/>
    </row>
    <row r="69" spans="1:26" s="709" customFormat="1" hidden="1">
      <c r="A69" s="7" t="s">
        <v>1088</v>
      </c>
      <c r="B69" s="7" t="s">
        <v>1089</v>
      </c>
      <c r="C69" s="106" t="s">
        <v>44</v>
      </c>
      <c r="D69" s="126">
        <v>45124</v>
      </c>
      <c r="E69" s="143">
        <v>45130</v>
      </c>
      <c r="F69" s="7" t="s">
        <v>98</v>
      </c>
      <c r="G69" s="7" t="s">
        <v>46</v>
      </c>
      <c r="H69" s="7"/>
      <c r="I69" s="7"/>
      <c r="J69" s="7" t="s">
        <v>168</v>
      </c>
      <c r="K69" s="7" t="s">
        <v>310</v>
      </c>
      <c r="L69" s="7">
        <v>634049</v>
      </c>
      <c r="M69" s="126">
        <v>45133</v>
      </c>
      <c r="N69" s="126">
        <v>45132</v>
      </c>
      <c r="O69" s="126">
        <v>45135</v>
      </c>
      <c r="P69" s="106" t="s">
        <v>1090</v>
      </c>
      <c r="Q69" s="7" t="s">
        <v>89</v>
      </c>
      <c r="R69" s="106" t="s">
        <v>51</v>
      </c>
      <c r="S69" s="152"/>
      <c r="T69" s="106"/>
      <c r="U69" s="93"/>
      <c r="V69" s="93"/>
      <c r="W69" s="106">
        <f>IFERROR((JUL_2023[[#This Row],[Sales Amount]]-JUL_2023[[#This Row],[Cost]])/JUL_2023[[#This Row],[CNTR AMOUNT]],JUL_2023[[#This Row],[Sales Amount]]-JUL_2023[[#This Row],[Cost]])</f>
        <v>0</v>
      </c>
      <c r="X69" s="887" t="str">
        <f>IFERROR((JUL_2023[[#This Row],[Sales Amount]]-JUL_2023[[#This Row],[Cost]])/JUL_2023[[#This Row],[Cost]],"-")</f>
        <v>-</v>
      </c>
      <c r="Y69" s="93"/>
      <c r="Z69" s="1068"/>
    </row>
    <row r="70" spans="1:26" s="709" customFormat="1" hidden="1">
      <c r="A70" s="4149" t="s">
        <v>145</v>
      </c>
      <c r="B70" s="58" t="s">
        <v>1091</v>
      </c>
      <c r="C70" s="58" t="s">
        <v>28</v>
      </c>
      <c r="D70" s="844">
        <v>45124</v>
      </c>
      <c r="E70" s="844">
        <f>7+JUL_2023[[#This Row],[ETA PORT]]</f>
        <v>45131</v>
      </c>
      <c r="F70" s="58" t="s">
        <v>45</v>
      </c>
      <c r="G70" s="58" t="s">
        <v>361</v>
      </c>
      <c r="H70" s="58"/>
      <c r="I70" s="58"/>
      <c r="J70" s="58" t="s">
        <v>322</v>
      </c>
      <c r="K70" s="58" t="s">
        <v>1092</v>
      </c>
      <c r="L70" s="709">
        <v>494250</v>
      </c>
      <c r="M70" s="1139">
        <v>45144</v>
      </c>
      <c r="N70" s="1139">
        <v>45144</v>
      </c>
      <c r="O70" s="1139">
        <v>45146</v>
      </c>
      <c r="P70" s="709" t="s">
        <v>1093</v>
      </c>
      <c r="Q70" s="58" t="s">
        <v>89</v>
      </c>
      <c r="R70" s="709" t="s">
        <v>51</v>
      </c>
      <c r="U70" s="727"/>
      <c r="V70" s="727"/>
      <c r="W70" s="709">
        <f>IFERROR((JUL_2023[[#This Row],[Sales Amount]]-JUL_2023[[#This Row],[Cost]])/JUL_2023[[#This Row],[CNTR AMOUNT]],JUL_2023[[#This Row],[Sales Amount]]-JUL_2023[[#This Row],[Cost]])</f>
        <v>0</v>
      </c>
      <c r="X70" s="1384" t="str">
        <f>IFERROR((JUL_2023[[#This Row],[Sales Amount]]-JUL_2023[[#This Row],[Cost]])/JUL_2023[[#This Row],[Cost]],"-")</f>
        <v>-</v>
      </c>
      <c r="Y70" s="727"/>
      <c r="Z70" s="711"/>
    </row>
    <row r="71" spans="1:26" hidden="1">
      <c r="A71" s="710" t="s">
        <v>171</v>
      </c>
      <c r="B71" s="58" t="s">
        <v>1094</v>
      </c>
      <c r="C71" s="58" t="s">
        <v>44</v>
      </c>
      <c r="D71" s="844">
        <v>45125</v>
      </c>
      <c r="E71" s="1112">
        <v>45131</v>
      </c>
      <c r="F71" s="710" t="s">
        <v>56</v>
      </c>
      <c r="G71" s="58" t="s">
        <v>46</v>
      </c>
      <c r="H71" s="844">
        <v>45132</v>
      </c>
      <c r="I71" s="58"/>
      <c r="J71" s="58" t="s">
        <v>32</v>
      </c>
      <c r="K71" s="58" t="s">
        <v>174</v>
      </c>
      <c r="L71" s="915" t="s">
        <v>1095</v>
      </c>
      <c r="M71" s="1118">
        <v>45134</v>
      </c>
      <c r="N71" s="844">
        <v>45132</v>
      </c>
      <c r="O71" s="1110">
        <v>45132</v>
      </c>
      <c r="P71" s="650" t="s">
        <v>1096</v>
      </c>
      <c r="Q71" s="710" t="s">
        <v>35</v>
      </c>
      <c r="R71" s="58" t="s">
        <v>36</v>
      </c>
      <c r="S71" s="710" t="s">
        <v>37</v>
      </c>
      <c r="T71" s="152">
        <v>680</v>
      </c>
      <c r="U71" s="85">
        <v>556</v>
      </c>
      <c r="V71" s="152"/>
      <c r="W71" s="152">
        <f>IFERROR((JUL_2023[[#This Row],[Sales Amount]]-JUL_2023[[#This Row],[Cost]])/JUL_2023[[#This Row],[CNTR AMOUNT]],JUL_2023[[#This Row],[Sales Amount]]-JUL_2023[[#This Row],[Cost]])</f>
        <v>124</v>
      </c>
      <c r="X71" s="888">
        <f>IFERROR((JUL_2023[[#This Row],[Sales Amount]]-JUL_2023[[#This Row],[Cost]])/JUL_2023[[#This Row],[Cost]],"-")</f>
        <v>0.22302158273381295</v>
      </c>
      <c r="Y71" s="152"/>
      <c r="Z71" s="645"/>
    </row>
    <row r="72" spans="1:26">
      <c r="A72" s="117" t="s">
        <v>219</v>
      </c>
      <c r="B72" s="4167" t="s">
        <v>1097</v>
      </c>
      <c r="C72" s="117" t="s">
        <v>85</v>
      </c>
      <c r="D72" s="822">
        <v>45117</v>
      </c>
      <c r="E72" s="879">
        <v>45131</v>
      </c>
      <c r="F72" s="117" t="s">
        <v>135</v>
      </c>
      <c r="G72" s="117" t="s">
        <v>57</v>
      </c>
      <c r="H72" s="856">
        <v>45139</v>
      </c>
      <c r="I72" s="117" t="s">
        <v>58</v>
      </c>
      <c r="J72" s="117" t="s">
        <v>32</v>
      </c>
      <c r="K72" s="117" t="s">
        <v>397</v>
      </c>
      <c r="L72" s="766">
        <v>2467350</v>
      </c>
      <c r="M72" s="839">
        <v>45133</v>
      </c>
      <c r="N72" s="839">
        <v>45133</v>
      </c>
      <c r="O72" s="1186">
        <v>45139</v>
      </c>
      <c r="P72" s="4152" t="s">
        <v>1098</v>
      </c>
      <c r="Q72" s="106" t="s">
        <v>75</v>
      </c>
      <c r="R72" s="1358" t="s">
        <v>1099</v>
      </c>
      <c r="S72" s="106">
        <v>4</v>
      </c>
      <c r="U72" s="152"/>
      <c r="V72" s="152"/>
      <c r="W72" s="152">
        <f>IFERROR((JUL_2023[[#This Row],[Sales Amount]]-JUL_2023[[#This Row],[Cost]])/JUL_2023[[#This Row],[CNTR AMOUNT]],JUL_2023[[#This Row],[Sales Amount]]-JUL_2023[[#This Row],[Cost]])</f>
        <v>0</v>
      </c>
      <c r="X72" s="888" t="str">
        <f>IFERROR((JUL_2023[[#This Row],[Sales Amount]]-JUL_2023[[#This Row],[Cost]])/JUL_2023[[#This Row],[Cost]],"-")</f>
        <v>-</v>
      </c>
      <c r="Y72" s="152"/>
      <c r="Z72" s="645"/>
    </row>
    <row r="73" spans="1:26" s="1350" customFormat="1" hidden="1">
      <c r="A73" s="4149" t="s">
        <v>145</v>
      </c>
      <c r="B73" s="58" t="s">
        <v>1100</v>
      </c>
      <c r="C73" s="58" t="s">
        <v>44</v>
      </c>
      <c r="D73" s="844">
        <v>45120</v>
      </c>
      <c r="E73" s="1112">
        <v>45131</v>
      </c>
      <c r="F73" s="58" t="s">
        <v>45</v>
      </c>
      <c r="G73" s="58" t="s">
        <v>829</v>
      </c>
      <c r="H73" s="58"/>
      <c r="I73" s="58"/>
      <c r="J73" s="58" t="s">
        <v>168</v>
      </c>
      <c r="K73" s="58" t="s">
        <v>47</v>
      </c>
      <c r="L73" s="58" t="s">
        <v>1101</v>
      </c>
      <c r="M73" s="844">
        <v>45133</v>
      </c>
      <c r="N73" s="844">
        <v>45132</v>
      </c>
      <c r="O73" s="844">
        <v>45138</v>
      </c>
      <c r="P73" s="709" t="s">
        <v>1102</v>
      </c>
      <c r="Q73" s="58" t="s">
        <v>50</v>
      </c>
      <c r="R73" s="709" t="s">
        <v>51</v>
      </c>
      <c r="S73" s="709"/>
      <c r="T73" s="709"/>
      <c r="U73" s="718"/>
      <c r="V73" s="718"/>
      <c r="W73" s="718">
        <f>IFERROR((JUL_2023[[#This Row],[Sales Amount]]-JUL_2023[[#This Row],[Cost]])/JUL_2023[[#This Row],[CNTR AMOUNT]],JUL_2023[[#This Row],[Sales Amount]]-JUL_2023[[#This Row],[Cost]])</f>
        <v>0</v>
      </c>
      <c r="X73" s="1348" t="str">
        <f>IFERROR((JUL_2023[[#This Row],[Sales Amount]]-JUL_2023[[#This Row],[Cost]])/JUL_2023[[#This Row],[Cost]],"-")</f>
        <v>-</v>
      </c>
      <c r="Y73" s="718"/>
      <c r="Z73" s="1349"/>
    </row>
    <row r="74" spans="1:26" s="52" customFormat="1">
      <c r="A74" s="117" t="s">
        <v>896</v>
      </c>
      <c r="B74" s="4150" t="s">
        <v>1103</v>
      </c>
      <c r="C74" s="908" t="s">
        <v>28</v>
      </c>
      <c r="D74" s="822">
        <v>45119</v>
      </c>
      <c r="E74" s="879">
        <v>45131</v>
      </c>
      <c r="F74" s="117" t="s">
        <v>93</v>
      </c>
      <c r="G74" s="4150" t="s">
        <v>1104</v>
      </c>
      <c r="H74" s="828">
        <v>45133</v>
      </c>
      <c r="I74" s="117" t="s">
        <v>445</v>
      </c>
      <c r="J74" s="4150" t="s">
        <v>322</v>
      </c>
      <c r="K74" s="117" t="s">
        <v>1105</v>
      </c>
      <c r="L74" s="766">
        <v>5785</v>
      </c>
      <c r="M74" s="839">
        <v>45133</v>
      </c>
      <c r="N74" s="822">
        <v>45132</v>
      </c>
      <c r="O74" s="822">
        <v>45133</v>
      </c>
      <c r="P74" s="4150" t="s">
        <v>1106</v>
      </c>
      <c r="Q74" s="117" t="s">
        <v>75</v>
      </c>
      <c r="R74" s="4150" t="s">
        <v>1107</v>
      </c>
      <c r="S74" s="117">
        <v>4</v>
      </c>
      <c r="T74" s="117">
        <v>760</v>
      </c>
      <c r="U74" s="660">
        <v>433</v>
      </c>
      <c r="V74" s="660">
        <v>1</v>
      </c>
      <c r="W74" s="660">
        <f>IFERROR((JUL_2023[[#This Row],[Sales Amount]]-JUL_2023[[#This Row],[Cost]])/JUL_2023[[#This Row],[CNTR AMOUNT]],JUL_2023[[#This Row],[Sales Amount]]-JUL_2023[[#This Row],[Cost]])</f>
        <v>327</v>
      </c>
      <c r="X74" s="919">
        <f>IFERROR((JUL_2023[[#This Row],[Sales Amount]]-JUL_2023[[#This Row],[Cost]])/JUL_2023[[#This Row],[Cost]],"-")</f>
        <v>0.75519630484988454</v>
      </c>
      <c r="Y74" s="660"/>
      <c r="Z74" s="113"/>
    </row>
    <row r="75" spans="1:26" hidden="1">
      <c r="A75" s="58" t="s">
        <v>1108</v>
      </c>
      <c r="B75" s="1340" t="s">
        <v>1109</v>
      </c>
      <c r="C75" s="1340" t="s">
        <v>28</v>
      </c>
      <c r="D75" s="1340" t="s">
        <v>315</v>
      </c>
      <c r="E75" s="1334">
        <v>45131</v>
      </c>
      <c r="F75" s="1340" t="s">
        <v>151</v>
      </c>
      <c r="G75" s="1340" t="s">
        <v>361</v>
      </c>
      <c r="H75" s="1341">
        <v>45135</v>
      </c>
      <c r="I75" s="1340" t="s">
        <v>315</v>
      </c>
      <c r="J75" s="1340" t="s">
        <v>32</v>
      </c>
      <c r="K75" s="1340" t="s">
        <v>641</v>
      </c>
      <c r="L75" s="1340">
        <v>919468</v>
      </c>
      <c r="M75" s="844">
        <v>45135</v>
      </c>
      <c r="N75" s="844"/>
      <c r="O75" s="844"/>
      <c r="P75" s="650" t="s">
        <v>1110</v>
      </c>
      <c r="Q75" s="58" t="s">
        <v>170</v>
      </c>
      <c r="R75" s="709" t="s">
        <v>36</v>
      </c>
      <c r="T75" s="106">
        <v>1287.5</v>
      </c>
      <c r="U75" s="152">
        <v>1016</v>
      </c>
      <c r="V75" s="152"/>
      <c r="W75" s="93">
        <f>IFERROR((JUL_2023[[#This Row],[Sales Amount]]-JUL_2023[[#This Row],[Cost]])/JUL_2023[[#This Row],[CNTR AMOUNT]],JUL_2023[[#This Row],[Sales Amount]]-JUL_2023[[#This Row],[Cost]])</f>
        <v>271.5</v>
      </c>
      <c r="X75" s="970">
        <f>IFERROR((JUL_2023[[#This Row],[Sales Amount]]-JUL_2023[[#This Row],[Cost]])/JUL_2023[[#This Row],[Cost]],"-")</f>
        <v>0.26722440944881892</v>
      </c>
      <c r="Y75" s="93"/>
      <c r="Z75" s="1068"/>
    </row>
    <row r="76" spans="1:26" hidden="1">
      <c r="A76" s="58" t="s">
        <v>639</v>
      </c>
      <c r="B76" s="4149" t="s">
        <v>1111</v>
      </c>
      <c r="C76" s="1166" t="s">
        <v>28</v>
      </c>
      <c r="D76" s="844"/>
      <c r="E76" s="844">
        <v>45131</v>
      </c>
      <c r="F76" s="58" t="s">
        <v>245</v>
      </c>
      <c r="G76" s="58" t="s">
        <v>361</v>
      </c>
      <c r="H76" s="1341">
        <v>45133</v>
      </c>
      <c r="I76" s="58"/>
      <c r="J76" s="1166" t="s">
        <v>32</v>
      </c>
      <c r="K76" s="1166" t="s">
        <v>641</v>
      </c>
      <c r="L76" s="1340">
        <v>786787</v>
      </c>
      <c r="M76" s="844">
        <v>45133</v>
      </c>
      <c r="N76" s="844">
        <v>45133</v>
      </c>
      <c r="O76" s="844">
        <v>45134</v>
      </c>
      <c r="P76" s="709" t="s">
        <v>1112</v>
      </c>
      <c r="Q76" s="58" t="s">
        <v>170</v>
      </c>
      <c r="R76" s="709" t="s">
        <v>36</v>
      </c>
      <c r="T76" s="106">
        <v>1130</v>
      </c>
      <c r="U76" s="152">
        <v>946</v>
      </c>
      <c r="V76" s="152"/>
      <c r="W76" s="93">
        <f>IFERROR((JUL_2023[[#This Row],[Sales Amount]]-JUL_2023[[#This Row],[Cost]])/JUL_2023[[#This Row],[CNTR AMOUNT]],JUL_2023[[#This Row],[Sales Amount]]-JUL_2023[[#This Row],[Cost]])</f>
        <v>184</v>
      </c>
      <c r="X76" s="970">
        <f>IFERROR((JUL_2023[[#This Row],[Sales Amount]]-JUL_2023[[#This Row],[Cost]])/JUL_2023[[#This Row],[Cost]],"-")</f>
        <v>0.1945031712473573</v>
      </c>
      <c r="Y76" s="93"/>
      <c r="Z76" s="1068"/>
    </row>
    <row r="77" spans="1:26" s="117" customFormat="1">
      <c r="A77" s="117" t="s">
        <v>1113</v>
      </c>
      <c r="B77" s="1361" t="s">
        <v>1114</v>
      </c>
      <c r="C77" s="908" t="s">
        <v>28</v>
      </c>
      <c r="D77" s="822">
        <v>45132</v>
      </c>
      <c r="E77" s="879">
        <v>45132</v>
      </c>
      <c r="F77" s="117" t="s">
        <v>326</v>
      </c>
      <c r="G77" s="117" t="s">
        <v>550</v>
      </c>
      <c r="H77" s="839">
        <v>45138</v>
      </c>
      <c r="I77" s="882" t="s">
        <v>1115</v>
      </c>
      <c r="J77" s="117" t="s">
        <v>551</v>
      </c>
      <c r="K77" s="117" t="s">
        <v>1116</v>
      </c>
      <c r="M77" s="828">
        <v>45138</v>
      </c>
      <c r="N77" s="828">
        <v>45135</v>
      </c>
      <c r="O77" s="1189">
        <v>45138</v>
      </c>
      <c r="P77" s="3" t="s">
        <v>1117</v>
      </c>
      <c r="Q77" s="117" t="s">
        <v>75</v>
      </c>
      <c r="R77" s="3" t="s">
        <v>1118</v>
      </c>
      <c r="S77" s="117" t="s">
        <v>37</v>
      </c>
      <c r="T77" s="117">
        <v>1867.5</v>
      </c>
      <c r="U77" s="660">
        <v>1361</v>
      </c>
      <c r="V77" s="660">
        <v>1</v>
      </c>
      <c r="W77" s="120">
        <f>IFERROR((JUL_2023[[#This Row],[Sales Amount]]-JUL_2023[[#This Row],[Cost]])/JUL_2023[[#This Row],[CNTR AMOUNT]],JUL_2023[[#This Row],[Sales Amount]]-JUL_2023[[#This Row],[Cost]])</f>
        <v>506.5</v>
      </c>
      <c r="X77" s="1067">
        <f>IFERROR((JUL_2023[[#This Row],[Sales Amount]]-JUL_2023[[#This Row],[Cost]])/JUL_2023[[#This Row],[Cost]],"-")</f>
        <v>0.37215282880235123</v>
      </c>
      <c r="Y77" s="120"/>
      <c r="Z77" s="1209"/>
    </row>
    <row r="78" spans="1:26" s="117" customFormat="1">
      <c r="A78" s="117" t="s">
        <v>243</v>
      </c>
      <c r="B78" s="507" t="s">
        <v>1119</v>
      </c>
      <c r="C78" s="117" t="s">
        <v>44</v>
      </c>
      <c r="D78" s="822">
        <v>45120</v>
      </c>
      <c r="E78" s="856">
        <v>45132</v>
      </c>
      <c r="F78" s="117" t="s">
        <v>245</v>
      </c>
      <c r="G78" s="117" t="s">
        <v>958</v>
      </c>
      <c r="H78" s="828">
        <v>45134</v>
      </c>
      <c r="I78" s="828" t="s">
        <v>618</v>
      </c>
      <c r="J78" s="117" t="s">
        <v>247</v>
      </c>
      <c r="K78" s="117" t="s">
        <v>960</v>
      </c>
      <c r="L78" s="507">
        <v>2655800</v>
      </c>
      <c r="M78" s="828">
        <v>45134</v>
      </c>
      <c r="N78" s="828">
        <v>45134</v>
      </c>
      <c r="O78" s="828">
        <v>45134</v>
      </c>
      <c r="P78" s="4150" t="s">
        <v>1120</v>
      </c>
      <c r="Q78" s="4150" t="s">
        <v>75</v>
      </c>
      <c r="R78" s="4150" t="s">
        <v>1121</v>
      </c>
      <c r="T78" s="117">
        <v>660</v>
      </c>
      <c r="U78" s="660">
        <v>426.3</v>
      </c>
      <c r="V78" s="660">
        <v>1</v>
      </c>
      <c r="W78" s="660">
        <f>IFERROR((JUL_2023[[#This Row],[Sales Amount]]-JUL_2023[[#This Row],[Cost]])/JUL_2023[[#This Row],[CNTR AMOUNT]],JUL_2023[[#This Row],[Sales Amount]]-JUL_2023[[#This Row],[Cost]])</f>
        <v>233.7</v>
      </c>
      <c r="X78" s="919">
        <f>IFERROR((JUL_2023[[#This Row],[Sales Amount]]-JUL_2023[[#This Row],[Cost]])/JUL_2023[[#This Row],[Cost]],"-")</f>
        <v>0.54820548909218858</v>
      </c>
      <c r="Y78" s="660"/>
      <c r="Z78" s="113"/>
    </row>
    <row r="79" spans="1:26" hidden="1">
      <c r="A79" s="709" t="s">
        <v>468</v>
      </c>
      <c r="B79" s="1175" t="s">
        <v>1122</v>
      </c>
      <c r="C79" s="1175" t="s">
        <v>44</v>
      </c>
      <c r="D79" s="1428">
        <v>45133</v>
      </c>
      <c r="E79" s="1428">
        <v>45133</v>
      </c>
      <c r="F79" s="1175" t="s">
        <v>173</v>
      </c>
      <c r="G79" s="1175" t="s">
        <v>1123</v>
      </c>
      <c r="H79" s="1428">
        <v>45139</v>
      </c>
      <c r="I79" s="1175" t="s">
        <v>672</v>
      </c>
      <c r="J79" s="709" t="s">
        <v>510</v>
      </c>
      <c r="K79" s="1175" t="s">
        <v>1124</v>
      </c>
      <c r="L79" s="709"/>
      <c r="M79" s="912"/>
      <c r="N79" s="912"/>
      <c r="O79" s="912"/>
      <c r="P79" s="709" t="s">
        <v>1125</v>
      </c>
      <c r="Q79" s="709" t="s">
        <v>170</v>
      </c>
      <c r="R79" s="709" t="s">
        <v>51</v>
      </c>
      <c r="T79" s="106">
        <v>1580</v>
      </c>
      <c r="U79" s="152">
        <v>1009.4</v>
      </c>
      <c r="V79" s="152"/>
      <c r="W79" s="152">
        <f>IFERROR((JUL_2023[[#This Row],[Sales Amount]]-JUL_2023[[#This Row],[Cost]])/JUL_2023[[#This Row],[CNTR AMOUNT]],JUL_2023[[#This Row],[Sales Amount]]-JUL_2023[[#This Row],[Cost]])</f>
        <v>570.6</v>
      </c>
      <c r="X79" s="888">
        <f>IFERROR((JUL_2023[[#This Row],[Sales Amount]]-JUL_2023[[#This Row],[Cost]])/JUL_2023[[#This Row],[Cost]],"-")</f>
        <v>0.56528630869823659</v>
      </c>
      <c r="Y79" s="152"/>
      <c r="Z79" s="645"/>
    </row>
    <row r="80" spans="1:26" s="117" customFormat="1" hidden="1">
      <c r="A80" s="709" t="s">
        <v>468</v>
      </c>
      <c r="B80" s="1175" t="s">
        <v>1126</v>
      </c>
      <c r="C80" s="1175" t="s">
        <v>44</v>
      </c>
      <c r="D80" s="1428">
        <v>45133</v>
      </c>
      <c r="E80" s="1428">
        <v>45133</v>
      </c>
      <c r="F80" s="1175" t="s">
        <v>173</v>
      </c>
      <c r="G80" s="1175" t="s">
        <v>1123</v>
      </c>
      <c r="H80" s="1428">
        <v>45140</v>
      </c>
      <c r="I80" s="1175" t="s">
        <v>672</v>
      </c>
      <c r="J80" s="709" t="s">
        <v>510</v>
      </c>
      <c r="K80" s="1175" t="s">
        <v>1124</v>
      </c>
      <c r="L80" s="709"/>
      <c r="M80" s="912"/>
      <c r="N80" s="912"/>
      <c r="O80" s="912"/>
      <c r="P80" s="709" t="s">
        <v>1125</v>
      </c>
      <c r="Q80" s="709" t="s">
        <v>170</v>
      </c>
      <c r="R80" s="709" t="s">
        <v>51</v>
      </c>
      <c r="S80" s="106"/>
      <c r="T80" s="106">
        <v>1580</v>
      </c>
      <c r="U80" s="152">
        <v>1009.4</v>
      </c>
      <c r="V80" s="152"/>
      <c r="W80" s="152">
        <f>IFERROR((JUL_2023[[#This Row],[Sales Amount]]-JUL_2023[[#This Row],[Cost]])/JUL_2023[[#This Row],[CNTR AMOUNT]],JUL_2023[[#This Row],[Sales Amount]]-JUL_2023[[#This Row],[Cost]])</f>
        <v>570.6</v>
      </c>
      <c r="X80" s="888">
        <f>IFERROR((JUL_2023[[#This Row],[Sales Amount]]-JUL_2023[[#This Row],[Cost]])/JUL_2023[[#This Row],[Cost]],"-")</f>
        <v>0.56528630869823659</v>
      </c>
      <c r="Y80" s="152"/>
      <c r="Z80" s="645"/>
    </row>
    <row r="81" spans="1:26" s="36" customFormat="1" hidden="1">
      <c r="A81" s="58" t="s">
        <v>26</v>
      </c>
      <c r="B81" s="58" t="s">
        <v>1127</v>
      </c>
      <c r="C81" s="58" t="s">
        <v>200</v>
      </c>
      <c r="D81" s="844">
        <v>45116</v>
      </c>
      <c r="E81" s="1112">
        <v>45133</v>
      </c>
      <c r="F81" s="58" t="s">
        <v>245</v>
      </c>
      <c r="G81" s="58" t="s">
        <v>57</v>
      </c>
      <c r="H81" s="844">
        <v>45134</v>
      </c>
      <c r="I81" s="58"/>
      <c r="J81" s="58" t="s">
        <v>32</v>
      </c>
      <c r="K81" s="58" t="s">
        <v>1128</v>
      </c>
      <c r="L81" s="915">
        <v>2154330</v>
      </c>
      <c r="M81" s="1115">
        <v>45134</v>
      </c>
      <c r="N81" s="1115">
        <v>45134</v>
      </c>
      <c r="O81" s="1115">
        <v>45134</v>
      </c>
      <c r="P81" s="709" t="s">
        <v>1129</v>
      </c>
      <c r="Q81" s="58" t="s">
        <v>35</v>
      </c>
      <c r="R81" s="58" t="s">
        <v>36</v>
      </c>
      <c r="S81" s="58" t="s">
        <v>37</v>
      </c>
      <c r="T81" s="106">
        <v>1310</v>
      </c>
      <c r="U81" s="85">
        <v>1136</v>
      </c>
      <c r="V81" s="152"/>
      <c r="W81" s="152">
        <f>IFERROR((JUL_2023[[#This Row],[Sales Amount]]-JUL_2023[[#This Row],[Cost]])/JUL_2023[[#This Row],[CNTR AMOUNT]],JUL_2023[[#This Row],[Sales Amount]]-JUL_2023[[#This Row],[Cost]])</f>
        <v>174</v>
      </c>
      <c r="X81" s="888">
        <f>IFERROR((JUL_2023[[#This Row],[Sales Amount]]-JUL_2023[[#This Row],[Cost]])/JUL_2023[[#This Row],[Cost]],"-")</f>
        <v>0.15316901408450703</v>
      </c>
      <c r="Y81" s="152"/>
      <c r="Z81" s="645"/>
    </row>
    <row r="82" spans="1:26" s="709" customFormat="1" hidden="1">
      <c r="A82" s="4149" t="s">
        <v>821</v>
      </c>
      <c r="B82" s="4149" t="s">
        <v>1130</v>
      </c>
      <c r="C82" s="4149" t="s">
        <v>44</v>
      </c>
      <c r="D82" s="844">
        <v>45123</v>
      </c>
      <c r="E82" s="1112">
        <v>45133</v>
      </c>
      <c r="F82" s="4149" t="s">
        <v>98</v>
      </c>
      <c r="G82" s="4149" t="s">
        <v>1131</v>
      </c>
      <c r="H82" s="58"/>
      <c r="I82" s="58"/>
      <c r="J82" s="58" t="s">
        <v>168</v>
      </c>
      <c r="K82" s="4149" t="s">
        <v>47</v>
      </c>
      <c r="L82" s="58" t="s">
        <v>1132</v>
      </c>
      <c r="M82" s="844">
        <v>45133</v>
      </c>
      <c r="N82" s="844">
        <v>45132</v>
      </c>
      <c r="O82" s="844">
        <v>45134</v>
      </c>
      <c r="P82" s="4122" t="s">
        <v>1133</v>
      </c>
      <c r="Q82" s="4149" t="s">
        <v>89</v>
      </c>
      <c r="R82" s="709" t="s">
        <v>51</v>
      </c>
      <c r="U82" s="727"/>
      <c r="V82" s="727"/>
      <c r="W82" s="727">
        <f>IFERROR((JUL_2023[[#This Row],[Sales Amount]]-JUL_2023[[#This Row],[Cost]])/JUL_2023[[#This Row],[CNTR AMOUNT]],JUL_2023[[#This Row],[Sales Amount]]-JUL_2023[[#This Row],[Cost]])</f>
        <v>0</v>
      </c>
      <c r="X82" s="1179" t="str">
        <f>IFERROR((JUL_2023[[#This Row],[Sales Amount]]-JUL_2023[[#This Row],[Cost]])/JUL_2023[[#This Row],[Cost]],"-")</f>
        <v>-</v>
      </c>
      <c r="Y82" s="727"/>
      <c r="Z82" s="711"/>
    </row>
    <row r="83" spans="1:26" s="117" customFormat="1">
      <c r="A83" s="117" t="s">
        <v>1134</v>
      </c>
      <c r="B83" s="4150" t="s">
        <v>1135</v>
      </c>
      <c r="C83" s="117" t="s">
        <v>92</v>
      </c>
      <c r="D83" s="822">
        <v>45124</v>
      </c>
      <c r="E83" s="879">
        <v>45133</v>
      </c>
      <c r="F83" s="117" t="s">
        <v>151</v>
      </c>
      <c r="G83" s="117" t="s">
        <v>361</v>
      </c>
      <c r="H83" s="879">
        <v>45145</v>
      </c>
      <c r="I83" s="860" t="s">
        <v>58</v>
      </c>
      <c r="J83" s="4150" t="s">
        <v>32</v>
      </c>
      <c r="K83" s="4150" t="s">
        <v>1136</v>
      </c>
      <c r="L83" s="117">
        <v>179165</v>
      </c>
      <c r="M83" s="828">
        <v>45135</v>
      </c>
      <c r="N83" s="822">
        <v>45135</v>
      </c>
      <c r="O83" s="822">
        <v>45146</v>
      </c>
      <c r="P83" s="4150" t="s">
        <v>1137</v>
      </c>
      <c r="Q83" s="117" t="s">
        <v>75</v>
      </c>
      <c r="R83" s="4150" t="s">
        <v>1138</v>
      </c>
      <c r="S83" s="117">
        <v>4</v>
      </c>
      <c r="T83" s="117">
        <v>2957.5</v>
      </c>
      <c r="U83" s="660">
        <v>2290</v>
      </c>
      <c r="V83" s="660">
        <v>1</v>
      </c>
      <c r="W83" s="660">
        <f>IFERROR((JUL_2023[[#This Row],[Sales Amount]]-JUL_2023[[#This Row],[Cost]])/JUL_2023[[#This Row],[CNTR AMOUNT]],JUL_2023[[#This Row],[Sales Amount]]-JUL_2023[[#This Row],[Cost]])</f>
        <v>667.5</v>
      </c>
      <c r="X83" s="919">
        <f>IFERROR((JUL_2023[[#This Row],[Sales Amount]]-JUL_2023[[#This Row],[Cost]])/JUL_2023[[#This Row],[Cost]],"-")</f>
        <v>0.29148471615720523</v>
      </c>
      <c r="Y83" s="660"/>
      <c r="Z83" s="113"/>
    </row>
    <row r="84" spans="1:26" s="117" customFormat="1" hidden="1">
      <c r="A84" s="58" t="s">
        <v>26</v>
      </c>
      <c r="B84" s="58" t="s">
        <v>1139</v>
      </c>
      <c r="C84" s="1114" t="s">
        <v>28</v>
      </c>
      <c r="D84" s="844">
        <v>45123</v>
      </c>
      <c r="E84" s="1112">
        <v>45134</v>
      </c>
      <c r="F84" s="58" t="s">
        <v>29</v>
      </c>
      <c r="G84" s="58" t="s">
        <v>30</v>
      </c>
      <c r="H84" s="1115">
        <v>45138</v>
      </c>
      <c r="I84" s="915" t="s">
        <v>104</v>
      </c>
      <c r="J84" s="58" t="s">
        <v>32</v>
      </c>
      <c r="K84" s="4149" t="s">
        <v>1140</v>
      </c>
      <c r="L84" s="1166">
        <v>672681</v>
      </c>
      <c r="M84" s="1115">
        <v>45137</v>
      </c>
      <c r="N84" s="844">
        <v>45136</v>
      </c>
      <c r="O84" s="844">
        <v>45138</v>
      </c>
      <c r="P84" s="650" t="s">
        <v>1141</v>
      </c>
      <c r="Q84" s="58" t="s">
        <v>35</v>
      </c>
      <c r="R84" s="58" t="s">
        <v>36</v>
      </c>
      <c r="S84" s="58" t="s">
        <v>37</v>
      </c>
      <c r="T84" s="106">
        <v>4960</v>
      </c>
      <c r="U84" s="85">
        <v>4326</v>
      </c>
      <c r="V84" s="152">
        <v>5</v>
      </c>
      <c r="W84" s="152">
        <f>IFERROR((JUL_2023[[#This Row],[Sales Amount]]-JUL_2023[[#This Row],[Cost]])/JUL_2023[[#This Row],[CNTR AMOUNT]],JUL_2023[[#This Row],[Sales Amount]]-JUL_2023[[#This Row],[Cost]])</f>
        <v>126.8</v>
      </c>
      <c r="X84" s="888">
        <f>IFERROR((JUL_2023[[#This Row],[Sales Amount]]-JUL_2023[[#This Row],[Cost]])/JUL_2023[[#This Row],[Cost]],"-")</f>
        <v>0.14655570966250578</v>
      </c>
      <c r="Y84" s="152"/>
      <c r="Z84" s="645"/>
    </row>
    <row r="85" spans="1:26" hidden="1">
      <c r="A85" s="58" t="s">
        <v>26</v>
      </c>
      <c r="B85" s="58" t="s">
        <v>1142</v>
      </c>
      <c r="C85" s="1114" t="s">
        <v>28</v>
      </c>
      <c r="D85" s="844">
        <v>45123</v>
      </c>
      <c r="E85" s="1112">
        <v>45134</v>
      </c>
      <c r="F85" s="58" t="s">
        <v>29</v>
      </c>
      <c r="G85" s="58" t="s">
        <v>30</v>
      </c>
      <c r="H85" s="1115">
        <v>45138</v>
      </c>
      <c r="I85" s="915" t="s">
        <v>104</v>
      </c>
      <c r="J85" s="58" t="s">
        <v>32</v>
      </c>
      <c r="K85" s="58" t="s">
        <v>1140</v>
      </c>
      <c r="L85" s="1166">
        <v>311799</v>
      </c>
      <c r="M85" s="1115">
        <v>45137</v>
      </c>
      <c r="N85" s="844">
        <v>45136</v>
      </c>
      <c r="O85" s="844">
        <v>45138</v>
      </c>
      <c r="P85" s="650" t="s">
        <v>1141</v>
      </c>
      <c r="Q85" s="58" t="s">
        <v>35</v>
      </c>
      <c r="R85" s="58" t="s">
        <v>36</v>
      </c>
      <c r="S85" s="58" t="s">
        <v>37</v>
      </c>
      <c r="T85" s="106">
        <v>4960</v>
      </c>
      <c r="U85" s="85">
        <v>4326</v>
      </c>
      <c r="V85" s="152">
        <v>5</v>
      </c>
      <c r="W85" s="152">
        <f>IFERROR((JUL_2023[[#This Row],[Sales Amount]]-JUL_2023[[#This Row],[Cost]])/JUL_2023[[#This Row],[CNTR AMOUNT]],JUL_2023[[#This Row],[Sales Amount]]-JUL_2023[[#This Row],[Cost]])</f>
        <v>126.8</v>
      </c>
      <c r="X85" s="888">
        <f>IFERROR((JUL_2023[[#This Row],[Sales Amount]]-JUL_2023[[#This Row],[Cost]])/JUL_2023[[#This Row],[Cost]],"-")</f>
        <v>0.14655570966250578</v>
      </c>
      <c r="Y85" s="152"/>
      <c r="Z85" s="645"/>
    </row>
    <row r="86" spans="1:26">
      <c r="A86" s="117" t="s">
        <v>556</v>
      </c>
      <c r="B86" s="507" t="s">
        <v>1143</v>
      </c>
      <c r="C86" s="117" t="s">
        <v>451</v>
      </c>
      <c r="D86" s="822">
        <v>45126</v>
      </c>
      <c r="E86" s="1387">
        <v>45134</v>
      </c>
      <c r="F86" s="117" t="s">
        <v>151</v>
      </c>
      <c r="G86" s="117" t="s">
        <v>46</v>
      </c>
      <c r="H86" s="856">
        <v>45137</v>
      </c>
      <c r="I86" s="1177">
        <v>0.41666666666666669</v>
      </c>
      <c r="J86" s="117" t="s">
        <v>32</v>
      </c>
      <c r="K86" s="117" t="s">
        <v>558</v>
      </c>
      <c r="L86" s="4845" t="s">
        <v>1144</v>
      </c>
      <c r="M86" s="117" t="s">
        <v>1144</v>
      </c>
      <c r="N86" s="828">
        <v>45137</v>
      </c>
      <c r="O86" s="828">
        <v>45138</v>
      </c>
      <c r="P86" s="4168" t="s">
        <v>1145</v>
      </c>
      <c r="Q86" s="117" t="s">
        <v>75</v>
      </c>
      <c r="R86" s="507" t="s">
        <v>1146</v>
      </c>
      <c r="S86" s="117">
        <v>4</v>
      </c>
      <c r="T86" s="117">
        <v>1785</v>
      </c>
      <c r="U86" s="660">
        <v>1438</v>
      </c>
      <c r="V86" s="660">
        <v>1</v>
      </c>
      <c r="W86" s="660">
        <f>IFERROR((JUL_2023[[#This Row],[Sales Amount]]-JUL_2023[[#This Row],[Cost]])/JUL_2023[[#This Row],[CNTR AMOUNT]],JUL_2023[[#This Row],[Sales Amount]]-JUL_2023[[#This Row],[Cost]])</f>
        <v>347</v>
      </c>
      <c r="X86" s="919">
        <f>IFERROR((JUL_2023[[#This Row],[Sales Amount]]-JUL_2023[[#This Row],[Cost]])/JUL_2023[[#This Row],[Cost]],"-")</f>
        <v>0.24130737134909597</v>
      </c>
      <c r="Y86" s="660"/>
      <c r="Z86" s="113"/>
    </row>
    <row r="87" spans="1:26" s="117" customFormat="1">
      <c r="A87" s="117" t="s">
        <v>319</v>
      </c>
      <c r="B87" s="4150" t="s">
        <v>1147</v>
      </c>
      <c r="C87" s="117" t="s">
        <v>44</v>
      </c>
      <c r="D87" s="822">
        <v>45134</v>
      </c>
      <c r="E87" s="879">
        <v>45134</v>
      </c>
      <c r="F87" s="117" t="s">
        <v>45</v>
      </c>
      <c r="G87" s="117" t="s">
        <v>1148</v>
      </c>
      <c r="H87" s="879">
        <v>45145</v>
      </c>
      <c r="I87" s="1351" t="s">
        <v>1149</v>
      </c>
      <c r="J87" s="4150" t="s">
        <v>1150</v>
      </c>
      <c r="K87" s="117" t="s">
        <v>1151</v>
      </c>
      <c r="L87" s="117" t="s">
        <v>1152</v>
      </c>
      <c r="M87" s="839">
        <v>45140</v>
      </c>
      <c r="N87" s="839">
        <v>45139</v>
      </c>
      <c r="O87" s="1189">
        <v>45142</v>
      </c>
      <c r="P87" s="4150" t="s">
        <v>1153</v>
      </c>
      <c r="Q87" s="117" t="s">
        <v>75</v>
      </c>
      <c r="R87" s="3" t="s">
        <v>1154</v>
      </c>
      <c r="S87" s="117">
        <v>4</v>
      </c>
      <c r="T87" s="117">
        <v>2623.42</v>
      </c>
      <c r="U87" s="660">
        <v>2464.42</v>
      </c>
      <c r="V87" s="660">
        <v>1</v>
      </c>
      <c r="W87" s="660">
        <f>IFERROR((JUL_2023[[#This Row],[Sales Amount]]-JUL_2023[[#This Row],[Cost]])/JUL_2023[[#This Row],[CNTR AMOUNT]],JUL_2023[[#This Row],[Sales Amount]]-JUL_2023[[#This Row],[Cost]])</f>
        <v>159</v>
      </c>
      <c r="X87" s="919">
        <f>IFERROR((JUL_2023[[#This Row],[Sales Amount]]-JUL_2023[[#This Row],[Cost]])/JUL_2023[[#This Row],[Cost]],"-")</f>
        <v>6.4518223354785298E-2</v>
      </c>
      <c r="Y87" s="660"/>
      <c r="Z87" s="113"/>
    </row>
    <row r="88" spans="1:26">
      <c r="A88" s="4150" t="s">
        <v>1035</v>
      </c>
      <c r="B88" s="4150" t="s">
        <v>1155</v>
      </c>
      <c r="C88" s="4150" t="s">
        <v>85</v>
      </c>
      <c r="D88" s="822">
        <v>45127</v>
      </c>
      <c r="E88" s="879">
        <v>45134</v>
      </c>
      <c r="F88" s="4150" t="s">
        <v>151</v>
      </c>
      <c r="G88" s="117" t="s">
        <v>46</v>
      </c>
      <c r="H88" s="117" t="s">
        <v>1038</v>
      </c>
      <c r="I88" s="117"/>
      <c r="J88" s="4150" t="s">
        <v>32</v>
      </c>
      <c r="K88" s="4150" t="s">
        <v>162</v>
      </c>
      <c r="L88" s="507" t="s">
        <v>1156</v>
      </c>
      <c r="M88" s="1189">
        <v>45137</v>
      </c>
      <c r="N88" s="144">
        <v>45136</v>
      </c>
      <c r="O88" s="144">
        <v>45136</v>
      </c>
      <c r="P88" s="4150" t="s">
        <v>1157</v>
      </c>
      <c r="Q88" s="117" t="s">
        <v>75</v>
      </c>
      <c r="R88" s="507" t="s">
        <v>36</v>
      </c>
      <c r="S88" s="117"/>
      <c r="T88" s="117"/>
      <c r="U88" s="660"/>
      <c r="V88" s="660"/>
      <c r="W88" s="660">
        <f>IFERROR((JUL_2023[[#This Row],[Sales Amount]]-JUL_2023[[#This Row],[Cost]])/JUL_2023[[#This Row],[CNTR AMOUNT]],JUL_2023[[#This Row],[Sales Amount]]-JUL_2023[[#This Row],[Cost]])</f>
        <v>0</v>
      </c>
      <c r="X88" s="919" t="str">
        <f>IFERROR((JUL_2023[[#This Row],[Sales Amount]]-JUL_2023[[#This Row],[Cost]])/JUL_2023[[#This Row],[Cost]],"-")</f>
        <v>-</v>
      </c>
      <c r="Y88" s="660"/>
      <c r="Z88" s="113"/>
    </row>
    <row r="89" spans="1:26" hidden="1">
      <c r="A89" s="58" t="s">
        <v>622</v>
      </c>
      <c r="B89" s="4149" t="s">
        <v>1158</v>
      </c>
      <c r="C89" s="58" t="s">
        <v>44</v>
      </c>
      <c r="D89" s="844">
        <v>45128</v>
      </c>
      <c r="E89" s="1416">
        <v>45134</v>
      </c>
      <c r="F89" s="4149" t="s">
        <v>151</v>
      </c>
      <c r="G89" s="4149" t="s">
        <v>46</v>
      </c>
      <c r="H89" s="844"/>
      <c r="I89" s="58"/>
      <c r="J89" s="4149" t="s">
        <v>32</v>
      </c>
      <c r="K89" s="58" t="s">
        <v>624</v>
      </c>
      <c r="L89" s="58"/>
      <c r="M89" s="58"/>
      <c r="N89" s="58"/>
      <c r="O89" s="58"/>
      <c r="P89" s="4122" t="s">
        <v>1159</v>
      </c>
      <c r="Q89" s="58" t="s">
        <v>627</v>
      </c>
      <c r="R89" s="709" t="s">
        <v>51</v>
      </c>
      <c r="U89" s="93"/>
      <c r="V89" s="93"/>
      <c r="W89" s="93">
        <f>IFERROR((JUL_2023[[#This Row],[Sales Amount]]-JUL_2023[[#This Row],[Cost]])/JUL_2023[[#This Row],[CNTR AMOUNT]],JUL_2023[[#This Row],[Sales Amount]]-JUL_2023[[#This Row],[Cost]])</f>
        <v>0</v>
      </c>
      <c r="X89" s="970" t="str">
        <f>IFERROR((JUL_2023[[#This Row],[Sales Amount]]-JUL_2023[[#This Row],[Cost]])/JUL_2023[[#This Row],[Cost]],"-")</f>
        <v>-</v>
      </c>
      <c r="Y89" s="93"/>
      <c r="Z89" s="1068"/>
    </row>
    <row r="90" spans="1:26">
      <c r="A90" s="4150" t="s">
        <v>243</v>
      </c>
      <c r="B90" s="4150" t="s">
        <v>1160</v>
      </c>
      <c r="C90" s="4150" t="s">
        <v>44</v>
      </c>
      <c r="D90" s="822">
        <v>45135</v>
      </c>
      <c r="E90" s="879">
        <v>45135</v>
      </c>
      <c r="F90" s="4150" t="s">
        <v>245</v>
      </c>
      <c r="G90" s="4150" t="s">
        <v>1161</v>
      </c>
      <c r="H90" s="856">
        <v>45141</v>
      </c>
      <c r="I90" s="117" t="s">
        <v>1162</v>
      </c>
      <c r="J90" s="4150" t="s">
        <v>1163</v>
      </c>
      <c r="K90" s="4150" t="s">
        <v>1164</v>
      </c>
      <c r="L90" s="117"/>
      <c r="M90" s="822">
        <v>45141</v>
      </c>
      <c r="N90" s="822">
        <v>45140</v>
      </c>
      <c r="O90" s="828">
        <v>45142</v>
      </c>
      <c r="P90" s="4150" t="s">
        <v>1165</v>
      </c>
      <c r="Q90" s="4150" t="s">
        <v>75</v>
      </c>
      <c r="R90" s="795" t="s">
        <v>1166</v>
      </c>
      <c r="S90" s="4150">
        <v>4</v>
      </c>
      <c r="T90" s="117">
        <v>1815</v>
      </c>
      <c r="U90" s="120">
        <v>1408.45</v>
      </c>
      <c r="V90" s="120">
        <v>1</v>
      </c>
      <c r="W90" s="120">
        <f>IFERROR((JUL_2023[[#This Row],[Sales Amount]]-JUL_2023[[#This Row],[Cost]])/JUL_2023[[#This Row],[CNTR AMOUNT]],JUL_2023[[#This Row],[Sales Amount]]-JUL_2023[[#This Row],[Cost]])</f>
        <v>406.54999999999995</v>
      </c>
      <c r="X90" s="1067">
        <f>IFERROR((JUL_2023[[#This Row],[Sales Amount]]-JUL_2023[[#This Row],[Cost]])/JUL_2023[[#This Row],[Cost]],"-")</f>
        <v>0.28865064432532211</v>
      </c>
      <c r="Y90" s="120"/>
      <c r="Z90" s="1209"/>
    </row>
    <row r="91" spans="1:26" s="117" customFormat="1" hidden="1">
      <c r="A91" s="58" t="s">
        <v>42</v>
      </c>
      <c r="B91" s="4149" t="s">
        <v>1167</v>
      </c>
      <c r="C91" s="709" t="s">
        <v>44</v>
      </c>
      <c r="D91" s="844">
        <v>45128</v>
      </c>
      <c r="E91" s="1112">
        <v>45135</v>
      </c>
      <c r="F91" s="58" t="s">
        <v>86</v>
      </c>
      <c r="G91" s="58" t="s">
        <v>1168</v>
      </c>
      <c r="H91" s="1572" t="s">
        <v>1169</v>
      </c>
      <c r="I91" s="58" t="s">
        <v>1170</v>
      </c>
      <c r="J91" s="58" t="s">
        <v>1171</v>
      </c>
      <c r="K91" s="58" t="s">
        <v>1172</v>
      </c>
      <c r="L91" s="709"/>
      <c r="M91" s="1139">
        <v>45137</v>
      </c>
      <c r="N91" s="1139">
        <v>45138</v>
      </c>
      <c r="O91" s="1139">
        <v>45140</v>
      </c>
      <c r="P91" s="709" t="s">
        <v>1173</v>
      </c>
      <c r="Q91" s="58" t="s">
        <v>50</v>
      </c>
      <c r="R91" s="650" t="s">
        <v>36</v>
      </c>
      <c r="S91" s="709"/>
      <c r="T91" s="709"/>
      <c r="U91" s="718"/>
      <c r="V91" s="718"/>
      <c r="W91" s="718">
        <f>IFERROR((JUL_2023[[#This Row],[Sales Amount]]-JUL_2023[[#This Row],[Cost]])/JUL_2023[[#This Row],[CNTR AMOUNT]],JUL_2023[[#This Row],[Sales Amount]]-JUL_2023[[#This Row],[Cost]])</f>
        <v>0</v>
      </c>
      <c r="X91" s="1348" t="str">
        <f>IFERROR((JUL_2023[[#This Row],[Sales Amount]]-JUL_2023[[#This Row],[Cost]])/JUL_2023[[#This Row],[Cost]],"-")</f>
        <v>-</v>
      </c>
      <c r="Y91" s="718"/>
      <c r="Z91" s="1349"/>
    </row>
    <row r="92" spans="1:26" s="709" customFormat="1">
      <c r="A92" s="4150" t="s">
        <v>379</v>
      </c>
      <c r="B92" s="4150" t="s">
        <v>1174</v>
      </c>
      <c r="C92" s="4150" t="s">
        <v>200</v>
      </c>
      <c r="D92" s="822">
        <v>45135</v>
      </c>
      <c r="E92" s="729">
        <v>45135</v>
      </c>
      <c r="F92" s="117" t="s">
        <v>45</v>
      </c>
      <c r="G92" s="117" t="s">
        <v>1148</v>
      </c>
      <c r="H92" s="882" t="s">
        <v>382</v>
      </c>
      <c r="I92" s="882" t="s">
        <v>382</v>
      </c>
      <c r="J92" s="882" t="s">
        <v>382</v>
      </c>
      <c r="K92" s="117" t="s">
        <v>1037</v>
      </c>
      <c r="L92" s="117" t="s">
        <v>1038</v>
      </c>
      <c r="M92" s="822">
        <v>45141</v>
      </c>
      <c r="N92" s="822">
        <v>45138</v>
      </c>
      <c r="O92" s="822">
        <v>45139</v>
      </c>
      <c r="P92" s="4150" t="s">
        <v>1175</v>
      </c>
      <c r="Q92" s="117" t="s">
        <v>75</v>
      </c>
      <c r="R92" s="117" t="s">
        <v>1176</v>
      </c>
      <c r="S92" s="117"/>
      <c r="T92" s="117">
        <v>50</v>
      </c>
      <c r="U92" s="660">
        <v>0</v>
      </c>
      <c r="V92" s="660">
        <v>1</v>
      </c>
      <c r="W92" s="660">
        <f>IFERROR((JUL_2023[[#This Row],[Sales Amount]]-JUL_2023[[#This Row],[Cost]])/JUL_2023[[#This Row],[CNTR AMOUNT]],JUL_2023[[#This Row],[Sales Amount]]-JUL_2023[[#This Row],[Cost]])</f>
        <v>50</v>
      </c>
      <c r="X92" s="919" t="str">
        <f>IFERROR((JUL_2023[[#This Row],[Sales Amount]]-JUL_2023[[#This Row],[Cost]])/JUL_2023[[#This Row],[Cost]],"-")</f>
        <v>-</v>
      </c>
      <c r="Y92" s="660"/>
      <c r="Z92" s="113"/>
    </row>
    <row r="93" spans="1:26" s="117" customFormat="1">
      <c r="A93" s="4150" t="s">
        <v>1177</v>
      </c>
      <c r="B93" s="766" t="s">
        <v>1178</v>
      </c>
      <c r="C93" s="4150" t="s">
        <v>200</v>
      </c>
      <c r="D93" s="822">
        <v>45124</v>
      </c>
      <c r="E93" s="729">
        <v>45135</v>
      </c>
      <c r="F93" s="4150" t="s">
        <v>245</v>
      </c>
      <c r="G93" s="4150" t="s">
        <v>57</v>
      </c>
      <c r="H93" s="839">
        <v>45138</v>
      </c>
      <c r="I93" s="766" t="s">
        <v>618</v>
      </c>
      <c r="J93" s="117" t="s">
        <v>32</v>
      </c>
      <c r="K93" s="4150" t="s">
        <v>1179</v>
      </c>
      <c r="L93" s="117">
        <v>2742316</v>
      </c>
      <c r="M93" s="839">
        <v>45138</v>
      </c>
      <c r="N93" s="839">
        <v>45138</v>
      </c>
      <c r="O93" s="1189">
        <v>45149</v>
      </c>
      <c r="P93" s="3" t="s">
        <v>1180</v>
      </c>
      <c r="Q93" s="4150" t="s">
        <v>75</v>
      </c>
      <c r="R93" s="3" t="s">
        <v>1181</v>
      </c>
      <c r="S93" s="117">
        <v>4</v>
      </c>
      <c r="T93" s="117">
        <v>1704</v>
      </c>
      <c r="U93" s="660">
        <v>1494</v>
      </c>
      <c r="V93" s="660">
        <v>3</v>
      </c>
      <c r="W93" s="660">
        <f>IFERROR((JUL_2023[[#This Row],[Sales Amount]]-JUL_2023[[#This Row],[Cost]])/JUL_2023[[#This Row],[CNTR AMOUNT]],JUL_2023[[#This Row],[Sales Amount]]-JUL_2023[[#This Row],[Cost]])</f>
        <v>70</v>
      </c>
      <c r="X93" s="919">
        <f>IFERROR((JUL_2023[[#This Row],[Sales Amount]]-JUL_2023[[#This Row],[Cost]])/JUL_2023[[#This Row],[Cost]],"-")</f>
        <v>0.14056224899598393</v>
      </c>
      <c r="Y93" s="660"/>
      <c r="Z93" s="113"/>
    </row>
    <row r="94" spans="1:26" s="117" customFormat="1">
      <c r="A94" s="4150" t="s">
        <v>1177</v>
      </c>
      <c r="B94" s="4150" t="s">
        <v>1182</v>
      </c>
      <c r="C94" s="4150" t="s">
        <v>200</v>
      </c>
      <c r="D94" s="822">
        <v>45124</v>
      </c>
      <c r="E94" s="879">
        <v>45135</v>
      </c>
      <c r="F94" s="4150" t="s">
        <v>245</v>
      </c>
      <c r="G94" s="4150" t="s">
        <v>57</v>
      </c>
      <c r="H94" s="839">
        <v>45138</v>
      </c>
      <c r="I94" s="766" t="s">
        <v>445</v>
      </c>
      <c r="J94" s="117" t="s">
        <v>32</v>
      </c>
      <c r="K94" s="4150" t="s">
        <v>1179</v>
      </c>
      <c r="L94" s="117">
        <v>2742382</v>
      </c>
      <c r="M94" s="839">
        <v>45138</v>
      </c>
      <c r="N94" s="839">
        <v>45138</v>
      </c>
      <c r="O94" s="828">
        <v>45147</v>
      </c>
      <c r="P94" s="4150" t="s">
        <v>1183</v>
      </c>
      <c r="Q94" s="4150" t="s">
        <v>75</v>
      </c>
      <c r="R94" s="3" t="s">
        <v>1184</v>
      </c>
      <c r="S94" s="117">
        <v>4</v>
      </c>
      <c r="T94" s="117">
        <v>1750</v>
      </c>
      <c r="U94" s="660">
        <v>1562</v>
      </c>
      <c r="V94" s="660">
        <v>3</v>
      </c>
      <c r="W94" s="660">
        <f>IFERROR((JUL_2023[[#This Row],[Sales Amount]]-JUL_2023[[#This Row],[Cost]])/JUL_2023[[#This Row],[CNTR AMOUNT]],JUL_2023[[#This Row],[Sales Amount]]-JUL_2023[[#This Row],[Cost]])</f>
        <v>62.666666666666664</v>
      </c>
      <c r="X94" s="919">
        <f>IFERROR((JUL_2023[[#This Row],[Sales Amount]]-JUL_2023[[#This Row],[Cost]])/JUL_2023[[#This Row],[Cost]],"-")</f>
        <v>0.1203585147247119</v>
      </c>
      <c r="Y94" s="660"/>
      <c r="Z94" s="113"/>
    </row>
    <row r="95" spans="1:26" s="117" customFormat="1">
      <c r="A95" s="4150" t="s">
        <v>1177</v>
      </c>
      <c r="B95" s="117" t="s">
        <v>1185</v>
      </c>
      <c r="C95" s="4150" t="s">
        <v>200</v>
      </c>
      <c r="D95" s="822">
        <v>45124</v>
      </c>
      <c r="E95" s="879">
        <v>45135</v>
      </c>
      <c r="F95" s="4150" t="s">
        <v>245</v>
      </c>
      <c r="G95" s="4150" t="s">
        <v>57</v>
      </c>
      <c r="H95" s="839">
        <v>45138</v>
      </c>
      <c r="I95" s="766" t="s">
        <v>926</v>
      </c>
      <c r="J95" s="117" t="s">
        <v>32</v>
      </c>
      <c r="K95" s="4150" t="s">
        <v>1179</v>
      </c>
      <c r="L95" s="117">
        <v>2742389</v>
      </c>
      <c r="M95" s="839">
        <v>45138</v>
      </c>
      <c r="N95" s="839">
        <v>45138</v>
      </c>
      <c r="O95" s="828">
        <v>45147</v>
      </c>
      <c r="P95" s="4165" t="s">
        <v>1186</v>
      </c>
      <c r="Q95" s="4150" t="s">
        <v>75</v>
      </c>
      <c r="R95" s="117" t="s">
        <v>1184</v>
      </c>
      <c r="S95" s="117">
        <v>4</v>
      </c>
      <c r="T95" s="117">
        <v>1750</v>
      </c>
      <c r="U95" s="660">
        <v>1562</v>
      </c>
      <c r="V95" s="660">
        <v>3</v>
      </c>
      <c r="W95" s="660">
        <f>IFERROR((JUL_2023[[#This Row],[Sales Amount]]-JUL_2023[[#This Row],[Cost]])/JUL_2023[[#This Row],[CNTR AMOUNT]],JUL_2023[[#This Row],[Sales Amount]]-JUL_2023[[#This Row],[Cost]])</f>
        <v>62.666666666666664</v>
      </c>
      <c r="X95" s="919">
        <f>IFERROR((JUL_2023[[#This Row],[Sales Amount]]-JUL_2023[[#This Row],[Cost]])/JUL_2023[[#This Row],[Cost]],"-")</f>
        <v>0.1203585147247119</v>
      </c>
      <c r="Y95" s="660"/>
      <c r="Z95" s="113"/>
    </row>
    <row r="96" spans="1:26" hidden="1">
      <c r="A96" s="58" t="s">
        <v>171</v>
      </c>
      <c r="B96" s="58" t="s">
        <v>1187</v>
      </c>
      <c r="C96" s="1114" t="s">
        <v>28</v>
      </c>
      <c r="D96" s="844">
        <v>45117</v>
      </c>
      <c r="E96" s="1112">
        <v>45135</v>
      </c>
      <c r="F96" s="58" t="s">
        <v>326</v>
      </c>
      <c r="G96" s="58" t="s">
        <v>46</v>
      </c>
      <c r="H96" s="844">
        <v>45135</v>
      </c>
      <c r="I96" s="58"/>
      <c r="J96" s="58" t="s">
        <v>32</v>
      </c>
      <c r="K96" s="58" t="s">
        <v>174</v>
      </c>
      <c r="L96" s="915" t="s">
        <v>1188</v>
      </c>
      <c r="M96" s="1115">
        <v>45136</v>
      </c>
      <c r="N96" s="1115">
        <v>45135</v>
      </c>
      <c r="O96" s="1115">
        <v>45135</v>
      </c>
      <c r="P96" s="709" t="s">
        <v>1189</v>
      </c>
      <c r="Q96" s="58" t="s">
        <v>35</v>
      </c>
      <c r="R96" s="58" t="s">
        <v>36</v>
      </c>
      <c r="S96" s="58" t="s">
        <v>37</v>
      </c>
      <c r="T96" s="106">
        <v>940</v>
      </c>
      <c r="U96" s="85">
        <v>751</v>
      </c>
      <c r="V96" s="152"/>
      <c r="W96" s="152">
        <f>IFERROR((JUL_2023[[#This Row],[Sales Amount]]-JUL_2023[[#This Row],[Cost]])/JUL_2023[[#This Row],[CNTR AMOUNT]],JUL_2023[[#This Row],[Sales Amount]]-JUL_2023[[#This Row],[Cost]])</f>
        <v>189</v>
      </c>
      <c r="X96" s="888">
        <f>IFERROR((JUL_2023[[#This Row],[Sales Amount]]-JUL_2023[[#This Row],[Cost]])/JUL_2023[[#This Row],[Cost]],"-")</f>
        <v>0.25166444740346205</v>
      </c>
      <c r="Y96" s="152"/>
      <c r="Z96" s="645"/>
    </row>
    <row r="97" spans="1:26" s="1350" customFormat="1" hidden="1">
      <c r="A97" s="58" t="s">
        <v>821</v>
      </c>
      <c r="B97" s="58" t="s">
        <v>1190</v>
      </c>
      <c r="C97" s="58" t="s">
        <v>28</v>
      </c>
      <c r="D97" s="1139">
        <v>45131</v>
      </c>
      <c r="E97" s="1112">
        <f>5+JUL_2023[[#This Row],[ETA PORT]]</f>
        <v>45136</v>
      </c>
      <c r="F97" s="58" t="s">
        <v>98</v>
      </c>
      <c r="G97" s="1383" t="s">
        <v>46</v>
      </c>
      <c r="H97" s="58"/>
      <c r="I97" s="58"/>
      <c r="J97" s="58" t="s">
        <v>32</v>
      </c>
      <c r="K97" s="58" t="s">
        <v>47</v>
      </c>
      <c r="L97" s="1436" t="s">
        <v>1191</v>
      </c>
      <c r="M97" s="844">
        <v>45142</v>
      </c>
      <c r="N97" s="844">
        <v>45140</v>
      </c>
      <c r="O97" s="844">
        <v>45142</v>
      </c>
      <c r="P97" s="709" t="s">
        <v>1192</v>
      </c>
      <c r="Q97" s="58" t="s">
        <v>50</v>
      </c>
      <c r="R97" s="709" t="s">
        <v>51</v>
      </c>
      <c r="S97" s="709"/>
      <c r="T97" s="709"/>
      <c r="U97" s="727"/>
      <c r="V97" s="727"/>
      <c r="W97" s="727">
        <f>IFERROR((JUL_2023[[#This Row],[Sales Amount]]-JUL_2023[[#This Row],[Cost]])/JUL_2023[[#This Row],[CNTR AMOUNT]],JUL_2023[[#This Row],[Sales Amount]]-JUL_2023[[#This Row],[Cost]])</f>
        <v>0</v>
      </c>
      <c r="X97" s="1179" t="str">
        <f>IFERROR((JUL_2023[[#This Row],[Sales Amount]]-JUL_2023[[#This Row],[Cost]])/JUL_2023[[#This Row],[Cost]],"-")</f>
        <v>-</v>
      </c>
      <c r="Y97" s="727"/>
      <c r="Z97" s="711"/>
    </row>
    <row r="98" spans="1:26" s="117" customFormat="1">
      <c r="A98" s="4150" t="s">
        <v>1177</v>
      </c>
      <c r="B98" s="766" t="s">
        <v>1193</v>
      </c>
      <c r="C98" s="4150" t="s">
        <v>200</v>
      </c>
      <c r="D98" s="822">
        <v>45124</v>
      </c>
      <c r="E98" s="879">
        <v>45136</v>
      </c>
      <c r="F98" s="4150" t="s">
        <v>245</v>
      </c>
      <c r="G98" s="4150" t="s">
        <v>57</v>
      </c>
      <c r="H98" s="839">
        <v>45138</v>
      </c>
      <c r="I98" s="766" t="s">
        <v>40</v>
      </c>
      <c r="J98" s="117" t="s">
        <v>32</v>
      </c>
      <c r="K98" s="4150" t="s">
        <v>1179</v>
      </c>
      <c r="L98" s="117">
        <v>2742265</v>
      </c>
      <c r="M98" s="839">
        <v>45139</v>
      </c>
      <c r="N98" s="839">
        <v>45138</v>
      </c>
      <c r="O98" s="828">
        <v>45147</v>
      </c>
      <c r="P98" s="3" t="s">
        <v>1194</v>
      </c>
      <c r="Q98" s="4150" t="s">
        <v>75</v>
      </c>
      <c r="R98" s="3" t="s">
        <v>1181</v>
      </c>
      <c r="S98" s="117">
        <v>4</v>
      </c>
      <c r="T98" s="117">
        <v>1703</v>
      </c>
      <c r="U98" s="660">
        <v>1494</v>
      </c>
      <c r="V98" s="660">
        <v>3</v>
      </c>
      <c r="W98" s="660">
        <f>IFERROR((JUL_2023[[#This Row],[Sales Amount]]-JUL_2023[[#This Row],[Cost]])/JUL_2023[[#This Row],[CNTR AMOUNT]],JUL_2023[[#This Row],[Sales Amount]]-JUL_2023[[#This Row],[Cost]])</f>
        <v>69.666666666666671</v>
      </c>
      <c r="X98" s="919">
        <f>IFERROR((JUL_2023[[#This Row],[Sales Amount]]-JUL_2023[[#This Row],[Cost]])/JUL_2023[[#This Row],[Cost]],"-")</f>
        <v>0.13989290495314591</v>
      </c>
      <c r="Y98" s="660"/>
      <c r="Z98" s="113"/>
    </row>
    <row r="99" spans="1:26" s="117" customFormat="1">
      <c r="A99" s="4150" t="s">
        <v>1177</v>
      </c>
      <c r="B99" s="766" t="s">
        <v>1195</v>
      </c>
      <c r="C99" s="4150" t="s">
        <v>200</v>
      </c>
      <c r="D99" s="822">
        <v>45124</v>
      </c>
      <c r="E99" s="879">
        <v>45136</v>
      </c>
      <c r="F99" s="4150" t="s">
        <v>245</v>
      </c>
      <c r="G99" s="4150" t="s">
        <v>57</v>
      </c>
      <c r="H99" s="839">
        <v>45138</v>
      </c>
      <c r="I99" s="766" t="s">
        <v>1196</v>
      </c>
      <c r="J99" s="117" t="s">
        <v>32</v>
      </c>
      <c r="K99" s="4150" t="s">
        <v>1179</v>
      </c>
      <c r="L99" s="117">
        <v>2742378</v>
      </c>
      <c r="M99" s="839">
        <v>45139</v>
      </c>
      <c r="N99" s="839">
        <v>45138</v>
      </c>
      <c r="O99" s="839">
        <v>45148</v>
      </c>
      <c r="P99" s="4150" t="s">
        <v>1197</v>
      </c>
      <c r="Q99" s="4150" t="s">
        <v>75</v>
      </c>
      <c r="R99" s="117" t="s">
        <v>1184</v>
      </c>
      <c r="S99" s="117">
        <v>4</v>
      </c>
      <c r="T99" s="117">
        <v>1750</v>
      </c>
      <c r="U99" s="660">
        <v>1562</v>
      </c>
      <c r="V99" s="660">
        <v>3</v>
      </c>
      <c r="W99" s="660">
        <f>IFERROR((JUL_2023[[#This Row],[Sales Amount]]-JUL_2023[[#This Row],[Cost]])/JUL_2023[[#This Row],[CNTR AMOUNT]],JUL_2023[[#This Row],[Sales Amount]]-JUL_2023[[#This Row],[Cost]])</f>
        <v>62.666666666666664</v>
      </c>
      <c r="X99" s="919">
        <f>IFERROR((JUL_2023[[#This Row],[Sales Amount]]-JUL_2023[[#This Row],[Cost]])/JUL_2023[[#This Row],[Cost]],"-")</f>
        <v>0.1203585147247119</v>
      </c>
      <c r="Y99" s="660"/>
      <c r="Z99" s="113"/>
    </row>
    <row r="100" spans="1:26" s="709" customFormat="1" hidden="1">
      <c r="A100" s="709" t="s">
        <v>468</v>
      </c>
      <c r="B100" s="1564" t="s">
        <v>1198</v>
      </c>
      <c r="C100" s="709" t="s">
        <v>200</v>
      </c>
      <c r="D100" s="912"/>
      <c r="E100" s="912">
        <v>45137</v>
      </c>
      <c r="F100" s="709" t="s">
        <v>245</v>
      </c>
      <c r="G100" s="709" t="s">
        <v>57</v>
      </c>
      <c r="H100" s="912">
        <v>45139</v>
      </c>
      <c r="J100" s="1419" t="s">
        <v>32</v>
      </c>
      <c r="K100" s="709" t="s">
        <v>504</v>
      </c>
      <c r="L100" s="1419">
        <v>2922834</v>
      </c>
      <c r="P100" s="709" t="s">
        <v>1199</v>
      </c>
      <c r="Q100" s="709" t="s">
        <v>170</v>
      </c>
      <c r="R100" s="709" t="s">
        <v>51</v>
      </c>
      <c r="S100" s="106"/>
      <c r="T100" s="106">
        <v>2880</v>
      </c>
      <c r="U100" s="152">
        <v>1922</v>
      </c>
      <c r="V100" s="152"/>
      <c r="W100" s="152">
        <f>IFERROR((JUL_2023[[#This Row],[Sales Amount]]-JUL_2023[[#This Row],[Cost]])/JUL_2023[[#This Row],[CNTR AMOUNT]],JUL_2023[[#This Row],[Sales Amount]]-JUL_2023[[#This Row],[Cost]])</f>
        <v>958</v>
      </c>
      <c r="X100" s="888">
        <f>IFERROR((JUL_2023[[#This Row],[Sales Amount]]-JUL_2023[[#This Row],[Cost]])/JUL_2023[[#This Row],[Cost]],"-")</f>
        <v>0.49843912591050987</v>
      </c>
      <c r="Y100" s="152"/>
      <c r="Z100" s="645"/>
    </row>
    <row r="101" spans="1:26" hidden="1">
      <c r="A101" s="709" t="s">
        <v>468</v>
      </c>
      <c r="B101" s="1564" t="s">
        <v>1200</v>
      </c>
      <c r="C101" s="709" t="s">
        <v>200</v>
      </c>
      <c r="D101" s="912"/>
      <c r="E101" s="912">
        <v>45137</v>
      </c>
      <c r="F101" s="709" t="s">
        <v>245</v>
      </c>
      <c r="G101" s="709" t="s">
        <v>57</v>
      </c>
      <c r="H101" s="912">
        <v>45139</v>
      </c>
      <c r="I101" s="709"/>
      <c r="J101" s="1419" t="s">
        <v>32</v>
      </c>
      <c r="K101" s="709" t="s">
        <v>504</v>
      </c>
      <c r="L101" s="1419">
        <v>2922833</v>
      </c>
      <c r="M101" s="709"/>
      <c r="N101" s="709"/>
      <c r="O101" s="709"/>
      <c r="P101" s="709" t="s">
        <v>1199</v>
      </c>
      <c r="Q101" s="709" t="s">
        <v>170</v>
      </c>
      <c r="R101" s="709" t="s">
        <v>51</v>
      </c>
      <c r="T101" s="106">
        <v>2880</v>
      </c>
      <c r="U101" s="152">
        <v>1922</v>
      </c>
      <c r="V101" s="152"/>
      <c r="W101" s="152">
        <f>IFERROR((JUL_2023[[#This Row],[Sales Amount]]-JUL_2023[[#This Row],[Cost]])/JUL_2023[[#This Row],[CNTR AMOUNT]],JUL_2023[[#This Row],[Sales Amount]]-JUL_2023[[#This Row],[Cost]])</f>
        <v>958</v>
      </c>
      <c r="X101" s="888">
        <f>IFERROR((JUL_2023[[#This Row],[Sales Amount]]-JUL_2023[[#This Row],[Cost]])/JUL_2023[[#This Row],[Cost]],"-")</f>
        <v>0.49843912591050987</v>
      </c>
      <c r="Y101" s="152"/>
      <c r="Z101" s="645"/>
    </row>
    <row r="102" spans="1:26" hidden="1">
      <c r="A102" s="710" t="s">
        <v>26</v>
      </c>
      <c r="B102" s="58" t="s">
        <v>1201</v>
      </c>
      <c r="C102" s="1114" t="s">
        <v>28</v>
      </c>
      <c r="D102" s="844">
        <v>45123</v>
      </c>
      <c r="E102" s="1112">
        <v>45137</v>
      </c>
      <c r="F102" s="58" t="s">
        <v>29</v>
      </c>
      <c r="G102" s="58" t="s">
        <v>30</v>
      </c>
      <c r="H102" s="1115">
        <v>45140</v>
      </c>
      <c r="I102" s="915" t="s">
        <v>1202</v>
      </c>
      <c r="J102" s="58" t="s">
        <v>32</v>
      </c>
      <c r="K102" s="4149" t="s">
        <v>1140</v>
      </c>
      <c r="L102" s="915">
        <v>339940</v>
      </c>
      <c r="M102" s="1115">
        <v>45140</v>
      </c>
      <c r="N102" s="1119">
        <v>45139</v>
      </c>
      <c r="O102" s="1119">
        <v>45140</v>
      </c>
      <c r="P102" s="650" t="s">
        <v>1141</v>
      </c>
      <c r="Q102" s="58" t="s">
        <v>35</v>
      </c>
      <c r="R102" s="58" t="s">
        <v>36</v>
      </c>
      <c r="S102" s="58" t="s">
        <v>37</v>
      </c>
      <c r="T102" s="106">
        <v>4960</v>
      </c>
      <c r="U102" s="85">
        <v>4326</v>
      </c>
      <c r="V102" s="152">
        <v>5</v>
      </c>
      <c r="W102" s="152">
        <f>IFERROR((JUL_2023[[#This Row],[Sales Amount]]-JUL_2023[[#This Row],[Cost]])/JUL_2023[[#This Row],[CNTR AMOUNT]],JUL_2023[[#This Row],[Sales Amount]]-JUL_2023[[#This Row],[Cost]])</f>
        <v>126.8</v>
      </c>
      <c r="X102" s="888">
        <f>IFERROR((JUL_2023[[#This Row],[Sales Amount]]-JUL_2023[[#This Row],[Cost]])/JUL_2023[[#This Row],[Cost]],"-")</f>
        <v>0.14655570966250578</v>
      </c>
      <c r="Y102" s="152"/>
      <c r="Z102" s="645"/>
    </row>
    <row r="103" spans="1:26" s="709" customFormat="1" hidden="1">
      <c r="A103" s="58" t="s">
        <v>171</v>
      </c>
      <c r="B103" s="58" t="s">
        <v>1203</v>
      </c>
      <c r="C103" s="58" t="s">
        <v>44</v>
      </c>
      <c r="D103" s="844">
        <v>45125</v>
      </c>
      <c r="E103" s="1112">
        <v>45137</v>
      </c>
      <c r="F103" s="58" t="s">
        <v>56</v>
      </c>
      <c r="G103" s="58" t="s">
        <v>46</v>
      </c>
      <c r="H103" s="844">
        <v>45138</v>
      </c>
      <c r="I103" s="58"/>
      <c r="J103" s="58" t="s">
        <v>32</v>
      </c>
      <c r="K103" s="710" t="s">
        <v>174</v>
      </c>
      <c r="L103" s="915" t="s">
        <v>1204</v>
      </c>
      <c r="M103" s="1115">
        <v>45140</v>
      </c>
      <c r="N103" s="844">
        <v>45138</v>
      </c>
      <c r="O103" s="844">
        <v>45138</v>
      </c>
      <c r="P103" s="709" t="s">
        <v>1205</v>
      </c>
      <c r="Q103" s="58" t="s">
        <v>35</v>
      </c>
      <c r="R103" s="58" t="s">
        <v>36</v>
      </c>
      <c r="S103" s="58" t="s">
        <v>37</v>
      </c>
      <c r="T103" s="106">
        <v>805</v>
      </c>
      <c r="U103" s="85">
        <v>656</v>
      </c>
      <c r="V103" s="152"/>
      <c r="W103" s="152">
        <f>IFERROR((JUL_2023[[#This Row],[Sales Amount]]-JUL_2023[[#This Row],[Cost]])/JUL_2023[[#This Row],[CNTR AMOUNT]],JUL_2023[[#This Row],[Sales Amount]]-JUL_2023[[#This Row],[Cost]])</f>
        <v>149</v>
      </c>
      <c r="X103" s="888">
        <f>IFERROR((JUL_2023[[#This Row],[Sales Amount]]-JUL_2023[[#This Row],[Cost]])/JUL_2023[[#This Row],[Cost]],"-")</f>
        <v>0.22713414634146342</v>
      </c>
      <c r="Y103" s="152"/>
      <c r="Z103" s="645"/>
    </row>
    <row r="104" spans="1:26" s="709" customFormat="1" hidden="1">
      <c r="A104" s="58" t="s">
        <v>171</v>
      </c>
      <c r="B104" s="58" t="s">
        <v>1206</v>
      </c>
      <c r="C104" s="58" t="s">
        <v>44</v>
      </c>
      <c r="D104" s="844">
        <v>45125</v>
      </c>
      <c r="E104" s="1112">
        <v>45137</v>
      </c>
      <c r="F104" s="58" t="s">
        <v>56</v>
      </c>
      <c r="G104" s="58" t="s">
        <v>46</v>
      </c>
      <c r="H104" s="844">
        <v>45138</v>
      </c>
      <c r="I104" s="58"/>
      <c r="J104" s="58" t="s">
        <v>32</v>
      </c>
      <c r="K104" s="58" t="s">
        <v>174</v>
      </c>
      <c r="L104" s="915" t="s">
        <v>1207</v>
      </c>
      <c r="M104" s="1115">
        <v>45140</v>
      </c>
      <c r="N104" s="844">
        <v>45138</v>
      </c>
      <c r="O104" s="844">
        <v>45139</v>
      </c>
      <c r="P104" s="650" t="s">
        <v>1208</v>
      </c>
      <c r="Q104" s="58" t="s">
        <v>35</v>
      </c>
      <c r="R104" s="58" t="s">
        <v>36</v>
      </c>
      <c r="S104" s="58" t="s">
        <v>37</v>
      </c>
      <c r="T104" s="106">
        <v>805</v>
      </c>
      <c r="U104" s="85">
        <v>656</v>
      </c>
      <c r="V104" s="152"/>
      <c r="W104" s="152">
        <f>IFERROR((JUL_2023[[#This Row],[Sales Amount]]-JUL_2023[[#This Row],[Cost]])/JUL_2023[[#This Row],[CNTR AMOUNT]],JUL_2023[[#This Row],[Sales Amount]]-JUL_2023[[#This Row],[Cost]])</f>
        <v>149</v>
      </c>
      <c r="X104" s="888">
        <f>IFERROR((JUL_2023[[#This Row],[Sales Amount]]-JUL_2023[[#This Row],[Cost]])/JUL_2023[[#This Row],[Cost]],"-")</f>
        <v>0.22713414634146342</v>
      </c>
      <c r="Y104" s="152"/>
      <c r="Z104" s="645"/>
    </row>
    <row r="105" spans="1:26" hidden="1">
      <c r="A105" s="58" t="s">
        <v>26</v>
      </c>
      <c r="B105" s="58" t="s">
        <v>1209</v>
      </c>
      <c r="C105" s="1114" t="s">
        <v>28</v>
      </c>
      <c r="D105" s="844">
        <v>45123</v>
      </c>
      <c r="E105" s="1112">
        <v>45137</v>
      </c>
      <c r="F105" s="58" t="s">
        <v>29</v>
      </c>
      <c r="G105" s="58" t="s">
        <v>30</v>
      </c>
      <c r="H105" s="1115">
        <v>45140</v>
      </c>
      <c r="I105" s="915" t="s">
        <v>104</v>
      </c>
      <c r="J105" s="58" t="s">
        <v>32</v>
      </c>
      <c r="K105" s="58" t="s">
        <v>1140</v>
      </c>
      <c r="L105" s="915">
        <v>270838</v>
      </c>
      <c r="M105" s="1115">
        <v>45140</v>
      </c>
      <c r="N105" s="1115">
        <v>45140</v>
      </c>
      <c r="O105" s="1119">
        <v>45140</v>
      </c>
      <c r="P105" s="4122" t="s">
        <v>1210</v>
      </c>
      <c r="Q105" s="58" t="s">
        <v>35</v>
      </c>
      <c r="R105" s="58" t="s">
        <v>36</v>
      </c>
      <c r="S105" s="58" t="s">
        <v>37</v>
      </c>
      <c r="T105" s="106">
        <v>4475</v>
      </c>
      <c r="U105" s="85">
        <v>3793</v>
      </c>
      <c r="V105" s="152">
        <v>5</v>
      </c>
      <c r="W105" s="152">
        <f>IFERROR((JUL_2023[[#This Row],[Sales Amount]]-JUL_2023[[#This Row],[Cost]])/JUL_2023[[#This Row],[CNTR AMOUNT]],JUL_2023[[#This Row],[Sales Amount]]-JUL_2023[[#This Row],[Cost]])</f>
        <v>136.4</v>
      </c>
      <c r="X105" s="888">
        <f>IFERROR((JUL_2023[[#This Row],[Sales Amount]]-JUL_2023[[#This Row],[Cost]])/JUL_2023[[#This Row],[Cost]],"-")</f>
        <v>0.17980490377010283</v>
      </c>
      <c r="Y105" s="152"/>
      <c r="Z105" s="645"/>
    </row>
    <row r="106" spans="1:26" hidden="1">
      <c r="A106" s="58" t="s">
        <v>26</v>
      </c>
      <c r="B106" s="58" t="s">
        <v>1211</v>
      </c>
      <c r="C106" s="1114" t="s">
        <v>28</v>
      </c>
      <c r="D106" s="844">
        <v>45123</v>
      </c>
      <c r="E106" s="1112">
        <v>45137</v>
      </c>
      <c r="F106" s="58" t="s">
        <v>29</v>
      </c>
      <c r="G106" s="58" t="s">
        <v>30</v>
      </c>
      <c r="H106" s="1115">
        <v>45140</v>
      </c>
      <c r="I106" s="915" t="s">
        <v>104</v>
      </c>
      <c r="J106" s="58" t="s">
        <v>32</v>
      </c>
      <c r="K106" s="58" t="s">
        <v>1140</v>
      </c>
      <c r="L106" s="915">
        <v>738216</v>
      </c>
      <c r="M106" s="1115">
        <v>45140</v>
      </c>
      <c r="N106" s="1115">
        <v>45140</v>
      </c>
      <c r="O106" s="1119">
        <v>45140</v>
      </c>
      <c r="P106" s="709" t="s">
        <v>1210</v>
      </c>
      <c r="Q106" s="58" t="s">
        <v>35</v>
      </c>
      <c r="R106" s="58" t="s">
        <v>36</v>
      </c>
      <c r="S106" s="58" t="s">
        <v>37</v>
      </c>
      <c r="T106" s="106">
        <v>4475</v>
      </c>
      <c r="U106" s="85">
        <v>3793</v>
      </c>
      <c r="V106" s="152">
        <v>5</v>
      </c>
      <c r="W106" s="152">
        <f>IFERROR((JUL_2023[[#This Row],[Sales Amount]]-JUL_2023[[#This Row],[Cost]])/JUL_2023[[#This Row],[CNTR AMOUNT]],JUL_2023[[#This Row],[Sales Amount]]-JUL_2023[[#This Row],[Cost]])</f>
        <v>136.4</v>
      </c>
      <c r="X106" s="888">
        <f>IFERROR((JUL_2023[[#This Row],[Sales Amount]]-JUL_2023[[#This Row],[Cost]])/JUL_2023[[#This Row],[Cost]],"-")</f>
        <v>0.17980490377010283</v>
      </c>
      <c r="Y106" s="152"/>
      <c r="Z106" s="645"/>
    </row>
    <row r="107" spans="1:26" hidden="1">
      <c r="A107" s="58" t="s">
        <v>26</v>
      </c>
      <c r="B107" s="58" t="s">
        <v>1212</v>
      </c>
      <c r="C107" s="1114" t="s">
        <v>28</v>
      </c>
      <c r="D107" s="844">
        <v>45123</v>
      </c>
      <c r="E107" s="1112">
        <v>45137</v>
      </c>
      <c r="F107" s="58" t="s">
        <v>29</v>
      </c>
      <c r="G107" s="58" t="s">
        <v>30</v>
      </c>
      <c r="H107" s="1115">
        <v>45140</v>
      </c>
      <c r="I107" s="915" t="s">
        <v>178</v>
      </c>
      <c r="J107" s="58" t="s">
        <v>32</v>
      </c>
      <c r="K107" s="58" t="s">
        <v>1140</v>
      </c>
      <c r="L107" s="915">
        <v>269081</v>
      </c>
      <c r="M107" s="1115">
        <v>45140</v>
      </c>
      <c r="N107" s="1119">
        <v>45140</v>
      </c>
      <c r="O107" s="1119">
        <v>45140</v>
      </c>
      <c r="P107" s="709" t="s">
        <v>1210</v>
      </c>
      <c r="Q107" s="58" t="s">
        <v>35</v>
      </c>
      <c r="R107" s="58" t="s">
        <v>36</v>
      </c>
      <c r="S107" s="58" t="s">
        <v>37</v>
      </c>
      <c r="T107" s="106">
        <v>4475</v>
      </c>
      <c r="U107" s="85">
        <v>3793</v>
      </c>
      <c r="V107" s="152">
        <v>5</v>
      </c>
      <c r="W107" s="152">
        <f>IFERROR((JUL_2023[[#This Row],[Sales Amount]]-JUL_2023[[#This Row],[Cost]])/JUL_2023[[#This Row],[CNTR AMOUNT]],JUL_2023[[#This Row],[Sales Amount]]-JUL_2023[[#This Row],[Cost]])</f>
        <v>136.4</v>
      </c>
      <c r="X107" s="888">
        <f>IFERROR((JUL_2023[[#This Row],[Sales Amount]]-JUL_2023[[#This Row],[Cost]])/JUL_2023[[#This Row],[Cost]],"-")</f>
        <v>0.17980490377010283</v>
      </c>
      <c r="Y107" s="152"/>
      <c r="Z107" s="645"/>
    </row>
    <row r="108" spans="1:26" s="709" customFormat="1" hidden="1">
      <c r="A108" s="58" t="s">
        <v>42</v>
      </c>
      <c r="B108" s="1175" t="s">
        <v>1213</v>
      </c>
      <c r="C108" s="709" t="s">
        <v>44</v>
      </c>
      <c r="D108" s="844">
        <v>45134</v>
      </c>
      <c r="E108" s="1112">
        <v>45137</v>
      </c>
      <c r="F108" s="58" t="s">
        <v>990</v>
      </c>
      <c r="G108" s="1383" t="s">
        <v>829</v>
      </c>
      <c r="H108" s="58"/>
      <c r="I108" s="58"/>
      <c r="J108" s="58" t="s">
        <v>168</v>
      </c>
      <c r="K108" s="58" t="s">
        <v>310</v>
      </c>
      <c r="L108" s="58" t="s">
        <v>1214</v>
      </c>
      <c r="M108" s="844">
        <v>45140</v>
      </c>
      <c r="N108" s="844">
        <v>45139</v>
      </c>
      <c r="O108" s="844"/>
      <c r="P108" s="709" t="s">
        <v>1215</v>
      </c>
      <c r="Q108" s="58" t="s">
        <v>50</v>
      </c>
      <c r="R108" s="709" t="s">
        <v>51</v>
      </c>
      <c r="U108" s="727"/>
      <c r="V108" s="727"/>
      <c r="W108" s="727">
        <f>IFERROR((JUL_2023[[#This Row],[Sales Amount]]-JUL_2023[[#This Row],[Cost]])/JUL_2023[[#This Row],[CNTR AMOUNT]],JUL_2023[[#This Row],[Sales Amount]]-JUL_2023[[#This Row],[Cost]])</f>
        <v>0</v>
      </c>
      <c r="X108" s="1179" t="str">
        <f>IFERROR((JUL_2023[[#This Row],[Sales Amount]]-JUL_2023[[#This Row],[Cost]])/JUL_2023[[#This Row],[Cost]],"-")</f>
        <v>-</v>
      </c>
      <c r="Y108" s="727"/>
      <c r="Z108" s="711"/>
    </row>
    <row r="109" spans="1:26" hidden="1">
      <c r="A109" s="58" t="s">
        <v>26</v>
      </c>
      <c r="B109" s="58" t="s">
        <v>1216</v>
      </c>
      <c r="C109" s="1114" t="s">
        <v>28</v>
      </c>
      <c r="D109" s="844">
        <v>45123</v>
      </c>
      <c r="E109" s="1112">
        <v>45137</v>
      </c>
      <c r="F109" s="58" t="s">
        <v>29</v>
      </c>
      <c r="G109" s="58" t="s">
        <v>30</v>
      </c>
      <c r="H109" s="1115">
        <v>45140</v>
      </c>
      <c r="I109" s="915" t="s">
        <v>178</v>
      </c>
      <c r="J109" s="58" t="s">
        <v>32</v>
      </c>
      <c r="K109" s="58" t="s">
        <v>1140</v>
      </c>
      <c r="L109" s="915">
        <v>470375</v>
      </c>
      <c r="M109" s="1119">
        <v>45140</v>
      </c>
      <c r="N109" s="1119">
        <v>45140</v>
      </c>
      <c r="O109" s="1119">
        <v>45140</v>
      </c>
      <c r="P109" s="709" t="s">
        <v>1210</v>
      </c>
      <c r="Q109" s="58" t="s">
        <v>35</v>
      </c>
      <c r="R109" s="58" t="s">
        <v>36</v>
      </c>
      <c r="S109" s="58" t="s">
        <v>37</v>
      </c>
      <c r="T109" s="106">
        <v>4475</v>
      </c>
      <c r="U109" s="85">
        <v>3793</v>
      </c>
      <c r="V109" s="152">
        <v>5</v>
      </c>
      <c r="W109" s="152">
        <f>IFERROR((JUL_2023[[#This Row],[Sales Amount]]-JUL_2023[[#This Row],[Cost]])/JUL_2023[[#This Row],[CNTR AMOUNT]],JUL_2023[[#This Row],[Sales Amount]]-JUL_2023[[#This Row],[Cost]])</f>
        <v>136.4</v>
      </c>
      <c r="X109" s="888">
        <f>IFERROR((JUL_2023[[#This Row],[Sales Amount]]-JUL_2023[[#This Row],[Cost]])/JUL_2023[[#This Row],[Cost]],"-")</f>
        <v>0.17980490377010283</v>
      </c>
      <c r="Y109" s="152"/>
      <c r="Z109" s="645"/>
    </row>
    <row r="110" spans="1:26" hidden="1">
      <c r="A110" s="58" t="s">
        <v>26</v>
      </c>
      <c r="B110" s="58" t="s">
        <v>1217</v>
      </c>
      <c r="C110" s="1114" t="s">
        <v>28</v>
      </c>
      <c r="D110" s="844">
        <v>45123</v>
      </c>
      <c r="E110" s="1112">
        <v>45137</v>
      </c>
      <c r="F110" s="58" t="s">
        <v>29</v>
      </c>
      <c r="G110" s="58" t="s">
        <v>30</v>
      </c>
      <c r="H110" s="1115">
        <v>45142</v>
      </c>
      <c r="I110" s="915" t="s">
        <v>104</v>
      </c>
      <c r="J110" s="58" t="s">
        <v>32</v>
      </c>
      <c r="K110" s="58" t="s">
        <v>1140</v>
      </c>
      <c r="L110" s="915">
        <v>929087</v>
      </c>
      <c r="M110" s="1115">
        <v>45140</v>
      </c>
      <c r="N110" s="1119">
        <v>45140</v>
      </c>
      <c r="O110" s="1119">
        <v>45142</v>
      </c>
      <c r="P110" s="709" t="s">
        <v>1210</v>
      </c>
      <c r="Q110" s="58" t="s">
        <v>35</v>
      </c>
      <c r="R110" s="58" t="s">
        <v>36</v>
      </c>
      <c r="S110" s="58" t="s">
        <v>37</v>
      </c>
      <c r="T110" s="106">
        <v>4475</v>
      </c>
      <c r="U110" s="85">
        <v>3793</v>
      </c>
      <c r="V110" s="152">
        <v>5</v>
      </c>
      <c r="W110" s="152">
        <f>IFERROR((JUL_2023[[#This Row],[Sales Amount]]-JUL_2023[[#This Row],[Cost]])/JUL_2023[[#This Row],[CNTR AMOUNT]],JUL_2023[[#This Row],[Sales Amount]]-JUL_2023[[#This Row],[Cost]])</f>
        <v>136.4</v>
      </c>
      <c r="X110" s="888">
        <f>IFERROR((JUL_2023[[#This Row],[Sales Amount]]-JUL_2023[[#This Row],[Cost]])/JUL_2023[[#This Row],[Cost]],"-")</f>
        <v>0.17980490377010283</v>
      </c>
      <c r="Y110" s="152"/>
      <c r="Z110" s="645"/>
    </row>
    <row r="111" spans="1:26" hidden="1">
      <c r="A111" s="58" t="s">
        <v>26</v>
      </c>
      <c r="B111" s="58" t="s">
        <v>1218</v>
      </c>
      <c r="C111" s="1114" t="s">
        <v>28</v>
      </c>
      <c r="D111" s="844">
        <v>45123</v>
      </c>
      <c r="E111" s="1112">
        <v>45137</v>
      </c>
      <c r="F111" s="58" t="s">
        <v>29</v>
      </c>
      <c r="G111" s="58" t="s">
        <v>30</v>
      </c>
      <c r="H111" s="1115">
        <v>45141</v>
      </c>
      <c r="I111" s="915" t="s">
        <v>104</v>
      </c>
      <c r="J111" s="58" t="s">
        <v>32</v>
      </c>
      <c r="K111" s="58" t="s">
        <v>1140</v>
      </c>
      <c r="L111" s="915">
        <v>331387</v>
      </c>
      <c r="M111" s="1115">
        <v>45140</v>
      </c>
      <c r="N111" s="1119">
        <v>45140</v>
      </c>
      <c r="O111" s="844">
        <v>45141</v>
      </c>
      <c r="P111" s="650" t="s">
        <v>1141</v>
      </c>
      <c r="Q111" s="58" t="s">
        <v>35</v>
      </c>
      <c r="R111" s="58" t="s">
        <v>36</v>
      </c>
      <c r="S111" s="58" t="s">
        <v>37</v>
      </c>
      <c r="T111" s="106">
        <v>4960</v>
      </c>
      <c r="U111" s="85">
        <v>4326</v>
      </c>
      <c r="V111" s="152">
        <v>5</v>
      </c>
      <c r="W111" s="152">
        <f>IFERROR((JUL_2023[[#This Row],[Sales Amount]]-JUL_2023[[#This Row],[Cost]])/JUL_2023[[#This Row],[CNTR AMOUNT]],JUL_2023[[#This Row],[Sales Amount]]-JUL_2023[[#This Row],[Cost]])</f>
        <v>126.8</v>
      </c>
      <c r="X111" s="888">
        <f>IFERROR((JUL_2023[[#This Row],[Sales Amount]]-JUL_2023[[#This Row],[Cost]])/JUL_2023[[#This Row],[Cost]],"-")</f>
        <v>0.14655570966250578</v>
      </c>
      <c r="Y111" s="152"/>
      <c r="Z111" s="645"/>
    </row>
    <row r="112" spans="1:26" hidden="1">
      <c r="A112" s="58" t="s">
        <v>26</v>
      </c>
      <c r="B112" s="4839" t="s">
        <v>1219</v>
      </c>
      <c r="C112" s="4600" t="s">
        <v>28</v>
      </c>
      <c r="D112" s="844">
        <v>45123</v>
      </c>
      <c r="E112" s="1112">
        <v>45137</v>
      </c>
      <c r="F112" s="4599" t="s">
        <v>29</v>
      </c>
      <c r="G112" s="58" t="s">
        <v>30</v>
      </c>
      <c r="H112" s="1115">
        <v>45141</v>
      </c>
      <c r="I112" s="915" t="s">
        <v>104</v>
      </c>
      <c r="J112" s="58" t="s">
        <v>32</v>
      </c>
      <c r="K112" s="58" t="s">
        <v>1140</v>
      </c>
      <c r="L112" s="1166">
        <v>634430</v>
      </c>
      <c r="M112" s="1115">
        <v>45140</v>
      </c>
      <c r="N112" s="1119">
        <v>45140</v>
      </c>
      <c r="O112" s="844">
        <v>45141</v>
      </c>
      <c r="P112" s="650" t="s">
        <v>1141</v>
      </c>
      <c r="Q112" s="58" t="s">
        <v>35</v>
      </c>
      <c r="R112" s="58" t="s">
        <v>36</v>
      </c>
      <c r="S112" s="58" t="s">
        <v>37</v>
      </c>
      <c r="T112" s="106">
        <v>4960</v>
      </c>
      <c r="U112" s="85">
        <v>4326</v>
      </c>
      <c r="V112" s="152">
        <v>5</v>
      </c>
      <c r="W112" s="152">
        <f>IFERROR((JUL_2023[[#This Row],[Sales Amount]]-JUL_2023[[#This Row],[Cost]])/JUL_2023[[#This Row],[CNTR AMOUNT]],JUL_2023[[#This Row],[Sales Amount]]-JUL_2023[[#This Row],[Cost]])</f>
        <v>126.8</v>
      </c>
      <c r="X112" s="888">
        <f>IFERROR((JUL_2023[[#This Row],[Sales Amount]]-JUL_2023[[#This Row],[Cost]])/JUL_2023[[#This Row],[Cost]],"-")</f>
        <v>0.14655570966250578</v>
      </c>
      <c r="Y112" s="152"/>
      <c r="Z112" s="645"/>
    </row>
    <row r="113" spans="1:26" hidden="1">
      <c r="A113" s="25" t="s">
        <v>263</v>
      </c>
      <c r="B113" s="4169" t="s">
        <v>1220</v>
      </c>
      <c r="C113" s="38" t="s">
        <v>28</v>
      </c>
      <c r="D113" s="353">
        <v>45137</v>
      </c>
      <c r="E113" s="353">
        <v>45137</v>
      </c>
      <c r="F113" s="1433" t="s">
        <v>29</v>
      </c>
      <c r="G113" s="25" t="s">
        <v>265</v>
      </c>
      <c r="H113" s="353">
        <v>45141</v>
      </c>
      <c r="I113" s="1338">
        <v>0.45833333333333331</v>
      </c>
      <c r="J113" s="4154" t="s">
        <v>377</v>
      </c>
      <c r="K113" s="4154" t="s">
        <v>267</v>
      </c>
      <c r="L113" s="25"/>
      <c r="M113" s="373">
        <v>45141</v>
      </c>
      <c r="N113" s="353">
        <v>45141</v>
      </c>
      <c r="O113" s="353">
        <v>45142</v>
      </c>
      <c r="P113" s="4150" t="s">
        <v>1221</v>
      </c>
      <c r="Q113" s="25" t="s">
        <v>128</v>
      </c>
      <c r="R113" s="117" t="s">
        <v>36</v>
      </c>
      <c r="S113" s="117"/>
      <c r="T113" s="117">
        <v>5675</v>
      </c>
      <c r="U113" s="120">
        <f>1025+160+3689</f>
        <v>4874</v>
      </c>
      <c r="V113" s="120">
        <v>2</v>
      </c>
      <c r="W113" s="120">
        <f>IFERROR((JUL_2023[[#This Row],[Sales Amount]]-JUL_2023[[#This Row],[Cost]])/JUL_2023[[#This Row],[CNTR AMOUNT]],JUL_2023[[#This Row],[Sales Amount]]-JUL_2023[[#This Row],[Cost]])</f>
        <v>400.5</v>
      </c>
      <c r="X113" s="1067">
        <f>IFERROR((JUL_2023[[#This Row],[Sales Amount]]-JUL_2023[[#This Row],[Cost]])/JUL_2023[[#This Row],[Cost]],"-")</f>
        <v>0.16434140336479278</v>
      </c>
      <c r="Y113" s="120"/>
      <c r="Z113" s="1209"/>
    </row>
    <row r="114" spans="1:26" hidden="1">
      <c r="A114" s="25" t="s">
        <v>263</v>
      </c>
      <c r="B114" s="4169" t="s">
        <v>1222</v>
      </c>
      <c r="C114" s="38" t="s">
        <v>28</v>
      </c>
      <c r="D114" s="353">
        <v>45137</v>
      </c>
      <c r="E114" s="638">
        <v>45137</v>
      </c>
      <c r="F114" s="1433" t="s">
        <v>29</v>
      </c>
      <c r="G114" s="25" t="s">
        <v>265</v>
      </c>
      <c r="H114" s="353">
        <v>45142</v>
      </c>
      <c r="I114" s="4170">
        <v>0.41666666666666669</v>
      </c>
      <c r="J114" s="4154" t="s">
        <v>377</v>
      </c>
      <c r="K114" s="4154" t="s">
        <v>1223</v>
      </c>
      <c r="L114" s="25"/>
      <c r="M114" s="353">
        <v>45141</v>
      </c>
      <c r="N114" s="353">
        <v>45139</v>
      </c>
      <c r="O114" s="353">
        <v>45145</v>
      </c>
      <c r="P114" s="4150" t="s">
        <v>1224</v>
      </c>
      <c r="Q114" s="25" t="s">
        <v>128</v>
      </c>
      <c r="R114" s="117" t="s">
        <v>36</v>
      </c>
      <c r="S114" s="117"/>
      <c r="T114" s="117">
        <v>5675</v>
      </c>
      <c r="U114" s="660">
        <f>1025+160+3689</f>
        <v>4874</v>
      </c>
      <c r="V114" s="120">
        <v>2</v>
      </c>
      <c r="W114" s="120">
        <f>IFERROR((JUL_2023[[#This Row],[Sales Amount]]-JUL_2023[[#This Row],[Cost]])/JUL_2023[[#This Row],[CNTR AMOUNT]],JUL_2023[[#This Row],[Sales Amount]]-JUL_2023[[#This Row],[Cost]])</f>
        <v>400.5</v>
      </c>
      <c r="X114" s="1067">
        <f>IFERROR((JUL_2023[[#This Row],[Sales Amount]]-JUL_2023[[#This Row],[Cost]])/JUL_2023[[#This Row],[Cost]],"-")</f>
        <v>0.16434140336479278</v>
      </c>
      <c r="Y114" s="120"/>
      <c r="Z114" s="1209"/>
    </row>
    <row r="115" spans="1:26" hidden="1">
      <c r="A115" s="58" t="s">
        <v>941</v>
      </c>
      <c r="B115" s="1145" t="s">
        <v>1225</v>
      </c>
      <c r="C115" s="1145" t="s">
        <v>44</v>
      </c>
      <c r="D115" s="1139">
        <v>45131</v>
      </c>
      <c r="E115" s="1491">
        <v>45137</v>
      </c>
      <c r="F115" s="1154" t="s">
        <v>98</v>
      </c>
      <c r="G115" s="1383" t="s">
        <v>46</v>
      </c>
      <c r="H115" s="58"/>
      <c r="I115" s="58"/>
      <c r="J115" s="58" t="s">
        <v>32</v>
      </c>
      <c r="K115" s="58" t="s">
        <v>47</v>
      </c>
      <c r="L115" s="1436" t="s">
        <v>1226</v>
      </c>
      <c r="M115" s="844">
        <v>45139</v>
      </c>
      <c r="N115" s="844">
        <v>45139</v>
      </c>
      <c r="O115" s="844">
        <v>45140</v>
      </c>
      <c r="P115" s="709" t="s">
        <v>1227</v>
      </c>
      <c r="Q115" s="58" t="s">
        <v>89</v>
      </c>
      <c r="R115" s="709" t="s">
        <v>51</v>
      </c>
      <c r="S115" s="709"/>
      <c r="T115" s="709"/>
      <c r="U115" s="718"/>
      <c r="V115" s="718"/>
      <c r="W115" s="718">
        <f>IFERROR((JUL_2023[[#This Row],[Sales Amount]]-JUL_2023[[#This Row],[Cost]])/JUL_2023[[#This Row],[CNTR AMOUNT]],JUL_2023[[#This Row],[Sales Amount]]-JUL_2023[[#This Row],[Cost]])</f>
        <v>0</v>
      </c>
      <c r="X115" s="1348" t="str">
        <f>IFERROR((JUL_2023[[#This Row],[Sales Amount]]-JUL_2023[[#This Row],[Cost]])/JUL_2023[[#This Row],[Cost]],"-")</f>
        <v>-</v>
      </c>
      <c r="Y115" s="718"/>
      <c r="Z115" s="1349"/>
    </row>
    <row r="116" spans="1:26" s="709" customFormat="1" hidden="1">
      <c r="A116" s="58" t="s">
        <v>409</v>
      </c>
      <c r="B116" s="1" t="s">
        <v>1228</v>
      </c>
      <c r="C116" s="1" t="s">
        <v>85</v>
      </c>
      <c r="D116" s="4171">
        <v>45124</v>
      </c>
      <c r="E116" s="1491">
        <v>45138</v>
      </c>
      <c r="F116" s="1" t="s">
        <v>45</v>
      </c>
      <c r="G116" s="1383" t="s">
        <v>302</v>
      </c>
      <c r="H116" s="58"/>
      <c r="I116" s="58"/>
      <c r="J116" s="1" t="s">
        <v>32</v>
      </c>
      <c r="K116" s="1" t="s">
        <v>47</v>
      </c>
      <c r="L116" s="58" t="s">
        <v>1229</v>
      </c>
      <c r="M116" s="844">
        <v>45139</v>
      </c>
      <c r="N116" s="844">
        <v>45139</v>
      </c>
      <c r="O116" s="844">
        <v>45140</v>
      </c>
      <c r="P116" s="650" t="s">
        <v>1230</v>
      </c>
      <c r="Q116" s="1" t="s">
        <v>89</v>
      </c>
      <c r="R116" s="709" t="s">
        <v>51</v>
      </c>
      <c r="U116" s="727"/>
      <c r="V116" s="727"/>
      <c r="W116" s="727">
        <f>IFERROR((JUL_2023[[#This Row],[Sales Amount]]-JUL_2023[[#This Row],[Cost]])/JUL_2023[[#This Row],[CNTR AMOUNT]],JUL_2023[[#This Row],[Sales Amount]]-JUL_2023[[#This Row],[Cost]])</f>
        <v>0</v>
      </c>
      <c r="X116" s="1179" t="str">
        <f>IFERROR((JUL_2023[[#This Row],[Sales Amount]]-JUL_2023[[#This Row],[Cost]])/JUL_2023[[#This Row],[Cost]],"-")</f>
        <v>-</v>
      </c>
      <c r="Y116" s="727"/>
      <c r="Z116" s="711"/>
    </row>
    <row r="117" spans="1:26" hidden="1">
      <c r="A117" s="58" t="s">
        <v>171</v>
      </c>
      <c r="B117" s="58" t="s">
        <v>1231</v>
      </c>
      <c r="C117" s="4149" t="s">
        <v>44</v>
      </c>
      <c r="D117" s="844">
        <v>45124</v>
      </c>
      <c r="E117" s="1112">
        <v>45138</v>
      </c>
      <c r="F117" s="58" t="s">
        <v>326</v>
      </c>
      <c r="G117" s="58" t="s">
        <v>46</v>
      </c>
      <c r="H117" s="844">
        <v>45140</v>
      </c>
      <c r="I117" s="58"/>
      <c r="J117" s="58" t="s">
        <v>32</v>
      </c>
      <c r="K117" s="58" t="s">
        <v>174</v>
      </c>
      <c r="L117" s="915" t="s">
        <v>1232</v>
      </c>
      <c r="M117" s="1115">
        <v>45140</v>
      </c>
      <c r="N117" s="1115">
        <v>45140</v>
      </c>
      <c r="O117" s="844">
        <v>45141</v>
      </c>
      <c r="P117" s="709" t="s">
        <v>1233</v>
      </c>
      <c r="Q117" s="58" t="s">
        <v>35</v>
      </c>
      <c r="R117" s="58" t="s">
        <v>36</v>
      </c>
      <c r="S117" s="58" t="s">
        <v>37</v>
      </c>
      <c r="T117" s="106">
        <v>990</v>
      </c>
      <c r="U117" s="85">
        <v>801</v>
      </c>
      <c r="V117" s="152"/>
      <c r="W117" s="152">
        <f>IFERROR((JUL_2023[[#This Row],[Sales Amount]]-JUL_2023[[#This Row],[Cost]])/JUL_2023[[#This Row],[CNTR AMOUNT]],JUL_2023[[#This Row],[Sales Amount]]-JUL_2023[[#This Row],[Cost]])</f>
        <v>189</v>
      </c>
      <c r="X117" s="888">
        <f>IFERROR((JUL_2023[[#This Row],[Sales Amount]]-JUL_2023[[#This Row],[Cost]])/JUL_2023[[#This Row],[Cost]],"-")</f>
        <v>0.23595505617977527</v>
      </c>
      <c r="Y117" s="152"/>
      <c r="Z117" s="645"/>
    </row>
    <row r="118" spans="1:26">
      <c r="A118" s="117" t="s">
        <v>68</v>
      </c>
      <c r="B118" s="117" t="s">
        <v>1234</v>
      </c>
      <c r="C118" s="4150" t="s">
        <v>44</v>
      </c>
      <c r="D118" s="822">
        <v>45125</v>
      </c>
      <c r="E118" s="879">
        <v>45138</v>
      </c>
      <c r="F118" s="4150" t="s">
        <v>45</v>
      </c>
      <c r="G118" s="117" t="s">
        <v>919</v>
      </c>
      <c r="H118" s="856">
        <v>45139</v>
      </c>
      <c r="I118" s="117" t="s">
        <v>618</v>
      </c>
      <c r="J118" s="4150" t="s">
        <v>490</v>
      </c>
      <c r="K118" s="766" t="s">
        <v>1235</v>
      </c>
      <c r="L118" s="882" t="s">
        <v>1236</v>
      </c>
      <c r="M118" s="828">
        <v>45140</v>
      </c>
      <c r="N118" s="828">
        <v>45139</v>
      </c>
      <c r="O118" s="828">
        <v>45139</v>
      </c>
      <c r="P118" s="4150" t="s">
        <v>1237</v>
      </c>
      <c r="Q118" s="4150" t="s">
        <v>75</v>
      </c>
      <c r="R118" s="796" t="s">
        <v>1238</v>
      </c>
      <c r="S118" s="117">
        <v>4</v>
      </c>
      <c r="T118" s="117">
        <v>852.5</v>
      </c>
      <c r="U118" s="660">
        <v>508.75</v>
      </c>
      <c r="V118" s="660">
        <v>4</v>
      </c>
      <c r="W118" s="660">
        <f>IFERROR((JUL_2023[[#This Row],[Sales Amount]]-JUL_2023[[#This Row],[Cost]])/JUL_2023[[#This Row],[CNTR AMOUNT]],JUL_2023[[#This Row],[Sales Amount]]-JUL_2023[[#This Row],[Cost]])</f>
        <v>85.9375</v>
      </c>
      <c r="X118" s="919">
        <f>IFERROR((JUL_2023[[#This Row],[Sales Amount]]-JUL_2023[[#This Row],[Cost]])/JUL_2023[[#This Row],[Cost]],"-")</f>
        <v>0.67567567567567566</v>
      </c>
      <c r="Y118" s="660"/>
      <c r="Z118" s="113"/>
    </row>
    <row r="119" spans="1:26" s="117" customFormat="1">
      <c r="A119" s="117" t="s">
        <v>68</v>
      </c>
      <c r="B119" s="117" t="s">
        <v>1239</v>
      </c>
      <c r="C119" s="4150" t="s">
        <v>44</v>
      </c>
      <c r="D119" s="822">
        <v>45125</v>
      </c>
      <c r="E119" s="856">
        <v>45138</v>
      </c>
      <c r="F119" s="4150" t="s">
        <v>45</v>
      </c>
      <c r="G119" s="117" t="s">
        <v>919</v>
      </c>
      <c r="H119" s="856">
        <v>45139</v>
      </c>
      <c r="I119" s="507" t="s">
        <v>445</v>
      </c>
      <c r="J119" s="4150" t="s">
        <v>490</v>
      </c>
      <c r="K119" s="766" t="s">
        <v>1235</v>
      </c>
      <c r="L119" s="882" t="s">
        <v>1240</v>
      </c>
      <c r="M119" s="828">
        <v>45140</v>
      </c>
      <c r="N119" s="828">
        <v>45138</v>
      </c>
      <c r="O119" s="828">
        <v>45139</v>
      </c>
      <c r="P119" s="117" t="s">
        <v>1237</v>
      </c>
      <c r="Q119" s="4150" t="s">
        <v>75</v>
      </c>
      <c r="R119" s="795" t="s">
        <v>1238</v>
      </c>
      <c r="S119" s="117">
        <v>4</v>
      </c>
      <c r="T119" s="117">
        <v>852.5</v>
      </c>
      <c r="U119" s="660">
        <v>598.5</v>
      </c>
      <c r="V119" s="660">
        <v>4</v>
      </c>
      <c r="W119" s="660">
        <f>IFERROR((JUL_2023[[#This Row],[Sales Amount]]-JUL_2023[[#This Row],[Cost]])/JUL_2023[[#This Row],[CNTR AMOUNT]],JUL_2023[[#This Row],[Sales Amount]]-JUL_2023[[#This Row],[Cost]])</f>
        <v>63.5</v>
      </c>
      <c r="X119" s="919">
        <f>IFERROR((JUL_2023[[#This Row],[Sales Amount]]-JUL_2023[[#This Row],[Cost]])/JUL_2023[[#This Row],[Cost]],"-")</f>
        <v>0.42439431913116121</v>
      </c>
      <c r="Y119" s="660"/>
      <c r="Z119" s="113"/>
    </row>
    <row r="120" spans="1:26">
      <c r="A120" s="117" t="s">
        <v>68</v>
      </c>
      <c r="B120" s="117" t="s">
        <v>1241</v>
      </c>
      <c r="C120" s="4150" t="s">
        <v>44</v>
      </c>
      <c r="D120" s="822">
        <v>45125</v>
      </c>
      <c r="E120" s="856">
        <v>45138</v>
      </c>
      <c r="F120" s="4150" t="s">
        <v>45</v>
      </c>
      <c r="G120" s="117" t="s">
        <v>919</v>
      </c>
      <c r="H120" s="856">
        <v>45139</v>
      </c>
      <c r="I120" s="117" t="s">
        <v>926</v>
      </c>
      <c r="J120" s="4150" t="s">
        <v>490</v>
      </c>
      <c r="K120" s="766" t="s">
        <v>1235</v>
      </c>
      <c r="L120" s="766" t="s">
        <v>1242</v>
      </c>
      <c r="M120" s="839">
        <v>45141</v>
      </c>
      <c r="N120" s="839">
        <v>45139</v>
      </c>
      <c r="O120" s="839">
        <v>45139</v>
      </c>
      <c r="P120" s="4150" t="s">
        <v>1243</v>
      </c>
      <c r="Q120" s="4150" t="s">
        <v>75</v>
      </c>
      <c r="R120" s="795" t="s">
        <v>1238</v>
      </c>
      <c r="S120" s="117">
        <v>4</v>
      </c>
      <c r="T120" s="117">
        <v>852.5</v>
      </c>
      <c r="U120" s="660">
        <v>433.5</v>
      </c>
      <c r="V120" s="660">
        <v>4</v>
      </c>
      <c r="W120" s="660">
        <f>IFERROR((JUL_2023[[#This Row],[Sales Amount]]-JUL_2023[[#This Row],[Cost]])/JUL_2023[[#This Row],[CNTR AMOUNT]],JUL_2023[[#This Row],[Sales Amount]]-JUL_2023[[#This Row],[Cost]])</f>
        <v>104.75</v>
      </c>
      <c r="X120" s="919">
        <f>IFERROR((JUL_2023[[#This Row],[Sales Amount]]-JUL_2023[[#This Row],[Cost]])/JUL_2023[[#This Row],[Cost]],"-")</f>
        <v>0.96655132641291808</v>
      </c>
      <c r="Y120" s="660"/>
      <c r="Z120" s="113"/>
    </row>
    <row r="121" spans="1:26">
      <c r="A121" s="117" t="s">
        <v>68</v>
      </c>
      <c r="B121" s="117" t="s">
        <v>1244</v>
      </c>
      <c r="C121" s="4150" t="s">
        <v>44</v>
      </c>
      <c r="D121" s="822">
        <v>45125</v>
      </c>
      <c r="E121" s="856">
        <v>45138</v>
      </c>
      <c r="F121" s="4150" t="s">
        <v>45</v>
      </c>
      <c r="G121" s="117" t="s">
        <v>919</v>
      </c>
      <c r="H121" s="856">
        <v>45139</v>
      </c>
      <c r="I121" s="507" t="s">
        <v>790</v>
      </c>
      <c r="J121" s="4150" t="s">
        <v>490</v>
      </c>
      <c r="K121" s="766" t="s">
        <v>1235</v>
      </c>
      <c r="L121" s="507" t="s">
        <v>1245</v>
      </c>
      <c r="M121" s="828">
        <v>45140</v>
      </c>
      <c r="N121" s="828">
        <v>45139</v>
      </c>
      <c r="O121" s="828">
        <v>45139</v>
      </c>
      <c r="P121" s="507" t="s">
        <v>1246</v>
      </c>
      <c r="Q121" s="4150" t="s">
        <v>75</v>
      </c>
      <c r="R121" s="795" t="s">
        <v>1238</v>
      </c>
      <c r="S121" s="117">
        <v>4</v>
      </c>
      <c r="T121" s="117">
        <v>852.5</v>
      </c>
      <c r="U121" s="660">
        <v>433.5</v>
      </c>
      <c r="V121" s="660">
        <v>4</v>
      </c>
      <c r="W121" s="660">
        <f>IFERROR((JUL_2023[[#This Row],[Sales Amount]]-JUL_2023[[#This Row],[Cost]])/JUL_2023[[#This Row],[CNTR AMOUNT]],JUL_2023[[#This Row],[Sales Amount]]-JUL_2023[[#This Row],[Cost]])</f>
        <v>104.75</v>
      </c>
      <c r="X121" s="919">
        <f>IFERROR((JUL_2023[[#This Row],[Sales Amount]]-JUL_2023[[#This Row],[Cost]])/JUL_2023[[#This Row],[Cost]],"-")</f>
        <v>0.96655132641291808</v>
      </c>
      <c r="Y121" s="660"/>
      <c r="Z121" s="113"/>
    </row>
    <row r="122" spans="1:26">
      <c r="A122" s="117" t="s">
        <v>896</v>
      </c>
      <c r="B122" s="3" t="s">
        <v>1247</v>
      </c>
      <c r="C122" s="908" t="s">
        <v>28</v>
      </c>
      <c r="D122" s="822">
        <v>45124</v>
      </c>
      <c r="E122" s="879">
        <v>45138</v>
      </c>
      <c r="F122" s="117" t="s">
        <v>93</v>
      </c>
      <c r="G122" s="4150" t="s">
        <v>1104</v>
      </c>
      <c r="H122" s="1189">
        <v>45140</v>
      </c>
      <c r="I122" s="117"/>
      <c r="J122" s="4150" t="s">
        <v>322</v>
      </c>
      <c r="K122" s="4150" t="s">
        <v>1105</v>
      </c>
      <c r="L122" s="766">
        <v>2887</v>
      </c>
      <c r="M122" s="839">
        <v>45140</v>
      </c>
      <c r="N122" s="839">
        <v>45139</v>
      </c>
      <c r="O122" s="822">
        <v>45140</v>
      </c>
      <c r="P122" s="4150" t="s">
        <v>1248</v>
      </c>
      <c r="Q122" s="117" t="s">
        <v>75</v>
      </c>
      <c r="R122" s="4150" t="s">
        <v>1249</v>
      </c>
      <c r="S122" s="117">
        <v>4</v>
      </c>
      <c r="T122" s="117">
        <v>760</v>
      </c>
      <c r="U122" s="120">
        <v>433</v>
      </c>
      <c r="V122" s="120">
        <v>1</v>
      </c>
      <c r="W122" s="660">
        <f>IFERROR((JUL_2023[[#This Row],[Sales Amount]]-JUL_2023[[#This Row],[Cost]])/JUL_2023[[#This Row],[CNTR AMOUNT]],JUL_2023[[#This Row],[Sales Amount]]-JUL_2023[[#This Row],[Cost]])</f>
        <v>327</v>
      </c>
      <c r="X122" s="919">
        <f>IFERROR((JUL_2023[[#This Row],[Sales Amount]]-JUL_2023[[#This Row],[Cost]])/JUL_2023[[#This Row],[Cost]],"-")</f>
        <v>0.75519630484988454</v>
      </c>
      <c r="Y122" s="660"/>
      <c r="Z122" s="113"/>
    </row>
    <row r="123" spans="1:26" s="1352" customFormat="1" hidden="1">
      <c r="A123" s="58" t="s">
        <v>622</v>
      </c>
      <c r="B123" s="4161" t="s">
        <v>1250</v>
      </c>
      <c r="C123" s="58" t="s">
        <v>44</v>
      </c>
      <c r="D123" s="844">
        <v>45126</v>
      </c>
      <c r="E123" s="1416">
        <v>45138</v>
      </c>
      <c r="F123" s="58" t="s">
        <v>167</v>
      </c>
      <c r="G123" s="1" t="s">
        <v>46</v>
      </c>
      <c r="H123" s="844"/>
      <c r="I123" s="58"/>
      <c r="J123" s="4149" t="s">
        <v>32</v>
      </c>
      <c r="K123" s="58" t="s">
        <v>624</v>
      </c>
      <c r="L123" s="58"/>
      <c r="M123" s="58"/>
      <c r="N123" s="844"/>
      <c r="O123" s="844"/>
      <c r="P123" s="650" t="s">
        <v>1251</v>
      </c>
      <c r="Q123" s="58" t="s">
        <v>627</v>
      </c>
      <c r="R123" s="709" t="s">
        <v>51</v>
      </c>
      <c r="S123" s="106"/>
      <c r="T123" s="106"/>
      <c r="U123" s="152"/>
      <c r="V123" s="152"/>
      <c r="W123" s="152">
        <f>IFERROR((JUL_2023[[#This Row],[Sales Amount]]-JUL_2023[[#This Row],[Cost]])/JUL_2023[[#This Row],[CNTR AMOUNT]],JUL_2023[[#This Row],[Sales Amount]]-JUL_2023[[#This Row],[Cost]])</f>
        <v>0</v>
      </c>
      <c r="X123" s="888" t="str">
        <f>IFERROR((JUL_2023[[#This Row],[Sales Amount]]-JUL_2023[[#This Row],[Cost]])/JUL_2023[[#This Row],[Cost]],"-")</f>
        <v>-</v>
      </c>
      <c r="Y123" s="152"/>
      <c r="Z123" s="645"/>
    </row>
    <row r="124" spans="1:26" hidden="1">
      <c r="A124" s="1211" t="s">
        <v>821</v>
      </c>
      <c r="B124" s="1410" t="s">
        <v>1252</v>
      </c>
      <c r="C124" s="1211" t="s">
        <v>44</v>
      </c>
      <c r="D124" s="1353">
        <v>45124</v>
      </c>
      <c r="E124" s="1412">
        <v>45138</v>
      </c>
      <c r="F124" s="1410" t="s">
        <v>98</v>
      </c>
      <c r="G124" s="1411" t="s">
        <v>302</v>
      </c>
      <c r="H124" s="1211"/>
      <c r="I124" s="1211"/>
      <c r="J124" s="1211" t="s">
        <v>168</v>
      </c>
      <c r="K124" s="1410" t="s">
        <v>47</v>
      </c>
      <c r="L124" s="1413" t="s">
        <v>1253</v>
      </c>
      <c r="M124" s="1353">
        <v>45141</v>
      </c>
      <c r="N124" s="1353">
        <v>45141</v>
      </c>
      <c r="O124" s="1353">
        <v>45146</v>
      </c>
      <c r="P124" s="1576" t="s">
        <v>1254</v>
      </c>
      <c r="Q124" s="1410" t="s">
        <v>89</v>
      </c>
      <c r="R124" s="1352" t="s">
        <v>51</v>
      </c>
      <c r="S124" s="1352"/>
      <c r="T124" s="1352"/>
      <c r="U124" s="1355"/>
      <c r="V124" s="1355"/>
      <c r="W124" s="1355">
        <f>IFERROR((JUL_2023[[#This Row],[Sales Amount]]-JUL_2023[[#This Row],[Cost]])/JUL_2023[[#This Row],[CNTR AMOUNT]],JUL_2023[[#This Row],[Sales Amount]]-JUL_2023[[#This Row],[Cost]])</f>
        <v>0</v>
      </c>
      <c r="X124" s="1356" t="str">
        <f>IFERROR((JUL_2023[[#This Row],[Sales Amount]]-JUL_2023[[#This Row],[Cost]])/JUL_2023[[#This Row],[Cost]],"-")</f>
        <v>-</v>
      </c>
      <c r="Y124" s="1355"/>
      <c r="Z124" s="1357"/>
    </row>
    <row r="125" spans="1:26" s="709" customFormat="1" hidden="1">
      <c r="A125" s="58" t="s">
        <v>1255</v>
      </c>
      <c r="B125" s="1344" t="s">
        <v>1256</v>
      </c>
      <c r="C125" s="58" t="s">
        <v>28</v>
      </c>
      <c r="D125" s="844">
        <v>45131</v>
      </c>
      <c r="E125" s="1491">
        <v>45139</v>
      </c>
      <c r="F125" s="58" t="s">
        <v>93</v>
      </c>
      <c r="G125" s="58" t="s">
        <v>46</v>
      </c>
      <c r="H125" s="58" t="s">
        <v>1257</v>
      </c>
      <c r="I125" s="58" t="s">
        <v>1258</v>
      </c>
      <c r="J125" s="58" t="s">
        <v>32</v>
      </c>
      <c r="K125" s="58" t="s">
        <v>1259</v>
      </c>
      <c r="L125" s="1421" t="s">
        <v>1260</v>
      </c>
      <c r="M125" s="1139">
        <v>45142</v>
      </c>
      <c r="N125" s="1139">
        <v>45142</v>
      </c>
      <c r="O125" s="1139">
        <v>45145</v>
      </c>
      <c r="P125" s="709" t="s">
        <v>1261</v>
      </c>
      <c r="Q125" s="58" t="s">
        <v>89</v>
      </c>
      <c r="R125" s="709" t="s">
        <v>51</v>
      </c>
      <c r="U125" s="727"/>
      <c r="V125" s="727"/>
      <c r="W125" s="727">
        <f>IFERROR((JUL_2023[[#This Row],[Sales Amount]]-JUL_2023[[#This Row],[Cost]])/JUL_2023[[#This Row],[CNTR AMOUNT]],JUL_2023[[#This Row],[Sales Amount]]-JUL_2023[[#This Row],[Cost]])</f>
        <v>0</v>
      </c>
      <c r="X125" s="1179" t="str">
        <f>IFERROR((JUL_2023[[#This Row],[Sales Amount]]-JUL_2023[[#This Row],[Cost]])/JUL_2023[[#This Row],[Cost]],"-")</f>
        <v>-</v>
      </c>
      <c r="Y125" s="727"/>
      <c r="Z125" s="711"/>
    </row>
    <row r="126" spans="1:26" s="52" customFormat="1" hidden="1">
      <c r="A126" s="58" t="s">
        <v>1262</v>
      </c>
      <c r="B126" s="1" t="s">
        <v>1263</v>
      </c>
      <c r="C126" s="1" t="s">
        <v>1264</v>
      </c>
      <c r="D126" s="844">
        <v>45137</v>
      </c>
      <c r="E126" s="844">
        <v>45139</v>
      </c>
      <c r="F126" s="1" t="s">
        <v>29</v>
      </c>
      <c r="G126" s="1" t="s">
        <v>1265</v>
      </c>
      <c r="H126" s="1115">
        <v>45141</v>
      </c>
      <c r="I126" s="915" t="s">
        <v>1266</v>
      </c>
      <c r="J126" s="58" t="s">
        <v>1267</v>
      </c>
      <c r="K126" s="58" t="s">
        <v>1268</v>
      </c>
      <c r="L126" s="915" t="s">
        <v>542</v>
      </c>
      <c r="M126" s="1115">
        <v>45142</v>
      </c>
      <c r="N126" s="1115">
        <v>45140</v>
      </c>
      <c r="O126" s="844">
        <v>45145</v>
      </c>
      <c r="P126" s="650" t="s">
        <v>1269</v>
      </c>
      <c r="Q126" s="58" t="s">
        <v>35</v>
      </c>
      <c r="R126" s="58" t="s">
        <v>36</v>
      </c>
      <c r="S126" s="58" t="s">
        <v>1270</v>
      </c>
      <c r="T126" s="106">
        <v>1435</v>
      </c>
      <c r="U126" s="152">
        <v>1180</v>
      </c>
      <c r="V126" s="152"/>
      <c r="W126" s="152">
        <f>IFERROR((JUL_2023[[#This Row],[Sales Amount]]-JUL_2023[[#This Row],[Cost]])/JUL_2023[[#This Row],[CNTR AMOUNT]],JUL_2023[[#This Row],[Sales Amount]]-JUL_2023[[#This Row],[Cost]])</f>
        <v>255</v>
      </c>
      <c r="X126" s="888">
        <f>IFERROR((JUL_2023[[#This Row],[Sales Amount]]-JUL_2023[[#This Row],[Cost]])/JUL_2023[[#This Row],[Cost]],"-")</f>
        <v>0.21610169491525424</v>
      </c>
      <c r="Y126" s="152"/>
      <c r="Z126" s="645"/>
    </row>
    <row r="127" spans="1:26" s="1350" customFormat="1" hidden="1">
      <c r="A127" s="58" t="s">
        <v>1271</v>
      </c>
      <c r="B127" s="58" t="s">
        <v>1272</v>
      </c>
      <c r="C127" s="58" t="s">
        <v>44</v>
      </c>
      <c r="D127" s="844">
        <v>45131</v>
      </c>
      <c r="E127" s="1112">
        <v>45139</v>
      </c>
      <c r="F127" s="58" t="s">
        <v>990</v>
      </c>
      <c r="G127" s="58" t="s">
        <v>829</v>
      </c>
      <c r="H127" s="58"/>
      <c r="I127" s="58"/>
      <c r="J127" s="58" t="s">
        <v>168</v>
      </c>
      <c r="K127" s="58" t="s">
        <v>310</v>
      </c>
      <c r="L127" s="58" t="s">
        <v>1273</v>
      </c>
      <c r="M127" s="844">
        <v>45141</v>
      </c>
      <c r="N127" s="844">
        <v>45141</v>
      </c>
      <c r="O127" s="844">
        <v>45145</v>
      </c>
      <c r="P127" s="709" t="s">
        <v>1274</v>
      </c>
      <c r="Q127" s="58" t="s">
        <v>50</v>
      </c>
      <c r="R127" s="709" t="s">
        <v>51</v>
      </c>
      <c r="S127" s="709"/>
      <c r="T127" s="709"/>
      <c r="U127" s="727"/>
      <c r="V127" s="727"/>
      <c r="W127" s="727">
        <f>IFERROR((JUL_2023[[#This Row],[Sales Amount]]-JUL_2023[[#This Row],[Cost]])/JUL_2023[[#This Row],[CNTR AMOUNT]],JUL_2023[[#This Row],[Sales Amount]]-JUL_2023[[#This Row],[Cost]])</f>
        <v>0</v>
      </c>
      <c r="X127" s="1179" t="str">
        <f>IFERROR((JUL_2023[[#This Row],[Sales Amount]]-JUL_2023[[#This Row],[Cost]])/JUL_2023[[#This Row],[Cost]],"-")</f>
        <v>-</v>
      </c>
      <c r="Y127" s="727"/>
      <c r="Z127" s="711"/>
    </row>
    <row r="128" spans="1:26" s="709" customFormat="1" hidden="1">
      <c r="A128" s="58" t="s">
        <v>1271</v>
      </c>
      <c r="B128" s="58" t="s">
        <v>1275</v>
      </c>
      <c r="C128" s="58" t="s">
        <v>28</v>
      </c>
      <c r="D128" s="844">
        <v>45131</v>
      </c>
      <c r="E128" s="1112">
        <v>45139</v>
      </c>
      <c r="F128" s="58" t="s">
        <v>990</v>
      </c>
      <c r="G128" s="1383" t="s">
        <v>829</v>
      </c>
      <c r="H128" s="58"/>
      <c r="I128" s="58"/>
      <c r="J128" s="58" t="s">
        <v>168</v>
      </c>
      <c r="K128" s="58" t="s">
        <v>310</v>
      </c>
      <c r="L128" s="58" t="s">
        <v>1276</v>
      </c>
      <c r="M128" s="844">
        <v>45142</v>
      </c>
      <c r="N128" s="844">
        <v>45141</v>
      </c>
      <c r="O128" s="844">
        <v>45145</v>
      </c>
      <c r="P128" s="709" t="s">
        <v>1277</v>
      </c>
      <c r="Q128" s="58" t="s">
        <v>50</v>
      </c>
      <c r="R128" s="709" t="s">
        <v>51</v>
      </c>
      <c r="U128" s="727"/>
      <c r="V128" s="727"/>
      <c r="W128" s="727">
        <f>IFERROR((JUL_2023[[#This Row],[Sales Amount]]-JUL_2023[[#This Row],[Cost]])/JUL_2023[[#This Row],[CNTR AMOUNT]],JUL_2023[[#This Row],[Sales Amount]]-JUL_2023[[#This Row],[Cost]])</f>
        <v>0</v>
      </c>
      <c r="X128" s="1179" t="str">
        <f>IFERROR((JUL_2023[[#This Row],[Sales Amount]]-JUL_2023[[#This Row],[Cost]])/JUL_2023[[#This Row],[Cost]],"-")</f>
        <v>-</v>
      </c>
      <c r="Y128" s="727"/>
      <c r="Z128" s="711"/>
    </row>
    <row r="129" spans="1:26" s="1350" customFormat="1" hidden="1">
      <c r="A129" s="4149" t="s">
        <v>145</v>
      </c>
      <c r="B129" s="1" t="s">
        <v>1278</v>
      </c>
      <c r="C129" s="1" t="s">
        <v>85</v>
      </c>
      <c r="D129" s="844">
        <v>45124</v>
      </c>
      <c r="E129" s="1112">
        <v>45139</v>
      </c>
      <c r="F129" s="1" t="s">
        <v>45</v>
      </c>
      <c r="G129" s="1383" t="s">
        <v>302</v>
      </c>
      <c r="H129" s="58"/>
      <c r="I129" s="58"/>
      <c r="J129" s="1" t="s">
        <v>32</v>
      </c>
      <c r="K129" s="58" t="s">
        <v>47</v>
      </c>
      <c r="L129" s="58" t="s">
        <v>1279</v>
      </c>
      <c r="M129" s="844">
        <v>45143</v>
      </c>
      <c r="N129" s="844">
        <v>45143</v>
      </c>
      <c r="O129" s="844">
        <v>45146</v>
      </c>
      <c r="P129" s="650" t="s">
        <v>1280</v>
      </c>
      <c r="Q129" s="1" t="s">
        <v>1281</v>
      </c>
      <c r="R129" s="709" t="s">
        <v>51</v>
      </c>
      <c r="S129" s="709"/>
      <c r="T129" s="709"/>
      <c r="U129" s="727"/>
      <c r="V129" s="727"/>
      <c r="W129" s="727">
        <f>IFERROR((JUL_2023[[#This Row],[Sales Amount]]-JUL_2023[[#This Row],[Cost]])/JUL_2023[[#This Row],[CNTR AMOUNT]],JUL_2023[[#This Row],[Sales Amount]]-JUL_2023[[#This Row],[Cost]])</f>
        <v>0</v>
      </c>
      <c r="X129" s="1179" t="str">
        <f>IFERROR((JUL_2023[[#This Row],[Sales Amount]]-JUL_2023[[#This Row],[Cost]])/JUL_2023[[#This Row],[Cost]],"-")</f>
        <v>-</v>
      </c>
      <c r="Y129" s="727"/>
      <c r="Z129" s="711"/>
    </row>
    <row r="130" spans="1:26" s="1350" customFormat="1" hidden="1">
      <c r="A130" s="4149" t="s">
        <v>145</v>
      </c>
      <c r="B130" s="4149" t="s">
        <v>1282</v>
      </c>
      <c r="C130" s="4149" t="s">
        <v>85</v>
      </c>
      <c r="D130" s="844">
        <v>45128</v>
      </c>
      <c r="E130" s="1112">
        <v>45139</v>
      </c>
      <c r="F130" s="4149" t="s">
        <v>45</v>
      </c>
      <c r="G130" s="4172" t="s">
        <v>302</v>
      </c>
      <c r="H130" s="58"/>
      <c r="I130" s="58"/>
      <c r="J130" s="4149" t="s">
        <v>32</v>
      </c>
      <c r="K130" s="4149" t="s">
        <v>47</v>
      </c>
      <c r="L130" s="1" t="s">
        <v>1283</v>
      </c>
      <c r="M130" s="844">
        <v>45142</v>
      </c>
      <c r="N130" s="844">
        <v>45142</v>
      </c>
      <c r="O130" s="844">
        <v>45145</v>
      </c>
      <c r="P130" s="4122" t="s">
        <v>1284</v>
      </c>
      <c r="Q130" s="4149" t="s">
        <v>89</v>
      </c>
      <c r="R130" s="709" t="s">
        <v>51</v>
      </c>
      <c r="S130" s="709"/>
      <c r="T130" s="709"/>
      <c r="U130" s="727"/>
      <c r="V130" s="727"/>
      <c r="W130" s="727">
        <f>IFERROR((JUL_2023[[#This Row],[Sales Amount]]-JUL_2023[[#This Row],[Cost]])/JUL_2023[[#This Row],[CNTR AMOUNT]],JUL_2023[[#This Row],[Sales Amount]]-JUL_2023[[#This Row],[Cost]])</f>
        <v>0</v>
      </c>
      <c r="X130" s="1179" t="str">
        <f>IFERROR((JUL_2023[[#This Row],[Sales Amount]]-JUL_2023[[#This Row],[Cost]])/JUL_2023[[#This Row],[Cost]],"-")</f>
        <v>-</v>
      </c>
      <c r="Y130" s="727"/>
      <c r="Z130" s="711"/>
    </row>
    <row r="131" spans="1:26" s="709" customFormat="1" hidden="1">
      <c r="A131" s="58" t="s">
        <v>42</v>
      </c>
      <c r="B131" s="58" t="s">
        <v>1285</v>
      </c>
      <c r="C131" s="58" t="s">
        <v>44</v>
      </c>
      <c r="D131" s="844">
        <v>45127</v>
      </c>
      <c r="E131" s="1112">
        <v>45140</v>
      </c>
      <c r="F131" s="58" t="s">
        <v>86</v>
      </c>
      <c r="G131" s="1383" t="s">
        <v>46</v>
      </c>
      <c r="H131" s="58"/>
      <c r="I131" s="58"/>
      <c r="J131" s="58" t="s">
        <v>32</v>
      </c>
      <c r="K131" s="58" t="s">
        <v>47</v>
      </c>
      <c r="L131" s="58" t="s">
        <v>1286</v>
      </c>
      <c r="M131" s="844">
        <v>45142</v>
      </c>
      <c r="N131" s="844">
        <v>45142</v>
      </c>
      <c r="O131" s="844">
        <v>45146</v>
      </c>
      <c r="P131" s="709" t="s">
        <v>1287</v>
      </c>
      <c r="Q131" s="58" t="s">
        <v>50</v>
      </c>
      <c r="R131" s="709" t="s">
        <v>51</v>
      </c>
      <c r="U131" s="727"/>
      <c r="V131" s="727"/>
      <c r="W131" s="727">
        <f>IFERROR((JUL_2023[[#This Row],[Sales Amount]]-JUL_2023[[#This Row],[Cost]])/JUL_2023[[#This Row],[CNTR AMOUNT]],JUL_2023[[#This Row],[Sales Amount]]-JUL_2023[[#This Row],[Cost]])</f>
        <v>0</v>
      </c>
      <c r="X131" s="1179" t="str">
        <f>IFERROR((JUL_2023[[#This Row],[Sales Amount]]-JUL_2023[[#This Row],[Cost]])/JUL_2023[[#This Row],[Cost]],"-")</f>
        <v>-</v>
      </c>
      <c r="Y131" s="727"/>
      <c r="Z131" s="711"/>
    </row>
    <row r="132" spans="1:26" hidden="1">
      <c r="A132" s="4149" t="s">
        <v>26</v>
      </c>
      <c r="B132" s="4149" t="s">
        <v>1288</v>
      </c>
      <c r="C132" s="4149" t="s">
        <v>44</v>
      </c>
      <c r="D132" s="844">
        <v>45127</v>
      </c>
      <c r="E132" s="1112">
        <v>45140</v>
      </c>
      <c r="F132" s="4149" t="s">
        <v>29</v>
      </c>
      <c r="G132" s="4149" t="s">
        <v>30</v>
      </c>
      <c r="H132" s="1115">
        <v>45142</v>
      </c>
      <c r="I132" s="915" t="s">
        <v>108</v>
      </c>
      <c r="J132" s="4149" t="s">
        <v>32</v>
      </c>
      <c r="K132" s="4149" t="s">
        <v>1140</v>
      </c>
      <c r="L132" s="915">
        <v>414376</v>
      </c>
      <c r="M132" s="1115">
        <v>45142</v>
      </c>
      <c r="N132" s="1119">
        <v>45142</v>
      </c>
      <c r="O132" s="1119">
        <v>45142</v>
      </c>
      <c r="P132" s="4122" t="s">
        <v>1289</v>
      </c>
      <c r="Q132" s="4149" t="s">
        <v>35</v>
      </c>
      <c r="R132" s="58" t="s">
        <v>36</v>
      </c>
      <c r="S132" s="58" t="s">
        <v>37</v>
      </c>
      <c r="T132" s="106">
        <v>748</v>
      </c>
      <c r="U132" s="85">
        <v>641</v>
      </c>
      <c r="V132" s="152"/>
      <c r="W132" s="152">
        <f>IFERROR((JUL_2023[[#This Row],[Sales Amount]]-JUL_2023[[#This Row],[Cost]])/JUL_2023[[#This Row],[CNTR AMOUNT]],JUL_2023[[#This Row],[Sales Amount]]-JUL_2023[[#This Row],[Cost]])</f>
        <v>107</v>
      </c>
      <c r="X132" s="888">
        <f>IFERROR((JUL_2023[[#This Row],[Sales Amount]]-JUL_2023[[#This Row],[Cost]])/JUL_2023[[#This Row],[Cost]],"-")</f>
        <v>0.1669266770670827</v>
      </c>
      <c r="Y132" s="152"/>
      <c r="Z132" s="645"/>
    </row>
    <row r="133" spans="1:26" hidden="1">
      <c r="A133" s="4149" t="s">
        <v>26</v>
      </c>
      <c r="B133" s="4149" t="s">
        <v>1290</v>
      </c>
      <c r="C133" s="4149" t="s">
        <v>44</v>
      </c>
      <c r="D133" s="844">
        <v>45127</v>
      </c>
      <c r="E133" s="1451">
        <v>45140</v>
      </c>
      <c r="F133" s="4149" t="s">
        <v>29</v>
      </c>
      <c r="G133" s="4149" t="s">
        <v>30</v>
      </c>
      <c r="H133" s="1115">
        <v>45142</v>
      </c>
      <c r="I133" s="915" t="s">
        <v>108</v>
      </c>
      <c r="J133" s="4149" t="s">
        <v>32</v>
      </c>
      <c r="K133" s="4149" t="s">
        <v>1140</v>
      </c>
      <c r="L133" s="915">
        <v>575739</v>
      </c>
      <c r="M133" s="1115">
        <v>45142</v>
      </c>
      <c r="N133" s="1115">
        <v>45141</v>
      </c>
      <c r="O133" s="1119">
        <v>45142</v>
      </c>
      <c r="P133" s="4122" t="s">
        <v>1291</v>
      </c>
      <c r="Q133" s="4149" t="s">
        <v>35</v>
      </c>
      <c r="R133" s="58" t="s">
        <v>36</v>
      </c>
      <c r="S133" s="58" t="s">
        <v>37</v>
      </c>
      <c r="T133" s="106">
        <v>4247</v>
      </c>
      <c r="U133" s="1381">
        <v>3283</v>
      </c>
      <c r="V133" s="152">
        <v>4</v>
      </c>
      <c r="W133" s="152">
        <f>IFERROR((JUL_2023[[#This Row],[Sales Amount]]-JUL_2023[[#This Row],[Cost]])/JUL_2023[[#This Row],[CNTR AMOUNT]],JUL_2023[[#This Row],[Sales Amount]]-JUL_2023[[#This Row],[Cost]])</f>
        <v>241</v>
      </c>
      <c r="X133" s="888">
        <f>IFERROR((JUL_2023[[#This Row],[Sales Amount]]-JUL_2023[[#This Row],[Cost]])/JUL_2023[[#This Row],[Cost]],"-")</f>
        <v>0.29363387145903136</v>
      </c>
      <c r="Y133" s="152"/>
      <c r="Z133" s="645"/>
    </row>
    <row r="134" spans="1:26" hidden="1">
      <c r="A134" s="4149" t="s">
        <v>26</v>
      </c>
      <c r="B134" s="4149" t="s">
        <v>1292</v>
      </c>
      <c r="C134" s="4149" t="s">
        <v>44</v>
      </c>
      <c r="D134" s="844">
        <v>45127</v>
      </c>
      <c r="E134" s="1112">
        <v>45140</v>
      </c>
      <c r="F134" s="4149" t="s">
        <v>29</v>
      </c>
      <c r="G134" s="4149" t="s">
        <v>30</v>
      </c>
      <c r="H134" s="1115">
        <v>45142</v>
      </c>
      <c r="I134" s="915" t="s">
        <v>115</v>
      </c>
      <c r="J134" s="4149" t="s">
        <v>32</v>
      </c>
      <c r="K134" s="4149" t="s">
        <v>1140</v>
      </c>
      <c r="L134" s="915">
        <v>575871</v>
      </c>
      <c r="M134" s="1115">
        <v>45142</v>
      </c>
      <c r="N134" s="1119">
        <v>45142</v>
      </c>
      <c r="O134" s="1119">
        <v>45142</v>
      </c>
      <c r="P134" s="4122" t="s">
        <v>1293</v>
      </c>
      <c r="Q134" s="4149" t="s">
        <v>35</v>
      </c>
      <c r="R134" s="58" t="s">
        <v>36</v>
      </c>
      <c r="S134" s="58" t="s">
        <v>37</v>
      </c>
      <c r="T134" s="106">
        <v>3692</v>
      </c>
      <c r="U134" s="7">
        <v>2944</v>
      </c>
      <c r="V134" s="152">
        <v>4</v>
      </c>
      <c r="W134" s="152">
        <f>IFERROR((JUL_2023[[#This Row],[Sales Amount]]-JUL_2023[[#This Row],[Cost]])/JUL_2023[[#This Row],[CNTR AMOUNT]],JUL_2023[[#This Row],[Sales Amount]]-JUL_2023[[#This Row],[Cost]])</f>
        <v>187</v>
      </c>
      <c r="X134" s="888">
        <f>IFERROR((JUL_2023[[#This Row],[Sales Amount]]-JUL_2023[[#This Row],[Cost]])/JUL_2023[[#This Row],[Cost]],"-")</f>
        <v>0.25407608695652173</v>
      </c>
      <c r="Y134" s="152"/>
      <c r="Z134" s="645"/>
    </row>
    <row r="135" spans="1:26" hidden="1">
      <c r="A135" s="4149" t="s">
        <v>26</v>
      </c>
      <c r="B135" s="4149" t="s">
        <v>1294</v>
      </c>
      <c r="C135" s="4149" t="s">
        <v>44</v>
      </c>
      <c r="D135" s="844">
        <v>45127</v>
      </c>
      <c r="E135" s="1491">
        <v>45140</v>
      </c>
      <c r="F135" s="4149" t="s">
        <v>29</v>
      </c>
      <c r="G135" s="4149" t="s">
        <v>30</v>
      </c>
      <c r="H135" s="1115">
        <v>45142</v>
      </c>
      <c r="I135" s="915" t="s">
        <v>108</v>
      </c>
      <c r="J135" s="4601" t="s">
        <v>32</v>
      </c>
      <c r="K135" s="4149" t="s">
        <v>1140</v>
      </c>
      <c r="L135" s="915">
        <v>402484</v>
      </c>
      <c r="M135" s="1115">
        <v>45142</v>
      </c>
      <c r="N135" s="1115">
        <v>45142</v>
      </c>
      <c r="O135" s="1119">
        <v>45142</v>
      </c>
      <c r="P135" s="4122" t="s">
        <v>1293</v>
      </c>
      <c r="Q135" s="4149" t="s">
        <v>35</v>
      </c>
      <c r="R135" s="58" t="s">
        <v>36</v>
      </c>
      <c r="S135" s="58" t="s">
        <v>37</v>
      </c>
      <c r="T135" s="106">
        <v>3692</v>
      </c>
      <c r="U135" s="85">
        <v>2944</v>
      </c>
      <c r="V135" s="152">
        <v>4</v>
      </c>
      <c r="W135" s="152">
        <f>IFERROR((JUL_2023[[#This Row],[Sales Amount]]-JUL_2023[[#This Row],[Cost]])/JUL_2023[[#This Row],[CNTR AMOUNT]],JUL_2023[[#This Row],[Sales Amount]]-JUL_2023[[#This Row],[Cost]])</f>
        <v>187</v>
      </c>
      <c r="X135" s="888">
        <f>IFERROR((JUL_2023[[#This Row],[Sales Amount]]-JUL_2023[[#This Row],[Cost]])/JUL_2023[[#This Row],[Cost]],"-")</f>
        <v>0.25407608695652173</v>
      </c>
      <c r="Y135" s="152"/>
      <c r="Z135" s="645"/>
    </row>
    <row r="136" spans="1:26" hidden="1">
      <c r="A136" s="4149" t="s">
        <v>26</v>
      </c>
      <c r="B136" s="4149" t="s">
        <v>1295</v>
      </c>
      <c r="C136" s="4149" t="s">
        <v>44</v>
      </c>
      <c r="D136" s="844">
        <v>45127</v>
      </c>
      <c r="E136" s="1112">
        <v>45140</v>
      </c>
      <c r="F136" s="4149" t="s">
        <v>29</v>
      </c>
      <c r="G136" s="4149" t="s">
        <v>30</v>
      </c>
      <c r="H136" s="1115">
        <v>45145</v>
      </c>
      <c r="I136" s="915" t="s">
        <v>40</v>
      </c>
      <c r="J136" s="4601" t="s">
        <v>32</v>
      </c>
      <c r="K136" s="4149" t="s">
        <v>1140</v>
      </c>
      <c r="L136" s="915">
        <v>836344</v>
      </c>
      <c r="M136" s="1115">
        <v>45142</v>
      </c>
      <c r="N136" s="1119">
        <v>45142</v>
      </c>
      <c r="O136" s="844">
        <v>45145</v>
      </c>
      <c r="P136" s="4122" t="s">
        <v>1296</v>
      </c>
      <c r="Q136" s="4149" t="s">
        <v>35</v>
      </c>
      <c r="R136" s="58" t="s">
        <v>36</v>
      </c>
      <c r="S136" s="58" t="s">
        <v>37</v>
      </c>
      <c r="T136" s="106">
        <v>4182</v>
      </c>
      <c r="U136" s="20">
        <v>3283</v>
      </c>
      <c r="V136" s="152">
        <v>4</v>
      </c>
      <c r="W136" s="152">
        <f>IFERROR((JUL_2023[[#This Row],[Sales Amount]]-JUL_2023[[#This Row],[Cost]])/JUL_2023[[#This Row],[CNTR AMOUNT]],JUL_2023[[#This Row],[Sales Amount]]-JUL_2023[[#This Row],[Cost]])</f>
        <v>224.75</v>
      </c>
      <c r="X136" s="888">
        <f>IFERROR((JUL_2023[[#This Row],[Sales Amount]]-JUL_2023[[#This Row],[Cost]])/JUL_2023[[#This Row],[Cost]],"-")</f>
        <v>0.27383490709716723</v>
      </c>
      <c r="Y136" s="152"/>
      <c r="Z136" s="645"/>
    </row>
    <row r="137" spans="1:26" s="52" customFormat="1" hidden="1">
      <c r="A137" s="4149" t="s">
        <v>26</v>
      </c>
      <c r="B137" s="4149" t="s">
        <v>1297</v>
      </c>
      <c r="C137" s="4149" t="s">
        <v>44</v>
      </c>
      <c r="D137" s="844">
        <v>45127</v>
      </c>
      <c r="E137" s="1112">
        <v>45140</v>
      </c>
      <c r="F137" s="4115" t="s">
        <v>29</v>
      </c>
      <c r="G137" s="4115" t="s">
        <v>30</v>
      </c>
      <c r="H137" s="1118">
        <v>45142</v>
      </c>
      <c r="I137" s="1117" t="s">
        <v>31</v>
      </c>
      <c r="J137" s="4115" t="s">
        <v>32</v>
      </c>
      <c r="K137" s="4106" t="s">
        <v>1140</v>
      </c>
      <c r="L137" s="915">
        <v>115113</v>
      </c>
      <c r="M137" s="1115">
        <v>45142</v>
      </c>
      <c r="N137" s="1115">
        <v>45141</v>
      </c>
      <c r="O137" s="1119">
        <v>45142</v>
      </c>
      <c r="P137" s="4122" t="s">
        <v>1296</v>
      </c>
      <c r="Q137" s="4149" t="s">
        <v>35</v>
      </c>
      <c r="R137" s="58" t="s">
        <v>36</v>
      </c>
      <c r="S137" s="58" t="s">
        <v>37</v>
      </c>
      <c r="T137" s="106">
        <v>4182</v>
      </c>
      <c r="U137" s="20">
        <v>3283</v>
      </c>
      <c r="V137" s="152">
        <v>4</v>
      </c>
      <c r="W137" s="152">
        <f>IFERROR((JUL_2023[[#This Row],[Sales Amount]]-JUL_2023[[#This Row],[Cost]])/JUL_2023[[#This Row],[CNTR AMOUNT]],JUL_2023[[#This Row],[Sales Amount]]-JUL_2023[[#This Row],[Cost]])</f>
        <v>224.75</v>
      </c>
      <c r="X137" s="888">
        <f>IFERROR((JUL_2023[[#This Row],[Sales Amount]]-JUL_2023[[#This Row],[Cost]])/JUL_2023[[#This Row],[Cost]],"-")</f>
        <v>0.27383490709716723</v>
      </c>
      <c r="Y137" s="152"/>
      <c r="Z137" s="645"/>
    </row>
    <row r="138" spans="1:26" s="36" customFormat="1">
      <c r="A138" s="117" t="s">
        <v>1177</v>
      </c>
      <c r="B138" s="766" t="s">
        <v>1298</v>
      </c>
      <c r="C138" s="117" t="s">
        <v>200</v>
      </c>
      <c r="D138" s="822">
        <v>45124</v>
      </c>
      <c r="E138" s="879">
        <v>45140</v>
      </c>
      <c r="F138" s="117" t="s">
        <v>29</v>
      </c>
      <c r="G138" s="117" t="s">
        <v>57</v>
      </c>
      <c r="H138" s="839">
        <v>45143</v>
      </c>
      <c r="I138" s="766" t="s">
        <v>672</v>
      </c>
      <c r="J138" s="117" t="s">
        <v>32</v>
      </c>
      <c r="K138" s="117" t="s">
        <v>1179</v>
      </c>
      <c r="L138" s="1347" t="s">
        <v>1299</v>
      </c>
      <c r="M138" s="828">
        <v>45142</v>
      </c>
      <c r="N138" s="828">
        <v>45142</v>
      </c>
      <c r="O138" s="1189">
        <v>45143</v>
      </c>
      <c r="P138" s="4150" t="s">
        <v>1300</v>
      </c>
      <c r="Q138" s="117" t="s">
        <v>75</v>
      </c>
      <c r="R138" s="3" t="s">
        <v>1301</v>
      </c>
      <c r="S138" s="117">
        <v>4</v>
      </c>
      <c r="T138" s="117">
        <v>950</v>
      </c>
      <c r="U138" s="660">
        <v>950</v>
      </c>
      <c r="V138" s="660">
        <v>1</v>
      </c>
      <c r="W138" s="660">
        <f>IFERROR((JUL_2023[[#This Row],[Sales Amount]]-JUL_2023[[#This Row],[Cost]])/JUL_2023[[#This Row],[CNTR AMOUNT]],JUL_2023[[#This Row],[Sales Amount]]-JUL_2023[[#This Row],[Cost]])</f>
        <v>0</v>
      </c>
      <c r="X138" s="919">
        <f>IFERROR((JUL_2023[[#This Row],[Sales Amount]]-JUL_2023[[#This Row],[Cost]])/JUL_2023[[#This Row],[Cost]],"-")</f>
        <v>0</v>
      </c>
      <c r="Y138" s="660"/>
      <c r="Z138" s="113"/>
    </row>
    <row r="139" spans="1:26" s="117" customFormat="1">
      <c r="A139" s="4150" t="s">
        <v>1177</v>
      </c>
      <c r="B139" s="766" t="s">
        <v>1302</v>
      </c>
      <c r="C139" s="4150" t="s">
        <v>200</v>
      </c>
      <c r="D139" s="822">
        <v>45124</v>
      </c>
      <c r="E139" s="856">
        <v>45140</v>
      </c>
      <c r="F139" s="117" t="s">
        <v>245</v>
      </c>
      <c r="G139" s="4150" t="s">
        <v>57</v>
      </c>
      <c r="H139" s="839">
        <v>45143</v>
      </c>
      <c r="I139" s="766" t="s">
        <v>672</v>
      </c>
      <c r="J139" s="117" t="s">
        <v>32</v>
      </c>
      <c r="K139" s="4150" t="s">
        <v>1179</v>
      </c>
      <c r="L139" s="117">
        <v>2742388</v>
      </c>
      <c r="M139" s="856">
        <v>45142</v>
      </c>
      <c r="N139" s="856">
        <v>45142</v>
      </c>
      <c r="O139" s="1189">
        <v>45149</v>
      </c>
      <c r="P139" s="3" t="s">
        <v>1303</v>
      </c>
      <c r="Q139" s="4150" t="s">
        <v>75</v>
      </c>
      <c r="R139" s="3" t="s">
        <v>1181</v>
      </c>
      <c r="S139" s="117">
        <v>4</v>
      </c>
      <c r="T139" s="117">
        <v>1703</v>
      </c>
      <c r="U139" s="660">
        <v>1494</v>
      </c>
      <c r="V139" s="660">
        <v>3</v>
      </c>
      <c r="W139" s="660">
        <f>IFERROR((JUL_2023[[#This Row],[Sales Amount]]-JUL_2023[[#This Row],[Cost]])/JUL_2023[[#This Row],[CNTR AMOUNT]],JUL_2023[[#This Row],[Sales Amount]]-JUL_2023[[#This Row],[Cost]])</f>
        <v>69.666666666666671</v>
      </c>
      <c r="X139" s="919">
        <f>IFERROR((JUL_2023[[#This Row],[Sales Amount]]-JUL_2023[[#This Row],[Cost]])/JUL_2023[[#This Row],[Cost]],"-")</f>
        <v>0.13989290495314591</v>
      </c>
      <c r="Y139" s="660"/>
      <c r="Z139" s="113"/>
    </row>
    <row r="140" spans="1:26">
      <c r="A140" s="117" t="s">
        <v>1035</v>
      </c>
      <c r="B140" s="117" t="s">
        <v>1304</v>
      </c>
      <c r="C140" s="4150" t="s">
        <v>85</v>
      </c>
      <c r="D140" s="822">
        <v>45126</v>
      </c>
      <c r="E140" s="879">
        <v>45140</v>
      </c>
      <c r="F140" s="4150" t="s">
        <v>151</v>
      </c>
      <c r="G140" s="117" t="s">
        <v>46</v>
      </c>
      <c r="H140" s="117" t="s">
        <v>1038</v>
      </c>
      <c r="I140" s="117" t="s">
        <v>162</v>
      </c>
      <c r="J140" s="4150" t="s">
        <v>32</v>
      </c>
      <c r="K140" s="4150" t="s">
        <v>162</v>
      </c>
      <c r="L140" s="117" t="s">
        <v>1305</v>
      </c>
      <c r="M140" s="822">
        <v>45143</v>
      </c>
      <c r="N140" s="822">
        <v>45141</v>
      </c>
      <c r="O140" s="1360">
        <v>45142</v>
      </c>
      <c r="P140" s="4150" t="s">
        <v>1306</v>
      </c>
      <c r="Q140" s="4150" t="s">
        <v>75</v>
      </c>
      <c r="R140" s="4150" t="s">
        <v>36</v>
      </c>
      <c r="S140" s="117"/>
      <c r="T140" s="117"/>
      <c r="U140" s="660"/>
      <c r="V140" s="660"/>
      <c r="W140" s="660">
        <f>IFERROR((JUL_2023[[#This Row],[Sales Amount]]-JUL_2023[[#This Row],[Cost]])/JUL_2023[[#This Row],[CNTR AMOUNT]],JUL_2023[[#This Row],[Sales Amount]]-JUL_2023[[#This Row],[Cost]])</f>
        <v>0</v>
      </c>
      <c r="X140" s="919" t="str">
        <f>IFERROR((JUL_2023[[#This Row],[Sales Amount]]-JUL_2023[[#This Row],[Cost]])/JUL_2023[[#This Row],[Cost]],"-")</f>
        <v>-</v>
      </c>
      <c r="Y140" s="660"/>
      <c r="Z140" s="113"/>
    </row>
    <row r="141" spans="1:26" hidden="1">
      <c r="A141" s="58" t="s">
        <v>622</v>
      </c>
      <c r="B141" s="4149" t="s">
        <v>1307</v>
      </c>
      <c r="C141" s="58" t="s">
        <v>44</v>
      </c>
      <c r="D141" s="844">
        <v>45128</v>
      </c>
      <c r="E141" s="1417">
        <v>45140</v>
      </c>
      <c r="F141" s="4149" t="s">
        <v>151</v>
      </c>
      <c r="G141" s="4149" t="s">
        <v>46</v>
      </c>
      <c r="H141" s="844"/>
      <c r="I141" s="58"/>
      <c r="J141" s="4149" t="s">
        <v>32</v>
      </c>
      <c r="K141" s="58" t="s">
        <v>624</v>
      </c>
      <c r="L141" s="58" t="s">
        <v>1308</v>
      </c>
      <c r="M141" s="58"/>
      <c r="N141" s="58"/>
      <c r="O141" s="58"/>
      <c r="P141" s="4122" t="s">
        <v>1159</v>
      </c>
      <c r="Q141" s="58" t="s">
        <v>627</v>
      </c>
      <c r="R141" s="709" t="s">
        <v>51</v>
      </c>
      <c r="U141" s="152"/>
      <c r="V141" s="152"/>
      <c r="W141" s="152">
        <f>IFERROR((JUL_2023[[#This Row],[Sales Amount]]-JUL_2023[[#This Row],[Cost]])/JUL_2023[[#This Row],[CNTR AMOUNT]],JUL_2023[[#This Row],[Sales Amount]]-JUL_2023[[#This Row],[Cost]])</f>
        <v>0</v>
      </c>
      <c r="X141" s="888" t="str">
        <f>IFERROR((JUL_2023[[#This Row],[Sales Amount]]-JUL_2023[[#This Row],[Cost]])/JUL_2023[[#This Row],[Cost]],"-")</f>
        <v>-</v>
      </c>
      <c r="Y141" s="152"/>
      <c r="Z141" s="645"/>
    </row>
    <row r="142" spans="1:26" s="117" customFormat="1">
      <c r="A142" s="4150" t="s">
        <v>145</v>
      </c>
      <c r="B142" s="3" t="s">
        <v>1309</v>
      </c>
      <c r="C142" s="1366" t="s">
        <v>28</v>
      </c>
      <c r="D142" s="822">
        <v>45126</v>
      </c>
      <c r="E142" s="879">
        <v>45141</v>
      </c>
      <c r="F142" s="117" t="s">
        <v>45</v>
      </c>
      <c r="G142" s="117" t="s">
        <v>361</v>
      </c>
      <c r="H142" s="879">
        <v>45147</v>
      </c>
      <c r="I142" s="1367" t="s">
        <v>1310</v>
      </c>
      <c r="J142" s="117" t="s">
        <v>32</v>
      </c>
      <c r="K142" s="117" t="s">
        <v>213</v>
      </c>
      <c r="L142" s="1359">
        <v>174230</v>
      </c>
      <c r="M142" s="822">
        <v>45143</v>
      </c>
      <c r="N142" s="822">
        <v>45143</v>
      </c>
      <c r="O142" s="822">
        <v>45147</v>
      </c>
      <c r="P142" s="4165" t="s">
        <v>1311</v>
      </c>
      <c r="Q142" s="117" t="s">
        <v>1312</v>
      </c>
      <c r="R142" s="3" t="s">
        <v>1313</v>
      </c>
      <c r="S142" s="117">
        <v>4</v>
      </c>
      <c r="T142" s="117">
        <v>1480</v>
      </c>
      <c r="U142" s="660">
        <v>1099</v>
      </c>
      <c r="V142" s="660">
        <v>1</v>
      </c>
      <c r="W142" s="660">
        <f>IFERROR((JUL_2023[[#This Row],[Sales Amount]]-JUL_2023[[#This Row],[Cost]])/JUL_2023[[#This Row],[CNTR AMOUNT]],JUL_2023[[#This Row],[Sales Amount]]-JUL_2023[[#This Row],[Cost]])</f>
        <v>381</v>
      </c>
      <c r="X142" s="919">
        <f>IFERROR((JUL_2023[[#This Row],[Sales Amount]]-JUL_2023[[#This Row],[Cost]])/JUL_2023[[#This Row],[Cost]],"-")</f>
        <v>0.34667879890809827</v>
      </c>
      <c r="Y142" s="660"/>
      <c r="Z142" s="113"/>
    </row>
    <row r="143" spans="1:26">
      <c r="A143" s="117" t="s">
        <v>1314</v>
      </c>
      <c r="B143" s="908" t="s">
        <v>1315</v>
      </c>
      <c r="C143" s="117" t="s">
        <v>44</v>
      </c>
      <c r="D143" s="822">
        <v>45141</v>
      </c>
      <c r="E143" s="879">
        <v>45141</v>
      </c>
      <c r="F143" s="117" t="s">
        <v>260</v>
      </c>
      <c r="G143" s="882" t="s">
        <v>1316</v>
      </c>
      <c r="H143" s="822" t="s">
        <v>162</v>
      </c>
      <c r="I143" s="117" t="s">
        <v>162</v>
      </c>
      <c r="J143" s="117" t="s">
        <v>162</v>
      </c>
      <c r="K143" s="882" t="s">
        <v>1317</v>
      </c>
      <c r="L143" s="117" t="s">
        <v>1038</v>
      </c>
      <c r="M143" s="822">
        <v>45148</v>
      </c>
      <c r="N143" s="822">
        <v>45145</v>
      </c>
      <c r="O143" s="822">
        <v>45147</v>
      </c>
      <c r="P143" s="4150" t="s">
        <v>1318</v>
      </c>
      <c r="Q143" s="117" t="s">
        <v>75</v>
      </c>
      <c r="R143" s="507" t="s">
        <v>1319</v>
      </c>
      <c r="S143" s="117" t="s">
        <v>1320</v>
      </c>
      <c r="T143" s="117">
        <v>105</v>
      </c>
      <c r="U143" s="660">
        <v>15</v>
      </c>
      <c r="V143" s="660">
        <v>1</v>
      </c>
      <c r="W143" s="660">
        <f>IFERROR((JUL_2023[[#This Row],[Sales Amount]]-JUL_2023[[#This Row],[Cost]])/JUL_2023[[#This Row],[CNTR AMOUNT]],JUL_2023[[#This Row],[Sales Amount]]-JUL_2023[[#This Row],[Cost]])</f>
        <v>90</v>
      </c>
      <c r="X143" s="919">
        <f>IFERROR((JUL_2023[[#This Row],[Sales Amount]]-JUL_2023[[#This Row],[Cost]])/JUL_2023[[#This Row],[Cost]],"-")</f>
        <v>6</v>
      </c>
      <c r="Y143" s="660"/>
      <c r="Z143" s="113"/>
    </row>
    <row r="144" spans="1:26" s="117" customFormat="1">
      <c r="A144" s="117" t="s">
        <v>1314</v>
      </c>
      <c r="B144" s="908" t="s">
        <v>1321</v>
      </c>
      <c r="C144" s="117" t="s">
        <v>44</v>
      </c>
      <c r="D144" s="822">
        <v>45141</v>
      </c>
      <c r="E144" s="879">
        <v>45141</v>
      </c>
      <c r="F144" s="117" t="s">
        <v>260</v>
      </c>
      <c r="G144" s="882" t="s">
        <v>1316</v>
      </c>
      <c r="H144" s="822" t="s">
        <v>162</v>
      </c>
      <c r="I144" s="117" t="s">
        <v>162</v>
      </c>
      <c r="J144" s="117" t="s">
        <v>162</v>
      </c>
      <c r="K144" s="882" t="s">
        <v>1317</v>
      </c>
      <c r="L144" s="117" t="s">
        <v>1038</v>
      </c>
      <c r="M144" s="822">
        <v>45148</v>
      </c>
      <c r="N144" s="822">
        <v>45147</v>
      </c>
      <c r="O144" s="822">
        <v>45149</v>
      </c>
      <c r="P144" s="117" t="s">
        <v>1322</v>
      </c>
      <c r="Q144" s="117" t="s">
        <v>75</v>
      </c>
      <c r="R144" s="507" t="s">
        <v>1323</v>
      </c>
      <c r="S144" s="117" t="s">
        <v>1320</v>
      </c>
      <c r="T144" s="117">
        <v>105</v>
      </c>
      <c r="U144" s="660">
        <v>15</v>
      </c>
      <c r="V144" s="660">
        <v>1</v>
      </c>
      <c r="W144" s="660">
        <f>IFERROR((JUL_2023[[#This Row],[Sales Amount]]-JUL_2023[[#This Row],[Cost]])/JUL_2023[[#This Row],[CNTR AMOUNT]],JUL_2023[[#This Row],[Sales Amount]]-JUL_2023[[#This Row],[Cost]])</f>
        <v>90</v>
      </c>
      <c r="X144" s="919">
        <f>IFERROR((JUL_2023[[#This Row],[Sales Amount]]-JUL_2023[[#This Row],[Cost]])/JUL_2023[[#This Row],[Cost]],"-")</f>
        <v>6</v>
      </c>
      <c r="Y144" s="660"/>
      <c r="Z144" s="113"/>
    </row>
    <row r="145" spans="1:26" s="117" customFormat="1">
      <c r="A145" s="117" t="s">
        <v>1314</v>
      </c>
      <c r="B145" s="908" t="s">
        <v>1324</v>
      </c>
      <c r="C145" s="117" t="s">
        <v>44</v>
      </c>
      <c r="D145" s="822">
        <v>45141</v>
      </c>
      <c r="E145" s="879">
        <v>45141</v>
      </c>
      <c r="F145" s="117" t="s">
        <v>260</v>
      </c>
      <c r="G145" s="882" t="s">
        <v>1316</v>
      </c>
      <c r="H145" s="822" t="s">
        <v>162</v>
      </c>
      <c r="I145" s="117" t="s">
        <v>162</v>
      </c>
      <c r="J145" s="117" t="s">
        <v>162</v>
      </c>
      <c r="K145" s="882" t="s">
        <v>1317</v>
      </c>
      <c r="L145" s="117" t="s">
        <v>1038</v>
      </c>
      <c r="M145" s="822">
        <v>45148</v>
      </c>
      <c r="N145" s="822">
        <v>45145</v>
      </c>
      <c r="O145" s="822">
        <v>45148</v>
      </c>
      <c r="P145" s="117" t="s">
        <v>1325</v>
      </c>
      <c r="Q145" s="117" t="s">
        <v>75</v>
      </c>
      <c r="R145" s="507" t="s">
        <v>1326</v>
      </c>
      <c r="S145" s="117" t="s">
        <v>1320</v>
      </c>
      <c r="T145" s="117">
        <v>105</v>
      </c>
      <c r="U145" s="660">
        <v>15</v>
      </c>
      <c r="V145" s="660">
        <v>1</v>
      </c>
      <c r="W145" s="660">
        <f>IFERROR((JUL_2023[[#This Row],[Sales Amount]]-JUL_2023[[#This Row],[Cost]])/JUL_2023[[#This Row],[CNTR AMOUNT]],JUL_2023[[#This Row],[Sales Amount]]-JUL_2023[[#This Row],[Cost]])</f>
        <v>90</v>
      </c>
      <c r="X145" s="919">
        <f>IFERROR((JUL_2023[[#This Row],[Sales Amount]]-JUL_2023[[#This Row],[Cost]])/JUL_2023[[#This Row],[Cost]],"-")</f>
        <v>6</v>
      </c>
      <c r="Y145" s="660"/>
      <c r="Z145" s="113"/>
    </row>
    <row r="146" spans="1:26" s="36" customFormat="1">
      <c r="A146" s="117" t="s">
        <v>210</v>
      </c>
      <c r="B146" s="908" t="s">
        <v>1327</v>
      </c>
      <c r="C146" s="908" t="s">
        <v>28</v>
      </c>
      <c r="D146" s="822">
        <v>45138</v>
      </c>
      <c r="E146" s="879">
        <v>45141</v>
      </c>
      <c r="F146" s="117" t="s">
        <v>45</v>
      </c>
      <c r="G146" s="860" t="s">
        <v>1328</v>
      </c>
      <c r="H146" s="36" t="s">
        <v>1329</v>
      </c>
      <c r="I146" s="822" t="s">
        <v>1330</v>
      </c>
      <c r="J146" s="4150" t="s">
        <v>1331</v>
      </c>
      <c r="K146" s="117" t="s">
        <v>1332</v>
      </c>
      <c r="L146" s="117">
        <v>3010</v>
      </c>
      <c r="M146" s="879">
        <v>45143</v>
      </c>
      <c r="N146" s="822">
        <v>45145</v>
      </c>
      <c r="O146" s="4173">
        <v>45149</v>
      </c>
      <c r="P146" s="1182" t="s">
        <v>1333</v>
      </c>
      <c r="Q146" s="117" t="s">
        <v>75</v>
      </c>
      <c r="R146" s="3" t="s">
        <v>1334</v>
      </c>
      <c r="S146" s="117" t="s">
        <v>37</v>
      </c>
      <c r="T146" s="117">
        <v>4075</v>
      </c>
      <c r="U146" s="806">
        <f xml:space="preserve"> 2407 +365.87+200+250</f>
        <v>3222.87</v>
      </c>
      <c r="V146" s="120">
        <v>1</v>
      </c>
      <c r="W146" s="120">
        <f>IFERROR((JUL_2023[[#This Row],[Sales Amount]]-JUL_2023[[#This Row],[Cost]])/JUL_2023[[#This Row],[CNTR AMOUNT]],JUL_2023[[#This Row],[Sales Amount]]-JUL_2023[[#This Row],[Cost]])</f>
        <v>852.13000000000011</v>
      </c>
      <c r="X146" s="1067">
        <f>IFERROR((JUL_2023[[#This Row],[Sales Amount]]-JUL_2023[[#This Row],[Cost]])/JUL_2023[[#This Row],[Cost]],"-")</f>
        <v>0.26440098421593178</v>
      </c>
      <c r="Y146" s="120"/>
      <c r="Z146" s="1209"/>
    </row>
    <row r="147" spans="1:26" s="709" customFormat="1" hidden="1">
      <c r="A147" s="4149" t="s">
        <v>145</v>
      </c>
      <c r="B147" s="58" t="s">
        <v>1335</v>
      </c>
      <c r="C147" s="1166" t="s">
        <v>28</v>
      </c>
      <c r="D147" s="844">
        <v>45129</v>
      </c>
      <c r="E147" s="1112">
        <v>45142</v>
      </c>
      <c r="F147" s="58" t="s">
        <v>45</v>
      </c>
      <c r="G147" s="58" t="s">
        <v>361</v>
      </c>
      <c r="H147" s="58"/>
      <c r="I147" s="58"/>
      <c r="J147" s="58" t="s">
        <v>32</v>
      </c>
      <c r="K147" s="58" t="s">
        <v>47</v>
      </c>
      <c r="L147" s="58">
        <v>207768</v>
      </c>
      <c r="M147" s="1414">
        <v>45144</v>
      </c>
      <c r="N147" s="1139">
        <v>45143</v>
      </c>
      <c r="O147" s="1139">
        <v>45148</v>
      </c>
      <c r="P147" s="709" t="s">
        <v>1336</v>
      </c>
      <c r="Q147" s="58" t="s">
        <v>50</v>
      </c>
      <c r="R147" s="709" t="s">
        <v>51</v>
      </c>
      <c r="U147" s="718"/>
      <c r="V147" s="718"/>
      <c r="W147" s="718">
        <f>IFERROR((JUL_2023[[#This Row],[Sales Amount]]-JUL_2023[[#This Row],[Cost]])/JUL_2023[[#This Row],[CNTR AMOUNT]],JUL_2023[[#This Row],[Sales Amount]]-JUL_2023[[#This Row],[Cost]])</f>
        <v>0</v>
      </c>
      <c r="X147" s="1348" t="str">
        <f>IFERROR((JUL_2023[[#This Row],[Sales Amount]]-JUL_2023[[#This Row],[Cost]])/JUL_2023[[#This Row],[Cost]],"-")</f>
        <v>-</v>
      </c>
      <c r="Y147" s="718"/>
      <c r="Z147" s="1349"/>
    </row>
    <row r="148" spans="1:26" hidden="1">
      <c r="A148" s="58" t="s">
        <v>254</v>
      </c>
      <c r="B148" s="1345" t="s">
        <v>1337</v>
      </c>
      <c r="C148" s="58" t="s">
        <v>200</v>
      </c>
      <c r="D148" s="844">
        <v>45130</v>
      </c>
      <c r="E148" s="1112">
        <v>45142</v>
      </c>
      <c r="F148" s="58" t="s">
        <v>285</v>
      </c>
      <c r="G148" s="58" t="s">
        <v>152</v>
      </c>
      <c r="H148" s="1115">
        <v>45146</v>
      </c>
      <c r="I148" s="915" t="s">
        <v>104</v>
      </c>
      <c r="J148" s="58" t="s">
        <v>1338</v>
      </c>
      <c r="K148" s="58" t="s">
        <v>1339</v>
      </c>
      <c r="L148" s="915">
        <v>9963</v>
      </c>
      <c r="M148" s="1115">
        <v>45142</v>
      </c>
      <c r="N148" s="1119">
        <v>45142</v>
      </c>
      <c r="O148" s="1115">
        <v>45146</v>
      </c>
      <c r="P148" s="709" t="s">
        <v>1340</v>
      </c>
      <c r="Q148" s="58" t="s">
        <v>35</v>
      </c>
      <c r="R148" s="58" t="s">
        <v>36</v>
      </c>
      <c r="S148" s="58" t="s">
        <v>37</v>
      </c>
      <c r="T148" s="106">
        <v>1215</v>
      </c>
      <c r="U148" s="84">
        <v>909.75</v>
      </c>
      <c r="V148" s="93"/>
      <c r="W148" s="152">
        <f>IFERROR((JUL_2023[[#This Row],[Sales Amount]]-JUL_2023[[#This Row],[Cost]])/JUL_2023[[#This Row],[CNTR AMOUNT]],JUL_2023[[#This Row],[Sales Amount]]-JUL_2023[[#This Row],[Cost]])</f>
        <v>305.25</v>
      </c>
      <c r="X148" s="888">
        <f>IFERROR((JUL_2023[[#This Row],[Sales Amount]]-JUL_2023[[#This Row],[Cost]])/JUL_2023[[#This Row],[Cost]],"-")</f>
        <v>0.33553173948887055</v>
      </c>
      <c r="Y148" s="152"/>
      <c r="Z148" s="645"/>
    </row>
    <row r="149" spans="1:26" s="1350" customFormat="1" hidden="1">
      <c r="A149" s="4149" t="s">
        <v>145</v>
      </c>
      <c r="B149" s="4839" t="s">
        <v>1341</v>
      </c>
      <c r="C149" s="58" t="s">
        <v>85</v>
      </c>
      <c r="D149" s="844">
        <v>45128</v>
      </c>
      <c r="E149" s="1112">
        <v>45142</v>
      </c>
      <c r="F149" s="58" t="s">
        <v>45</v>
      </c>
      <c r="G149" s="1383" t="s">
        <v>302</v>
      </c>
      <c r="H149" s="58"/>
      <c r="I149" s="58"/>
      <c r="J149" s="58" t="s">
        <v>32</v>
      </c>
      <c r="K149" s="58" t="s">
        <v>47</v>
      </c>
      <c r="L149" s="1" t="s">
        <v>1342</v>
      </c>
      <c r="M149" s="844">
        <v>45144</v>
      </c>
      <c r="N149" s="844">
        <v>45143</v>
      </c>
      <c r="O149" s="844">
        <v>45148</v>
      </c>
      <c r="P149" s="709" t="s">
        <v>1343</v>
      </c>
      <c r="Q149" s="58" t="s">
        <v>1281</v>
      </c>
      <c r="R149" s="709" t="s">
        <v>51</v>
      </c>
      <c r="S149" s="709"/>
      <c r="T149" s="709"/>
      <c r="U149" s="727"/>
      <c r="V149" s="727"/>
      <c r="W149" s="727">
        <f>IFERROR((JUL_2023[[#This Row],[Sales Amount]]-JUL_2023[[#This Row],[Cost]])/JUL_2023[[#This Row],[CNTR AMOUNT]],JUL_2023[[#This Row],[Sales Amount]]-JUL_2023[[#This Row],[Cost]])</f>
        <v>0</v>
      </c>
      <c r="X149" s="1179" t="str">
        <f>IFERROR((JUL_2023[[#This Row],[Sales Amount]]-JUL_2023[[#This Row],[Cost]])/JUL_2023[[#This Row],[Cost]],"-")</f>
        <v>-</v>
      </c>
      <c r="Y149" s="727"/>
      <c r="Z149" s="711"/>
    </row>
    <row r="150" spans="1:26" hidden="1">
      <c r="A150" s="4149" t="s">
        <v>26</v>
      </c>
      <c r="B150" s="58" t="s">
        <v>1344</v>
      </c>
      <c r="C150" s="4149" t="s">
        <v>44</v>
      </c>
      <c r="D150" s="844">
        <v>45127</v>
      </c>
      <c r="E150" s="1112">
        <v>45142</v>
      </c>
      <c r="F150" s="4149" t="s">
        <v>29</v>
      </c>
      <c r="G150" s="4149" t="s">
        <v>30</v>
      </c>
      <c r="H150" s="1115">
        <v>45145</v>
      </c>
      <c r="I150" s="915" t="s">
        <v>178</v>
      </c>
      <c r="J150" s="4601" t="s">
        <v>32</v>
      </c>
      <c r="K150" s="4149" t="s">
        <v>1140</v>
      </c>
      <c r="L150" s="915">
        <v>323954</v>
      </c>
      <c r="M150" s="1115">
        <v>45144</v>
      </c>
      <c r="N150" s="844">
        <v>45143</v>
      </c>
      <c r="O150" s="844">
        <v>45145</v>
      </c>
      <c r="P150" s="4122" t="s">
        <v>1291</v>
      </c>
      <c r="Q150" s="4149" t="s">
        <v>35</v>
      </c>
      <c r="R150" s="58" t="s">
        <v>36</v>
      </c>
      <c r="S150" s="58" t="s">
        <v>37</v>
      </c>
      <c r="T150" s="106">
        <v>4247</v>
      </c>
      <c r="U150" s="1499">
        <v>3283</v>
      </c>
      <c r="V150" s="93">
        <v>4</v>
      </c>
      <c r="W150" s="93">
        <f>IFERROR((JUL_2023[[#This Row],[Sales Amount]]-JUL_2023[[#This Row],[Cost]])/JUL_2023[[#This Row],[CNTR AMOUNT]],JUL_2023[[#This Row],[Sales Amount]]-JUL_2023[[#This Row],[Cost]])</f>
        <v>241</v>
      </c>
      <c r="X150" s="970">
        <f>IFERROR((JUL_2023[[#This Row],[Sales Amount]]-JUL_2023[[#This Row],[Cost]])/JUL_2023[[#This Row],[Cost]],"-")</f>
        <v>0.29363387145903136</v>
      </c>
      <c r="Y150" s="93"/>
      <c r="Z150" s="1068"/>
    </row>
    <row r="151" spans="1:26" hidden="1">
      <c r="A151" s="4149" t="s">
        <v>26</v>
      </c>
      <c r="B151" s="4149" t="s">
        <v>1345</v>
      </c>
      <c r="C151" s="4149" t="s">
        <v>44</v>
      </c>
      <c r="D151" s="844">
        <v>45127</v>
      </c>
      <c r="E151" s="1112">
        <v>45142</v>
      </c>
      <c r="F151" s="4149" t="s">
        <v>29</v>
      </c>
      <c r="G151" s="4149" t="s">
        <v>30</v>
      </c>
      <c r="H151" s="1115">
        <v>45145</v>
      </c>
      <c r="I151" s="915" t="s">
        <v>108</v>
      </c>
      <c r="J151" s="4149" t="s">
        <v>32</v>
      </c>
      <c r="K151" s="4149" t="s">
        <v>1140</v>
      </c>
      <c r="L151" s="915">
        <v>292408</v>
      </c>
      <c r="M151" s="1115">
        <v>45144</v>
      </c>
      <c r="N151" s="844">
        <v>45143</v>
      </c>
      <c r="O151" s="58" t="s">
        <v>1346</v>
      </c>
      <c r="P151" s="4122" t="s">
        <v>1291</v>
      </c>
      <c r="Q151" s="4149" t="s">
        <v>35</v>
      </c>
      <c r="R151" s="58" t="s">
        <v>36</v>
      </c>
      <c r="S151" s="58" t="s">
        <v>37</v>
      </c>
      <c r="T151" s="106">
        <v>4247</v>
      </c>
      <c r="U151" s="1381">
        <v>3283</v>
      </c>
      <c r="V151" s="152">
        <v>4</v>
      </c>
      <c r="W151" s="152">
        <f>IFERROR((JUL_2023[[#This Row],[Sales Amount]]-JUL_2023[[#This Row],[Cost]])/JUL_2023[[#This Row],[CNTR AMOUNT]],JUL_2023[[#This Row],[Sales Amount]]-JUL_2023[[#This Row],[Cost]])</f>
        <v>241</v>
      </c>
      <c r="X151" s="888">
        <f>IFERROR((JUL_2023[[#This Row],[Sales Amount]]-JUL_2023[[#This Row],[Cost]])/JUL_2023[[#This Row],[Cost]],"-")</f>
        <v>0.29363387145903136</v>
      </c>
      <c r="Y151" s="152"/>
      <c r="Z151" s="645"/>
    </row>
    <row r="152" spans="1:26" hidden="1">
      <c r="A152" s="4149" t="s">
        <v>26</v>
      </c>
      <c r="B152" s="4149" t="s">
        <v>1347</v>
      </c>
      <c r="C152" s="4149" t="s">
        <v>44</v>
      </c>
      <c r="D152" s="844">
        <v>45127</v>
      </c>
      <c r="E152" s="1112">
        <v>45142</v>
      </c>
      <c r="F152" s="4149" t="s">
        <v>29</v>
      </c>
      <c r="G152" s="4149" t="s">
        <v>30</v>
      </c>
      <c r="H152" s="1115">
        <v>45145</v>
      </c>
      <c r="I152" s="915" t="s">
        <v>115</v>
      </c>
      <c r="J152" s="4149" t="s">
        <v>32</v>
      </c>
      <c r="K152" s="4149" t="s">
        <v>1140</v>
      </c>
      <c r="L152" s="915">
        <v>754169</v>
      </c>
      <c r="M152" s="1115">
        <v>45144</v>
      </c>
      <c r="N152" s="844">
        <v>45143</v>
      </c>
      <c r="O152" s="844">
        <v>45145</v>
      </c>
      <c r="P152" s="4122" t="s">
        <v>1291</v>
      </c>
      <c r="Q152" s="4149" t="s">
        <v>35</v>
      </c>
      <c r="R152" s="58" t="s">
        <v>36</v>
      </c>
      <c r="S152" s="58" t="s">
        <v>37</v>
      </c>
      <c r="T152" s="106">
        <v>4247</v>
      </c>
      <c r="U152" s="20">
        <v>3283</v>
      </c>
      <c r="V152" s="152">
        <v>4</v>
      </c>
      <c r="W152" s="152">
        <f>IFERROR((JUL_2023[[#This Row],[Sales Amount]]-JUL_2023[[#This Row],[Cost]])/JUL_2023[[#This Row],[CNTR AMOUNT]],JUL_2023[[#This Row],[Sales Amount]]-JUL_2023[[#This Row],[Cost]])</f>
        <v>241</v>
      </c>
      <c r="X152" s="888">
        <f>IFERROR((JUL_2023[[#This Row],[Sales Amount]]-JUL_2023[[#This Row],[Cost]])/JUL_2023[[#This Row],[Cost]],"-")</f>
        <v>0.29363387145903136</v>
      </c>
      <c r="Y152" s="152"/>
      <c r="Z152" s="645"/>
    </row>
    <row r="153" spans="1:26" hidden="1">
      <c r="A153" s="4149" t="s">
        <v>26</v>
      </c>
      <c r="B153" s="4149" t="s">
        <v>1348</v>
      </c>
      <c r="C153" s="4149" t="s">
        <v>44</v>
      </c>
      <c r="D153" s="844">
        <v>45127</v>
      </c>
      <c r="E153" s="1112">
        <v>45142</v>
      </c>
      <c r="F153" s="4149" t="s">
        <v>29</v>
      </c>
      <c r="G153" s="4149" t="s">
        <v>30</v>
      </c>
      <c r="H153" s="1115">
        <v>45145</v>
      </c>
      <c r="I153" s="915" t="s">
        <v>40</v>
      </c>
      <c r="J153" s="4149" t="s">
        <v>32</v>
      </c>
      <c r="K153" s="4149" t="s">
        <v>1140</v>
      </c>
      <c r="L153" s="915">
        <v>104680</v>
      </c>
      <c r="M153" s="1115">
        <v>45144</v>
      </c>
      <c r="N153" s="844">
        <v>45143</v>
      </c>
      <c r="O153" s="58" t="s">
        <v>1346</v>
      </c>
      <c r="P153" s="4122" t="s">
        <v>1296</v>
      </c>
      <c r="Q153" s="4149" t="s">
        <v>35</v>
      </c>
      <c r="R153" s="58" t="s">
        <v>36</v>
      </c>
      <c r="S153" s="58" t="s">
        <v>37</v>
      </c>
      <c r="T153" s="106">
        <v>4182</v>
      </c>
      <c r="U153" s="20">
        <v>3283</v>
      </c>
      <c r="V153" s="152">
        <v>4</v>
      </c>
      <c r="W153" s="152">
        <f>IFERROR((JUL_2023[[#This Row],[Sales Amount]]-JUL_2023[[#This Row],[Cost]])/JUL_2023[[#This Row],[CNTR AMOUNT]],JUL_2023[[#This Row],[Sales Amount]]-JUL_2023[[#This Row],[Cost]])</f>
        <v>224.75</v>
      </c>
      <c r="X153" s="888">
        <f>IFERROR((JUL_2023[[#This Row],[Sales Amount]]-JUL_2023[[#This Row],[Cost]])/JUL_2023[[#This Row],[Cost]],"-")</f>
        <v>0.27383490709716723</v>
      </c>
      <c r="Y153" s="152"/>
      <c r="Z153" s="645"/>
    </row>
    <row r="154" spans="1:26" hidden="1">
      <c r="A154" s="58" t="s">
        <v>622</v>
      </c>
      <c r="B154" s="4149" t="s">
        <v>1349</v>
      </c>
      <c r="C154" s="58" t="s">
        <v>28</v>
      </c>
      <c r="D154" s="844">
        <v>45136</v>
      </c>
      <c r="E154" s="1417">
        <v>45142</v>
      </c>
      <c r="F154" s="58" t="s">
        <v>29</v>
      </c>
      <c r="G154" s="58" t="s">
        <v>1350</v>
      </c>
      <c r="H154" s="844"/>
      <c r="I154" s="58"/>
      <c r="J154" s="4149" t="s">
        <v>32</v>
      </c>
      <c r="K154" s="4149" t="s">
        <v>624</v>
      </c>
      <c r="L154" s="1166">
        <v>3300058</v>
      </c>
      <c r="M154" s="844"/>
      <c r="N154" s="844"/>
      <c r="O154" s="844"/>
      <c r="P154" s="650" t="s">
        <v>1351</v>
      </c>
      <c r="Q154" s="58" t="s">
        <v>627</v>
      </c>
      <c r="R154" s="709" t="s">
        <v>51</v>
      </c>
      <c r="V154" s="152"/>
      <c r="W154" s="152">
        <f>IFERROR((JUL_2023[[#This Row],[Sales Amount]]-JUL_2023[[#This Row],[Cost]])/JUL_2023[[#This Row],[CNTR AMOUNT]],JUL_2023[[#This Row],[Sales Amount]]-JUL_2023[[#This Row],[Cost]])</f>
        <v>0</v>
      </c>
      <c r="X154" s="888" t="str">
        <f>IFERROR((JUL_2023[[#This Row],[Sales Amount]]-JUL_2023[[#This Row],[Cost]])/JUL_2023[[#This Row],[Cost]],"-")</f>
        <v>-</v>
      </c>
      <c r="Y154" s="152"/>
      <c r="Z154" s="645"/>
    </row>
    <row r="155" spans="1:26" hidden="1">
      <c r="A155" s="58" t="s">
        <v>329</v>
      </c>
      <c r="B155" s="58" t="s">
        <v>1352</v>
      </c>
      <c r="C155" s="1114" t="s">
        <v>28</v>
      </c>
      <c r="D155" s="844">
        <v>45136</v>
      </c>
      <c r="E155" s="1112">
        <v>45143</v>
      </c>
      <c r="F155" s="58" t="s">
        <v>56</v>
      </c>
      <c r="G155" s="58" t="s">
        <v>46</v>
      </c>
      <c r="H155" s="1115">
        <v>45146</v>
      </c>
      <c r="I155" s="58"/>
      <c r="J155" s="58" t="s">
        <v>1353</v>
      </c>
      <c r="K155" s="1" t="s">
        <v>331</v>
      </c>
      <c r="L155" s="915" t="s">
        <v>1354</v>
      </c>
      <c r="M155" s="1115">
        <v>45146</v>
      </c>
      <c r="N155" s="1115">
        <v>45146</v>
      </c>
      <c r="O155" s="1115">
        <v>45146</v>
      </c>
      <c r="P155" s="709" t="s">
        <v>1355</v>
      </c>
      <c r="Q155" s="58" t="s">
        <v>35</v>
      </c>
      <c r="R155" s="58" t="s">
        <v>36</v>
      </c>
      <c r="S155" s="58" t="s">
        <v>37</v>
      </c>
      <c r="T155" s="106">
        <v>830</v>
      </c>
      <c r="U155" s="7">
        <v>710</v>
      </c>
      <c r="V155" s="152"/>
      <c r="W155" s="152">
        <f>IFERROR((JUL_2023[[#This Row],[Sales Amount]]-JUL_2023[[#This Row],[Cost]])/JUL_2023[[#This Row],[CNTR AMOUNT]],JUL_2023[[#This Row],[Sales Amount]]-JUL_2023[[#This Row],[Cost]])</f>
        <v>120</v>
      </c>
      <c r="X155" s="888">
        <f>IFERROR((JUL_2023[[#This Row],[Sales Amount]]-JUL_2023[[#This Row],[Cost]])/JUL_2023[[#This Row],[Cost]],"-")</f>
        <v>0.16901408450704225</v>
      </c>
      <c r="Y155" s="152"/>
      <c r="Z155" s="645"/>
    </row>
    <row r="156" spans="1:26" hidden="1">
      <c r="A156" s="4149" t="s">
        <v>26</v>
      </c>
      <c r="B156" s="4149" t="s">
        <v>1356</v>
      </c>
      <c r="C156" s="4149" t="s">
        <v>44</v>
      </c>
      <c r="D156" s="844">
        <v>45131</v>
      </c>
      <c r="E156" s="1112">
        <v>45143</v>
      </c>
      <c r="F156" s="4149" t="s">
        <v>1357</v>
      </c>
      <c r="G156" s="4149" t="s">
        <v>46</v>
      </c>
      <c r="H156" s="1115">
        <v>45147</v>
      </c>
      <c r="I156" s="915" t="s">
        <v>115</v>
      </c>
      <c r="J156" s="58" t="s">
        <v>32</v>
      </c>
      <c r="K156" s="4174" t="s">
        <v>954</v>
      </c>
      <c r="L156" s="915" t="s">
        <v>1358</v>
      </c>
      <c r="M156" s="1115">
        <v>45145</v>
      </c>
      <c r="N156" s="1119">
        <v>45146</v>
      </c>
      <c r="O156" s="1119">
        <v>45147</v>
      </c>
      <c r="P156" s="4122" t="s">
        <v>1359</v>
      </c>
      <c r="Q156" s="4149" t="s">
        <v>35</v>
      </c>
      <c r="R156" s="58" t="s">
        <v>36</v>
      </c>
      <c r="S156" s="58" t="s">
        <v>37</v>
      </c>
      <c r="T156" s="106">
        <v>1350</v>
      </c>
      <c r="U156" s="84">
        <v>1146</v>
      </c>
      <c r="V156" s="93"/>
      <c r="W156" s="93">
        <f>IFERROR((JUL_2023[[#This Row],[Sales Amount]]-JUL_2023[[#This Row],[Cost]])/JUL_2023[[#This Row],[CNTR AMOUNT]],JUL_2023[[#This Row],[Sales Amount]]-JUL_2023[[#This Row],[Cost]])</f>
        <v>204</v>
      </c>
      <c r="X156" s="970">
        <f>IFERROR((JUL_2023[[#This Row],[Sales Amount]]-JUL_2023[[#This Row],[Cost]])/JUL_2023[[#This Row],[Cost]],"-")</f>
        <v>0.17801047120418848</v>
      </c>
      <c r="Y156" s="93"/>
      <c r="Z156" s="1068"/>
    </row>
    <row r="157" spans="1:26" hidden="1">
      <c r="A157" s="4149" t="s">
        <v>26</v>
      </c>
      <c r="B157" s="4149" t="s">
        <v>1360</v>
      </c>
      <c r="C157" s="4149" t="s">
        <v>44</v>
      </c>
      <c r="D157" s="844">
        <v>45127</v>
      </c>
      <c r="E157" s="1112">
        <v>45143</v>
      </c>
      <c r="F157" s="4149" t="s">
        <v>29</v>
      </c>
      <c r="G157" s="4149" t="s">
        <v>30</v>
      </c>
      <c r="H157" s="1115">
        <v>45146</v>
      </c>
      <c r="I157" s="915" t="s">
        <v>178</v>
      </c>
      <c r="J157" s="4149" t="s">
        <v>32</v>
      </c>
      <c r="K157" s="4174" t="s">
        <v>1140</v>
      </c>
      <c r="L157" s="915">
        <v>292332</v>
      </c>
      <c r="M157" s="1115">
        <v>45146</v>
      </c>
      <c r="N157" s="844">
        <v>45145</v>
      </c>
      <c r="O157" s="1115">
        <v>45146</v>
      </c>
      <c r="P157" s="4122" t="s">
        <v>1293</v>
      </c>
      <c r="Q157" s="4149" t="s">
        <v>35</v>
      </c>
      <c r="R157" s="58" t="s">
        <v>36</v>
      </c>
      <c r="S157" s="58" t="s">
        <v>37</v>
      </c>
      <c r="T157" s="106">
        <v>3692</v>
      </c>
      <c r="U157" s="84">
        <v>2944</v>
      </c>
      <c r="V157" s="93">
        <v>4</v>
      </c>
      <c r="W157" s="93">
        <f>IFERROR((JUL_2023[[#This Row],[Sales Amount]]-JUL_2023[[#This Row],[Cost]])/JUL_2023[[#This Row],[CNTR AMOUNT]],JUL_2023[[#This Row],[Sales Amount]]-JUL_2023[[#This Row],[Cost]])</f>
        <v>187</v>
      </c>
      <c r="X157" s="970">
        <f>IFERROR((JUL_2023[[#This Row],[Sales Amount]]-JUL_2023[[#This Row],[Cost]])/JUL_2023[[#This Row],[Cost]],"-")</f>
        <v>0.25407608695652173</v>
      </c>
      <c r="Y157" s="93"/>
      <c r="Z157" s="1068"/>
    </row>
    <row r="158" spans="1:26" hidden="1">
      <c r="A158" s="727" t="s">
        <v>165</v>
      </c>
      <c r="B158" s="1175" t="s">
        <v>1361</v>
      </c>
      <c r="C158" s="1175" t="s">
        <v>200</v>
      </c>
      <c r="D158" s="1428">
        <v>45130</v>
      </c>
      <c r="E158" s="1429">
        <v>45143</v>
      </c>
      <c r="F158" s="1175" t="s">
        <v>167</v>
      </c>
      <c r="G158" s="1175" t="s">
        <v>46</v>
      </c>
      <c r="H158" s="912">
        <v>45146</v>
      </c>
      <c r="I158" s="709" t="s">
        <v>618</v>
      </c>
      <c r="J158" s="1175" t="s">
        <v>32</v>
      </c>
      <c r="K158" s="1175" t="s">
        <v>1362</v>
      </c>
      <c r="L158" s="1419" t="s">
        <v>1363</v>
      </c>
      <c r="M158" s="912">
        <v>45145</v>
      </c>
      <c r="N158" s="912">
        <v>45145</v>
      </c>
      <c r="O158" s="912"/>
      <c r="P158" s="709" t="s">
        <v>1364</v>
      </c>
      <c r="Q158" s="709" t="s">
        <v>170</v>
      </c>
      <c r="R158" s="117" t="s">
        <v>36</v>
      </c>
      <c r="T158" s="106">
        <v>980</v>
      </c>
      <c r="U158" s="152">
        <v>800</v>
      </c>
      <c r="V158" s="152"/>
      <c r="W158" s="152">
        <f>IFERROR((JUL_2023[[#This Row],[Sales Amount]]-JUL_2023[[#This Row],[Cost]])/JUL_2023[[#This Row],[CNTR AMOUNT]],JUL_2023[[#This Row],[Sales Amount]]-JUL_2023[[#This Row],[Cost]])</f>
        <v>180</v>
      </c>
      <c r="X158" s="888">
        <f>IFERROR((JUL_2023[[#This Row],[Sales Amount]]-JUL_2023[[#This Row],[Cost]])/JUL_2023[[#This Row],[Cost]],"-")</f>
        <v>0.22500000000000001</v>
      </c>
      <c r="Y158" s="152"/>
      <c r="Z158" s="645"/>
    </row>
    <row r="159" spans="1:26" s="117" customFormat="1" hidden="1">
      <c r="A159" s="4149" t="s">
        <v>26</v>
      </c>
      <c r="B159" s="4149" t="s">
        <v>1365</v>
      </c>
      <c r="C159" s="4149" t="s">
        <v>44</v>
      </c>
      <c r="D159" s="844">
        <v>45127</v>
      </c>
      <c r="E159" s="1112">
        <v>45144</v>
      </c>
      <c r="F159" s="58" t="s">
        <v>29</v>
      </c>
      <c r="G159" s="4149" t="s">
        <v>30</v>
      </c>
      <c r="H159" s="1115">
        <v>45146</v>
      </c>
      <c r="I159" s="915" t="s">
        <v>108</v>
      </c>
      <c r="J159" s="4149" t="s">
        <v>32</v>
      </c>
      <c r="K159" s="4149" t="s">
        <v>1140</v>
      </c>
      <c r="L159" s="915">
        <v>422353</v>
      </c>
      <c r="M159" s="1115">
        <v>45146</v>
      </c>
      <c r="N159" s="844">
        <v>45145</v>
      </c>
      <c r="O159" s="1119">
        <v>45146</v>
      </c>
      <c r="P159" s="4122" t="s">
        <v>1293</v>
      </c>
      <c r="Q159" s="4149" t="s">
        <v>35</v>
      </c>
      <c r="R159" s="58" t="s">
        <v>36</v>
      </c>
      <c r="S159" s="58" t="s">
        <v>37</v>
      </c>
      <c r="T159" s="106">
        <v>3692</v>
      </c>
      <c r="U159" s="85">
        <v>2944</v>
      </c>
      <c r="V159" s="152">
        <v>4</v>
      </c>
      <c r="W159" s="152">
        <f>IFERROR((JUL_2023[[#This Row],[Sales Amount]]-JUL_2023[[#This Row],[Cost]])/JUL_2023[[#This Row],[CNTR AMOUNT]],JUL_2023[[#This Row],[Sales Amount]]-JUL_2023[[#This Row],[Cost]])</f>
        <v>187</v>
      </c>
      <c r="X159" s="888">
        <f>IFERROR((JUL_2023[[#This Row],[Sales Amount]]-JUL_2023[[#This Row],[Cost]])/JUL_2023[[#This Row],[Cost]],"-")</f>
        <v>0.25407608695652173</v>
      </c>
      <c r="Y159" s="152"/>
      <c r="Z159" s="645"/>
    </row>
    <row r="160" spans="1:26" s="117" customFormat="1" hidden="1">
      <c r="A160" s="4115" t="s">
        <v>26</v>
      </c>
      <c r="B160" s="4149" t="s">
        <v>1366</v>
      </c>
      <c r="C160" s="4115" t="s">
        <v>44</v>
      </c>
      <c r="D160" s="1110">
        <v>45127</v>
      </c>
      <c r="E160" s="1112">
        <v>45144</v>
      </c>
      <c r="F160" s="4115" t="s">
        <v>29</v>
      </c>
      <c r="G160" s="4149" t="s">
        <v>30</v>
      </c>
      <c r="H160" s="1115">
        <v>45148</v>
      </c>
      <c r="I160" s="915" t="s">
        <v>178</v>
      </c>
      <c r="J160" s="4149" t="s">
        <v>32</v>
      </c>
      <c r="K160" s="4149" t="s">
        <v>1140</v>
      </c>
      <c r="L160" s="915">
        <v>842585</v>
      </c>
      <c r="M160" s="1118">
        <v>45146</v>
      </c>
      <c r="N160" s="1115">
        <v>45146</v>
      </c>
      <c r="O160" s="1119">
        <v>45148</v>
      </c>
      <c r="P160" s="4122" t="s">
        <v>1367</v>
      </c>
      <c r="Q160" s="4149" t="s">
        <v>35</v>
      </c>
      <c r="R160" s="58" t="s">
        <v>36</v>
      </c>
      <c r="S160" s="58" t="s">
        <v>37</v>
      </c>
      <c r="T160" s="106">
        <v>4182</v>
      </c>
      <c r="U160" s="1381">
        <v>3283</v>
      </c>
      <c r="V160" s="152">
        <v>4</v>
      </c>
      <c r="W160" s="152">
        <f>IFERROR((JUL_2023[[#This Row],[Sales Amount]]-JUL_2023[[#This Row],[Cost]])/JUL_2023[[#This Row],[CNTR AMOUNT]],JUL_2023[[#This Row],[Sales Amount]]-JUL_2023[[#This Row],[Cost]])</f>
        <v>224.75</v>
      </c>
      <c r="X160" s="888">
        <f>IFERROR((JUL_2023[[#This Row],[Sales Amount]]-JUL_2023[[#This Row],[Cost]])/JUL_2023[[#This Row],[Cost]],"-")</f>
        <v>0.27383490709716723</v>
      </c>
      <c r="Y160" s="152"/>
      <c r="Z160" s="645"/>
    </row>
    <row r="161" spans="1:26" hidden="1">
      <c r="A161" s="4115" t="s">
        <v>329</v>
      </c>
      <c r="B161" s="4149" t="s">
        <v>1368</v>
      </c>
      <c r="C161" s="4115" t="s">
        <v>44</v>
      </c>
      <c r="D161" s="1110">
        <v>45128</v>
      </c>
      <c r="E161" s="1066">
        <v>45144</v>
      </c>
      <c r="F161" s="4115" t="s">
        <v>45</v>
      </c>
      <c r="G161" s="4149" t="s">
        <v>361</v>
      </c>
      <c r="H161" s="58"/>
      <c r="I161" s="58"/>
      <c r="J161" s="58" t="s">
        <v>1353</v>
      </c>
      <c r="K161" s="4149" t="s">
        <v>1369</v>
      </c>
      <c r="L161" s="1166">
        <v>143556</v>
      </c>
      <c r="M161" s="1498">
        <v>45146</v>
      </c>
      <c r="N161" s="1119">
        <v>45146</v>
      </c>
      <c r="O161" s="844">
        <v>45147</v>
      </c>
      <c r="P161" s="4124" t="s">
        <v>1370</v>
      </c>
      <c r="Q161" s="4115" t="s">
        <v>35</v>
      </c>
      <c r="R161" s="58" t="s">
        <v>36</v>
      </c>
      <c r="S161" s="58" t="s">
        <v>37</v>
      </c>
      <c r="T161" s="106">
        <v>1100</v>
      </c>
      <c r="U161" s="84">
        <v>910</v>
      </c>
      <c r="V161" s="93"/>
      <c r="W161" s="93">
        <f>IFERROR((JUL_2023[[#This Row],[Sales Amount]]-JUL_2023[[#This Row],[Cost]])/JUL_2023[[#This Row],[CNTR AMOUNT]],JUL_2023[[#This Row],[Sales Amount]]-JUL_2023[[#This Row],[Cost]])</f>
        <v>190</v>
      </c>
      <c r="X161" s="970">
        <f>IFERROR((JUL_2023[[#This Row],[Sales Amount]]-JUL_2023[[#This Row],[Cost]])/JUL_2023[[#This Row],[Cost]],"-")</f>
        <v>0.2087912087912088</v>
      </c>
      <c r="Y161" s="93"/>
      <c r="Z161" s="1068"/>
    </row>
    <row r="162" spans="1:26" hidden="1">
      <c r="A162" s="710" t="s">
        <v>1371</v>
      </c>
      <c r="B162" s="1" t="s">
        <v>1372</v>
      </c>
      <c r="C162" s="1376" t="s">
        <v>1373</v>
      </c>
      <c r="D162" s="1110">
        <v>45122</v>
      </c>
      <c r="E162" s="1066">
        <v>45144</v>
      </c>
      <c r="F162" s="710" t="s">
        <v>1374</v>
      </c>
      <c r="G162" s="1" t="s">
        <v>30</v>
      </c>
      <c r="H162" s="844">
        <v>45147</v>
      </c>
      <c r="I162" s="58" t="s">
        <v>926</v>
      </c>
      <c r="J162" s="1166" t="s">
        <v>32</v>
      </c>
      <c r="K162" s="58" t="s">
        <v>1375</v>
      </c>
      <c r="L162" s="1171">
        <v>896728</v>
      </c>
      <c r="M162" s="1497">
        <v>45146</v>
      </c>
      <c r="N162" s="58"/>
      <c r="O162" s="58"/>
      <c r="P162" s="1168" t="s">
        <v>1376</v>
      </c>
      <c r="Q162" s="710" t="s">
        <v>170</v>
      </c>
      <c r="R162" s="709" t="s">
        <v>51</v>
      </c>
      <c r="T162" s="106">
        <v>1270</v>
      </c>
      <c r="U162" s="152">
        <v>1031</v>
      </c>
      <c r="V162" s="152"/>
      <c r="W162" s="152">
        <f>IFERROR((JUL_2023[[#This Row],[Sales Amount]]-JUL_2023[[#This Row],[Cost]])/JUL_2023[[#This Row],[CNTR AMOUNT]],JUL_2023[[#This Row],[Sales Amount]]-JUL_2023[[#This Row],[Cost]])</f>
        <v>239</v>
      </c>
      <c r="X162" s="888">
        <f>IFERROR((JUL_2023[[#This Row],[Sales Amount]]-JUL_2023[[#This Row],[Cost]])/JUL_2023[[#This Row],[Cost]],"-")</f>
        <v>0.23181377303588749</v>
      </c>
      <c r="Y162" s="152"/>
      <c r="Z162" s="645"/>
    </row>
    <row r="163" spans="1:26" s="117" customFormat="1">
      <c r="A163" s="117" t="s">
        <v>468</v>
      </c>
      <c r="B163" s="4150" t="s">
        <v>1377</v>
      </c>
      <c r="C163" s="660" t="s">
        <v>44</v>
      </c>
      <c r="D163" s="822">
        <v>45142</v>
      </c>
      <c r="E163" s="879">
        <v>45144</v>
      </c>
      <c r="F163" s="117" t="s">
        <v>135</v>
      </c>
      <c r="G163" s="1565" t="s">
        <v>851</v>
      </c>
      <c r="H163" s="839">
        <v>45149</v>
      </c>
      <c r="I163" s="766" t="s">
        <v>618</v>
      </c>
      <c r="J163" s="766" t="s">
        <v>510</v>
      </c>
      <c r="K163" s="766" t="s">
        <v>584</v>
      </c>
      <c r="L163" s="1565" t="s">
        <v>162</v>
      </c>
      <c r="M163" s="839">
        <v>45151</v>
      </c>
      <c r="N163" s="839">
        <v>45148</v>
      </c>
      <c r="O163" s="839">
        <v>45149</v>
      </c>
      <c r="P163" s="4168" t="s">
        <v>1378</v>
      </c>
      <c r="Q163" s="4150" t="s">
        <v>75</v>
      </c>
      <c r="R163" s="4150" t="s">
        <v>1379</v>
      </c>
      <c r="S163" s="117">
        <v>4</v>
      </c>
      <c r="T163" s="117">
        <v>1065</v>
      </c>
      <c r="U163" s="660">
        <v>715</v>
      </c>
      <c r="V163" s="660">
        <v>1</v>
      </c>
      <c r="W163" s="660">
        <f>IFERROR((JUL_2023[[#This Row],[Sales Amount]]-JUL_2023[[#This Row],[Cost]])/JUL_2023[[#This Row],[CNTR AMOUNT]],JUL_2023[[#This Row],[Sales Amount]]-JUL_2023[[#This Row],[Cost]])</f>
        <v>350</v>
      </c>
      <c r="X163" s="919">
        <f>IFERROR((JUL_2023[[#This Row],[Sales Amount]]-JUL_2023[[#This Row],[Cost]])/JUL_2023[[#This Row],[Cost]],"-")</f>
        <v>0.48951048951048953</v>
      </c>
      <c r="Y163" s="660"/>
      <c r="Z163" s="113"/>
    </row>
    <row r="164" spans="1:26" s="709" customFormat="1" hidden="1">
      <c r="A164" s="1175" t="s">
        <v>313</v>
      </c>
      <c r="B164" s="1175" t="s">
        <v>1380</v>
      </c>
      <c r="C164" s="1175" t="s">
        <v>451</v>
      </c>
      <c r="D164" s="1428">
        <v>45140</v>
      </c>
      <c r="E164" s="1429">
        <v>45145</v>
      </c>
      <c r="F164" s="1175" t="s">
        <v>98</v>
      </c>
      <c r="G164" s="1175" t="s">
        <v>46</v>
      </c>
      <c r="H164" s="1428">
        <v>45146</v>
      </c>
      <c r="I164" s="1175" t="s">
        <v>315</v>
      </c>
      <c r="J164" s="1435" t="s">
        <v>32</v>
      </c>
      <c r="K164" s="1175" t="s">
        <v>47</v>
      </c>
      <c r="L164" s="1175">
        <v>534571</v>
      </c>
      <c r="M164" s="912">
        <v>45148</v>
      </c>
      <c r="N164" s="912">
        <v>45146</v>
      </c>
      <c r="O164" s="877">
        <v>45149</v>
      </c>
      <c r="P164" s="1419" t="s">
        <v>1381</v>
      </c>
      <c r="Q164" s="4122" t="s">
        <v>50</v>
      </c>
      <c r="R164" s="709" t="s">
        <v>51</v>
      </c>
      <c r="U164" s="727"/>
      <c r="V164" s="727"/>
      <c r="W164" s="727">
        <f>IFERROR((JUL_2023[[#This Row],[Sales Amount]]-JUL_2023[[#This Row],[Cost]])/JUL_2023[[#This Row],[CNTR AMOUNT]],JUL_2023[[#This Row],[Sales Amount]]-JUL_2023[[#This Row],[Cost]])</f>
        <v>0</v>
      </c>
      <c r="X164" s="1179" t="str">
        <f>IFERROR((JUL_2023[[#This Row],[Sales Amount]]-JUL_2023[[#This Row],[Cost]])/JUL_2023[[#This Row],[Cost]],"-")</f>
        <v>-</v>
      </c>
      <c r="Y164" s="727"/>
      <c r="Z164" s="711"/>
    </row>
    <row r="165" spans="1:26" s="36" customFormat="1">
      <c r="A165" s="117" t="s">
        <v>945</v>
      </c>
      <c r="B165" s="4098" t="s">
        <v>1382</v>
      </c>
      <c r="C165" s="117" t="s">
        <v>44</v>
      </c>
      <c r="D165" s="822">
        <v>45113</v>
      </c>
      <c r="E165" s="879">
        <v>45145</v>
      </c>
      <c r="F165" s="4098" t="s">
        <v>45</v>
      </c>
      <c r="G165" s="4098" t="s">
        <v>947</v>
      </c>
      <c r="H165" s="839">
        <v>45149</v>
      </c>
      <c r="I165" s="117" t="s">
        <v>1383</v>
      </c>
      <c r="J165" s="117" t="s">
        <v>948</v>
      </c>
      <c r="K165" s="36" t="s">
        <v>1384</v>
      </c>
      <c r="L165" s="117">
        <v>2830</v>
      </c>
      <c r="M165" s="828">
        <v>45147</v>
      </c>
      <c r="N165" s="828">
        <v>45147</v>
      </c>
      <c r="O165" s="822">
        <v>45150</v>
      </c>
      <c r="P165" s="4150" t="s">
        <v>1385</v>
      </c>
      <c r="Q165" s="117" t="s">
        <v>75</v>
      </c>
      <c r="R165" s="4175" t="s">
        <v>1386</v>
      </c>
      <c r="S165" s="117">
        <v>4</v>
      </c>
      <c r="T165" s="117">
        <v>1257.5</v>
      </c>
      <c r="U165" s="660">
        <v>981.25</v>
      </c>
      <c r="V165" s="660">
        <v>1</v>
      </c>
      <c r="W165" s="660">
        <f>IFERROR((JUL_2023[[#This Row],[Sales Amount]]-JUL_2023[[#This Row],[Cost]])/JUL_2023[[#This Row],[CNTR AMOUNT]],JUL_2023[[#This Row],[Sales Amount]]-JUL_2023[[#This Row],[Cost]])</f>
        <v>276.25</v>
      </c>
      <c r="X165" s="919">
        <f>IFERROR((JUL_2023[[#This Row],[Sales Amount]]-JUL_2023[[#This Row],[Cost]])/JUL_2023[[#This Row],[Cost]],"-")</f>
        <v>0.28152866242038216</v>
      </c>
      <c r="Y165" s="660"/>
      <c r="Z165" s="113"/>
    </row>
    <row r="166" spans="1:26" s="52" customFormat="1" hidden="1">
      <c r="A166" s="4151" t="s">
        <v>732</v>
      </c>
      <c r="B166" s="4151" t="s">
        <v>1387</v>
      </c>
      <c r="C166" s="4151" t="s">
        <v>44</v>
      </c>
      <c r="D166" s="126">
        <v>45135</v>
      </c>
      <c r="E166" s="143">
        <v>45145</v>
      </c>
      <c r="F166" s="4151" t="s">
        <v>45</v>
      </c>
      <c r="G166" s="4176" t="s">
        <v>801</v>
      </c>
      <c r="H166" s="7"/>
      <c r="I166" s="7"/>
      <c r="J166" s="4151" t="s">
        <v>32</v>
      </c>
      <c r="K166" s="4151" t="s">
        <v>47</v>
      </c>
      <c r="L166" s="106">
        <v>362094</v>
      </c>
      <c r="M166" s="126">
        <v>45147</v>
      </c>
      <c r="N166" s="126">
        <v>45146</v>
      </c>
      <c r="O166" s="126">
        <v>45148</v>
      </c>
      <c r="P166" s="4152" t="s">
        <v>1388</v>
      </c>
      <c r="Q166" s="4151" t="s">
        <v>89</v>
      </c>
      <c r="R166" s="106" t="s">
        <v>51</v>
      </c>
      <c r="S166" s="106"/>
      <c r="T166" s="106"/>
      <c r="U166" s="152"/>
      <c r="V166" s="152"/>
      <c r="W166" s="152">
        <f>IFERROR((JUL_2023[[#This Row],[Sales Amount]]-JUL_2023[[#This Row],[Cost]])/JUL_2023[[#This Row],[CNTR AMOUNT]],JUL_2023[[#This Row],[Sales Amount]]-JUL_2023[[#This Row],[Cost]])</f>
        <v>0</v>
      </c>
      <c r="X166" s="888" t="str">
        <f>IFERROR((JUL_2023[[#This Row],[Sales Amount]]-JUL_2023[[#This Row],[Cost]])/JUL_2023[[#This Row],[Cost]],"-")</f>
        <v>-</v>
      </c>
      <c r="Y166" s="152"/>
      <c r="Z166" s="645"/>
    </row>
    <row r="167" spans="1:26" s="117" customFormat="1">
      <c r="A167" s="908" t="s">
        <v>313</v>
      </c>
      <c r="B167" s="908" t="s">
        <v>1389</v>
      </c>
      <c r="C167" s="908" t="s">
        <v>200</v>
      </c>
      <c r="D167" s="908" t="s">
        <v>315</v>
      </c>
      <c r="E167" s="1418">
        <v>45147</v>
      </c>
      <c r="F167" s="908" t="s">
        <v>98</v>
      </c>
      <c r="G167" s="908" t="s">
        <v>46</v>
      </c>
      <c r="H167" s="1388">
        <v>45154</v>
      </c>
      <c r="I167" s="908" t="s">
        <v>1390</v>
      </c>
      <c r="J167" s="1389" t="s">
        <v>32</v>
      </c>
      <c r="K167" s="908" t="s">
        <v>407</v>
      </c>
      <c r="L167" s="908" t="s">
        <v>1391</v>
      </c>
      <c r="M167" s="822"/>
      <c r="N167" s="879">
        <v>45152</v>
      </c>
      <c r="O167" s="822">
        <v>45155</v>
      </c>
      <c r="P167" s="1366" t="s">
        <v>1392</v>
      </c>
      <c r="Q167" s="4150" t="s">
        <v>75</v>
      </c>
      <c r="R167" s="3" t="s">
        <v>1393</v>
      </c>
      <c r="S167" s="117">
        <v>4</v>
      </c>
      <c r="T167" s="117">
        <v>2127.5</v>
      </c>
      <c r="U167" s="120">
        <v>1571</v>
      </c>
      <c r="V167" s="120">
        <v>1</v>
      </c>
      <c r="W167" s="120">
        <f>IFERROR((JUL_2023[[#This Row],[Sales Amount]]-JUL_2023[[#This Row],[Cost]])/JUL_2023[[#This Row],[CNTR AMOUNT]],JUL_2023[[#This Row],[Sales Amount]]-JUL_2023[[#This Row],[Cost]])</f>
        <v>556.5</v>
      </c>
      <c r="X167" s="1067">
        <f>IFERROR((JUL_2023[[#This Row],[Sales Amount]]-JUL_2023[[#This Row],[Cost]])/JUL_2023[[#This Row],[Cost]],"-")</f>
        <v>0.3542329726288988</v>
      </c>
      <c r="Y167" s="120"/>
      <c r="Z167" s="1209"/>
    </row>
    <row r="168" spans="1:26">
      <c r="A168" s="117" t="s">
        <v>319</v>
      </c>
      <c r="B168" s="908" t="s">
        <v>1394</v>
      </c>
      <c r="C168" s="117" t="s">
        <v>44</v>
      </c>
      <c r="D168" s="822">
        <v>45133</v>
      </c>
      <c r="E168" s="879">
        <v>45147</v>
      </c>
      <c r="F168" s="4150" t="s">
        <v>151</v>
      </c>
      <c r="G168" s="117" t="s">
        <v>947</v>
      </c>
      <c r="H168" s="856">
        <v>45153</v>
      </c>
      <c r="I168" s="860" t="s">
        <v>1395</v>
      </c>
      <c r="J168" s="117" t="s">
        <v>948</v>
      </c>
      <c r="K168" s="4150" t="s">
        <v>1396</v>
      </c>
      <c r="L168" s="4163">
        <v>4505</v>
      </c>
      <c r="M168" s="839">
        <v>45150</v>
      </c>
      <c r="N168" s="828">
        <v>45149</v>
      </c>
      <c r="O168" s="4173">
        <v>45154</v>
      </c>
      <c r="P168" s="4168" t="s">
        <v>1397</v>
      </c>
      <c r="Q168" s="117" t="s">
        <v>75</v>
      </c>
      <c r="R168" s="4150" t="s">
        <v>1398</v>
      </c>
      <c r="S168" s="4150">
        <v>4</v>
      </c>
      <c r="T168" s="117">
        <v>1700</v>
      </c>
      <c r="U168" s="660">
        <v>1517.5</v>
      </c>
      <c r="V168" s="660">
        <v>1</v>
      </c>
      <c r="W168" s="660">
        <f>IFERROR((JUL_2023[[#This Row],[Sales Amount]]-JUL_2023[[#This Row],[Cost]])/JUL_2023[[#This Row],[CNTR AMOUNT]],JUL_2023[[#This Row],[Sales Amount]]-JUL_2023[[#This Row],[Cost]])</f>
        <v>182.5</v>
      </c>
      <c r="X168" s="919">
        <f>IFERROR((JUL_2023[[#This Row],[Sales Amount]]-JUL_2023[[#This Row],[Cost]])/JUL_2023[[#This Row],[Cost]],"-")</f>
        <v>0.12026359143327842</v>
      </c>
      <c r="Y168" s="660"/>
      <c r="Z168" s="113"/>
    </row>
    <row r="169" spans="1:26">
      <c r="A169" s="117" t="s">
        <v>319</v>
      </c>
      <c r="B169" s="908" t="s">
        <v>1399</v>
      </c>
      <c r="C169" s="117" t="s">
        <v>44</v>
      </c>
      <c r="D169" s="822">
        <v>45133</v>
      </c>
      <c r="E169" s="856">
        <v>45147</v>
      </c>
      <c r="F169" s="4150" t="s">
        <v>151</v>
      </c>
      <c r="G169" s="117" t="s">
        <v>947</v>
      </c>
      <c r="H169" s="856">
        <v>45153</v>
      </c>
      <c r="I169" s="1577" t="s">
        <v>1400</v>
      </c>
      <c r="J169" s="117" t="s">
        <v>948</v>
      </c>
      <c r="K169" s="4150" t="s">
        <v>1396</v>
      </c>
      <c r="L169" s="4150">
        <v>2999</v>
      </c>
      <c r="M169" s="828">
        <v>45150</v>
      </c>
      <c r="N169" s="828">
        <v>45149</v>
      </c>
      <c r="O169" s="4173">
        <v>45155</v>
      </c>
      <c r="P169" s="4168" t="s">
        <v>1401</v>
      </c>
      <c r="Q169" s="117" t="s">
        <v>75</v>
      </c>
      <c r="R169" s="4150" t="s">
        <v>1402</v>
      </c>
      <c r="S169" s="117">
        <v>4</v>
      </c>
      <c r="T169" s="117">
        <v>1750</v>
      </c>
      <c r="U169" s="660">
        <v>1517.5</v>
      </c>
      <c r="V169" s="660">
        <v>1</v>
      </c>
      <c r="W169" s="660">
        <f>IFERROR((JUL_2023[[#This Row],[Sales Amount]]-JUL_2023[[#This Row],[Cost]])/JUL_2023[[#This Row],[CNTR AMOUNT]],JUL_2023[[#This Row],[Sales Amount]]-JUL_2023[[#This Row],[Cost]])</f>
        <v>232.5</v>
      </c>
      <c r="X169" s="919">
        <f>IFERROR((JUL_2023[[#This Row],[Sales Amount]]-JUL_2023[[#This Row],[Cost]])/JUL_2023[[#This Row],[Cost]],"-")</f>
        <v>0.15321252059308071</v>
      </c>
      <c r="Y169" s="660"/>
      <c r="Z169" s="113"/>
    </row>
    <row r="170" spans="1:26" hidden="1">
      <c r="A170" s="4161" t="s">
        <v>622</v>
      </c>
      <c r="B170" s="1114" t="s">
        <v>1403</v>
      </c>
      <c r="C170" s="4161" t="s">
        <v>44</v>
      </c>
      <c r="D170" s="844">
        <v>45135</v>
      </c>
      <c r="E170" s="1417">
        <v>45147</v>
      </c>
      <c r="F170" s="4161" t="s">
        <v>151</v>
      </c>
      <c r="G170" s="4161" t="s">
        <v>46</v>
      </c>
      <c r="H170" s="1380"/>
      <c r="I170" s="650"/>
      <c r="J170" s="58" t="s">
        <v>32</v>
      </c>
      <c r="K170" s="4161" t="s">
        <v>624</v>
      </c>
      <c r="L170" s="1166" t="s">
        <v>1404</v>
      </c>
      <c r="M170" s="58"/>
      <c r="N170" s="844"/>
      <c r="O170" s="844"/>
      <c r="P170" s="4177" t="s">
        <v>1405</v>
      </c>
      <c r="Q170" s="1" t="s">
        <v>627</v>
      </c>
      <c r="R170" s="709" t="s">
        <v>36</v>
      </c>
      <c r="U170" s="152"/>
      <c r="V170" s="152"/>
      <c r="W170" s="152">
        <f>IFERROR((JUL_2023[[#This Row],[Sales Amount]]-JUL_2023[[#This Row],[Cost]])/JUL_2023[[#This Row],[CNTR AMOUNT]],JUL_2023[[#This Row],[Sales Amount]]-JUL_2023[[#This Row],[Cost]])</f>
        <v>0</v>
      </c>
      <c r="X170" s="888" t="str">
        <f>IFERROR((JUL_2023[[#This Row],[Sales Amount]]-JUL_2023[[#This Row],[Cost]])/JUL_2023[[#This Row],[Cost]],"-")</f>
        <v>-</v>
      </c>
      <c r="Y170" s="152"/>
      <c r="Z170" s="645"/>
    </row>
    <row r="171" spans="1:26" hidden="1">
      <c r="A171" s="58" t="s">
        <v>263</v>
      </c>
      <c r="B171" s="4161" t="s">
        <v>1406</v>
      </c>
      <c r="C171" s="58" t="s">
        <v>44</v>
      </c>
      <c r="D171" s="844">
        <v>45148</v>
      </c>
      <c r="E171" s="1112">
        <v>45148</v>
      </c>
      <c r="F171" s="58" t="s">
        <v>135</v>
      </c>
      <c r="G171" s="4149" t="s">
        <v>1407</v>
      </c>
      <c r="H171" s="844">
        <v>45159</v>
      </c>
      <c r="I171" s="58"/>
      <c r="J171" s="58" t="s">
        <v>377</v>
      </c>
      <c r="K171" s="58" t="s">
        <v>267</v>
      </c>
      <c r="L171" s="710"/>
      <c r="M171" s="1139">
        <v>45154</v>
      </c>
      <c r="N171" s="4178">
        <v>45159</v>
      </c>
      <c r="O171" s="844">
        <v>45159</v>
      </c>
      <c r="P171" s="4177" t="s">
        <v>1408</v>
      </c>
      <c r="Q171" s="58" t="s">
        <v>128</v>
      </c>
      <c r="R171" s="709" t="s">
        <v>36</v>
      </c>
      <c r="S171" s="709"/>
      <c r="T171" s="709">
        <v>1015</v>
      </c>
      <c r="U171" s="727"/>
      <c r="V171" s="727"/>
      <c r="W171" s="727">
        <f>IFERROR((JUL_2023[[#This Row],[Sales Amount]]-JUL_2023[[#This Row],[Cost]])/JUL_2023[[#This Row],[CNTR AMOUNT]],JUL_2023[[#This Row],[Sales Amount]]-JUL_2023[[#This Row],[Cost]])</f>
        <v>1015</v>
      </c>
      <c r="X171" s="1179" t="str">
        <f>IFERROR((JUL_2023[[#This Row],[Sales Amount]]-JUL_2023[[#This Row],[Cost]])/JUL_2023[[#This Row],[Cost]],"-")</f>
        <v>-</v>
      </c>
      <c r="Y171" s="727"/>
      <c r="Z171" s="711"/>
    </row>
    <row r="172" spans="1:26" s="52" customFormat="1" ht="15.75" hidden="1">
      <c r="A172" s="58" t="s">
        <v>497</v>
      </c>
      <c r="B172" s="58" t="s">
        <v>1409</v>
      </c>
      <c r="C172" s="650" t="s">
        <v>28</v>
      </c>
      <c r="D172" s="844">
        <v>45142</v>
      </c>
      <c r="E172" s="1417">
        <v>45148</v>
      </c>
      <c r="F172" s="58" t="s">
        <v>990</v>
      </c>
      <c r="G172" s="1383" t="s">
        <v>46</v>
      </c>
      <c r="H172" s="58"/>
      <c r="I172" s="58"/>
      <c r="J172" s="58" t="s">
        <v>32</v>
      </c>
      <c r="K172" s="58" t="s">
        <v>310</v>
      </c>
      <c r="L172" s="1578" t="s">
        <v>1410</v>
      </c>
      <c r="M172" s="844">
        <v>45149</v>
      </c>
      <c r="N172" s="844">
        <v>45148</v>
      </c>
      <c r="O172" s="844">
        <v>45150</v>
      </c>
      <c r="P172" s="1579"/>
      <c r="Q172" s="58" t="s">
        <v>50</v>
      </c>
      <c r="R172" s="709" t="s">
        <v>51</v>
      </c>
      <c r="S172" s="709"/>
      <c r="T172" s="709"/>
      <c r="U172" s="727"/>
      <c r="V172" s="727"/>
      <c r="W172" s="727">
        <f>IFERROR((JUL_2023[[#This Row],[Sales Amount]]-JUL_2023[[#This Row],[Cost]])/JUL_2023[[#This Row],[CNTR AMOUNT]],JUL_2023[[#This Row],[Sales Amount]]-JUL_2023[[#This Row],[Cost]])</f>
        <v>0</v>
      </c>
      <c r="X172" s="1179" t="str">
        <f>IFERROR((JUL_2023[[#This Row],[Sales Amount]]-JUL_2023[[#This Row],[Cost]])/JUL_2023[[#This Row],[Cost]],"-")</f>
        <v>-</v>
      </c>
      <c r="Y172" s="727"/>
      <c r="Z172" s="711"/>
    </row>
    <row r="173" spans="1:26" s="117" customFormat="1">
      <c r="A173" s="4150" t="s">
        <v>1314</v>
      </c>
      <c r="B173" s="4150" t="s">
        <v>1411</v>
      </c>
      <c r="C173" s="117" t="s">
        <v>28</v>
      </c>
      <c r="D173" s="822">
        <v>45139</v>
      </c>
      <c r="E173" s="879">
        <v>45151</v>
      </c>
      <c r="F173" s="117" t="s">
        <v>29</v>
      </c>
      <c r="G173" s="117" t="s">
        <v>30</v>
      </c>
      <c r="H173" s="822" t="s">
        <v>1038</v>
      </c>
      <c r="I173" s="117" t="s">
        <v>162</v>
      </c>
      <c r="J173" s="117" t="s">
        <v>162</v>
      </c>
      <c r="K173" s="117" t="s">
        <v>1412</v>
      </c>
      <c r="L173" s="660">
        <v>794454</v>
      </c>
      <c r="M173" s="822">
        <v>45155</v>
      </c>
      <c r="N173" s="728">
        <v>45155</v>
      </c>
      <c r="O173" s="822">
        <v>45156</v>
      </c>
      <c r="P173" s="507" t="s">
        <v>1413</v>
      </c>
      <c r="Q173" s="117" t="s">
        <v>75</v>
      </c>
      <c r="R173" s="117" t="s">
        <v>1414</v>
      </c>
      <c r="S173" s="117" t="s">
        <v>1320</v>
      </c>
      <c r="U173" s="660"/>
      <c r="V173" s="660"/>
      <c r="W173" s="660">
        <f>IFERROR((JUL_2023[[#This Row],[Sales Amount]]-JUL_2023[[#This Row],[Cost]])/JUL_2023[[#This Row],[CNTR AMOUNT]],JUL_2023[[#This Row],[Sales Amount]]-JUL_2023[[#This Row],[Cost]])</f>
        <v>0</v>
      </c>
      <c r="X173" s="919" t="str">
        <f>IFERROR((JUL_2023[[#This Row],[Sales Amount]]-JUL_2023[[#This Row],[Cost]])/JUL_2023[[#This Row],[Cost]],"-")</f>
        <v>-</v>
      </c>
      <c r="Y173" s="660"/>
      <c r="Z173" s="113"/>
    </row>
    <row r="174" spans="1:26">
      <c r="A174" s="117" t="s">
        <v>1035</v>
      </c>
      <c r="B174" s="117" t="s">
        <v>1415</v>
      </c>
      <c r="C174" s="117" t="s">
        <v>85</v>
      </c>
      <c r="D174" s="822">
        <v>45139</v>
      </c>
      <c r="E174" s="879">
        <v>45152</v>
      </c>
      <c r="F174" s="117" t="s">
        <v>151</v>
      </c>
      <c r="G174" s="117" t="s">
        <v>46</v>
      </c>
      <c r="H174" s="822" t="s">
        <v>1038</v>
      </c>
      <c r="I174" s="117" t="s">
        <v>162</v>
      </c>
      <c r="J174" s="117" t="s">
        <v>32</v>
      </c>
      <c r="K174" s="117" t="s">
        <v>162</v>
      </c>
      <c r="L174" s="4163" t="s">
        <v>1416</v>
      </c>
      <c r="M174" s="822">
        <v>45154</v>
      </c>
      <c r="N174" s="728">
        <v>45152</v>
      </c>
      <c r="O174" s="1360">
        <v>45156</v>
      </c>
      <c r="P174" s="4168" t="s">
        <v>1417</v>
      </c>
      <c r="Q174" s="117" t="s">
        <v>75</v>
      </c>
      <c r="R174" s="4150" t="s">
        <v>36</v>
      </c>
      <c r="S174" s="117"/>
      <c r="T174" s="117"/>
      <c r="U174" s="660"/>
      <c r="V174" s="660"/>
      <c r="W174" s="660">
        <f>IFERROR((JUL_2023[[#This Row],[Sales Amount]]-JUL_2023[[#This Row],[Cost]])/JUL_2023[[#This Row],[CNTR AMOUNT]],JUL_2023[[#This Row],[Sales Amount]]-JUL_2023[[#This Row],[Cost]])</f>
        <v>0</v>
      </c>
      <c r="X174" s="919" t="str">
        <f>IFERROR((JUL_2023[[#This Row],[Sales Amount]]-JUL_2023[[#This Row],[Cost]])/JUL_2023[[#This Row],[Cost]],"-")</f>
        <v>-</v>
      </c>
      <c r="Y174" s="660"/>
      <c r="Z174" s="113"/>
    </row>
    <row r="175" spans="1:26">
      <c r="A175" s="117" t="s">
        <v>468</v>
      </c>
      <c r="B175" s="1385" t="s">
        <v>1418</v>
      </c>
      <c r="C175" s="117" t="s">
        <v>200</v>
      </c>
      <c r="D175" s="822"/>
      <c r="E175" s="879">
        <v>45153</v>
      </c>
      <c r="F175" s="117" t="s">
        <v>245</v>
      </c>
      <c r="G175" s="117" t="s">
        <v>57</v>
      </c>
      <c r="H175" s="822">
        <v>45153</v>
      </c>
      <c r="I175" s="117" t="s">
        <v>618</v>
      </c>
      <c r="J175" s="1366" t="s">
        <v>32</v>
      </c>
      <c r="K175" s="908" t="s">
        <v>504</v>
      </c>
      <c r="L175" s="4846">
        <v>3906355</v>
      </c>
      <c r="M175" s="4847">
        <v>45153</v>
      </c>
      <c r="N175" s="879">
        <v>45152</v>
      </c>
      <c r="O175" s="898">
        <v>45153</v>
      </c>
      <c r="P175" s="1386" t="s">
        <v>1419</v>
      </c>
      <c r="Q175" s="4122" t="s">
        <v>75</v>
      </c>
      <c r="R175" s="709" t="s">
        <v>51</v>
      </c>
      <c r="T175" s="106">
        <v>1365</v>
      </c>
      <c r="U175" s="152">
        <v>1136</v>
      </c>
      <c r="V175" s="152"/>
      <c r="W175" s="152">
        <f>IFERROR((JUL_2023[[#This Row],[Sales Amount]]-JUL_2023[[#This Row],[Cost]])/JUL_2023[[#This Row],[CNTR AMOUNT]],JUL_2023[[#This Row],[Sales Amount]]-JUL_2023[[#This Row],[Cost]])</f>
        <v>229</v>
      </c>
      <c r="X175" s="888">
        <f>IFERROR((JUL_2023[[#This Row],[Sales Amount]]-JUL_2023[[#This Row],[Cost]])/JUL_2023[[#This Row],[Cost]],"-")</f>
        <v>0.20158450704225353</v>
      </c>
      <c r="Y175" s="152"/>
      <c r="Z175" s="645"/>
    </row>
    <row r="176" spans="1:26" s="36" customFormat="1">
      <c r="A176" s="4150" t="s">
        <v>732</v>
      </c>
      <c r="B176" s="4150" t="s">
        <v>1420</v>
      </c>
      <c r="C176" s="4150" t="s">
        <v>28</v>
      </c>
      <c r="D176" s="4173">
        <v>45133</v>
      </c>
      <c r="E176" s="856">
        <v>45154</v>
      </c>
      <c r="F176" s="4150" t="s">
        <v>1357</v>
      </c>
      <c r="G176" s="117" t="s">
        <v>302</v>
      </c>
      <c r="H176" s="879">
        <v>45157</v>
      </c>
      <c r="I176" s="117" t="s">
        <v>1421</v>
      </c>
      <c r="J176" s="117" t="s">
        <v>32</v>
      </c>
      <c r="K176" s="4150" t="s">
        <v>1422</v>
      </c>
      <c r="L176" s="4168" t="s">
        <v>1423</v>
      </c>
      <c r="M176" s="4173">
        <v>45156</v>
      </c>
      <c r="N176" s="4173">
        <v>45156</v>
      </c>
      <c r="O176" s="822">
        <v>45157</v>
      </c>
      <c r="P176" s="4150" t="s">
        <v>1424</v>
      </c>
      <c r="Q176" s="4150" t="s">
        <v>1312</v>
      </c>
      <c r="R176" s="4165" t="s">
        <v>1425</v>
      </c>
      <c r="S176" s="117">
        <v>4</v>
      </c>
      <c r="T176" s="117">
        <v>1147.5</v>
      </c>
      <c r="U176" s="660">
        <v>800</v>
      </c>
      <c r="V176" s="660">
        <v>1</v>
      </c>
      <c r="W176" s="660">
        <f>IFERROR((JUL_2023[[#This Row],[Sales Amount]]-JUL_2023[[#This Row],[Cost]])/JUL_2023[[#This Row],[CNTR AMOUNT]],JUL_2023[[#This Row],[Sales Amount]]-JUL_2023[[#This Row],[Cost]])</f>
        <v>347.5</v>
      </c>
      <c r="X176" s="919">
        <f>IFERROR((JUL_2023[[#This Row],[Sales Amount]]-JUL_2023[[#This Row],[Cost]])/JUL_2023[[#This Row],[Cost]],"-")</f>
        <v>0.43437500000000001</v>
      </c>
      <c r="Y176" s="660"/>
      <c r="Z176" s="113"/>
    </row>
    <row r="177" spans="1:26" s="117" customFormat="1">
      <c r="A177" s="4150" t="s">
        <v>732</v>
      </c>
      <c r="B177" s="4167" t="s">
        <v>1426</v>
      </c>
      <c r="C177" s="4150" t="s">
        <v>28</v>
      </c>
      <c r="D177" s="4173">
        <v>45133</v>
      </c>
      <c r="E177" s="856">
        <v>45154</v>
      </c>
      <c r="F177" s="4150" t="s">
        <v>1357</v>
      </c>
      <c r="G177" s="117" t="s">
        <v>302</v>
      </c>
      <c r="H177" s="879">
        <v>45158</v>
      </c>
      <c r="I177" s="860" t="s">
        <v>1427</v>
      </c>
      <c r="J177" s="117" t="s">
        <v>32</v>
      </c>
      <c r="K177" s="117" t="s">
        <v>1422</v>
      </c>
      <c r="L177" s="4150" t="s">
        <v>1428</v>
      </c>
      <c r="M177" s="4173">
        <v>45156</v>
      </c>
      <c r="N177" s="4173">
        <v>45156</v>
      </c>
      <c r="O177" s="1547">
        <v>45158</v>
      </c>
      <c r="P177" s="4152" t="s">
        <v>1429</v>
      </c>
      <c r="Q177" s="4152" t="s">
        <v>1312</v>
      </c>
      <c r="R177" t="s">
        <v>1430</v>
      </c>
      <c r="S177" s="106">
        <v>4</v>
      </c>
      <c r="T177" s="117">
        <v>1415</v>
      </c>
      <c r="U177" s="660">
        <v>868</v>
      </c>
      <c r="V177" s="660">
        <v>1</v>
      </c>
      <c r="W177" s="660">
        <f>IFERROR((JUL_2023[[#This Row],[Sales Amount]]-JUL_2023[[#This Row],[Cost]])/JUL_2023[[#This Row],[CNTR AMOUNT]],JUL_2023[[#This Row],[Sales Amount]]-JUL_2023[[#This Row],[Cost]])</f>
        <v>547</v>
      </c>
      <c r="X177" s="919">
        <f>IFERROR((JUL_2023[[#This Row],[Sales Amount]]-JUL_2023[[#This Row],[Cost]])/JUL_2023[[#This Row],[Cost]],"-")</f>
        <v>0.63018433179723499</v>
      </c>
      <c r="Y177" s="660"/>
      <c r="Z177" s="113"/>
    </row>
    <row r="178" spans="1:26" s="117" customFormat="1" hidden="1">
      <c r="A178" s="58" t="s">
        <v>1431</v>
      </c>
      <c r="B178" s="1114" t="s">
        <v>1432</v>
      </c>
      <c r="C178" s="1114" t="s">
        <v>28</v>
      </c>
      <c r="D178" s="844">
        <v>45128</v>
      </c>
      <c r="E178" s="1112">
        <v>45155</v>
      </c>
      <c r="F178" s="58" t="s">
        <v>953</v>
      </c>
      <c r="G178" s="58" t="s">
        <v>30</v>
      </c>
      <c r="H178" s="1115">
        <v>45156</v>
      </c>
      <c r="I178" s="915" t="s">
        <v>40</v>
      </c>
      <c r="J178" s="58" t="s">
        <v>32</v>
      </c>
      <c r="K178" s="58" t="s">
        <v>1433</v>
      </c>
      <c r="L178" s="915">
        <v>481192</v>
      </c>
      <c r="M178" s="1115">
        <v>45157</v>
      </c>
      <c r="N178" s="1115">
        <v>45156</v>
      </c>
      <c r="O178" s="1119">
        <v>45156</v>
      </c>
      <c r="P178" s="709" t="s">
        <v>1434</v>
      </c>
      <c r="Q178" s="58" t="s">
        <v>35</v>
      </c>
      <c r="R178" s="58" t="s">
        <v>36</v>
      </c>
      <c r="S178" s="58" t="s">
        <v>37</v>
      </c>
      <c r="T178" s="106">
        <v>1750</v>
      </c>
      <c r="U178" s="84">
        <v>1516</v>
      </c>
      <c r="V178" s="93"/>
      <c r="W178" s="93">
        <f>IFERROR((JUL_2023[[#This Row],[Sales Amount]]-JUL_2023[[#This Row],[Cost]])/JUL_2023[[#This Row],[CNTR AMOUNT]],JUL_2023[[#This Row],[Sales Amount]]-JUL_2023[[#This Row],[Cost]])</f>
        <v>234</v>
      </c>
      <c r="X178" s="970">
        <f>IFERROR((JUL_2023[[#This Row],[Sales Amount]]-JUL_2023[[#This Row],[Cost]])/JUL_2023[[#This Row],[Cost]],"-")</f>
        <v>0.15435356200527706</v>
      </c>
      <c r="Y178" s="93"/>
      <c r="Z178" s="1068"/>
    </row>
    <row r="179" spans="1:26" s="117" customFormat="1">
      <c r="A179" s="117" t="s">
        <v>1035</v>
      </c>
      <c r="B179" s="117" t="s">
        <v>1435</v>
      </c>
      <c r="C179" s="117" t="s">
        <v>85</v>
      </c>
      <c r="D179" s="822">
        <v>45139</v>
      </c>
      <c r="E179" s="879">
        <v>45155</v>
      </c>
      <c r="F179" s="117" t="s">
        <v>151</v>
      </c>
      <c r="G179" s="117" t="s">
        <v>46</v>
      </c>
      <c r="H179" s="822" t="s">
        <v>1038</v>
      </c>
      <c r="I179" s="117" t="s">
        <v>162</v>
      </c>
      <c r="J179" s="117" t="s">
        <v>32</v>
      </c>
      <c r="K179" s="117" t="s">
        <v>162</v>
      </c>
      <c r="L179" s="4150" t="s">
        <v>1436</v>
      </c>
      <c r="M179" s="879">
        <v>45157</v>
      </c>
      <c r="N179" s="822">
        <v>45156</v>
      </c>
      <c r="O179" s="822">
        <v>45156</v>
      </c>
      <c r="P179" s="4168" t="s">
        <v>1437</v>
      </c>
      <c r="Q179" s="117" t="s">
        <v>75</v>
      </c>
      <c r="R179" s="4150" t="s">
        <v>36</v>
      </c>
      <c r="T179" s="117">
        <v>0</v>
      </c>
      <c r="U179" s="660">
        <v>0</v>
      </c>
      <c r="V179" s="660"/>
      <c r="W179" s="660">
        <f>IFERROR((JUL_2023[[#This Row],[Sales Amount]]-JUL_2023[[#This Row],[Cost]])/JUL_2023[[#This Row],[CNTR AMOUNT]],JUL_2023[[#This Row],[Sales Amount]]-JUL_2023[[#This Row],[Cost]])</f>
        <v>0</v>
      </c>
      <c r="X179" s="919" t="str">
        <f>IFERROR((JUL_2023[[#This Row],[Sales Amount]]-JUL_2023[[#This Row],[Cost]])/JUL_2023[[#This Row],[Cost]],"-")</f>
        <v>-</v>
      </c>
      <c r="Y179" s="660"/>
      <c r="Z179" s="113"/>
    </row>
    <row r="180" spans="1:26">
      <c r="A180" s="4150" t="s">
        <v>145</v>
      </c>
      <c r="B180" s="4150" t="s">
        <v>1438</v>
      </c>
      <c r="C180" s="1408" t="s">
        <v>1394</v>
      </c>
      <c r="D180" s="822">
        <v>45139</v>
      </c>
      <c r="E180" s="879">
        <v>45155</v>
      </c>
      <c r="F180" s="4150" t="s">
        <v>45</v>
      </c>
      <c r="G180" s="4150" t="s">
        <v>801</v>
      </c>
      <c r="H180" s="4173">
        <v>45159</v>
      </c>
      <c r="I180" s="507" t="s">
        <v>1421</v>
      </c>
      <c r="J180" s="4150" t="s">
        <v>32</v>
      </c>
      <c r="K180" s="4150" t="s">
        <v>213</v>
      </c>
      <c r="L180" s="4179" t="s">
        <v>1439</v>
      </c>
      <c r="M180" s="4173">
        <v>45158</v>
      </c>
      <c r="N180" s="822">
        <v>45156</v>
      </c>
      <c r="O180" s="822">
        <v>45159</v>
      </c>
      <c r="P180" s="4168" t="s">
        <v>1440</v>
      </c>
      <c r="Q180" s="4150" t="s">
        <v>75</v>
      </c>
      <c r="R180" s="4150" t="s">
        <v>1441</v>
      </c>
      <c r="S180" s="117">
        <v>4</v>
      </c>
      <c r="T180" s="4150">
        <v>1415</v>
      </c>
      <c r="U180" s="1447">
        <v>946</v>
      </c>
      <c r="V180" s="660">
        <v>1</v>
      </c>
      <c r="W180" s="660">
        <f>IFERROR((JUL_2023[[#This Row],[Sales Amount]]-JUL_2023[[#This Row],[Cost]])/JUL_2023[[#This Row],[CNTR AMOUNT]],JUL_2023[[#This Row],[Sales Amount]]-JUL_2023[[#This Row],[Cost]])</f>
        <v>469</v>
      </c>
      <c r="X180" s="919">
        <f>IFERROR((JUL_2023[[#This Row],[Sales Amount]]-JUL_2023[[#This Row],[Cost]])/JUL_2023[[#This Row],[Cost]],"-")</f>
        <v>0.49577167019027485</v>
      </c>
      <c r="Y180" s="660"/>
      <c r="Z180" s="113"/>
    </row>
    <row r="181" spans="1:26" hidden="1">
      <c r="A181" s="117" t="s">
        <v>681</v>
      </c>
      <c r="B181" s="1444">
        <v>6361114600</v>
      </c>
      <c r="C181" s="507" t="s">
        <v>704</v>
      </c>
      <c r="D181" s="822">
        <v>45156</v>
      </c>
      <c r="E181" s="822">
        <v>45156</v>
      </c>
      <c r="F181" s="507" t="s">
        <v>45</v>
      </c>
      <c r="G181" s="507" t="s">
        <v>46</v>
      </c>
      <c r="H181" s="1446">
        <v>45126</v>
      </c>
      <c r="I181" s="117"/>
      <c r="J181" s="117" t="s">
        <v>32</v>
      </c>
      <c r="K181" s="507" t="s">
        <v>682</v>
      </c>
      <c r="L181" s="117"/>
      <c r="M181" s="507" t="s">
        <v>1442</v>
      </c>
      <c r="N181" s="822">
        <v>45126</v>
      </c>
      <c r="O181" s="822">
        <v>45126</v>
      </c>
      <c r="P181" s="4168" t="s">
        <v>1443</v>
      </c>
      <c r="Q181" s="507" t="s">
        <v>715</v>
      </c>
      <c r="R181" s="117" t="s">
        <v>36</v>
      </c>
      <c r="S181" s="709" t="s">
        <v>664</v>
      </c>
      <c r="U181" s="152"/>
      <c r="V181" s="152"/>
      <c r="W181" s="660">
        <f>IFERROR((JUL_2023[[#This Row],[Sales Amount]]-JUL_2023[[#This Row],[Cost]])/JUL_2023[[#This Row],[CNTR AMOUNT]],JUL_2023[[#This Row],[Sales Amount]]-JUL_2023[[#This Row],[Cost]])</f>
        <v>0</v>
      </c>
      <c r="X181" s="919" t="str">
        <f>IFERROR((JUL_2023[[#This Row],[Sales Amount]]-JUL_2023[[#This Row],[Cost]])/JUL_2023[[#This Row],[Cost]],"-")</f>
        <v>-</v>
      </c>
      <c r="Y181" s="660"/>
      <c r="Z181" s="113"/>
    </row>
    <row r="182" spans="1:26" s="117" customFormat="1" hidden="1">
      <c r="A182" s="58" t="s">
        <v>622</v>
      </c>
      <c r="B182" s="58" t="s">
        <v>1444</v>
      </c>
      <c r="C182" s="58" t="s">
        <v>28</v>
      </c>
      <c r="D182" s="844">
        <v>45141</v>
      </c>
      <c r="E182" s="1112">
        <v>45156</v>
      </c>
      <c r="F182" s="58" t="s">
        <v>45</v>
      </c>
      <c r="G182" s="58" t="s">
        <v>46</v>
      </c>
      <c r="H182" s="1119">
        <v>45159</v>
      </c>
      <c r="I182" s="58"/>
      <c r="J182" s="4149" t="s">
        <v>32</v>
      </c>
      <c r="K182" s="1439" t="s">
        <v>1445</v>
      </c>
      <c r="L182" s="915" t="s">
        <v>1446</v>
      </c>
      <c r="M182" s="1115"/>
      <c r="N182" s="1115">
        <v>45157</v>
      </c>
      <c r="O182" s="844">
        <v>45159</v>
      </c>
      <c r="P182" s="4177" t="s">
        <v>1447</v>
      </c>
      <c r="Q182" s="1" t="s">
        <v>35</v>
      </c>
      <c r="R182" s="58" t="s">
        <v>36</v>
      </c>
      <c r="S182" s="58" t="s">
        <v>67</v>
      </c>
      <c r="T182" s="106">
        <v>650</v>
      </c>
      <c r="U182" s="93">
        <v>550</v>
      </c>
      <c r="V182" s="93"/>
      <c r="W182" s="93">
        <f>IFERROR((JUL_2023[[#This Row],[Sales Amount]]-JUL_2023[[#This Row],[Cost]])/JUL_2023[[#This Row],[CNTR AMOUNT]],JUL_2023[[#This Row],[Sales Amount]]-JUL_2023[[#This Row],[Cost]])</f>
        <v>100</v>
      </c>
      <c r="X182" s="970">
        <f>IFERROR((JUL_2023[[#This Row],[Sales Amount]]-JUL_2023[[#This Row],[Cost]])/JUL_2023[[#This Row],[Cost]],"-")</f>
        <v>0.18181818181818182</v>
      </c>
      <c r="Y182" s="93"/>
      <c r="Z182" s="1068"/>
    </row>
    <row r="183" spans="1:26" hidden="1">
      <c r="A183" s="4848" t="s">
        <v>676</v>
      </c>
      <c r="B183" s="4602">
        <v>6360589880</v>
      </c>
      <c r="C183" s="4603" t="s">
        <v>44</v>
      </c>
      <c r="D183" s="4604">
        <v>45153</v>
      </c>
      <c r="E183" s="4604">
        <v>45157</v>
      </c>
      <c r="F183" s="4603" t="s">
        <v>45</v>
      </c>
      <c r="G183" s="25" t="s">
        <v>46</v>
      </c>
      <c r="H183" s="4604">
        <v>45114</v>
      </c>
      <c r="I183" s="4603"/>
      <c r="J183" s="25" t="s">
        <v>32</v>
      </c>
      <c r="K183" s="4603" t="s">
        <v>1448</v>
      </c>
      <c r="L183" s="25"/>
      <c r="M183" s="25" t="s">
        <v>1449</v>
      </c>
      <c r="N183" s="25"/>
      <c r="O183" s="25"/>
      <c r="P183" s="3" t="s">
        <v>1450</v>
      </c>
      <c r="Q183" s="13" t="s">
        <v>715</v>
      </c>
      <c r="R183" s="25" t="s">
        <v>36</v>
      </c>
      <c r="S183" s="58" t="s">
        <v>664</v>
      </c>
      <c r="T183" s="117">
        <v>10920</v>
      </c>
      <c r="U183" s="120">
        <f>4486+35+1516+35+2262</f>
        <v>8334</v>
      </c>
      <c r="V183" s="120">
        <v>4</v>
      </c>
      <c r="W183" s="120">
        <f>IFERROR((JUL_2023[[#This Row],[Sales Amount]]-JUL_2023[[#This Row],[Cost]])/JUL_2023[[#This Row],[CNTR AMOUNT]],JUL_2023[[#This Row],[Sales Amount]]-JUL_2023[[#This Row],[Cost]])</f>
        <v>646.5</v>
      </c>
      <c r="X183" s="1067">
        <f>IFERROR((JUL_2023[[#This Row],[Sales Amount]]-JUL_2023[[#This Row],[Cost]])/JUL_2023[[#This Row],[Cost]],"-")</f>
        <v>0.3102951763858891</v>
      </c>
      <c r="Y183" s="120"/>
      <c r="Z183" s="1209"/>
    </row>
    <row r="184" spans="1:26" hidden="1">
      <c r="A184" s="1443" t="s">
        <v>676</v>
      </c>
      <c r="B184" s="1142">
        <v>6360589880</v>
      </c>
      <c r="C184" s="1377" t="s">
        <v>44</v>
      </c>
      <c r="D184" s="1378">
        <v>45153</v>
      </c>
      <c r="E184" s="1378">
        <v>45157</v>
      </c>
      <c r="F184" s="1377" t="s">
        <v>45</v>
      </c>
      <c r="G184" s="1377" t="s">
        <v>46</v>
      </c>
      <c r="H184" s="1378">
        <v>45117</v>
      </c>
      <c r="I184" s="1377"/>
      <c r="J184" s="1377" t="s">
        <v>32</v>
      </c>
      <c r="K184" s="1377" t="s">
        <v>1448</v>
      </c>
      <c r="L184" s="25"/>
      <c r="M184" s="25" t="s">
        <v>1449</v>
      </c>
      <c r="N184" s="25"/>
      <c r="O184" s="25"/>
      <c r="P184" s="4166" t="s">
        <v>1451</v>
      </c>
      <c r="Q184" s="13" t="s">
        <v>715</v>
      </c>
      <c r="R184" s="25" t="s">
        <v>36</v>
      </c>
      <c r="S184" s="58" t="s">
        <v>664</v>
      </c>
      <c r="T184" s="117">
        <v>10920</v>
      </c>
      <c r="U184" s="660">
        <f>4486+35+1516+35+2262</f>
        <v>8334</v>
      </c>
      <c r="V184" s="660">
        <v>4</v>
      </c>
      <c r="W184" s="660">
        <f>IFERROR((JUL_2023[[#This Row],[Sales Amount]]-JUL_2023[[#This Row],[Cost]])/JUL_2023[[#This Row],[CNTR AMOUNT]],JUL_2023[[#This Row],[Sales Amount]]-JUL_2023[[#This Row],[Cost]])</f>
        <v>646.5</v>
      </c>
      <c r="X184" s="919">
        <f>IFERROR((JUL_2023[[#This Row],[Sales Amount]]-JUL_2023[[#This Row],[Cost]])/JUL_2023[[#This Row],[Cost]],"-")</f>
        <v>0.3102951763858891</v>
      </c>
      <c r="Y184" s="660"/>
      <c r="Z184" s="113"/>
    </row>
    <row r="185" spans="1:26" hidden="1">
      <c r="A185" s="25" t="s">
        <v>676</v>
      </c>
      <c r="B185" s="1142">
        <v>6360589880</v>
      </c>
      <c r="C185" s="4603" t="s">
        <v>44</v>
      </c>
      <c r="D185" s="4604">
        <v>45153</v>
      </c>
      <c r="E185" s="4604">
        <v>45157</v>
      </c>
      <c r="F185" s="4603" t="s">
        <v>45</v>
      </c>
      <c r="G185" s="4603" t="s">
        <v>46</v>
      </c>
      <c r="H185" s="353">
        <v>45117</v>
      </c>
      <c r="I185" s="4603"/>
      <c r="J185" s="4603" t="s">
        <v>32</v>
      </c>
      <c r="K185" s="4603" t="s">
        <v>1448</v>
      </c>
      <c r="L185" s="4603"/>
      <c r="M185" s="25" t="s">
        <v>1449</v>
      </c>
      <c r="N185" s="25"/>
      <c r="O185" s="25"/>
      <c r="P185" s="4845" t="s">
        <v>1452</v>
      </c>
      <c r="Q185" s="13" t="s">
        <v>715</v>
      </c>
      <c r="R185" s="25" t="s">
        <v>36</v>
      </c>
      <c r="S185" s="58" t="s">
        <v>664</v>
      </c>
      <c r="T185" s="117">
        <v>10920</v>
      </c>
      <c r="U185" s="660">
        <f>4486+35+1516+35+2262</f>
        <v>8334</v>
      </c>
      <c r="V185" s="660">
        <v>4</v>
      </c>
      <c r="W185" s="660">
        <f>IFERROR((JUL_2023[[#This Row],[Sales Amount]]-JUL_2023[[#This Row],[Cost]])/JUL_2023[[#This Row],[CNTR AMOUNT]],JUL_2023[[#This Row],[Sales Amount]]-JUL_2023[[#This Row],[Cost]])</f>
        <v>646.5</v>
      </c>
      <c r="X185" s="919">
        <f>IFERROR((JUL_2023[[#This Row],[Sales Amount]]-JUL_2023[[#This Row],[Cost]])/JUL_2023[[#This Row],[Cost]],"-")</f>
        <v>0.3102951763858891</v>
      </c>
      <c r="Y185" s="660"/>
      <c r="Z185" s="113"/>
    </row>
    <row r="186" spans="1:26" ht="17.25">
      <c r="A186" s="117" t="s">
        <v>468</v>
      </c>
      <c r="B186" s="4150" t="s">
        <v>1453</v>
      </c>
      <c r="C186" s="117" t="s">
        <v>44</v>
      </c>
      <c r="D186" s="4605">
        <v>45143</v>
      </c>
      <c r="E186" s="4606">
        <v>45159</v>
      </c>
      <c r="F186" s="117" t="s">
        <v>245</v>
      </c>
      <c r="G186" s="117" t="s">
        <v>1454</v>
      </c>
      <c r="H186" s="822">
        <v>45162</v>
      </c>
      <c r="I186" s="117" t="s">
        <v>899</v>
      </c>
      <c r="J186" s="4607" t="s">
        <v>322</v>
      </c>
      <c r="K186" s="117" t="s">
        <v>1455</v>
      </c>
      <c r="L186" s="1566" t="s">
        <v>1456</v>
      </c>
      <c r="M186" s="822">
        <v>45162</v>
      </c>
      <c r="N186" s="822">
        <v>45162</v>
      </c>
      <c r="O186" s="822">
        <v>45168</v>
      </c>
      <c r="P186" s="1485" t="s">
        <v>1457</v>
      </c>
      <c r="Q186" s="4150" t="s">
        <v>75</v>
      </c>
      <c r="R186" s="4150" t="s">
        <v>1458</v>
      </c>
      <c r="S186" s="117">
        <v>4</v>
      </c>
      <c r="T186" s="117">
        <v>1780</v>
      </c>
      <c r="U186" s="660">
        <v>1524.5</v>
      </c>
      <c r="V186" s="660">
        <v>1</v>
      </c>
      <c r="W186" s="660">
        <f>IFERROR((JUL_2023[[#This Row],[Sales Amount]]-JUL_2023[[#This Row],[Cost]])/JUL_2023[[#This Row],[CNTR AMOUNT]],JUL_2023[[#This Row],[Sales Amount]]-JUL_2023[[#This Row],[Cost]])</f>
        <v>255.5</v>
      </c>
      <c r="X186" s="919">
        <f>IFERROR((JUL_2023[[#This Row],[Sales Amount]]-JUL_2023[[#This Row],[Cost]])/JUL_2023[[#This Row],[Cost]],"-")</f>
        <v>0.16759593309281731</v>
      </c>
      <c r="Y186" s="660"/>
      <c r="Z186" s="113"/>
    </row>
    <row r="187" spans="1:26" hidden="1">
      <c r="A187" s="58" t="s">
        <v>254</v>
      </c>
      <c r="B187" s="1" t="s">
        <v>1459</v>
      </c>
      <c r="C187" s="58" t="s">
        <v>200</v>
      </c>
      <c r="D187" s="4608">
        <v>45152</v>
      </c>
      <c r="E187" s="4609">
        <v>45162</v>
      </c>
      <c r="F187" s="58" t="s">
        <v>245</v>
      </c>
      <c r="G187" s="58" t="s">
        <v>152</v>
      </c>
      <c r="H187" s="1115">
        <v>45163</v>
      </c>
      <c r="I187" s="915" t="s">
        <v>108</v>
      </c>
      <c r="J187" s="4599" t="s">
        <v>154</v>
      </c>
      <c r="K187" s="58" t="s">
        <v>1460</v>
      </c>
      <c r="L187" s="915">
        <v>1115</v>
      </c>
      <c r="M187" s="1115">
        <v>45164</v>
      </c>
      <c r="N187" s="844">
        <v>45162</v>
      </c>
      <c r="O187" s="844">
        <v>45163</v>
      </c>
      <c r="P187" s="709" t="s">
        <v>1461</v>
      </c>
      <c r="Q187" s="58" t="s">
        <v>35</v>
      </c>
      <c r="R187" s="58" t="s">
        <v>36</v>
      </c>
      <c r="S187" s="58" t="s">
        <v>37</v>
      </c>
      <c r="T187" s="106">
        <v>1280</v>
      </c>
      <c r="U187" s="85">
        <v>935</v>
      </c>
      <c r="V187" s="152"/>
      <c r="W187" s="152">
        <f>IFERROR((JUL_2023[[#This Row],[Sales Amount]]-JUL_2023[[#This Row],[Cost]])/JUL_2023[[#This Row],[CNTR AMOUNT]],JUL_2023[[#This Row],[Sales Amount]]-JUL_2023[[#This Row],[Cost]])</f>
        <v>345</v>
      </c>
      <c r="X187" s="888">
        <f>IFERROR((JUL_2023[[#This Row],[Sales Amount]]-JUL_2023[[#This Row],[Cost]])/JUL_2023[[#This Row],[Cost]],"-")</f>
        <v>0.36898395721925131</v>
      </c>
      <c r="Y187" s="152"/>
      <c r="Z187" s="645"/>
    </row>
    <row r="188" spans="1:26">
      <c r="A188" s="106" t="s">
        <v>1314</v>
      </c>
      <c r="B188" s="4167" t="s">
        <v>1462</v>
      </c>
      <c r="C188" s="106" t="s">
        <v>28</v>
      </c>
      <c r="D188" s="144">
        <v>45139</v>
      </c>
      <c r="E188" s="898">
        <v>45162</v>
      </c>
      <c r="F188" s="106" t="s">
        <v>29</v>
      </c>
      <c r="G188" s="106" t="s">
        <v>30</v>
      </c>
      <c r="H188" s="117" t="s">
        <v>1038</v>
      </c>
      <c r="I188" s="117" t="s">
        <v>162</v>
      </c>
      <c r="J188" s="4607" t="s">
        <v>162</v>
      </c>
      <c r="K188" s="117" t="s">
        <v>1412</v>
      </c>
      <c r="L188" s="144"/>
      <c r="P188" s="4180" t="s">
        <v>1463</v>
      </c>
      <c r="Q188" s="106" t="s">
        <v>75</v>
      </c>
      <c r="R188" s="507" t="s">
        <v>1464</v>
      </c>
      <c r="S188" s="117" t="s">
        <v>1320</v>
      </c>
      <c r="T188" s="117"/>
      <c r="U188" s="660"/>
      <c r="V188" s="660"/>
      <c r="W188" s="660">
        <f>IFERROR((JUL_2023[[#This Row],[Sales Amount]]-JUL_2023[[#This Row],[Cost]])/JUL_2023[[#This Row],[CNTR AMOUNT]],JUL_2023[[#This Row],[Sales Amount]]-JUL_2023[[#This Row],[Cost]])</f>
        <v>0</v>
      </c>
      <c r="X188" s="919" t="str">
        <f>IFERROR((JUL_2023[[#This Row],[Sales Amount]]-JUL_2023[[#This Row],[Cost]])/JUL_2023[[#This Row],[Cost]],"-")</f>
        <v>-</v>
      </c>
      <c r="Y188" s="660"/>
      <c r="Z188" s="113"/>
    </row>
    <row r="189" spans="1:26">
      <c r="A189" s="106" t="s">
        <v>1314</v>
      </c>
      <c r="B189" s="4167" t="s">
        <v>1465</v>
      </c>
      <c r="C189" s="106" t="s">
        <v>28</v>
      </c>
      <c r="D189" s="144">
        <v>45139</v>
      </c>
      <c r="E189" s="898">
        <v>45164</v>
      </c>
      <c r="F189" s="106" t="s">
        <v>29</v>
      </c>
      <c r="G189" s="106" t="s">
        <v>30</v>
      </c>
      <c r="H189" s="117" t="s">
        <v>1038</v>
      </c>
      <c r="I189" s="117" t="s">
        <v>162</v>
      </c>
      <c r="J189" s="4607" t="s">
        <v>162</v>
      </c>
      <c r="K189" s="117" t="s">
        <v>1412</v>
      </c>
      <c r="L189" s="4179" t="s">
        <v>1466</v>
      </c>
      <c r="P189" s="4152" t="s">
        <v>1467</v>
      </c>
      <c r="Q189" s="106" t="s">
        <v>75</v>
      </c>
      <c r="R189" s="117" t="s">
        <v>1468</v>
      </c>
      <c r="S189" s="117" t="s">
        <v>1320</v>
      </c>
      <c r="T189" s="117"/>
      <c r="U189" s="660"/>
      <c r="V189" s="660"/>
      <c r="W189" s="660">
        <f>IFERROR((JUL_2023[[#This Row],[Sales Amount]]-JUL_2023[[#This Row],[Cost]])/JUL_2023[[#This Row],[CNTR AMOUNT]],JUL_2023[[#This Row],[Sales Amount]]-JUL_2023[[#This Row],[Cost]])</f>
        <v>0</v>
      </c>
      <c r="X189" s="919" t="str">
        <f>IFERROR((JUL_2023[[#This Row],[Sales Amount]]-JUL_2023[[#This Row],[Cost]])/JUL_2023[[#This Row],[Cost]],"-")</f>
        <v>-</v>
      </c>
      <c r="Y189" s="660"/>
      <c r="Z189" s="113"/>
    </row>
    <row r="190" spans="1:26" s="7" customFormat="1" hidden="1">
      <c r="A190" s="25" t="s">
        <v>676</v>
      </c>
      <c r="B190" s="1146">
        <v>6361291230</v>
      </c>
      <c r="C190" s="25" t="s">
        <v>44</v>
      </c>
      <c r="D190" s="353">
        <v>45165</v>
      </c>
      <c r="E190" s="353">
        <v>45165</v>
      </c>
      <c r="F190" s="25" t="s">
        <v>45</v>
      </c>
      <c r="G190" s="25" t="s">
        <v>46</v>
      </c>
      <c r="H190" s="353">
        <v>45124</v>
      </c>
      <c r="I190" s="25"/>
      <c r="J190" s="25" t="s">
        <v>32</v>
      </c>
      <c r="K190" s="25" t="s">
        <v>1448</v>
      </c>
      <c r="L190" s="25"/>
      <c r="M190" s="25" t="s">
        <v>1469</v>
      </c>
      <c r="N190" s="353">
        <v>45121</v>
      </c>
      <c r="O190" s="353">
        <v>45124</v>
      </c>
      <c r="P190" s="4122" t="s">
        <v>1470</v>
      </c>
      <c r="Q190" s="13" t="s">
        <v>715</v>
      </c>
      <c r="R190" s="25" t="s">
        <v>36</v>
      </c>
      <c r="S190" s="4839" t="s">
        <v>664</v>
      </c>
      <c r="T190" s="117">
        <v>2440</v>
      </c>
      <c r="U190" s="660">
        <f>632+1031+35</f>
        <v>1698</v>
      </c>
      <c r="V190" s="660">
        <v>1</v>
      </c>
      <c r="W190" s="660">
        <f>IFERROR((JUL_2023[[#This Row],[Sales Amount]]-JUL_2023[[#This Row],[Cost]])/JUL_2023[[#This Row],[CNTR AMOUNT]],JUL_2023[[#This Row],[Sales Amount]]-JUL_2023[[#This Row],[Cost]])</f>
        <v>742</v>
      </c>
      <c r="X190" s="919">
        <f>IFERROR((JUL_2023[[#This Row],[Sales Amount]]-JUL_2023[[#This Row],[Cost]])/JUL_2023[[#This Row],[Cost]],"-")</f>
        <v>0.43698468786808009</v>
      </c>
      <c r="Y190" s="660"/>
      <c r="Z190" s="113"/>
    </row>
    <row r="191" spans="1:26" hidden="1">
      <c r="A191" s="25" t="s">
        <v>676</v>
      </c>
      <c r="B191" s="1142">
        <v>6360589881</v>
      </c>
      <c r="C191" s="25" t="s">
        <v>44</v>
      </c>
      <c r="D191" s="353">
        <v>45162</v>
      </c>
      <c r="E191" s="353">
        <v>45170</v>
      </c>
      <c r="F191" s="25" t="s">
        <v>45</v>
      </c>
      <c r="G191" s="25" t="s">
        <v>46</v>
      </c>
      <c r="H191" s="353">
        <v>45114</v>
      </c>
      <c r="I191" s="25"/>
      <c r="J191" s="25" t="s">
        <v>32</v>
      </c>
      <c r="K191" s="25" t="s">
        <v>1448</v>
      </c>
      <c r="L191" s="25"/>
      <c r="M191" s="25" t="s">
        <v>1449</v>
      </c>
      <c r="N191" s="25"/>
      <c r="O191" s="25"/>
      <c r="P191" s="650" t="s">
        <v>1471</v>
      </c>
      <c r="Q191" s="13" t="s">
        <v>715</v>
      </c>
      <c r="R191" s="25" t="s">
        <v>36</v>
      </c>
      <c r="S191" s="58" t="s">
        <v>664</v>
      </c>
      <c r="T191" s="117">
        <v>10920</v>
      </c>
      <c r="U191" s="660">
        <f>4486+35+1516+35+2262</f>
        <v>8334</v>
      </c>
      <c r="V191" s="660">
        <v>4</v>
      </c>
      <c r="W191" s="660">
        <f>IFERROR((JUL_2023[[#This Row],[Sales Amount]]-JUL_2023[[#This Row],[Cost]])/JUL_2023[[#This Row],[CNTR AMOUNT]],JUL_2023[[#This Row],[Sales Amount]]-JUL_2023[[#This Row],[Cost]])</f>
        <v>646.5</v>
      </c>
      <c r="X191" s="919">
        <f>IFERROR((JUL_2023[[#This Row],[Sales Amount]]-JUL_2023[[#This Row],[Cost]])/JUL_2023[[#This Row],[Cost]],"-")</f>
        <v>0.3102951763858891</v>
      </c>
      <c r="Y191" s="660"/>
      <c r="Z191" s="113"/>
    </row>
    <row r="192" spans="1:26" hidden="1">
      <c r="A192" s="4154" t="s">
        <v>1472</v>
      </c>
      <c r="B192" s="4849">
        <v>6361902070</v>
      </c>
      <c r="C192" s="4610" t="s">
        <v>1473</v>
      </c>
      <c r="D192" s="4604">
        <v>45168</v>
      </c>
      <c r="E192" s="4611">
        <v>45171</v>
      </c>
      <c r="F192" s="4610" t="s">
        <v>45</v>
      </c>
      <c r="G192" s="4610" t="s">
        <v>1037</v>
      </c>
      <c r="H192" s="353"/>
      <c r="I192" s="4603"/>
      <c r="J192" s="25"/>
      <c r="K192" s="4610" t="s">
        <v>1474</v>
      </c>
      <c r="L192" s="4848"/>
      <c r="M192" s="4155" t="s">
        <v>1475</v>
      </c>
      <c r="N192" s="353"/>
      <c r="O192" s="353"/>
      <c r="P192" s="4150" t="s">
        <v>1476</v>
      </c>
      <c r="Q192" s="4154" t="s">
        <v>128</v>
      </c>
      <c r="R192" t="s">
        <v>36</v>
      </c>
      <c r="S192" s="117"/>
      <c r="T192" s="117">
        <v>1650</v>
      </c>
      <c r="U192" s="660">
        <v>1294</v>
      </c>
      <c r="V192" s="660"/>
      <c r="W192" s="120">
        <f>IFERROR((JUL_2023[[#This Row],[Sales Amount]]-JUL_2023[[#This Row],[Cost]])/JUL_2023[[#This Row],[CNTR AMOUNT]],JUL_2023[[#This Row],[Sales Amount]]-JUL_2023[[#This Row],[Cost]])</f>
        <v>356</v>
      </c>
      <c r="X192" s="1067">
        <f>IFERROR((JUL_2023[[#This Row],[Sales Amount]]-JUL_2023[[#This Row],[Cost]])/JUL_2023[[#This Row],[Cost]],"-")</f>
        <v>0.27511591962905718</v>
      </c>
      <c r="Y192" s="120"/>
      <c r="Z192" s="1209"/>
    </row>
    <row r="193" spans="1:26" hidden="1">
      <c r="A193" s="25" t="s">
        <v>1477</v>
      </c>
      <c r="B193" s="1489">
        <v>6360086740</v>
      </c>
      <c r="C193" s="1445" t="s">
        <v>44</v>
      </c>
      <c r="D193" s="1378">
        <v>45159</v>
      </c>
      <c r="E193" s="1378">
        <v>45175</v>
      </c>
      <c r="F193" s="4612" t="s">
        <v>45</v>
      </c>
      <c r="G193" s="1445" t="s">
        <v>46</v>
      </c>
      <c r="H193" s="1378">
        <v>45113</v>
      </c>
      <c r="I193" s="1377"/>
      <c r="J193" s="25"/>
      <c r="K193" s="1445" t="s">
        <v>682</v>
      </c>
      <c r="L193" s="25"/>
      <c r="M193" s="25"/>
      <c r="N193" s="353">
        <v>45112</v>
      </c>
      <c r="O193" s="353">
        <v>45113</v>
      </c>
      <c r="P193" s="707" t="s">
        <v>817</v>
      </c>
      <c r="Q193" s="507" t="s">
        <v>715</v>
      </c>
      <c r="R193" s="709" t="s">
        <v>36</v>
      </c>
      <c r="S193" s="709" t="s">
        <v>664</v>
      </c>
      <c r="T193" s="117">
        <v>2502.5</v>
      </c>
      <c r="U193" s="660">
        <f>1011+1101+35</f>
        <v>2147</v>
      </c>
      <c r="V193" s="660">
        <v>1</v>
      </c>
      <c r="W193" s="660">
        <f>IFERROR((JUL_2023[[#This Row],[Sales Amount]]-JUL_2023[[#This Row],[Cost]])/JUL_2023[[#This Row],[CNTR AMOUNT]],JUL_2023[[#This Row],[Sales Amount]]-JUL_2023[[#This Row],[Cost]])</f>
        <v>355.5</v>
      </c>
      <c r="X193" s="919">
        <f>IFERROR((JUL_2023[[#This Row],[Sales Amount]]-JUL_2023[[#This Row],[Cost]])/JUL_2023[[#This Row],[Cost]],"-")</f>
        <v>0.16557987890079182</v>
      </c>
      <c r="Y193" s="660"/>
      <c r="Z193" s="113"/>
    </row>
    <row r="194" spans="1:26" hidden="1">
      <c r="A194" s="4154" t="s">
        <v>1472</v>
      </c>
      <c r="B194" s="1489">
        <v>6361621050</v>
      </c>
      <c r="C194" s="4154" t="s">
        <v>44</v>
      </c>
      <c r="D194" s="353">
        <v>45176</v>
      </c>
      <c r="E194" s="758">
        <v>45176</v>
      </c>
      <c r="F194" s="4154" t="s">
        <v>45</v>
      </c>
      <c r="G194" s="4154" t="s">
        <v>851</v>
      </c>
      <c r="H194" s="353">
        <v>45131</v>
      </c>
      <c r="I194" s="4154"/>
      <c r="J194" s="4610" t="s">
        <v>1478</v>
      </c>
      <c r="K194" s="4610" t="s">
        <v>1479</v>
      </c>
      <c r="L194" s="25"/>
      <c r="M194" s="4155" t="s">
        <v>1480</v>
      </c>
      <c r="N194" s="353">
        <v>45131</v>
      </c>
      <c r="O194" s="353">
        <v>45134</v>
      </c>
      <c r="P194" s="4181" t="s">
        <v>1481</v>
      </c>
      <c r="Q194" s="4154" t="s">
        <v>128</v>
      </c>
      <c r="R194" s="117" t="s">
        <v>36</v>
      </c>
      <c r="S194" s="117"/>
      <c r="T194" s="117">
        <v>2830</v>
      </c>
      <c r="U194" s="120">
        <f>1066+479.45+530.08-176</f>
        <v>1899.5300000000002</v>
      </c>
      <c r="V194" s="120">
        <v>2</v>
      </c>
      <c r="W194" s="120">
        <f>IFERROR((JUL_2023[[#This Row],[Sales Amount]]-JUL_2023[[#This Row],[Cost]])/JUL_2023[[#This Row],[CNTR AMOUNT]],JUL_2023[[#This Row],[Sales Amount]]-JUL_2023[[#This Row],[Cost]])</f>
        <v>465.2349999999999</v>
      </c>
      <c r="X194" s="1067">
        <f>IFERROR((JUL_2023[[#This Row],[Sales Amount]]-JUL_2023[[#This Row],[Cost]])/JUL_2023[[#This Row],[Cost]],"-")</f>
        <v>0.48984222412912654</v>
      </c>
      <c r="Y194" s="120"/>
      <c r="Z194" s="1209"/>
    </row>
    <row r="195" spans="1:26" hidden="1">
      <c r="A195" s="4154" t="s">
        <v>1472</v>
      </c>
      <c r="B195" s="1146">
        <v>6361621050</v>
      </c>
      <c r="C195" s="4610" t="s">
        <v>44</v>
      </c>
      <c r="D195" s="353">
        <v>45176</v>
      </c>
      <c r="E195" s="758">
        <v>45176</v>
      </c>
      <c r="F195" s="4154" t="s">
        <v>45</v>
      </c>
      <c r="G195" s="4154" t="s">
        <v>851</v>
      </c>
      <c r="H195" s="353">
        <v>45132</v>
      </c>
      <c r="I195" s="4154"/>
      <c r="J195" s="4610" t="s">
        <v>1478</v>
      </c>
      <c r="K195" s="4850" t="s">
        <v>1482</v>
      </c>
      <c r="L195" s="4848"/>
      <c r="M195" s="4155" t="s">
        <v>1480</v>
      </c>
      <c r="N195" s="353">
        <v>45132</v>
      </c>
      <c r="O195" s="353">
        <v>45134</v>
      </c>
      <c r="P195" s="4181" t="s">
        <v>1483</v>
      </c>
      <c r="Q195" s="4154" t="s">
        <v>128</v>
      </c>
      <c r="R195" s="117" t="s">
        <v>36</v>
      </c>
      <c r="S195" s="117"/>
      <c r="T195" s="117">
        <v>2830</v>
      </c>
      <c r="U195" s="660">
        <f>1066+479.45+530.08-176</f>
        <v>1899.5300000000002</v>
      </c>
      <c r="V195" s="660">
        <v>2</v>
      </c>
      <c r="W195" s="660">
        <f>IFERROR((JUL_2023[[#This Row],[Sales Amount]]-JUL_2023[[#This Row],[Cost]])/JUL_2023[[#This Row],[CNTR AMOUNT]],JUL_2023[[#This Row],[Sales Amount]]-JUL_2023[[#This Row],[Cost]])</f>
        <v>465.2349999999999</v>
      </c>
      <c r="X195" s="919">
        <f>IFERROR((JUL_2023[[#This Row],[Sales Amount]]-JUL_2023[[#This Row],[Cost]])/JUL_2023[[#This Row],[Cost]],"-")</f>
        <v>0.48984222412912654</v>
      </c>
      <c r="Y195" s="660"/>
      <c r="Z195" s="113"/>
    </row>
    <row r="196" spans="1:26" hidden="1">
      <c r="A196" s="58" t="s">
        <v>639</v>
      </c>
      <c r="B196" s="1114" t="s">
        <v>1484</v>
      </c>
      <c r="C196" s="1166" t="s">
        <v>28</v>
      </c>
      <c r="D196" s="1334">
        <v>45152</v>
      </c>
      <c r="E196" s="1374">
        <v>45177</v>
      </c>
      <c r="F196" s="1166" t="s">
        <v>1485</v>
      </c>
      <c r="G196" s="1166" t="s">
        <v>361</v>
      </c>
      <c r="H196" s="1334">
        <v>45177</v>
      </c>
      <c r="I196" s="1166" t="s">
        <v>315</v>
      </c>
      <c r="J196" s="1166" t="s">
        <v>32</v>
      </c>
      <c r="K196" s="1166" t="s">
        <v>1486</v>
      </c>
      <c r="L196" s="4851">
        <v>773995</v>
      </c>
      <c r="M196" s="1334">
        <v>45177</v>
      </c>
      <c r="N196" s="1334">
        <v>45177</v>
      </c>
      <c r="O196" s="1334">
        <v>45177</v>
      </c>
      <c r="P196" s="650" t="s">
        <v>1487</v>
      </c>
      <c r="Q196" s="58" t="s">
        <v>35</v>
      </c>
      <c r="R196" s="58" t="s">
        <v>36</v>
      </c>
      <c r="S196" s="58" t="s">
        <v>37</v>
      </c>
      <c r="T196" s="106">
        <v>1225</v>
      </c>
      <c r="U196" s="152">
        <v>1026</v>
      </c>
      <c r="V196" s="152"/>
      <c r="W196" s="152">
        <f>IFERROR((JUL_2023[[#This Row],[Sales Amount]]-JUL_2023[[#This Row],[Cost]])/JUL_2023[[#This Row],[CNTR AMOUNT]],JUL_2023[[#This Row],[Sales Amount]]-JUL_2023[[#This Row],[Cost]])</f>
        <v>199</v>
      </c>
      <c r="X196" s="888">
        <f>IFERROR((JUL_2023[[#This Row],[Sales Amount]]-JUL_2023[[#This Row],[Cost]])/JUL_2023[[#This Row],[Cost]],"-")</f>
        <v>0.19395711500974658</v>
      </c>
      <c r="Y196" s="152"/>
      <c r="Z196" s="645"/>
    </row>
    <row r="197" spans="1:26" s="709" customFormat="1" hidden="1">
      <c r="A197" s="25" t="s">
        <v>1477</v>
      </c>
      <c r="B197" s="1146">
        <v>6361114650</v>
      </c>
      <c r="C197" s="4612" t="s">
        <v>28</v>
      </c>
      <c r="D197" s="4604">
        <v>45180</v>
      </c>
      <c r="E197" s="4604">
        <v>45186</v>
      </c>
      <c r="F197" s="13" t="s">
        <v>45</v>
      </c>
      <c r="G197" s="13" t="s">
        <v>46</v>
      </c>
      <c r="H197" s="4604">
        <v>45125</v>
      </c>
      <c r="I197" s="4603"/>
      <c r="J197" s="4603" t="s">
        <v>32</v>
      </c>
      <c r="K197" s="4603" t="s">
        <v>682</v>
      </c>
      <c r="L197" s="4603"/>
      <c r="M197" s="4603"/>
      <c r="N197" s="353"/>
      <c r="O197" s="353">
        <v>45095</v>
      </c>
      <c r="P197" s="4122" t="s">
        <v>1488</v>
      </c>
      <c r="Q197" s="25" t="s">
        <v>715</v>
      </c>
      <c r="R197" s="25" t="s">
        <v>36</v>
      </c>
      <c r="S197" s="58" t="s">
        <v>664</v>
      </c>
      <c r="T197" s="117">
        <v>2480</v>
      </c>
      <c r="U197" s="660">
        <f>976+1150</f>
        <v>2126</v>
      </c>
      <c r="V197" s="660">
        <v>2</v>
      </c>
      <c r="W197" s="660">
        <f>IFERROR((JUL_2023[[#This Row],[Sales Amount]]-JUL_2023[[#This Row],[Cost]])/JUL_2023[[#This Row],[CNTR AMOUNT]],JUL_2023[[#This Row],[Sales Amount]]-JUL_2023[[#This Row],[Cost]])</f>
        <v>177</v>
      </c>
      <c r="X197" s="919">
        <f>IFERROR((JUL_2023[[#This Row],[Sales Amount]]-JUL_2023[[#This Row],[Cost]])/JUL_2023[[#This Row],[Cost]],"-")</f>
        <v>0.16650987770460959</v>
      </c>
      <c r="Y197" s="660"/>
      <c r="Z197" s="113"/>
    </row>
    <row r="198" spans="1:26" hidden="1">
      <c r="A198" s="4154" t="s">
        <v>1472</v>
      </c>
      <c r="B198" s="1146">
        <v>6362202600</v>
      </c>
      <c r="C198" s="4154" t="s">
        <v>44</v>
      </c>
      <c r="D198" s="353">
        <v>45189</v>
      </c>
      <c r="E198" s="758">
        <v>45189</v>
      </c>
      <c r="F198" s="4154" t="s">
        <v>45</v>
      </c>
      <c r="G198" s="4182" t="s">
        <v>851</v>
      </c>
      <c r="H198" s="353">
        <v>45138</v>
      </c>
      <c r="I198" s="4154" t="s">
        <v>899</v>
      </c>
      <c r="J198" s="4154" t="s">
        <v>1478</v>
      </c>
      <c r="K198" s="4154" t="s">
        <v>1489</v>
      </c>
      <c r="L198" s="25"/>
      <c r="M198" s="4155" t="s">
        <v>1490</v>
      </c>
      <c r="N198" s="353">
        <v>45139</v>
      </c>
      <c r="O198" s="353">
        <v>45141</v>
      </c>
      <c r="P198" s="4181" t="s">
        <v>1491</v>
      </c>
      <c r="Q198" s="4154" t="s">
        <v>128</v>
      </c>
      <c r="R198" s="117" t="s">
        <v>36</v>
      </c>
      <c r="S198" s="117"/>
      <c r="T198" s="117">
        <v>2550</v>
      </c>
      <c r="U198" s="660">
        <f>341.1+421.1+966</f>
        <v>1728.2</v>
      </c>
      <c r="V198" s="660">
        <v>2</v>
      </c>
      <c r="W198" s="660">
        <f>IFERROR((JUL_2023[[#This Row],[Sales Amount]]-JUL_2023[[#This Row],[Cost]])/JUL_2023[[#This Row],[CNTR AMOUNT]],JUL_2023[[#This Row],[Sales Amount]]-JUL_2023[[#This Row],[Cost]])</f>
        <v>410.9</v>
      </c>
      <c r="X198" s="919">
        <f>IFERROR((JUL_2023[[#This Row],[Sales Amount]]-JUL_2023[[#This Row],[Cost]])/JUL_2023[[#This Row],[Cost]],"-")</f>
        <v>0.475523666242333</v>
      </c>
      <c r="Y198" s="660"/>
      <c r="Z198" s="113"/>
    </row>
    <row r="199" spans="1:26" hidden="1">
      <c r="A199" s="4613" t="s">
        <v>1472</v>
      </c>
      <c r="B199" s="1146">
        <v>6362202600</v>
      </c>
      <c r="C199" s="4183" t="s">
        <v>44</v>
      </c>
      <c r="D199" s="3244">
        <v>45189</v>
      </c>
      <c r="E199" s="3245">
        <v>45189</v>
      </c>
      <c r="F199" s="4184" t="s">
        <v>45</v>
      </c>
      <c r="G199" s="4182" t="s">
        <v>851</v>
      </c>
      <c r="H199" s="66">
        <v>45139</v>
      </c>
      <c r="I199" s="4153" t="s">
        <v>899</v>
      </c>
      <c r="J199" s="4183" t="s">
        <v>1478</v>
      </c>
      <c r="K199" s="4154" t="s">
        <v>1489</v>
      </c>
      <c r="L199" s="31"/>
      <c r="M199" s="4185" t="s">
        <v>1490</v>
      </c>
      <c r="N199" s="353">
        <v>45138</v>
      </c>
      <c r="O199" s="353">
        <v>45142</v>
      </c>
      <c r="P199" s="4186" t="s">
        <v>1492</v>
      </c>
      <c r="Q199" s="4153" t="s">
        <v>128</v>
      </c>
      <c r="R199" s="660" t="s">
        <v>36</v>
      </c>
      <c r="S199" s="660"/>
      <c r="T199" s="660">
        <v>2550</v>
      </c>
      <c r="U199" s="660">
        <f>341.1+421.1+966</f>
        <v>1728.2</v>
      </c>
      <c r="V199" s="660">
        <v>2</v>
      </c>
      <c r="W199" s="660">
        <f>IFERROR((JUL_2023[[#This Row],[Sales Amount]]-JUL_2023[[#This Row],[Cost]])/JUL_2023[[#This Row],[CNTR AMOUNT]],JUL_2023[[#This Row],[Sales Amount]]-JUL_2023[[#This Row],[Cost]])</f>
        <v>410.9</v>
      </c>
      <c r="X199" s="919">
        <f>IFERROR((JUL_2023[[#This Row],[Sales Amount]]-JUL_2023[[#This Row],[Cost]])/JUL_2023[[#This Row],[Cost]],"-")</f>
        <v>0.475523666242333</v>
      </c>
      <c r="Y199" s="660"/>
      <c r="Z199" s="113"/>
    </row>
    <row r="200" spans="1:26" s="709" customFormat="1" hidden="1">
      <c r="A200" s="709" t="s">
        <v>165</v>
      </c>
      <c r="B200" s="1419" t="s">
        <v>1493</v>
      </c>
      <c r="C200" s="1419" t="s">
        <v>28</v>
      </c>
      <c r="D200" s="1427">
        <v>45134</v>
      </c>
      <c r="E200" s="1427" t="s">
        <v>315</v>
      </c>
      <c r="F200" s="1419" t="s">
        <v>260</v>
      </c>
      <c r="G200" s="1419" t="s">
        <v>1494</v>
      </c>
      <c r="H200" s="1427">
        <v>45140</v>
      </c>
      <c r="I200" s="1419" t="s">
        <v>583</v>
      </c>
      <c r="J200" s="709" t="s">
        <v>510</v>
      </c>
      <c r="K200" s="1419" t="s">
        <v>1495</v>
      </c>
      <c r="L200" s="1419" t="s">
        <v>315</v>
      </c>
      <c r="M200" s="1419" t="s">
        <v>315</v>
      </c>
      <c r="N200" s="912">
        <v>45134</v>
      </c>
      <c r="O200" s="912">
        <v>45140</v>
      </c>
      <c r="P200" s="1419" t="s">
        <v>1496</v>
      </c>
      <c r="Q200" s="709" t="s">
        <v>170</v>
      </c>
      <c r="R200" s="709" t="s">
        <v>51</v>
      </c>
      <c r="S200" s="106"/>
      <c r="T200" s="106">
        <v>680</v>
      </c>
      <c r="U200" s="152">
        <v>502.25</v>
      </c>
      <c r="V200" s="152"/>
      <c r="W200" s="152">
        <f>IFERROR((JUL_2023[[#This Row],[Sales Amount]]-JUL_2023[[#This Row],[Cost]])/JUL_2023[[#This Row],[CNTR AMOUNT]],JUL_2023[[#This Row],[Sales Amount]]-JUL_2023[[#This Row],[Cost]])</f>
        <v>177.75</v>
      </c>
      <c r="X200" s="888">
        <f>IFERROR((JUL_2023[[#This Row],[Sales Amount]]-JUL_2023[[#This Row],[Cost]])/JUL_2023[[#This Row],[Cost]],"-")</f>
        <v>0.35390741662518665</v>
      </c>
      <c r="Y200" s="152"/>
      <c r="Z200" s="645"/>
    </row>
    <row r="201" spans="1:26" hidden="1">
      <c r="A201" s="25" t="s">
        <v>1497</v>
      </c>
      <c r="B201" s="3" t="s">
        <v>1498</v>
      </c>
      <c r="C201" s="25"/>
      <c r="D201" s="353"/>
      <c r="E201" s="758"/>
      <c r="F201" s="25"/>
      <c r="G201" s="25"/>
      <c r="H201" s="25"/>
      <c r="I201" s="25"/>
      <c r="J201" s="3" t="s">
        <v>0</v>
      </c>
      <c r="K201" s="3" t="s">
        <v>1499</v>
      </c>
      <c r="L201" s="25"/>
      <c r="M201" s="353"/>
      <c r="N201" s="353"/>
      <c r="O201" s="353"/>
      <c r="P201" s="3" t="s">
        <v>1500</v>
      </c>
      <c r="Q201" s="3" t="s">
        <v>128</v>
      </c>
      <c r="R201" s="117" t="s">
        <v>36</v>
      </c>
      <c r="S201" s="117"/>
      <c r="T201" s="117">
        <v>1219.73</v>
      </c>
      <c r="U201" s="120">
        <v>450</v>
      </c>
      <c r="V201" s="120"/>
      <c r="W201" s="120">
        <f>IFERROR((JUL_2023[[#This Row],[Sales Amount]]-JUL_2023[[#This Row],[Cost]])/JUL_2023[[#This Row],[CNTR AMOUNT]],JUL_2023[[#This Row],[Sales Amount]]-JUL_2023[[#This Row],[Cost]])</f>
        <v>769.73</v>
      </c>
      <c r="X201" s="1067">
        <f>IFERROR((JUL_2023[[#This Row],[Sales Amount]]-JUL_2023[[#This Row],[Cost]])/JUL_2023[[#This Row],[Cost]],"-")</f>
        <v>1.7105111111111111</v>
      </c>
      <c r="Y201" s="120"/>
      <c r="Z201" s="1209"/>
    </row>
    <row r="202" spans="1:26" hidden="1">
      <c r="A202" s="4852" t="s">
        <v>1501</v>
      </c>
      <c r="B202" s="4614">
        <v>6360884280</v>
      </c>
      <c r="C202" s="4601" t="s">
        <v>44</v>
      </c>
      <c r="D202" s="4608"/>
      <c r="E202" s="4615"/>
      <c r="F202" s="4601" t="s">
        <v>45</v>
      </c>
      <c r="G202" s="4601" t="s">
        <v>46</v>
      </c>
      <c r="H202" s="4608">
        <v>45127</v>
      </c>
      <c r="I202" s="4599"/>
      <c r="J202" s="4601" t="s">
        <v>32</v>
      </c>
      <c r="K202" s="4601" t="s">
        <v>1502</v>
      </c>
      <c r="L202" s="58"/>
      <c r="M202" s="4149" t="s">
        <v>1503</v>
      </c>
      <c r="N202" s="126"/>
      <c r="O202" s="126"/>
      <c r="P202" s="4122" t="s">
        <v>1504</v>
      </c>
      <c r="Q202" s="4149" t="s">
        <v>170</v>
      </c>
      <c r="R202" s="709" t="s">
        <v>51</v>
      </c>
      <c r="T202" s="106">
        <v>2610</v>
      </c>
      <c r="U202" s="152">
        <v>2283</v>
      </c>
      <c r="V202" s="152"/>
      <c r="W202" s="152">
        <f>IFERROR((JUL_2023[[#This Row],[Sales Amount]]-JUL_2023[[#This Row],[Cost]])/JUL_2023[[#This Row],[CNTR AMOUNT]],JUL_2023[[#This Row],[Sales Amount]]-JUL_2023[[#This Row],[Cost]])</f>
        <v>327</v>
      </c>
      <c r="X202" s="888">
        <f>IFERROR((JUL_2023[[#This Row],[Sales Amount]]-JUL_2023[[#This Row],[Cost]])/JUL_2023[[#This Row],[Cost]],"-")</f>
        <v>0.14323258869908015</v>
      </c>
      <c r="Y202" s="152"/>
      <c r="Z202" s="645"/>
    </row>
    <row r="203" spans="1:26" hidden="1">
      <c r="A203" s="4187" t="s">
        <v>1501</v>
      </c>
      <c r="B203" s="1490">
        <v>6360884280</v>
      </c>
      <c r="C203" s="4188" t="s">
        <v>44</v>
      </c>
      <c r="D203" s="1379"/>
      <c r="E203" s="1492"/>
      <c r="F203" s="4188" t="s">
        <v>45</v>
      </c>
      <c r="G203" s="4188" t="s">
        <v>46</v>
      </c>
      <c r="H203" s="1379">
        <v>45127</v>
      </c>
      <c r="I203" s="1154"/>
      <c r="J203" s="4188" t="s">
        <v>32</v>
      </c>
      <c r="K203" s="4149" t="s">
        <v>1502</v>
      </c>
      <c r="L203" s="58"/>
      <c r="M203" s="4149" t="s">
        <v>1503</v>
      </c>
      <c r="N203" s="126"/>
      <c r="O203" s="126"/>
      <c r="P203" s="4122" t="s">
        <v>1505</v>
      </c>
      <c r="Q203" s="4149" t="s">
        <v>170</v>
      </c>
      <c r="R203" s="709" t="s">
        <v>51</v>
      </c>
      <c r="T203" s="106">
        <v>2610</v>
      </c>
      <c r="U203" s="93">
        <v>2283</v>
      </c>
      <c r="V203" s="93"/>
      <c r="W203" s="93">
        <f>IFERROR((JUL_2023[[#This Row],[Sales Amount]]-JUL_2023[[#This Row],[Cost]])/JUL_2023[[#This Row],[CNTR AMOUNT]],JUL_2023[[#This Row],[Sales Amount]]-JUL_2023[[#This Row],[Cost]])</f>
        <v>327</v>
      </c>
      <c r="X203" s="970">
        <f>IFERROR((JUL_2023[[#This Row],[Sales Amount]]-JUL_2023[[#This Row],[Cost]])/JUL_2023[[#This Row],[Cost]],"-")</f>
        <v>0.14323258869908015</v>
      </c>
      <c r="Y203" s="93"/>
      <c r="Z203" s="1068"/>
    </row>
    <row r="204" spans="1:26" s="709" customFormat="1" hidden="1">
      <c r="A204" s="58" t="s">
        <v>1506</v>
      </c>
      <c r="B204" s="58" t="s">
        <v>1507</v>
      </c>
      <c r="C204" s="58" t="s">
        <v>1508</v>
      </c>
      <c r="D204" s="844"/>
      <c r="E204" s="844">
        <v>45112</v>
      </c>
      <c r="F204" s="58"/>
      <c r="G204" s="58"/>
      <c r="H204" s="844"/>
      <c r="I204" s="58"/>
      <c r="J204" s="58"/>
      <c r="K204" s="58"/>
      <c r="L204" s="58"/>
      <c r="M204" s="844"/>
      <c r="N204" s="844">
        <v>45112</v>
      </c>
      <c r="O204" s="844">
        <v>45118</v>
      </c>
      <c r="Q204" s="58" t="s">
        <v>50</v>
      </c>
      <c r="R204" s="709" t="s">
        <v>51</v>
      </c>
      <c r="U204" s="727"/>
      <c r="V204" s="727"/>
      <c r="W204" s="727">
        <f>IFERROR((JUL_2023[[#This Row],[Sales Amount]]-JUL_2023[[#This Row],[Cost]])/JUL_2023[[#This Row],[CNTR AMOUNT]],JUL_2023[[#This Row],[Sales Amount]]-JUL_2023[[#This Row],[Cost]])</f>
        <v>0</v>
      </c>
      <c r="X204" s="1179" t="str">
        <f>IFERROR((JUL_2023[[#This Row],[Sales Amount]]-JUL_2023[[#This Row],[Cost]])/JUL_2023[[#This Row],[Cost]],"-")</f>
        <v>-</v>
      </c>
      <c r="Y204" s="727"/>
      <c r="Z204" s="711"/>
    </row>
  </sheetData>
  <conditionalFormatting sqref="B1">
    <cfRule type="duplicateValues" dxfId="511" priority="1"/>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11092-4FE2-4AEA-85D2-685270911F31}">
  <sheetPr codeName="Sheet9"/>
  <dimension ref="A1:Z207"/>
  <sheetViews>
    <sheetView zoomScaleNormal="85" workbookViewId="0">
      <pane xSplit="7" ySplit="1" topLeftCell="M60" activePane="bottomRight" state="frozen"/>
      <selection pane="bottomRight" activeCell="B1" sqref="B1:B1048576"/>
      <selection pane="bottomLeft" activeCell="G80" sqref="G80"/>
      <selection pane="topRight" activeCell="H1" sqref="H1"/>
    </sheetView>
  </sheetViews>
  <sheetFormatPr defaultColWidth="9.125" defaultRowHeight="15"/>
  <cols>
    <col min="1" max="1" width="21.875" style="7" customWidth="1"/>
    <col min="2" max="2" width="18.25" style="7" customWidth="1"/>
    <col min="3" max="3" width="9.125" style="7" customWidth="1"/>
    <col min="4" max="4" width="10.875" style="126" customWidth="1"/>
    <col min="5" max="5" width="9.125" style="126" customWidth="1"/>
    <col min="6" max="6" width="11.25" style="7" customWidth="1"/>
    <col min="7" max="7" width="21.25" style="7" customWidth="1"/>
    <col min="8" max="8" width="21.25" style="126" customWidth="1"/>
    <col min="9" max="9" width="20.25" style="7" customWidth="1"/>
    <col min="10" max="10" width="16.25" style="7" customWidth="1"/>
    <col min="11" max="11" width="27.875" style="7" customWidth="1"/>
    <col min="12" max="12" width="15.125" style="7" customWidth="1"/>
    <col min="13" max="13" width="17.25" style="126" customWidth="1"/>
    <col min="14" max="14" width="12" style="126" customWidth="1"/>
    <col min="15" max="15" width="9.25" style="126" customWidth="1"/>
    <col min="16" max="16" width="54.25" style="106" customWidth="1"/>
    <col min="17" max="17" width="9.125" style="7"/>
    <col min="18" max="18" width="29.25" style="7" bestFit="1" customWidth="1"/>
    <col min="19" max="19" width="10" style="7" bestFit="1" customWidth="1"/>
    <col min="20" max="20" width="14" style="106" bestFit="1" customWidth="1"/>
    <col min="21" max="21" width="9.125" style="106"/>
    <col min="22" max="22" width="15.25" style="106" bestFit="1" customWidth="1"/>
    <col min="23" max="23" width="9.125" style="106"/>
    <col min="24" max="24" width="12.125" style="106" bestFit="1" customWidth="1"/>
    <col min="25" max="25" width="9.125" style="106"/>
    <col min="26" max="26" width="10.875" style="106" bestFit="1" customWidth="1"/>
    <col min="27" max="16384" width="9.125" style="106"/>
  </cols>
  <sheetData>
    <row r="1" spans="1:26" ht="15.75" customHeight="1">
      <c r="A1" s="1548" t="s">
        <v>0</v>
      </c>
      <c r="B1" s="1549" t="s">
        <v>1</v>
      </c>
      <c r="C1" s="1549" t="s">
        <v>2</v>
      </c>
      <c r="D1" s="1549" t="s">
        <v>3</v>
      </c>
      <c r="E1" s="1550" t="s">
        <v>4</v>
      </c>
      <c r="F1" s="1549" t="s">
        <v>5</v>
      </c>
      <c r="G1" s="1551" t="s">
        <v>6</v>
      </c>
      <c r="H1" s="1549" t="s">
        <v>7</v>
      </c>
      <c r="I1" s="1549" t="s">
        <v>8</v>
      </c>
      <c r="J1" s="1549" t="s">
        <v>9</v>
      </c>
      <c r="K1" s="1552" t="s">
        <v>10</v>
      </c>
      <c r="L1" s="1553" t="s">
        <v>11</v>
      </c>
      <c r="M1" s="1550" t="s">
        <v>12</v>
      </c>
      <c r="N1" s="1549" t="s">
        <v>13</v>
      </c>
      <c r="O1" s="1549" t="s">
        <v>14</v>
      </c>
      <c r="P1" s="1554" t="s">
        <v>15</v>
      </c>
      <c r="Q1" s="1555" t="s">
        <v>16</v>
      </c>
      <c r="R1" s="1555" t="s">
        <v>17</v>
      </c>
      <c r="S1" s="1555" t="s">
        <v>18</v>
      </c>
      <c r="T1" s="1556" t="s">
        <v>19</v>
      </c>
      <c r="U1" s="1557" t="s">
        <v>20</v>
      </c>
      <c r="V1" s="1557" t="s">
        <v>21</v>
      </c>
      <c r="W1" s="1557" t="s">
        <v>22</v>
      </c>
      <c r="X1" s="1558" t="s">
        <v>23</v>
      </c>
      <c r="Y1" s="1558" t="s">
        <v>24</v>
      </c>
      <c r="Z1" s="1559" t="s">
        <v>25</v>
      </c>
    </row>
    <row r="2" spans="1:26" hidden="1">
      <c r="A2" s="58" t="s">
        <v>1509</v>
      </c>
      <c r="B2" s="1114" t="s">
        <v>1510</v>
      </c>
      <c r="C2" s="58" t="s">
        <v>85</v>
      </c>
      <c r="D2" s="844">
        <v>45127</v>
      </c>
      <c r="E2" s="1451">
        <v>45132</v>
      </c>
      <c r="F2" s="58" t="s">
        <v>151</v>
      </c>
      <c r="G2" s="58" t="s">
        <v>152</v>
      </c>
      <c r="H2" s="1144"/>
      <c r="I2" s="58" t="s">
        <v>532</v>
      </c>
      <c r="J2" s="58" t="s">
        <v>203</v>
      </c>
      <c r="K2" s="58" t="s">
        <v>553</v>
      </c>
      <c r="L2" s="58">
        <v>3788</v>
      </c>
      <c r="M2" s="844">
        <v>45118</v>
      </c>
      <c r="N2" s="844">
        <v>45132</v>
      </c>
      <c r="O2" s="1119">
        <v>45146</v>
      </c>
      <c r="P2" s="709" t="s">
        <v>1511</v>
      </c>
      <c r="Q2" s="58" t="s">
        <v>35</v>
      </c>
      <c r="R2" s="58" t="s">
        <v>36</v>
      </c>
      <c r="S2" s="58" t="s">
        <v>37</v>
      </c>
      <c r="T2" s="106">
        <v>1940</v>
      </c>
      <c r="U2" s="106">
        <v>1170</v>
      </c>
      <c r="W2" s="106">
        <f>AUG_2023[[#This Row],[Sales Amount]]-AUG_2023[[#This Row],[Cost]]</f>
        <v>770</v>
      </c>
      <c r="X2" s="887">
        <f>AUG_2023[[#This Row],[Profit]]/AUG_2023[[#This Row],[Cost]]</f>
        <v>0.65811965811965811</v>
      </c>
    </row>
    <row r="3" spans="1:26" ht="45">
      <c r="A3" s="25" t="s">
        <v>90</v>
      </c>
      <c r="B3" s="25" t="s">
        <v>1512</v>
      </c>
      <c r="C3" s="25" t="s">
        <v>28</v>
      </c>
      <c r="D3" s="353">
        <v>45127</v>
      </c>
      <c r="E3" s="889">
        <v>45134</v>
      </c>
      <c r="F3" s="25" t="s">
        <v>151</v>
      </c>
      <c r="G3" s="25" t="s">
        <v>46</v>
      </c>
      <c r="H3" s="353">
        <v>45136</v>
      </c>
      <c r="I3" s="25"/>
      <c r="J3" s="25" t="s">
        <v>32</v>
      </c>
      <c r="K3" s="1076" t="s">
        <v>1513</v>
      </c>
      <c r="L3" s="837" t="s">
        <v>1514</v>
      </c>
      <c r="M3" s="841">
        <v>45137</v>
      </c>
      <c r="N3" s="1511">
        <v>45136</v>
      </c>
      <c r="O3" s="353">
        <v>45138</v>
      </c>
      <c r="P3" s="806" t="s">
        <v>1515</v>
      </c>
      <c r="Q3" s="117" t="s">
        <v>75</v>
      </c>
      <c r="R3" s="507" t="s">
        <v>1516</v>
      </c>
      <c r="S3" s="117">
        <v>4</v>
      </c>
      <c r="T3" s="117">
        <v>1741</v>
      </c>
      <c r="U3" s="117">
        <v>564</v>
      </c>
      <c r="V3" s="117">
        <v>1</v>
      </c>
      <c r="W3" s="117">
        <f>AUG_2023[[#This Row],[Sales Amount]]-AUG_2023[[#This Row],[Cost]]</f>
        <v>1177</v>
      </c>
      <c r="X3" s="923">
        <f>AUG_2023[[#This Row],[Profit]]/AUG_2023[[#This Row],[Cost]]</f>
        <v>2.0868794326241136</v>
      </c>
      <c r="Y3" s="117"/>
      <c r="Z3" s="117"/>
    </row>
    <row r="4" spans="1:26" s="709" customFormat="1" ht="45">
      <c r="A4" s="4154" t="s">
        <v>468</v>
      </c>
      <c r="B4" s="965" t="s">
        <v>1517</v>
      </c>
      <c r="C4" s="25" t="s">
        <v>1518</v>
      </c>
      <c r="D4" s="4155">
        <v>45135</v>
      </c>
      <c r="E4" s="889">
        <v>45135</v>
      </c>
      <c r="F4" s="4154" t="s">
        <v>151</v>
      </c>
      <c r="G4" s="4154" t="s">
        <v>1519</v>
      </c>
      <c r="H4" s="353">
        <v>45142</v>
      </c>
      <c r="I4" s="25" t="s">
        <v>1520</v>
      </c>
      <c r="J4" s="978" t="s">
        <v>1521</v>
      </c>
      <c r="K4" s="4154" t="s">
        <v>1522</v>
      </c>
      <c r="L4" s="803" t="s">
        <v>1523</v>
      </c>
      <c r="M4" s="353">
        <v>45140</v>
      </c>
      <c r="N4" s="373">
        <v>45142</v>
      </c>
      <c r="O4" s="1484">
        <v>45162</v>
      </c>
      <c r="P4" s="1485" t="s">
        <v>1524</v>
      </c>
      <c r="Q4" s="117" t="s">
        <v>75</v>
      </c>
      <c r="R4" s="4150" t="s">
        <v>1525</v>
      </c>
      <c r="S4" s="117"/>
      <c r="T4" s="117">
        <v>2005</v>
      </c>
      <c r="U4" s="117">
        <v>1860</v>
      </c>
      <c r="V4" s="117">
        <v>1</v>
      </c>
      <c r="W4" s="117">
        <f>AUG_2023[[#This Row],[Sales Amount]]-AUG_2023[[#This Row],[Cost]]</f>
        <v>145</v>
      </c>
      <c r="X4" s="923">
        <f>AUG_2023[[#This Row],[Profit]]/AUG_2023[[#This Row],[Cost]]</f>
        <v>7.7956989247311828E-2</v>
      </c>
      <c r="Y4" s="117"/>
      <c r="Z4" s="117"/>
    </row>
    <row r="5" spans="1:26" hidden="1">
      <c r="A5" s="58" t="s">
        <v>42</v>
      </c>
      <c r="B5" s="58" t="s">
        <v>1526</v>
      </c>
      <c r="C5" s="58" t="s">
        <v>28</v>
      </c>
      <c r="D5" s="844">
        <v>45130</v>
      </c>
      <c r="E5" s="1112">
        <v>45136</v>
      </c>
      <c r="F5" s="58" t="s">
        <v>990</v>
      </c>
      <c r="G5" s="58" t="s">
        <v>829</v>
      </c>
      <c r="H5" s="58"/>
      <c r="I5" s="58"/>
      <c r="J5" s="58" t="s">
        <v>168</v>
      </c>
      <c r="K5" s="710" t="s">
        <v>310</v>
      </c>
      <c r="L5" s="58" t="s">
        <v>1527</v>
      </c>
      <c r="M5" s="844">
        <v>45137</v>
      </c>
      <c r="N5" s="1139">
        <v>45137</v>
      </c>
      <c r="O5" s="1139">
        <v>45139</v>
      </c>
      <c r="P5" s="709" t="s">
        <v>1528</v>
      </c>
      <c r="Q5" s="709" t="s">
        <v>50</v>
      </c>
      <c r="R5" s="709" t="s">
        <v>51</v>
      </c>
      <c r="S5" s="709"/>
      <c r="T5" s="709"/>
      <c r="U5" s="709"/>
      <c r="V5" s="709"/>
      <c r="W5" s="709">
        <f>AUG_2023[[#This Row],[Sales Amount]]-AUG_2023[[#This Row],[Cost]]</f>
        <v>0</v>
      </c>
      <c r="X5" s="1384" t="e">
        <f>AUG_2023[[#This Row],[Profit]]/AUG_2023[[#This Row],[Cost]]</f>
        <v>#DIV/0!</v>
      </c>
      <c r="Y5" s="709"/>
      <c r="Z5" s="709"/>
    </row>
    <row r="6" spans="1:26" s="709" customFormat="1" hidden="1">
      <c r="A6" s="58" t="s">
        <v>26</v>
      </c>
      <c r="B6" s="58" t="s">
        <v>1529</v>
      </c>
      <c r="C6" s="58" t="s">
        <v>28</v>
      </c>
      <c r="D6" s="844">
        <v>45127</v>
      </c>
      <c r="E6" s="1112">
        <v>45136</v>
      </c>
      <c r="F6" s="58" t="s">
        <v>29</v>
      </c>
      <c r="G6" s="58" t="s">
        <v>30</v>
      </c>
      <c r="H6" s="1115">
        <v>45139</v>
      </c>
      <c r="I6" s="915" t="s">
        <v>104</v>
      </c>
      <c r="J6" s="58" t="s">
        <v>32</v>
      </c>
      <c r="K6" s="58" t="s">
        <v>1140</v>
      </c>
      <c r="L6" s="913">
        <v>293714</v>
      </c>
      <c r="M6" s="1119">
        <v>45138</v>
      </c>
      <c r="N6" s="1119">
        <v>45138</v>
      </c>
      <c r="O6" s="844">
        <v>45139</v>
      </c>
      <c r="P6" s="709" t="s">
        <v>1530</v>
      </c>
      <c r="Q6" s="709" t="s">
        <v>35</v>
      </c>
      <c r="R6" s="58" t="s">
        <v>36</v>
      </c>
      <c r="S6" s="709" t="s">
        <v>37</v>
      </c>
      <c r="T6" s="106">
        <v>3692</v>
      </c>
      <c r="U6" s="106">
        <v>3224</v>
      </c>
      <c r="V6" s="106">
        <v>4</v>
      </c>
      <c r="W6" s="106">
        <f>AUG_2023[[#This Row],[Sales Amount]]-AUG_2023[[#This Row],[Cost]]</f>
        <v>468</v>
      </c>
      <c r="X6" s="887">
        <f>AUG_2023[[#This Row],[Profit]]/AUG_2023[[#This Row],[Cost]]</f>
        <v>0.14516129032258066</v>
      </c>
      <c r="Y6" s="106"/>
      <c r="Z6" s="106"/>
    </row>
    <row r="7" spans="1:26" s="709" customFormat="1" hidden="1">
      <c r="A7" s="58" t="s">
        <v>42</v>
      </c>
      <c r="B7" s="58" t="s">
        <v>1531</v>
      </c>
      <c r="C7" s="58" t="s">
        <v>994</v>
      </c>
      <c r="D7" s="844">
        <v>45131</v>
      </c>
      <c r="E7" s="844">
        <f>7+AUG_2023[[#This Row],[ETA PORT]]</f>
        <v>45138</v>
      </c>
      <c r="F7" s="58" t="s">
        <v>990</v>
      </c>
      <c r="G7" s="58" t="s">
        <v>829</v>
      </c>
      <c r="H7" s="1139">
        <v>45140</v>
      </c>
      <c r="I7" s="1466">
        <v>0.375</v>
      </c>
      <c r="J7" s="58" t="s">
        <v>1532</v>
      </c>
      <c r="K7" s="58" t="s">
        <v>1533</v>
      </c>
      <c r="L7" s="58" t="s">
        <v>1534</v>
      </c>
      <c r="M7" s="844">
        <v>45140</v>
      </c>
      <c r="N7" s="1139">
        <v>45140</v>
      </c>
      <c r="O7" s="1139">
        <v>45141</v>
      </c>
      <c r="P7" s="709" t="s">
        <v>1535</v>
      </c>
      <c r="Q7" s="709" t="s">
        <v>50</v>
      </c>
      <c r="R7" s="709" t="s">
        <v>51</v>
      </c>
      <c r="T7" s="709">
        <v>1455</v>
      </c>
      <c r="W7" s="709">
        <f>AUG_2023[[#This Row],[Sales Amount]]-AUG_2023[[#This Row],[Cost]]</f>
        <v>1455</v>
      </c>
      <c r="X7" s="1384" t="e">
        <f>AUG_2023[[#This Row],[Profit]]/AUG_2023[[#This Row],[Cost]]</f>
        <v>#DIV/0!</v>
      </c>
    </row>
    <row r="8" spans="1:26" s="117" customFormat="1" hidden="1">
      <c r="A8" s="58" t="s">
        <v>497</v>
      </c>
      <c r="B8" s="58" t="s">
        <v>1536</v>
      </c>
      <c r="C8" s="58" t="s">
        <v>44</v>
      </c>
      <c r="D8" s="844">
        <v>45131</v>
      </c>
      <c r="E8" s="844">
        <f>7+AUG_2023[[#This Row],[ETA PORT]]</f>
        <v>45138</v>
      </c>
      <c r="F8" s="58" t="s">
        <v>990</v>
      </c>
      <c r="G8" s="58" t="s">
        <v>46</v>
      </c>
      <c r="H8" s="58"/>
      <c r="I8" s="58"/>
      <c r="J8" s="58" t="s">
        <v>168</v>
      </c>
      <c r="K8" s="58" t="s">
        <v>310</v>
      </c>
      <c r="L8" s="58" t="s">
        <v>1537</v>
      </c>
      <c r="M8" s="844">
        <v>45143</v>
      </c>
      <c r="N8" s="1139">
        <v>45142</v>
      </c>
      <c r="O8" s="1139">
        <v>45146</v>
      </c>
      <c r="P8" s="1477" t="s">
        <v>1538</v>
      </c>
      <c r="Q8" s="709" t="s">
        <v>50</v>
      </c>
      <c r="R8" s="709" t="s">
        <v>51</v>
      </c>
      <c r="S8" s="709"/>
      <c r="T8" s="709"/>
      <c r="U8" s="709"/>
      <c r="V8" s="709"/>
      <c r="W8" s="709">
        <f>AUG_2023[[#This Row],[Sales Amount]]-AUG_2023[[#This Row],[Cost]]</f>
        <v>0</v>
      </c>
      <c r="X8" s="1384" t="e">
        <f>AUG_2023[[#This Row],[Profit]]/AUG_2023[[#This Row],[Cost]]</f>
        <v>#DIV/0!</v>
      </c>
      <c r="Y8" s="709"/>
      <c r="Z8" s="709"/>
    </row>
    <row r="9" spans="1:26" ht="75">
      <c r="A9" s="25" t="s">
        <v>1539</v>
      </c>
      <c r="B9" s="4154" t="s">
        <v>1540</v>
      </c>
      <c r="C9" s="25" t="s">
        <v>28</v>
      </c>
      <c r="D9" s="353">
        <v>45133</v>
      </c>
      <c r="E9" s="889">
        <v>45141</v>
      </c>
      <c r="F9" s="25" t="s">
        <v>167</v>
      </c>
      <c r="G9" s="25" t="s">
        <v>302</v>
      </c>
      <c r="H9" s="353">
        <v>45145</v>
      </c>
      <c r="I9" s="4154" t="s">
        <v>1541</v>
      </c>
      <c r="J9" s="25" t="s">
        <v>297</v>
      </c>
      <c r="K9" s="25" t="s">
        <v>1542</v>
      </c>
      <c r="L9" s="765" t="s">
        <v>1543</v>
      </c>
      <c r="M9" s="68">
        <v>45144</v>
      </c>
      <c r="N9" s="68">
        <v>45143</v>
      </c>
      <c r="O9" s="353">
        <v>45145</v>
      </c>
      <c r="P9" s="4104" t="s">
        <v>1544</v>
      </c>
      <c r="Q9" s="117" t="s">
        <v>75</v>
      </c>
      <c r="R9" s="4150" t="s">
        <v>1545</v>
      </c>
      <c r="S9" s="117">
        <v>4</v>
      </c>
      <c r="T9" s="117">
        <v>2122.5</v>
      </c>
      <c r="U9" s="660">
        <v>1697.2</v>
      </c>
      <c r="V9" s="117">
        <v>1</v>
      </c>
      <c r="W9" s="117">
        <f>AUG_2023[[#This Row],[Sales Amount]]-AUG_2023[[#This Row],[Cost]]</f>
        <v>425.29999999999995</v>
      </c>
      <c r="X9" s="923">
        <f>AUG_2023[[#This Row],[Profit]]/AUG_2023[[#This Row],[Cost]]</f>
        <v>0.25058920575064808</v>
      </c>
      <c r="Y9" s="117"/>
      <c r="Z9" s="117"/>
    </row>
    <row r="10" spans="1:26" hidden="1">
      <c r="A10" s="58" t="s">
        <v>171</v>
      </c>
      <c r="B10" s="58" t="s">
        <v>1546</v>
      </c>
      <c r="C10" s="58" t="s">
        <v>28</v>
      </c>
      <c r="D10" s="844">
        <v>45131</v>
      </c>
      <c r="E10" s="1112">
        <v>45142</v>
      </c>
      <c r="F10" s="58" t="s">
        <v>56</v>
      </c>
      <c r="G10" s="58" t="s">
        <v>46</v>
      </c>
      <c r="H10" s="844">
        <v>45143</v>
      </c>
      <c r="I10" s="58"/>
      <c r="J10" s="58" t="s">
        <v>32</v>
      </c>
      <c r="K10" s="58" t="s">
        <v>174</v>
      </c>
      <c r="L10" s="915" t="s">
        <v>1547</v>
      </c>
      <c r="M10" s="1467">
        <v>45143</v>
      </c>
      <c r="N10" s="1467">
        <v>45143</v>
      </c>
      <c r="O10" s="1467">
        <v>45145</v>
      </c>
      <c r="P10" s="709" t="s">
        <v>1548</v>
      </c>
      <c r="Q10" s="709" t="s">
        <v>35</v>
      </c>
      <c r="R10" s="58" t="s">
        <v>36</v>
      </c>
      <c r="S10" s="709" t="s">
        <v>37</v>
      </c>
      <c r="T10" s="106">
        <v>845</v>
      </c>
      <c r="U10" s="106">
        <v>694</v>
      </c>
      <c r="W10" s="106">
        <f>AUG_2023[[#This Row],[Sales Amount]]-AUG_2023[[#This Row],[Cost]]</f>
        <v>151</v>
      </c>
      <c r="X10" s="887">
        <f>AUG_2023[[#This Row],[Profit]]/AUG_2023[[#This Row],[Cost]]</f>
        <v>0.21757925072046108</v>
      </c>
    </row>
    <row r="11" spans="1:26" hidden="1">
      <c r="A11" s="58" t="s">
        <v>26</v>
      </c>
      <c r="B11" s="58" t="s">
        <v>1549</v>
      </c>
      <c r="C11" s="58" t="s">
        <v>28</v>
      </c>
      <c r="D11" s="844">
        <v>45127</v>
      </c>
      <c r="E11" s="1112">
        <v>45142</v>
      </c>
      <c r="F11" s="58" t="s">
        <v>29</v>
      </c>
      <c r="G11" s="58" t="s">
        <v>30</v>
      </c>
      <c r="H11" s="1115">
        <v>45145</v>
      </c>
      <c r="I11" s="915" t="s">
        <v>31</v>
      </c>
      <c r="J11" s="58" t="s">
        <v>32</v>
      </c>
      <c r="K11" s="58" t="s">
        <v>1140</v>
      </c>
      <c r="L11" s="915">
        <v>858563</v>
      </c>
      <c r="M11" s="1115">
        <v>45144</v>
      </c>
      <c r="N11" s="1119">
        <v>45144</v>
      </c>
      <c r="O11" s="1467">
        <v>45145</v>
      </c>
      <c r="P11" s="709" t="s">
        <v>1530</v>
      </c>
      <c r="Q11" s="709" t="s">
        <v>35</v>
      </c>
      <c r="R11" s="58" t="s">
        <v>36</v>
      </c>
      <c r="S11" s="709" t="s">
        <v>37</v>
      </c>
      <c r="T11" s="106">
        <v>3692</v>
      </c>
      <c r="U11" s="106">
        <v>3224</v>
      </c>
      <c r="V11" s="106">
        <v>4</v>
      </c>
      <c r="W11" s="106">
        <f>AUG_2023[[#This Row],[Sales Amount]]-AUG_2023[[#This Row],[Cost]]</f>
        <v>468</v>
      </c>
      <c r="X11" s="887">
        <f>AUG_2023[[#This Row],[Profit]]/AUG_2023[[#This Row],[Cost]]</f>
        <v>0.14516129032258066</v>
      </c>
    </row>
    <row r="12" spans="1:26" hidden="1">
      <c r="A12" s="58" t="s">
        <v>171</v>
      </c>
      <c r="B12" s="58" t="s">
        <v>1550</v>
      </c>
      <c r="C12" s="58" t="s">
        <v>28</v>
      </c>
      <c r="D12" s="844">
        <v>45131</v>
      </c>
      <c r="E12" s="1112">
        <v>45143</v>
      </c>
      <c r="F12" s="58" t="s">
        <v>326</v>
      </c>
      <c r="G12" s="58" t="s">
        <v>46</v>
      </c>
      <c r="H12" s="844">
        <v>45145</v>
      </c>
      <c r="I12" s="58"/>
      <c r="J12" s="58" t="s">
        <v>32</v>
      </c>
      <c r="K12" s="58" t="s">
        <v>174</v>
      </c>
      <c r="L12" s="915" t="s">
        <v>1551</v>
      </c>
      <c r="M12" s="1115">
        <v>45146</v>
      </c>
      <c r="N12" s="1467">
        <v>45145</v>
      </c>
      <c r="O12" s="1467">
        <v>45145</v>
      </c>
      <c r="P12" s="709" t="s">
        <v>1552</v>
      </c>
      <c r="Q12" s="709" t="s">
        <v>35</v>
      </c>
      <c r="R12" s="58" t="s">
        <v>36</v>
      </c>
      <c r="S12" s="709" t="s">
        <v>37</v>
      </c>
      <c r="T12" s="106">
        <v>940</v>
      </c>
      <c r="U12" s="106">
        <v>751</v>
      </c>
      <c r="W12" s="106">
        <f>AUG_2023[[#This Row],[Sales Amount]]-AUG_2023[[#This Row],[Cost]]</f>
        <v>189</v>
      </c>
      <c r="X12" s="887">
        <f>AUG_2023[[#This Row],[Profit]]/AUG_2023[[#This Row],[Cost]]</f>
        <v>0.25166444740346205</v>
      </c>
    </row>
    <row r="13" spans="1:26" hidden="1">
      <c r="A13" s="58" t="s">
        <v>171</v>
      </c>
      <c r="B13" s="58" t="s">
        <v>1553</v>
      </c>
      <c r="C13" s="58" t="s">
        <v>28</v>
      </c>
      <c r="D13" s="844">
        <v>45131</v>
      </c>
      <c r="E13" s="1112">
        <v>45143</v>
      </c>
      <c r="F13" s="58" t="s">
        <v>326</v>
      </c>
      <c r="G13" s="58" t="s">
        <v>46</v>
      </c>
      <c r="H13" s="844">
        <v>45145</v>
      </c>
      <c r="I13" s="58"/>
      <c r="J13" s="58" t="s">
        <v>32</v>
      </c>
      <c r="K13" s="58" t="s">
        <v>174</v>
      </c>
      <c r="L13" s="915" t="s">
        <v>1554</v>
      </c>
      <c r="M13" s="1115">
        <v>45146</v>
      </c>
      <c r="N13" s="1467">
        <v>45145</v>
      </c>
      <c r="O13" s="844">
        <v>45146</v>
      </c>
      <c r="P13" s="709" t="s">
        <v>1555</v>
      </c>
      <c r="Q13" s="709" t="s">
        <v>35</v>
      </c>
      <c r="R13" s="58" t="s">
        <v>36</v>
      </c>
      <c r="S13" s="709" t="s">
        <v>37</v>
      </c>
      <c r="T13" s="106">
        <v>940</v>
      </c>
      <c r="U13" s="106">
        <v>751</v>
      </c>
      <c r="W13" s="106">
        <f>AUG_2023[[#This Row],[Sales Amount]]-AUG_2023[[#This Row],[Cost]]</f>
        <v>189</v>
      </c>
      <c r="X13" s="887">
        <f>AUG_2023[[#This Row],[Profit]]/AUG_2023[[#This Row],[Cost]]</f>
        <v>0.25166444740346205</v>
      </c>
    </row>
    <row r="14" spans="1:26" hidden="1">
      <c r="A14" s="58" t="s">
        <v>26</v>
      </c>
      <c r="B14" s="58" t="s">
        <v>1556</v>
      </c>
      <c r="C14" s="58" t="s">
        <v>28</v>
      </c>
      <c r="D14" s="844">
        <v>45127</v>
      </c>
      <c r="E14" s="1112">
        <v>45144</v>
      </c>
      <c r="F14" s="58" t="s">
        <v>29</v>
      </c>
      <c r="G14" s="58" t="s">
        <v>30</v>
      </c>
      <c r="H14" s="1115">
        <v>45146</v>
      </c>
      <c r="I14" s="915" t="s">
        <v>40</v>
      </c>
      <c r="J14" s="58" t="s">
        <v>32</v>
      </c>
      <c r="K14" s="58" t="s">
        <v>1140</v>
      </c>
      <c r="L14" s="915">
        <v>322703</v>
      </c>
      <c r="M14" s="1115">
        <v>45146</v>
      </c>
      <c r="N14" s="1119">
        <v>45146</v>
      </c>
      <c r="O14" s="1119">
        <v>45146</v>
      </c>
      <c r="P14" s="709" t="s">
        <v>1530</v>
      </c>
      <c r="Q14" s="709" t="s">
        <v>35</v>
      </c>
      <c r="R14" s="58" t="s">
        <v>36</v>
      </c>
      <c r="S14" s="709" t="s">
        <v>37</v>
      </c>
      <c r="T14" s="106">
        <v>3692</v>
      </c>
      <c r="U14" s="106">
        <v>3224</v>
      </c>
      <c r="V14" s="106">
        <v>4</v>
      </c>
      <c r="W14" s="106">
        <f>AUG_2023[[#This Row],[Sales Amount]]-AUG_2023[[#This Row],[Cost]]</f>
        <v>468</v>
      </c>
      <c r="X14" s="887">
        <f>AUG_2023[[#This Row],[Profit]]/AUG_2023[[#This Row],[Cost]]</f>
        <v>0.14516129032258066</v>
      </c>
    </row>
    <row r="15" spans="1:26" hidden="1">
      <c r="A15" s="58" t="s">
        <v>26</v>
      </c>
      <c r="B15" s="58" t="s">
        <v>1557</v>
      </c>
      <c r="C15" s="58" t="s">
        <v>28</v>
      </c>
      <c r="D15" s="844">
        <v>45127</v>
      </c>
      <c r="E15" s="1112">
        <v>45144</v>
      </c>
      <c r="F15" s="58" t="s">
        <v>29</v>
      </c>
      <c r="G15" s="58" t="s">
        <v>30</v>
      </c>
      <c r="H15" s="1115">
        <v>45146</v>
      </c>
      <c r="I15" s="915" t="s">
        <v>31</v>
      </c>
      <c r="J15" s="58" t="s">
        <v>32</v>
      </c>
      <c r="K15" s="58" t="s">
        <v>1140</v>
      </c>
      <c r="L15" s="915">
        <v>601962</v>
      </c>
      <c r="M15" s="1115">
        <v>45146</v>
      </c>
      <c r="N15" s="1115">
        <v>45146</v>
      </c>
      <c r="O15" s="1119">
        <v>45146</v>
      </c>
      <c r="P15" s="709" t="s">
        <v>1530</v>
      </c>
      <c r="Q15" s="709" t="s">
        <v>35</v>
      </c>
      <c r="R15" s="58" t="s">
        <v>36</v>
      </c>
      <c r="S15" s="709" t="s">
        <v>37</v>
      </c>
      <c r="T15" s="106">
        <v>3692</v>
      </c>
      <c r="U15" s="106">
        <v>3224</v>
      </c>
      <c r="V15" s="106">
        <v>4</v>
      </c>
      <c r="W15" s="106">
        <f>AUG_2023[[#This Row],[Sales Amount]]-AUG_2023[[#This Row],[Cost]]</f>
        <v>468</v>
      </c>
      <c r="X15" s="887">
        <f>AUG_2023[[#This Row],[Profit]]/AUG_2023[[#This Row],[Cost]]</f>
        <v>0.14516129032258066</v>
      </c>
    </row>
    <row r="16" spans="1:26" hidden="1">
      <c r="A16" s="4149" t="s">
        <v>1558</v>
      </c>
      <c r="B16" s="4149" t="s">
        <v>1559</v>
      </c>
      <c r="C16" s="4149" t="s">
        <v>200</v>
      </c>
      <c r="D16" s="4178">
        <v>45142</v>
      </c>
      <c r="E16" s="844">
        <v>45143</v>
      </c>
      <c r="F16" s="4149" t="s">
        <v>1485</v>
      </c>
      <c r="G16" s="4149" t="s">
        <v>1560</v>
      </c>
      <c r="H16" s="1115" t="s">
        <v>1561</v>
      </c>
      <c r="I16" s="1113"/>
      <c r="J16" s="58" t="s">
        <v>1562</v>
      </c>
      <c r="K16" s="1111" t="s">
        <v>1563</v>
      </c>
      <c r="L16" s="915" t="s">
        <v>542</v>
      </c>
      <c r="M16" s="1115">
        <v>45148</v>
      </c>
      <c r="N16" s="1119">
        <v>45147</v>
      </c>
      <c r="O16" s="1113" t="s">
        <v>1564</v>
      </c>
      <c r="P16" s="4122" t="s">
        <v>1565</v>
      </c>
      <c r="Q16" s="4122" t="s">
        <v>35</v>
      </c>
      <c r="R16" s="58" t="s">
        <v>36</v>
      </c>
      <c r="S16" s="709" t="s">
        <v>37</v>
      </c>
      <c r="T16" s="106">
        <v>2247.5</v>
      </c>
      <c r="U16" s="106">
        <v>2385</v>
      </c>
      <c r="W16" s="106">
        <f>AUG_2023[[#This Row],[Sales Amount]]-AUG_2023[[#This Row],[Cost]]</f>
        <v>-137.5</v>
      </c>
      <c r="X16" s="887">
        <f>AUG_2023[[#This Row],[Profit]]/AUG_2023[[#This Row],[Cost]]</f>
        <v>-5.7651991614255764E-2</v>
      </c>
    </row>
    <row r="17" spans="1:26" hidden="1">
      <c r="A17" s="58" t="s">
        <v>1509</v>
      </c>
      <c r="B17" s="4149" t="s">
        <v>1566</v>
      </c>
      <c r="C17" s="4149" t="s">
        <v>85</v>
      </c>
      <c r="D17" s="4178">
        <v>45124</v>
      </c>
      <c r="E17" s="1112">
        <v>45143</v>
      </c>
      <c r="F17" s="4149" t="s">
        <v>56</v>
      </c>
      <c r="G17" s="4149" t="s">
        <v>1567</v>
      </c>
      <c r="H17" s="1115">
        <v>45163</v>
      </c>
      <c r="I17" s="915" t="s">
        <v>108</v>
      </c>
      <c r="J17" s="58" t="s">
        <v>203</v>
      </c>
      <c r="K17" s="4149" t="s">
        <v>1568</v>
      </c>
      <c r="L17" s="915">
        <v>8256</v>
      </c>
      <c r="M17" s="1115">
        <v>45146</v>
      </c>
      <c r="N17" s="1115">
        <v>45148</v>
      </c>
      <c r="O17" s="1115">
        <v>45167</v>
      </c>
      <c r="P17" s="4122" t="s">
        <v>1569</v>
      </c>
      <c r="Q17" s="58" t="s">
        <v>35</v>
      </c>
      <c r="R17" s="58" t="s">
        <v>36</v>
      </c>
      <c r="S17" s="58" t="s">
        <v>37</v>
      </c>
      <c r="T17" s="106">
        <v>2365</v>
      </c>
      <c r="U17" s="106">
        <v>1270.02</v>
      </c>
      <c r="W17" s="106">
        <f>AUG_2023[[#This Row],[Sales Amount]]-AUG_2023[[#This Row],[Cost]]</f>
        <v>1094.98</v>
      </c>
      <c r="X17" s="887">
        <f>AUG_2023[[#This Row],[Profit]]/AUG_2023[[#This Row],[Cost]]</f>
        <v>0.86217539881261718</v>
      </c>
    </row>
    <row r="18" spans="1:26" hidden="1">
      <c r="A18" s="58" t="s">
        <v>171</v>
      </c>
      <c r="B18" s="58" t="s">
        <v>1570</v>
      </c>
      <c r="C18" s="58" t="s">
        <v>28</v>
      </c>
      <c r="D18" s="844">
        <v>45131</v>
      </c>
      <c r="E18" s="1112">
        <v>45143</v>
      </c>
      <c r="F18" s="58" t="s">
        <v>326</v>
      </c>
      <c r="G18" s="58" t="s">
        <v>46</v>
      </c>
      <c r="H18" s="1115">
        <v>45147</v>
      </c>
      <c r="I18" s="58"/>
      <c r="J18" s="58" t="s">
        <v>32</v>
      </c>
      <c r="K18" s="58" t="s">
        <v>174</v>
      </c>
      <c r="L18" s="915" t="s">
        <v>1571</v>
      </c>
      <c r="M18" s="1115">
        <v>45146</v>
      </c>
      <c r="N18" s="1115">
        <v>45146</v>
      </c>
      <c r="O18" s="1119">
        <v>45147</v>
      </c>
      <c r="P18" s="709" t="s">
        <v>1572</v>
      </c>
      <c r="Q18" s="709" t="s">
        <v>35</v>
      </c>
      <c r="R18" s="58" t="s">
        <v>36</v>
      </c>
      <c r="S18" s="709" t="s">
        <v>37</v>
      </c>
      <c r="T18" s="106">
        <v>940</v>
      </c>
      <c r="U18" s="106">
        <v>751</v>
      </c>
      <c r="W18" s="106">
        <f>AUG_2023[[#This Row],[Sales Amount]]-AUG_2023[[#This Row],[Cost]]</f>
        <v>189</v>
      </c>
      <c r="X18" s="887">
        <f>AUG_2023[[#This Row],[Profit]]/AUG_2023[[#This Row],[Cost]]</f>
        <v>0.25166444740346205</v>
      </c>
    </row>
    <row r="19" spans="1:26" s="117" customFormat="1" hidden="1">
      <c r="A19" s="58" t="s">
        <v>171</v>
      </c>
      <c r="B19" s="4839" t="s">
        <v>1573</v>
      </c>
      <c r="C19" s="4599" t="s">
        <v>28</v>
      </c>
      <c r="D19" s="844">
        <v>45131</v>
      </c>
      <c r="E19" s="1112">
        <v>45143</v>
      </c>
      <c r="F19" s="4599" t="s">
        <v>326</v>
      </c>
      <c r="G19" s="58" t="s">
        <v>46</v>
      </c>
      <c r="H19" s="844">
        <v>45145</v>
      </c>
      <c r="I19" s="58"/>
      <c r="J19" s="58" t="s">
        <v>32</v>
      </c>
      <c r="K19" s="58" t="s">
        <v>174</v>
      </c>
      <c r="L19" s="915" t="s">
        <v>1574</v>
      </c>
      <c r="M19" s="1115">
        <v>45146</v>
      </c>
      <c r="N19" s="1467">
        <v>45145</v>
      </c>
      <c r="O19" s="1119">
        <v>45147</v>
      </c>
      <c r="P19" s="709" t="s">
        <v>1575</v>
      </c>
      <c r="Q19" s="709" t="s">
        <v>35</v>
      </c>
      <c r="R19" s="58" t="s">
        <v>36</v>
      </c>
      <c r="S19" s="709" t="s">
        <v>37</v>
      </c>
      <c r="T19" s="106">
        <v>980</v>
      </c>
      <c r="U19" s="106">
        <v>751</v>
      </c>
      <c r="V19" s="106"/>
      <c r="W19" s="106">
        <f>AUG_2023[[#This Row],[Sales Amount]]-AUG_2023[[#This Row],[Cost]]</f>
        <v>229</v>
      </c>
      <c r="X19" s="887">
        <f>AUG_2023[[#This Row],[Profit]]/AUG_2023[[#This Row],[Cost]]</f>
        <v>0.30492676431424764</v>
      </c>
      <c r="Y19" s="106"/>
      <c r="Z19" s="106"/>
    </row>
    <row r="20" spans="1:26" hidden="1">
      <c r="A20" s="58" t="s">
        <v>42</v>
      </c>
      <c r="B20" s="58" t="s">
        <v>1576</v>
      </c>
      <c r="C20" s="4599" t="s">
        <v>28</v>
      </c>
      <c r="D20" s="844">
        <v>45138</v>
      </c>
      <c r="E20" s="1112">
        <v>45144</v>
      </c>
      <c r="F20" s="4599" t="s">
        <v>93</v>
      </c>
      <c r="G20" s="18" t="s">
        <v>57</v>
      </c>
      <c r="H20" s="58"/>
      <c r="I20" s="58"/>
      <c r="J20" s="58" t="s">
        <v>32</v>
      </c>
      <c r="K20" s="58" t="s">
        <v>310</v>
      </c>
      <c r="L20" s="58">
        <v>4128128</v>
      </c>
      <c r="M20" s="844">
        <v>45146</v>
      </c>
      <c r="N20" s="1139">
        <v>45146</v>
      </c>
      <c r="O20" s="1139">
        <v>45148</v>
      </c>
      <c r="P20" s="709" t="s">
        <v>1577</v>
      </c>
      <c r="Q20" s="709" t="s">
        <v>89</v>
      </c>
      <c r="R20" s="709" t="s">
        <v>534</v>
      </c>
      <c r="S20" s="709"/>
      <c r="T20" s="709"/>
      <c r="U20" s="709"/>
      <c r="V20" s="709"/>
      <c r="W20" s="709">
        <f>AUG_2023[[#This Row],[Sales Amount]]-AUG_2023[[#This Row],[Cost]]</f>
        <v>0</v>
      </c>
      <c r="X20" s="1384" t="e">
        <f>AUG_2023[[#This Row],[Profit]]/AUG_2023[[#This Row],[Cost]]</f>
        <v>#DIV/0!</v>
      </c>
      <c r="Y20" s="709"/>
      <c r="Z20" s="709"/>
    </row>
    <row r="21" spans="1:26" s="117" customFormat="1" ht="75">
      <c r="A21" s="25" t="s">
        <v>243</v>
      </c>
      <c r="B21" s="4183" t="s">
        <v>1578</v>
      </c>
      <c r="C21" s="3234" t="s">
        <v>44</v>
      </c>
      <c r="D21" s="353">
        <v>45145</v>
      </c>
      <c r="E21" s="889">
        <v>45145</v>
      </c>
      <c r="F21" s="3234" t="s">
        <v>245</v>
      </c>
      <c r="G21" s="483" t="s">
        <v>1161</v>
      </c>
      <c r="H21" s="872">
        <v>45149</v>
      </c>
      <c r="I21" s="25" t="s">
        <v>108</v>
      </c>
      <c r="J21" s="25" t="s">
        <v>1163</v>
      </c>
      <c r="K21" s="483" t="s">
        <v>1164</v>
      </c>
      <c r="L21" s="25" t="s">
        <v>162</v>
      </c>
      <c r="M21" s="872">
        <v>45149</v>
      </c>
      <c r="N21" s="872">
        <v>45148</v>
      </c>
      <c r="O21" s="353">
        <v>45152</v>
      </c>
      <c r="P21" s="4104" t="s">
        <v>1579</v>
      </c>
      <c r="Q21" s="117" t="s">
        <v>75</v>
      </c>
      <c r="R21" s="507" t="s">
        <v>1580</v>
      </c>
      <c r="S21" s="117">
        <v>4</v>
      </c>
      <c r="T21" s="117">
        <v>1895</v>
      </c>
      <c r="U21" s="117">
        <v>1478.45</v>
      </c>
      <c r="V21" s="117">
        <v>1</v>
      </c>
      <c r="W21" s="117">
        <f>AUG_2023[[#This Row],[Sales Amount]]-AUG_2023[[#This Row],[Cost]]</f>
        <v>416.54999999999995</v>
      </c>
      <c r="X21" s="923">
        <f>AUG_2023[[#This Row],[Profit]]/AUG_2023[[#This Row],[Cost]]</f>
        <v>0.28174777638743276</v>
      </c>
    </row>
    <row r="22" spans="1:26" hidden="1">
      <c r="A22" s="58" t="s">
        <v>26</v>
      </c>
      <c r="B22" s="58" t="s">
        <v>1581</v>
      </c>
      <c r="C22" s="58" t="s">
        <v>451</v>
      </c>
      <c r="D22" s="844">
        <v>45136</v>
      </c>
      <c r="E22" s="1112">
        <v>45146</v>
      </c>
      <c r="F22" s="58" t="s">
        <v>245</v>
      </c>
      <c r="G22" s="58" t="s">
        <v>57</v>
      </c>
      <c r="H22" s="1115">
        <v>45147</v>
      </c>
      <c r="I22" s="915" t="s">
        <v>115</v>
      </c>
      <c r="J22" s="58" t="s">
        <v>32</v>
      </c>
      <c r="K22" s="1344" t="s">
        <v>1582</v>
      </c>
      <c r="L22" s="915">
        <v>4033770</v>
      </c>
      <c r="M22" s="1115">
        <v>45147</v>
      </c>
      <c r="N22" s="1119">
        <v>45147</v>
      </c>
      <c r="O22" s="1119">
        <v>45147</v>
      </c>
      <c r="P22" s="709" t="s">
        <v>1583</v>
      </c>
      <c r="Q22" s="709" t="s">
        <v>35</v>
      </c>
      <c r="R22" s="58" t="s">
        <v>36</v>
      </c>
      <c r="S22" s="709" t="s">
        <v>37</v>
      </c>
      <c r="T22" s="106">
        <v>660</v>
      </c>
      <c r="U22" s="106">
        <v>526</v>
      </c>
      <c r="W22" s="106">
        <f>AUG_2023[[#This Row],[Sales Amount]]-AUG_2023[[#This Row],[Cost]]</f>
        <v>134</v>
      </c>
      <c r="X22" s="887">
        <f>AUG_2023[[#This Row],[Profit]]/AUG_2023[[#This Row],[Cost]]</f>
        <v>0.25475285171102663</v>
      </c>
    </row>
    <row r="23" spans="1:26" ht="60">
      <c r="A23" s="4154" t="s">
        <v>165</v>
      </c>
      <c r="B23" s="4154" t="s">
        <v>1584</v>
      </c>
      <c r="C23" s="4154" t="s">
        <v>28</v>
      </c>
      <c r="D23" s="4155">
        <v>45145</v>
      </c>
      <c r="E23" s="353">
        <v>45145</v>
      </c>
      <c r="F23" s="4154" t="s">
        <v>45</v>
      </c>
      <c r="G23" s="965" t="s">
        <v>1585</v>
      </c>
      <c r="H23" s="1468" t="s">
        <v>1586</v>
      </c>
      <c r="I23" s="25"/>
      <c r="J23" s="4154" t="s">
        <v>363</v>
      </c>
      <c r="K23" s="4154" t="s">
        <v>1587</v>
      </c>
      <c r="L23" s="25"/>
      <c r="M23" s="353">
        <v>45157</v>
      </c>
      <c r="N23" s="353">
        <v>45148</v>
      </c>
      <c r="O23" s="353">
        <v>45159</v>
      </c>
      <c r="P23" s="4104" t="s">
        <v>1588</v>
      </c>
      <c r="Q23" s="4150" t="s">
        <v>75</v>
      </c>
      <c r="R23" s="4150" t="s">
        <v>1589</v>
      </c>
      <c r="S23" s="117">
        <v>4</v>
      </c>
      <c r="T23" s="117">
        <v>1500</v>
      </c>
      <c r="U23" s="117">
        <v>926.4</v>
      </c>
      <c r="V23" s="117">
        <v>1</v>
      </c>
      <c r="W23" s="117">
        <f>AUG_2023[[#This Row],[Sales Amount]]-AUG_2023[[#This Row],[Cost]]</f>
        <v>573.6</v>
      </c>
      <c r="X23" s="923">
        <f>AUG_2023[[#This Row],[Profit]]/AUG_2023[[#This Row],[Cost]]</f>
        <v>0.61917098445595864</v>
      </c>
      <c r="Y23" s="117"/>
      <c r="Z23" s="117"/>
    </row>
    <row r="24" spans="1:26" ht="90">
      <c r="A24" s="25" t="s">
        <v>556</v>
      </c>
      <c r="B24" s="4154" t="s">
        <v>1590</v>
      </c>
      <c r="C24" s="25" t="s">
        <v>451</v>
      </c>
      <c r="D24" s="353">
        <v>45135</v>
      </c>
      <c r="E24" s="889">
        <v>45145</v>
      </c>
      <c r="F24" s="25" t="s">
        <v>151</v>
      </c>
      <c r="G24" s="25" t="s">
        <v>302</v>
      </c>
      <c r="H24" s="68">
        <v>45149</v>
      </c>
      <c r="I24" s="765" t="s">
        <v>1591</v>
      </c>
      <c r="J24" s="25" t="s">
        <v>32</v>
      </c>
      <c r="K24" s="483" t="s">
        <v>1592</v>
      </c>
      <c r="L24" s="25" t="s">
        <v>1593</v>
      </c>
      <c r="M24" s="841">
        <v>45148</v>
      </c>
      <c r="N24" s="841">
        <v>45148</v>
      </c>
      <c r="O24" s="974">
        <v>45150</v>
      </c>
      <c r="P24" s="4104" t="s">
        <v>1594</v>
      </c>
      <c r="Q24" s="117" t="s">
        <v>75</v>
      </c>
      <c r="R24" s="4150" t="s">
        <v>1595</v>
      </c>
      <c r="S24" s="117" t="s">
        <v>37</v>
      </c>
      <c r="T24" s="117">
        <v>2275</v>
      </c>
      <c r="U24" s="117">
        <v>1718</v>
      </c>
      <c r="V24" s="117">
        <v>1</v>
      </c>
      <c r="W24" s="117">
        <f>AUG_2023[[#This Row],[Sales Amount]]-AUG_2023[[#This Row],[Cost]]</f>
        <v>557</v>
      </c>
      <c r="X24" s="923">
        <f>AUG_2023[[#This Row],[Profit]]/AUG_2023[[#This Row],[Cost]]</f>
        <v>0.3242142025611176</v>
      </c>
      <c r="Y24" s="117"/>
      <c r="Z24" s="117"/>
    </row>
    <row r="25" spans="1:26" hidden="1">
      <c r="A25" s="58" t="s">
        <v>42</v>
      </c>
      <c r="B25" s="58" t="s">
        <v>1596</v>
      </c>
      <c r="C25" s="58" t="s">
        <v>28</v>
      </c>
      <c r="D25" s="844">
        <v>45138</v>
      </c>
      <c r="E25" s="1112">
        <v>45145</v>
      </c>
      <c r="F25" s="58" t="s">
        <v>93</v>
      </c>
      <c r="G25" s="58" t="s">
        <v>46</v>
      </c>
      <c r="H25" s="58"/>
      <c r="I25" s="58"/>
      <c r="J25" s="58" t="s">
        <v>32</v>
      </c>
      <c r="K25" s="58" t="s">
        <v>310</v>
      </c>
      <c r="L25" s="58">
        <v>4128361</v>
      </c>
      <c r="M25" s="844">
        <v>45147</v>
      </c>
      <c r="N25" s="1139">
        <v>45146</v>
      </c>
      <c r="O25" s="1139">
        <v>45148</v>
      </c>
      <c r="P25" s="709" t="s">
        <v>1597</v>
      </c>
      <c r="Q25" s="709" t="s">
        <v>89</v>
      </c>
      <c r="R25" s="709" t="s">
        <v>51</v>
      </c>
      <c r="S25" s="709"/>
      <c r="T25" s="709"/>
      <c r="U25" s="709"/>
      <c r="V25" s="709"/>
      <c r="W25" s="709">
        <f>AUG_2023[[#This Row],[Sales Amount]]-AUG_2023[[#This Row],[Cost]]</f>
        <v>0</v>
      </c>
      <c r="X25" s="1384" t="e">
        <f>AUG_2023[[#This Row],[Profit]]/AUG_2023[[#This Row],[Cost]]</f>
        <v>#DIV/0!</v>
      </c>
      <c r="Y25" s="709"/>
      <c r="Z25" s="709"/>
    </row>
    <row r="26" spans="1:26" hidden="1">
      <c r="A26" s="4149" t="s">
        <v>26</v>
      </c>
      <c r="B26" s="4149" t="s">
        <v>1598</v>
      </c>
      <c r="C26" s="58" t="s">
        <v>28</v>
      </c>
      <c r="D26" s="4178">
        <v>45141</v>
      </c>
      <c r="E26" s="1112">
        <v>45146</v>
      </c>
      <c r="F26" s="4149" t="s">
        <v>56</v>
      </c>
      <c r="G26" s="4149" t="s">
        <v>1599</v>
      </c>
      <c r="H26" s="1115">
        <v>45147</v>
      </c>
      <c r="I26" s="915" t="s">
        <v>31</v>
      </c>
      <c r="J26" s="4149" t="s">
        <v>32</v>
      </c>
      <c r="K26" s="58" t="s">
        <v>1140</v>
      </c>
      <c r="L26" s="915">
        <v>18134140</v>
      </c>
      <c r="M26" s="1115">
        <v>45148</v>
      </c>
      <c r="N26" s="1119">
        <v>45147</v>
      </c>
      <c r="O26" s="1119">
        <v>45147</v>
      </c>
      <c r="P26" s="4122" t="s">
        <v>1600</v>
      </c>
      <c r="Q26" s="709" t="s">
        <v>35</v>
      </c>
      <c r="R26" s="58" t="s">
        <v>36</v>
      </c>
      <c r="S26" s="709" t="s">
        <v>37</v>
      </c>
      <c r="T26" s="106">
        <v>1098</v>
      </c>
      <c r="U26" s="106">
        <v>931</v>
      </c>
      <c r="W26" s="106">
        <f>AUG_2023[[#This Row],[Sales Amount]]-AUG_2023[[#This Row],[Cost]]</f>
        <v>167</v>
      </c>
      <c r="X26" s="887">
        <f>AUG_2023[[#This Row],[Profit]]/AUG_2023[[#This Row],[Cost]]</f>
        <v>0.17937701396348013</v>
      </c>
    </row>
    <row r="27" spans="1:26" hidden="1">
      <c r="A27" s="4149" t="s">
        <v>26</v>
      </c>
      <c r="B27" s="58" t="s">
        <v>1601</v>
      </c>
      <c r="C27" s="58" t="s">
        <v>28</v>
      </c>
      <c r="D27" s="4178">
        <v>45141</v>
      </c>
      <c r="E27" s="1112">
        <v>45146</v>
      </c>
      <c r="F27" s="4149" t="s">
        <v>56</v>
      </c>
      <c r="G27" s="4149" t="s">
        <v>1599</v>
      </c>
      <c r="H27" s="1115">
        <v>45148</v>
      </c>
      <c r="I27" s="915" t="s">
        <v>115</v>
      </c>
      <c r="J27" s="4149" t="s">
        <v>32</v>
      </c>
      <c r="K27" s="58" t="s">
        <v>1140</v>
      </c>
      <c r="L27" s="915">
        <v>91183884</v>
      </c>
      <c r="M27" s="1119">
        <v>45148</v>
      </c>
      <c r="N27" s="1119">
        <v>45148</v>
      </c>
      <c r="O27" s="1119">
        <v>45148</v>
      </c>
      <c r="P27" s="4122" t="s">
        <v>1602</v>
      </c>
      <c r="Q27" s="709" t="s">
        <v>35</v>
      </c>
      <c r="R27" s="58" t="s">
        <v>36</v>
      </c>
      <c r="S27" s="709" t="s">
        <v>37</v>
      </c>
      <c r="T27" s="106">
        <v>4392</v>
      </c>
      <c r="U27" s="106">
        <v>3629</v>
      </c>
      <c r="V27" s="106">
        <v>4</v>
      </c>
      <c r="W27" s="106">
        <f>AUG_2023[[#This Row],[Sales Amount]]-AUG_2023[[#This Row],[Cost]]</f>
        <v>763</v>
      </c>
      <c r="X27" s="887">
        <f>AUG_2023[[#This Row],[Profit]]/AUG_2023[[#This Row],[Cost]]</f>
        <v>0.21025075778451363</v>
      </c>
    </row>
    <row r="28" spans="1:26" hidden="1">
      <c r="A28" s="4115" t="s">
        <v>26</v>
      </c>
      <c r="B28" s="4149" t="s">
        <v>1603</v>
      </c>
      <c r="C28" s="58" t="s">
        <v>28</v>
      </c>
      <c r="D28" s="4178">
        <v>45141</v>
      </c>
      <c r="E28" s="1112">
        <v>45146</v>
      </c>
      <c r="F28" s="4149" t="s">
        <v>56</v>
      </c>
      <c r="G28" s="4149" t="s">
        <v>1599</v>
      </c>
      <c r="H28" s="1115">
        <v>45148</v>
      </c>
      <c r="I28" s="915" t="s">
        <v>31</v>
      </c>
      <c r="J28" s="4149" t="s">
        <v>32</v>
      </c>
      <c r="K28" s="58" t="s">
        <v>1140</v>
      </c>
      <c r="L28" s="915">
        <v>93928956</v>
      </c>
      <c r="M28" s="1119">
        <v>45148</v>
      </c>
      <c r="N28" s="1119">
        <v>45148</v>
      </c>
      <c r="O28" s="1119">
        <v>45148</v>
      </c>
      <c r="P28" s="709" t="s">
        <v>1602</v>
      </c>
      <c r="Q28" s="709" t="s">
        <v>35</v>
      </c>
      <c r="R28" s="58" t="s">
        <v>36</v>
      </c>
      <c r="S28" s="709" t="s">
        <v>37</v>
      </c>
      <c r="T28" s="106">
        <v>4392</v>
      </c>
      <c r="U28" s="106">
        <v>3629</v>
      </c>
      <c r="V28" s="106">
        <v>4</v>
      </c>
      <c r="W28" s="106">
        <f>AUG_2023[[#This Row],[Sales Amount]]-AUG_2023[[#This Row],[Cost]]</f>
        <v>763</v>
      </c>
      <c r="X28" s="887">
        <f>AUG_2023[[#This Row],[Profit]]/AUG_2023[[#This Row],[Cost]]</f>
        <v>0.21025075778451363</v>
      </c>
    </row>
    <row r="29" spans="1:26" hidden="1">
      <c r="A29" s="4149" t="s">
        <v>26</v>
      </c>
      <c r="B29" s="58" t="s">
        <v>1604</v>
      </c>
      <c r="C29" s="58" t="s">
        <v>28</v>
      </c>
      <c r="D29" s="4178">
        <v>45141</v>
      </c>
      <c r="E29" s="1112">
        <v>45146</v>
      </c>
      <c r="F29" s="4149" t="s">
        <v>56</v>
      </c>
      <c r="G29" s="4149" t="s">
        <v>1599</v>
      </c>
      <c r="H29" s="1115">
        <v>45148</v>
      </c>
      <c r="I29" s="915" t="s">
        <v>104</v>
      </c>
      <c r="J29" s="4149" t="s">
        <v>32</v>
      </c>
      <c r="K29" s="58" t="s">
        <v>1140</v>
      </c>
      <c r="L29" s="915">
        <v>14007900</v>
      </c>
      <c r="M29" s="1115">
        <v>45148</v>
      </c>
      <c r="N29" s="1119">
        <v>45148</v>
      </c>
      <c r="O29" s="1184">
        <v>45148</v>
      </c>
      <c r="P29" s="4122" t="s">
        <v>1605</v>
      </c>
      <c r="Q29" s="709" t="s">
        <v>35</v>
      </c>
      <c r="R29" s="58" t="s">
        <v>36</v>
      </c>
      <c r="S29" s="709" t="s">
        <v>37</v>
      </c>
      <c r="T29" s="106">
        <v>4392</v>
      </c>
      <c r="U29" s="106">
        <v>3724</v>
      </c>
      <c r="V29" s="106">
        <v>4</v>
      </c>
      <c r="W29" s="106">
        <f>AUG_2023[[#This Row],[Sales Amount]]-AUG_2023[[#This Row],[Cost]]</f>
        <v>668</v>
      </c>
      <c r="X29" s="887">
        <f>AUG_2023[[#This Row],[Profit]]/AUG_2023[[#This Row],[Cost]]</f>
        <v>0.17937701396348013</v>
      </c>
    </row>
    <row r="30" spans="1:26" hidden="1">
      <c r="A30" s="4149" t="s">
        <v>26</v>
      </c>
      <c r="B30" s="58" t="s">
        <v>1606</v>
      </c>
      <c r="C30" s="58" t="s">
        <v>28</v>
      </c>
      <c r="D30" s="4178">
        <v>45141</v>
      </c>
      <c r="E30" s="1112">
        <v>45146</v>
      </c>
      <c r="F30" s="4149" t="s">
        <v>56</v>
      </c>
      <c r="G30" s="4149" t="s">
        <v>1599</v>
      </c>
      <c r="H30" s="1115">
        <v>45148</v>
      </c>
      <c r="I30" s="915" t="s">
        <v>178</v>
      </c>
      <c r="J30" s="4149" t="s">
        <v>32</v>
      </c>
      <c r="K30" s="58" t="s">
        <v>1140</v>
      </c>
      <c r="L30" s="915">
        <v>47567004</v>
      </c>
      <c r="M30" s="1115">
        <v>45148</v>
      </c>
      <c r="N30" s="1119">
        <v>45148</v>
      </c>
      <c r="O30" s="1119">
        <v>45148</v>
      </c>
      <c r="P30" s="709" t="s">
        <v>1605</v>
      </c>
      <c r="Q30" s="709" t="s">
        <v>35</v>
      </c>
      <c r="R30" s="58" t="s">
        <v>36</v>
      </c>
      <c r="S30" s="709" t="s">
        <v>37</v>
      </c>
      <c r="T30" s="106">
        <v>4392</v>
      </c>
      <c r="U30" s="106">
        <v>3724</v>
      </c>
      <c r="V30" s="106">
        <v>4</v>
      </c>
      <c r="W30" s="106">
        <f>AUG_2023[[#This Row],[Sales Amount]]-AUG_2023[[#This Row],[Cost]]</f>
        <v>668</v>
      </c>
      <c r="X30" s="887">
        <f>AUG_2023[[#This Row],[Profit]]/AUG_2023[[#This Row],[Cost]]</f>
        <v>0.17937701396348013</v>
      </c>
    </row>
    <row r="31" spans="1:26" hidden="1">
      <c r="A31" s="4149" t="s">
        <v>26</v>
      </c>
      <c r="B31" s="58" t="s">
        <v>1607</v>
      </c>
      <c r="C31" s="58" t="s">
        <v>28</v>
      </c>
      <c r="D31" s="4178">
        <v>45141</v>
      </c>
      <c r="E31" s="1112">
        <v>45146</v>
      </c>
      <c r="F31" s="4149" t="s">
        <v>56</v>
      </c>
      <c r="G31" s="4149" t="s">
        <v>1599</v>
      </c>
      <c r="H31" s="1115">
        <v>45148</v>
      </c>
      <c r="I31" s="915" t="s">
        <v>178</v>
      </c>
      <c r="J31" s="4149" t="s">
        <v>32</v>
      </c>
      <c r="K31" s="58" t="s">
        <v>1140</v>
      </c>
      <c r="L31" s="915">
        <v>12971148</v>
      </c>
      <c r="M31" s="1115">
        <v>45148</v>
      </c>
      <c r="N31" s="1119">
        <v>45148</v>
      </c>
      <c r="O31" s="1119">
        <v>45148</v>
      </c>
      <c r="P31" s="709" t="s">
        <v>1605</v>
      </c>
      <c r="Q31" s="709" t="s">
        <v>35</v>
      </c>
      <c r="R31" s="58" t="s">
        <v>36</v>
      </c>
      <c r="S31" s="709" t="s">
        <v>37</v>
      </c>
      <c r="T31" s="106">
        <v>4392</v>
      </c>
      <c r="U31" s="106">
        <v>3724</v>
      </c>
      <c r="V31" s="106">
        <v>4</v>
      </c>
      <c r="W31" s="106">
        <f>AUG_2023[[#This Row],[Sales Amount]]-AUG_2023[[#This Row],[Cost]]</f>
        <v>668</v>
      </c>
      <c r="X31" s="887">
        <f>AUG_2023[[#This Row],[Profit]]/AUG_2023[[#This Row],[Cost]]</f>
        <v>0.17937701396348013</v>
      </c>
    </row>
    <row r="32" spans="1:26" hidden="1">
      <c r="A32" s="4106" t="s">
        <v>26</v>
      </c>
      <c r="B32" s="18" t="s">
        <v>1608</v>
      </c>
      <c r="C32" s="18" t="s">
        <v>28</v>
      </c>
      <c r="D32" s="4189">
        <v>45141</v>
      </c>
      <c r="E32" s="708">
        <v>45146</v>
      </c>
      <c r="F32" s="4106" t="s">
        <v>56</v>
      </c>
      <c r="G32" s="4106" t="s">
        <v>1599</v>
      </c>
      <c r="H32" s="1130">
        <v>45148</v>
      </c>
      <c r="I32" s="1116" t="s">
        <v>108</v>
      </c>
      <c r="J32" s="4106" t="s">
        <v>32</v>
      </c>
      <c r="K32" s="18" t="s">
        <v>1140</v>
      </c>
      <c r="L32" s="915">
        <v>13989548</v>
      </c>
      <c r="M32" s="1130">
        <v>45148</v>
      </c>
      <c r="N32" s="1184">
        <v>45148</v>
      </c>
      <c r="O32" s="1184">
        <v>45148</v>
      </c>
      <c r="P32" s="718" t="s">
        <v>1605</v>
      </c>
      <c r="Q32" s="718" t="s">
        <v>35</v>
      </c>
      <c r="R32" s="18" t="s">
        <v>36</v>
      </c>
      <c r="S32" s="718" t="s">
        <v>37</v>
      </c>
      <c r="T32" s="93">
        <v>4392</v>
      </c>
      <c r="U32" s="93">
        <v>3724</v>
      </c>
      <c r="V32" s="93">
        <v>4</v>
      </c>
      <c r="W32" s="93">
        <f>AUG_2023[[#This Row],[Sales Amount]]-AUG_2023[[#This Row],[Cost]]</f>
        <v>668</v>
      </c>
      <c r="X32" s="970">
        <f>AUG_2023[[#This Row],[Profit]]/AUG_2023[[#This Row],[Cost]]</f>
        <v>0.17937701396348013</v>
      </c>
      <c r="Y32" s="93"/>
      <c r="Z32" s="93"/>
    </row>
    <row r="33" spans="1:26" hidden="1">
      <c r="A33" s="4106" t="s">
        <v>26</v>
      </c>
      <c r="B33" s="4106" t="s">
        <v>1609</v>
      </c>
      <c r="C33" s="18" t="s">
        <v>28</v>
      </c>
      <c r="D33" s="4189">
        <v>45141</v>
      </c>
      <c r="E33" s="708">
        <v>45145</v>
      </c>
      <c r="F33" s="4106" t="s">
        <v>56</v>
      </c>
      <c r="G33" s="4106" t="s">
        <v>1599</v>
      </c>
      <c r="H33" s="1130">
        <v>45147</v>
      </c>
      <c r="I33" s="1116" t="s">
        <v>178</v>
      </c>
      <c r="J33" s="4106" t="s">
        <v>32</v>
      </c>
      <c r="K33" s="18" t="s">
        <v>1140</v>
      </c>
      <c r="L33" s="1116">
        <v>92200780</v>
      </c>
      <c r="M33" s="1130">
        <v>45147</v>
      </c>
      <c r="N33" s="1130">
        <v>45147</v>
      </c>
      <c r="O33" s="1184">
        <v>45149</v>
      </c>
      <c r="P33" s="718" t="s">
        <v>1602</v>
      </c>
      <c r="Q33" s="718" t="s">
        <v>35</v>
      </c>
      <c r="R33" s="18" t="s">
        <v>36</v>
      </c>
      <c r="S33" s="718" t="s">
        <v>37</v>
      </c>
      <c r="T33" s="93">
        <v>4392</v>
      </c>
      <c r="U33" s="93">
        <v>3629</v>
      </c>
      <c r="V33" s="93">
        <v>4</v>
      </c>
      <c r="W33" s="93">
        <f>AUG_2023[[#This Row],[Sales Amount]]-AUG_2023[[#This Row],[Cost]]</f>
        <v>763</v>
      </c>
      <c r="X33" s="970">
        <f>AUG_2023[[#This Row],[Profit]]/AUG_2023[[#This Row],[Cost]]</f>
        <v>0.21025075778451363</v>
      </c>
      <c r="Y33" s="93"/>
      <c r="Z33" s="93"/>
    </row>
    <row r="34" spans="1:26" s="117" customFormat="1" hidden="1">
      <c r="A34" s="4149" t="s">
        <v>26</v>
      </c>
      <c r="B34" s="4149" t="s">
        <v>1610</v>
      </c>
      <c r="C34" s="58" t="s">
        <v>28</v>
      </c>
      <c r="D34" s="4178">
        <v>45141</v>
      </c>
      <c r="E34" s="1112">
        <v>45146</v>
      </c>
      <c r="F34" s="4149" t="s">
        <v>56</v>
      </c>
      <c r="G34" s="4149" t="s">
        <v>1599</v>
      </c>
      <c r="H34" s="1115">
        <v>45148</v>
      </c>
      <c r="I34" s="915" t="s">
        <v>31</v>
      </c>
      <c r="J34" s="4149" t="s">
        <v>32</v>
      </c>
      <c r="K34" s="58" t="s">
        <v>1140</v>
      </c>
      <c r="L34" s="915">
        <v>90044188</v>
      </c>
      <c r="M34" s="1119">
        <v>45148</v>
      </c>
      <c r="N34" s="1119">
        <v>45148</v>
      </c>
      <c r="O34" s="1115">
        <v>45153</v>
      </c>
      <c r="P34" s="709" t="s">
        <v>1611</v>
      </c>
      <c r="Q34" s="709" t="s">
        <v>35</v>
      </c>
      <c r="R34" s="58" t="s">
        <v>36</v>
      </c>
      <c r="S34" s="709" t="s">
        <v>37</v>
      </c>
      <c r="T34" s="106">
        <v>4392</v>
      </c>
      <c r="U34" s="106">
        <v>3629</v>
      </c>
      <c r="V34" s="106">
        <v>4</v>
      </c>
      <c r="W34" s="106">
        <f>AUG_2023[[#This Row],[Sales Amount]]-AUG_2023[[#This Row],[Cost]]</f>
        <v>763</v>
      </c>
      <c r="X34" s="887">
        <f>AUG_2023[[#This Row],[Profit]]/AUG_2023[[#This Row],[Cost]]</f>
        <v>0.21025075778451363</v>
      </c>
      <c r="Y34" s="106"/>
      <c r="Z34" s="106"/>
    </row>
    <row r="35" spans="1:26" s="117" customFormat="1" ht="60">
      <c r="A35" s="4154" t="s">
        <v>1051</v>
      </c>
      <c r="B35" s="1501" t="s">
        <v>1612</v>
      </c>
      <c r="C35" s="4184" t="s">
        <v>200</v>
      </c>
      <c r="D35" s="4155">
        <v>45142</v>
      </c>
      <c r="E35" s="889">
        <v>45147</v>
      </c>
      <c r="F35" s="4154" t="s">
        <v>93</v>
      </c>
      <c r="G35" s="4154" t="s">
        <v>46</v>
      </c>
      <c r="H35" s="929">
        <v>45148</v>
      </c>
      <c r="I35" s="4154" t="s">
        <v>631</v>
      </c>
      <c r="J35" s="25" t="s">
        <v>32</v>
      </c>
      <c r="K35" s="4154" t="s">
        <v>1053</v>
      </c>
      <c r="L35" s="4154" t="s">
        <v>1613</v>
      </c>
      <c r="M35" s="353">
        <v>45150</v>
      </c>
      <c r="N35" s="353">
        <v>45148</v>
      </c>
      <c r="O35" s="756">
        <v>45149</v>
      </c>
      <c r="P35" s="4104" t="s">
        <v>1614</v>
      </c>
      <c r="Q35" s="4150" t="s">
        <v>75</v>
      </c>
      <c r="R35" s="507" t="s">
        <v>1615</v>
      </c>
      <c r="S35" s="117">
        <v>4</v>
      </c>
      <c r="T35" s="117">
        <v>1215</v>
      </c>
      <c r="U35" s="117">
        <v>826</v>
      </c>
      <c r="V35" s="117">
        <v>1</v>
      </c>
      <c r="W35" s="117">
        <f>AUG_2023[[#This Row],[Sales Amount]]-AUG_2023[[#This Row],[Cost]]</f>
        <v>389</v>
      </c>
      <c r="X35" s="923">
        <f>AUG_2023[[#This Row],[Profit]]/AUG_2023[[#This Row],[Cost]]</f>
        <v>0.47094430992736075</v>
      </c>
    </row>
    <row r="36" spans="1:26" s="709" customFormat="1" hidden="1">
      <c r="A36" s="4149" t="s">
        <v>1088</v>
      </c>
      <c r="B36" s="4149" t="s">
        <v>1616</v>
      </c>
      <c r="C36" s="4190" t="s">
        <v>200</v>
      </c>
      <c r="D36" s="4178">
        <v>45139</v>
      </c>
      <c r="E36" s="1112">
        <v>45148</v>
      </c>
      <c r="F36" s="4149" t="s">
        <v>98</v>
      </c>
      <c r="G36" s="4149" t="s">
        <v>829</v>
      </c>
      <c r="H36" s="58"/>
      <c r="I36" s="58"/>
      <c r="J36" s="4149" t="s">
        <v>168</v>
      </c>
      <c r="K36" s="4149" t="s">
        <v>310</v>
      </c>
      <c r="L36" s="58" t="s">
        <v>1617</v>
      </c>
      <c r="M36" s="844">
        <v>45150</v>
      </c>
      <c r="N36" s="1139">
        <v>45148</v>
      </c>
      <c r="O36" s="1139">
        <v>45150</v>
      </c>
      <c r="P36" s="4122" t="s">
        <v>1618</v>
      </c>
      <c r="Q36" s="4122" t="s">
        <v>50</v>
      </c>
      <c r="R36" s="709" t="s">
        <v>36</v>
      </c>
      <c r="W36" s="709">
        <f>AUG_2023[[#This Row],[Sales Amount]]-AUG_2023[[#This Row],[Cost]]</f>
        <v>0</v>
      </c>
      <c r="X36" s="1384" t="e">
        <f>AUG_2023[[#This Row],[Profit]]/AUG_2023[[#This Row],[Cost]]</f>
        <v>#DIV/0!</v>
      </c>
    </row>
    <row r="37" spans="1:26" s="117" customFormat="1" ht="45">
      <c r="A37" s="25" t="s">
        <v>1619</v>
      </c>
      <c r="B37" s="4154" t="s">
        <v>1620</v>
      </c>
      <c r="C37" s="1377" t="s">
        <v>44</v>
      </c>
      <c r="D37" s="353">
        <v>45139</v>
      </c>
      <c r="E37" s="872">
        <v>45148</v>
      </c>
      <c r="F37" s="25" t="s">
        <v>151</v>
      </c>
      <c r="G37" s="25" t="s">
        <v>302</v>
      </c>
      <c r="H37" s="353">
        <v>45154</v>
      </c>
      <c r="I37" s="25" t="s">
        <v>1621</v>
      </c>
      <c r="J37" s="25" t="s">
        <v>32</v>
      </c>
      <c r="K37" s="25" t="s">
        <v>1622</v>
      </c>
      <c r="L37" s="4154" t="s">
        <v>1623</v>
      </c>
      <c r="M37" s="68">
        <v>45150</v>
      </c>
      <c r="N37" s="353">
        <v>45149</v>
      </c>
      <c r="O37" s="353">
        <v>45154</v>
      </c>
      <c r="P37" s="4104" t="s">
        <v>1624</v>
      </c>
      <c r="Q37" s="117" t="s">
        <v>75</v>
      </c>
      <c r="R37" s="507" t="s">
        <v>1625</v>
      </c>
      <c r="S37" s="117">
        <v>4</v>
      </c>
      <c r="T37" s="117">
        <v>1460</v>
      </c>
      <c r="U37" s="660">
        <v>1072</v>
      </c>
      <c r="V37" s="660">
        <v>1</v>
      </c>
      <c r="W37" s="660">
        <f>AUG_2023[[#This Row],[Sales Amount]]-AUG_2023[[#This Row],[Cost]]</f>
        <v>388</v>
      </c>
      <c r="X37" s="919">
        <f>AUG_2023[[#This Row],[Profit]]/AUG_2023[[#This Row],[Cost]]</f>
        <v>0.36194029850746268</v>
      </c>
      <c r="Y37" s="660"/>
      <c r="Z37" s="113"/>
    </row>
    <row r="38" spans="1:26" s="117" customFormat="1" ht="75">
      <c r="A38" s="25" t="s">
        <v>243</v>
      </c>
      <c r="B38" s="4154" t="s">
        <v>1626</v>
      </c>
      <c r="C38" s="1377" t="s">
        <v>44</v>
      </c>
      <c r="D38" s="353">
        <v>45148</v>
      </c>
      <c r="E38" s="889">
        <v>45148</v>
      </c>
      <c r="F38" s="25" t="s">
        <v>245</v>
      </c>
      <c r="G38" s="483" t="s">
        <v>1161</v>
      </c>
      <c r="H38" s="353">
        <v>45155</v>
      </c>
      <c r="I38" s="4154" t="s">
        <v>445</v>
      </c>
      <c r="J38" s="25" t="s">
        <v>1163</v>
      </c>
      <c r="K38" s="483" t="s">
        <v>1164</v>
      </c>
      <c r="L38" s="4154" t="s">
        <v>162</v>
      </c>
      <c r="M38" s="944">
        <v>45154</v>
      </c>
      <c r="N38" s="373">
        <v>45154</v>
      </c>
      <c r="O38" s="353">
        <v>45155</v>
      </c>
      <c r="P38" s="4104" t="s">
        <v>1627</v>
      </c>
      <c r="Q38" s="117" t="s">
        <v>75</v>
      </c>
      <c r="R38" s="3" t="s">
        <v>1628</v>
      </c>
      <c r="S38" s="3">
        <v>4</v>
      </c>
      <c r="T38" s="1437">
        <v>1775</v>
      </c>
      <c r="U38" s="1437">
        <v>1373.45</v>
      </c>
      <c r="V38" s="117">
        <v>1</v>
      </c>
      <c r="W38" s="117">
        <f>AUG_2023[[#This Row],[Sales Amount]]-AUG_2023[[#This Row],[Cost]]</f>
        <v>401.54999999999995</v>
      </c>
      <c r="X38" s="923">
        <f>AUG_2023[[#This Row],[Profit]]/AUG_2023[[#This Row],[Cost]]</f>
        <v>0.29236593978666858</v>
      </c>
    </row>
    <row r="39" spans="1:26" s="117" customFormat="1" hidden="1">
      <c r="A39" s="58" t="s">
        <v>42</v>
      </c>
      <c r="B39" s="58" t="s">
        <v>1629</v>
      </c>
      <c r="C39" s="1147" t="s">
        <v>28</v>
      </c>
      <c r="D39" s="844">
        <v>45135</v>
      </c>
      <c r="E39" s="1112">
        <v>45148</v>
      </c>
      <c r="F39" s="58" t="s">
        <v>86</v>
      </c>
      <c r="G39" s="58" t="s">
        <v>829</v>
      </c>
      <c r="H39" s="58"/>
      <c r="I39" s="58"/>
      <c r="J39" s="58" t="s">
        <v>168</v>
      </c>
      <c r="K39" s="58" t="s">
        <v>310</v>
      </c>
      <c r="L39" s="58" t="s">
        <v>1630</v>
      </c>
      <c r="M39" s="844">
        <v>45151</v>
      </c>
      <c r="N39" s="1139">
        <v>45149</v>
      </c>
      <c r="O39" s="1139">
        <v>45153</v>
      </c>
      <c r="P39" s="709" t="s">
        <v>1631</v>
      </c>
      <c r="Q39" s="709" t="s">
        <v>50</v>
      </c>
      <c r="R39" s="709" t="s">
        <v>534</v>
      </c>
      <c r="S39" s="709"/>
      <c r="T39" s="709"/>
      <c r="U39" s="727"/>
      <c r="V39" s="709"/>
      <c r="W39" s="709">
        <f>AUG_2023[[#This Row],[Sales Amount]]-AUG_2023[[#This Row],[Cost]]</f>
        <v>0</v>
      </c>
      <c r="X39" s="1384" t="e">
        <f>AUG_2023[[#This Row],[Profit]]/AUG_2023[[#This Row],[Cost]]</f>
        <v>#DIV/0!</v>
      </c>
      <c r="Y39" s="709"/>
      <c r="Z39" s="709"/>
    </row>
    <row r="40" spans="1:26" s="117" customFormat="1" hidden="1">
      <c r="A40" s="58" t="s">
        <v>254</v>
      </c>
      <c r="B40" s="58" t="s">
        <v>1632</v>
      </c>
      <c r="C40" s="58" t="s">
        <v>28</v>
      </c>
      <c r="D40" s="844">
        <v>45149</v>
      </c>
      <c r="E40" s="844">
        <v>45149</v>
      </c>
      <c r="F40" s="58" t="s">
        <v>135</v>
      </c>
      <c r="G40" s="58" t="s">
        <v>1633</v>
      </c>
      <c r="H40" s="1119">
        <v>45155</v>
      </c>
      <c r="I40" s="915" t="s">
        <v>1634</v>
      </c>
      <c r="J40" s="58" t="s">
        <v>1635</v>
      </c>
      <c r="K40" s="58" t="s">
        <v>1636</v>
      </c>
      <c r="L40" s="915" t="s">
        <v>542</v>
      </c>
      <c r="M40" s="1115">
        <v>45155</v>
      </c>
      <c r="N40" s="1119">
        <v>45154</v>
      </c>
      <c r="O40" s="1115">
        <v>45156</v>
      </c>
      <c r="P40" s="709" t="s">
        <v>1637</v>
      </c>
      <c r="Q40" s="58" t="s">
        <v>35</v>
      </c>
      <c r="R40" s="58" t="s">
        <v>36</v>
      </c>
      <c r="S40" s="58" t="s">
        <v>37</v>
      </c>
      <c r="T40" s="106">
        <v>1630</v>
      </c>
      <c r="U40" s="152">
        <v>1315</v>
      </c>
      <c r="V40" s="152"/>
      <c r="W40" s="152">
        <f>AUG_2023[[#This Row],[Sales Amount]]-AUG_2023[[#This Row],[Cost]]</f>
        <v>315</v>
      </c>
      <c r="X40" s="888">
        <f>AUG_2023[[#This Row],[Profit]]/AUG_2023[[#This Row],[Cost]]</f>
        <v>0.23954372623574144</v>
      </c>
      <c r="Y40" s="152"/>
      <c r="Z40" s="645"/>
    </row>
    <row r="41" spans="1:26" ht="45">
      <c r="A41" s="4154" t="s">
        <v>1134</v>
      </c>
      <c r="B41" s="4154" t="s">
        <v>1638</v>
      </c>
      <c r="C41" s="25" t="s">
        <v>28</v>
      </c>
      <c r="D41" s="4155">
        <v>45149</v>
      </c>
      <c r="E41" s="889">
        <v>45149</v>
      </c>
      <c r="F41" s="4154" t="s">
        <v>135</v>
      </c>
      <c r="G41" s="4154" t="s">
        <v>1519</v>
      </c>
      <c r="H41" s="353">
        <v>45155</v>
      </c>
      <c r="I41" s="929" t="s">
        <v>1639</v>
      </c>
      <c r="J41" s="4154" t="s">
        <v>1640</v>
      </c>
      <c r="K41" s="4154" t="s">
        <v>1641</v>
      </c>
      <c r="L41" s="4154" t="s">
        <v>1642</v>
      </c>
      <c r="M41" s="841">
        <v>45155</v>
      </c>
      <c r="N41" s="4155">
        <v>45154</v>
      </c>
      <c r="O41" s="4118">
        <v>45159</v>
      </c>
      <c r="P41" s="4104" t="s">
        <v>1643</v>
      </c>
      <c r="Q41" s="4150" t="s">
        <v>75</v>
      </c>
      <c r="R41" s="3" t="s">
        <v>1644</v>
      </c>
      <c r="S41" s="117">
        <v>4</v>
      </c>
      <c r="T41" s="117">
        <v>2908.42</v>
      </c>
      <c r="U41" s="40">
        <f>1775+452.5+68.42+20</f>
        <v>2315.92</v>
      </c>
      <c r="V41" s="660">
        <v>1</v>
      </c>
      <c r="W41" s="660">
        <f>AUG_2023[[#This Row],[Sales Amount]]-AUG_2023[[#This Row],[Cost]]</f>
        <v>592.5</v>
      </c>
      <c r="X41" s="919">
        <f>AUG_2023[[#This Row],[Profit]]/AUG_2023[[#This Row],[Cost]]</f>
        <v>0.25583785277557081</v>
      </c>
      <c r="Y41" s="660"/>
      <c r="Z41" s="113"/>
    </row>
    <row r="42" spans="1:26" ht="45">
      <c r="A42" s="4154" t="s">
        <v>1134</v>
      </c>
      <c r="B42" s="4154" t="s">
        <v>1645</v>
      </c>
      <c r="C42" s="25" t="s">
        <v>28</v>
      </c>
      <c r="D42" s="4155">
        <v>45149</v>
      </c>
      <c r="E42" s="889">
        <v>45149</v>
      </c>
      <c r="F42" s="4154" t="s">
        <v>135</v>
      </c>
      <c r="G42" s="4154" t="s">
        <v>1519</v>
      </c>
      <c r="H42" s="353">
        <v>45153</v>
      </c>
      <c r="I42" s="929" t="s">
        <v>1639</v>
      </c>
      <c r="J42" s="4154" t="s">
        <v>1640</v>
      </c>
      <c r="K42" s="4154" t="s">
        <v>1641</v>
      </c>
      <c r="L42" s="4154" t="s">
        <v>1642</v>
      </c>
      <c r="M42" s="353">
        <v>45152</v>
      </c>
      <c r="N42" s="353">
        <v>45152</v>
      </c>
      <c r="O42" s="980">
        <v>45155</v>
      </c>
      <c r="P42" s="4104" t="s">
        <v>1646</v>
      </c>
      <c r="Q42" s="4150" t="s">
        <v>75</v>
      </c>
      <c r="R42" s="3" t="s">
        <v>1647</v>
      </c>
      <c r="S42" s="117">
        <v>4</v>
      </c>
      <c r="T42" s="1438">
        <v>2638.42</v>
      </c>
      <c r="U42" s="660">
        <f xml:space="preserve"> 1775+401</f>
        <v>2176</v>
      </c>
      <c r="V42" s="660">
        <v>1</v>
      </c>
      <c r="W42" s="660">
        <f>AUG_2023[[#This Row],[Sales Amount]]-AUG_2023[[#This Row],[Cost]]</f>
        <v>462.42000000000007</v>
      </c>
      <c r="X42" s="919">
        <f>AUG_2023[[#This Row],[Profit]]/AUG_2023[[#This Row],[Cost]]</f>
        <v>0.21250919117647063</v>
      </c>
      <c r="Y42" s="660"/>
      <c r="Z42" s="113"/>
    </row>
    <row r="43" spans="1:26" hidden="1">
      <c r="A43" s="58" t="s">
        <v>122</v>
      </c>
      <c r="B43" s="4149" t="s">
        <v>1648</v>
      </c>
      <c r="C43" s="58" t="s">
        <v>44</v>
      </c>
      <c r="D43" s="844">
        <v>45149</v>
      </c>
      <c r="E43" s="844">
        <v>45149</v>
      </c>
      <c r="F43" s="58" t="s">
        <v>45</v>
      </c>
      <c r="G43" s="58" t="s">
        <v>124</v>
      </c>
      <c r="H43" s="4149" t="s">
        <v>1649</v>
      </c>
      <c r="I43" s="58"/>
      <c r="J43" s="58" t="s">
        <v>859</v>
      </c>
      <c r="K43" s="58" t="s">
        <v>1650</v>
      </c>
      <c r="L43" s="58"/>
      <c r="M43" s="844">
        <v>45154</v>
      </c>
      <c r="N43" s="58"/>
      <c r="O43" s="1139">
        <v>45156</v>
      </c>
      <c r="P43" s="709" t="s">
        <v>1651</v>
      </c>
      <c r="Q43" s="709" t="s">
        <v>128</v>
      </c>
      <c r="R43" s="709" t="s">
        <v>36</v>
      </c>
      <c r="S43" s="709"/>
      <c r="T43" s="709">
        <v>3035.42</v>
      </c>
      <c r="U43" s="727">
        <f>520+450+125+1020</f>
        <v>2115</v>
      </c>
      <c r="V43" s="727"/>
      <c r="W43" s="727">
        <f>AUG_2023[[#This Row],[Sales Amount]]-AUG_2023[[#This Row],[Cost]]</f>
        <v>920.42000000000007</v>
      </c>
      <c r="X43" s="1179">
        <f>AUG_2023[[#This Row],[Profit]]/AUG_2023[[#This Row],[Cost]]</f>
        <v>0.43518676122931443</v>
      </c>
      <c r="Y43" s="727"/>
      <c r="Z43" s="711"/>
    </row>
    <row r="44" spans="1:26" ht="30">
      <c r="A44" s="25" t="s">
        <v>210</v>
      </c>
      <c r="B44" s="4154" t="s">
        <v>1652</v>
      </c>
      <c r="C44" s="25" t="s">
        <v>28</v>
      </c>
      <c r="D44" s="353">
        <v>45135</v>
      </c>
      <c r="E44" s="872">
        <v>45150</v>
      </c>
      <c r="F44" s="25" t="s">
        <v>245</v>
      </c>
      <c r="G44" s="25" t="s">
        <v>958</v>
      </c>
      <c r="H44" s="4853">
        <v>45154</v>
      </c>
      <c r="I44" s="25" t="s">
        <v>1653</v>
      </c>
      <c r="J44" s="25" t="s">
        <v>247</v>
      </c>
      <c r="K44" s="25" t="s">
        <v>1654</v>
      </c>
      <c r="L44" s="976" t="s">
        <v>1655</v>
      </c>
      <c r="M44" s="68">
        <v>45153</v>
      </c>
      <c r="N44" s="68">
        <v>45153</v>
      </c>
      <c r="O44" s="373">
        <v>45154</v>
      </c>
      <c r="P44" s="4104" t="s">
        <v>1656</v>
      </c>
      <c r="Q44" s="117" t="s">
        <v>75</v>
      </c>
      <c r="R44" s="3" t="s">
        <v>1657</v>
      </c>
      <c r="S44" s="117">
        <v>4</v>
      </c>
      <c r="T44" s="117">
        <v>1040</v>
      </c>
      <c r="U44" s="660">
        <v>763.5</v>
      </c>
      <c r="V44" s="660">
        <v>1</v>
      </c>
      <c r="W44" s="660">
        <f>AUG_2023[[#This Row],[Sales Amount]]-AUG_2023[[#This Row],[Cost]]</f>
        <v>276.5</v>
      </c>
      <c r="X44" s="919">
        <f>AUG_2023[[#This Row],[Profit]]/AUG_2023[[#This Row],[Cost]]</f>
        <v>0.36214800261951541</v>
      </c>
      <c r="Y44" s="660"/>
      <c r="Z44" s="113"/>
    </row>
    <row r="45" spans="1:26" ht="90">
      <c r="A45" s="25" t="s">
        <v>1255</v>
      </c>
      <c r="B45" s="4154" t="s">
        <v>1658</v>
      </c>
      <c r="C45" s="25" t="s">
        <v>44</v>
      </c>
      <c r="D45" s="353">
        <v>45150</v>
      </c>
      <c r="E45" s="889">
        <v>45150</v>
      </c>
      <c r="F45" s="25" t="s">
        <v>93</v>
      </c>
      <c r="G45" s="483" t="s">
        <v>1659</v>
      </c>
      <c r="H45" s="4853">
        <v>45154</v>
      </c>
      <c r="I45" s="4154" t="s">
        <v>1660</v>
      </c>
      <c r="J45" s="25" t="s">
        <v>1661</v>
      </c>
      <c r="K45" s="25" t="s">
        <v>1662</v>
      </c>
      <c r="L45" s="944"/>
      <c r="M45" s="944">
        <v>45155</v>
      </c>
      <c r="N45" s="373">
        <v>45154</v>
      </c>
      <c r="O45" s="4095">
        <v>45154</v>
      </c>
      <c r="P45" s="716" t="s">
        <v>1663</v>
      </c>
      <c r="Q45" s="117" t="s">
        <v>75</v>
      </c>
      <c r="R45" s="4150" t="s">
        <v>1664</v>
      </c>
      <c r="S45" s="117" t="s">
        <v>67</v>
      </c>
      <c r="T45" s="806" t="s">
        <v>1665</v>
      </c>
      <c r="U45" s="117">
        <f>810+90+55+43.85</f>
        <v>998.85</v>
      </c>
      <c r="V45" s="117"/>
      <c r="W45" s="117" t="e">
        <f>AUG_2023[[#This Row],[Sales Amount]]-AUG_2023[[#This Row],[Cost]]</f>
        <v>#VALUE!</v>
      </c>
      <c r="X45" s="923" t="e">
        <f>AUG_2023[[#This Row],[Profit]]/AUG_2023[[#This Row],[Cost]]</f>
        <v>#VALUE!</v>
      </c>
      <c r="Y45" s="117"/>
      <c r="Z45" s="117"/>
    </row>
    <row r="46" spans="1:26" hidden="1">
      <c r="A46" s="58" t="s">
        <v>329</v>
      </c>
      <c r="B46" s="58" t="s">
        <v>1666</v>
      </c>
      <c r="C46" s="58" t="s">
        <v>28</v>
      </c>
      <c r="D46" s="844">
        <v>45140</v>
      </c>
      <c r="E46" s="1112">
        <v>45151</v>
      </c>
      <c r="F46" s="58" t="s">
        <v>151</v>
      </c>
      <c r="G46" s="58" t="s">
        <v>361</v>
      </c>
      <c r="H46" s="1115">
        <v>45153</v>
      </c>
      <c r="I46" s="58"/>
      <c r="J46" s="58" t="s">
        <v>1353</v>
      </c>
      <c r="K46" s="58" t="s">
        <v>331</v>
      </c>
      <c r="L46" s="915">
        <v>962882</v>
      </c>
      <c r="M46" s="1115">
        <v>45153</v>
      </c>
      <c r="N46" s="1115">
        <v>45153</v>
      </c>
      <c r="O46" s="1115">
        <v>45153</v>
      </c>
      <c r="P46" s="1175" t="s">
        <v>1667</v>
      </c>
      <c r="Q46" s="709" t="s">
        <v>35</v>
      </c>
      <c r="R46" s="58" t="s">
        <v>36</v>
      </c>
      <c r="S46" s="709" t="s">
        <v>37</v>
      </c>
      <c r="T46" s="106">
        <v>1100</v>
      </c>
      <c r="U46" s="106">
        <v>910</v>
      </c>
      <c r="W46" s="106">
        <f>AUG_2023[[#This Row],[Sales Amount]]-AUG_2023[[#This Row],[Cost]]</f>
        <v>190</v>
      </c>
      <c r="X46" s="887">
        <f>AUG_2023[[#This Row],[Profit]]/AUG_2023[[#This Row],[Cost]]</f>
        <v>0.2087912087912088</v>
      </c>
    </row>
    <row r="47" spans="1:26" s="117" customFormat="1" hidden="1">
      <c r="A47" s="710" t="s">
        <v>329</v>
      </c>
      <c r="B47" s="710" t="s">
        <v>1668</v>
      </c>
      <c r="C47" s="710" t="s">
        <v>28</v>
      </c>
      <c r="D47" s="1110">
        <v>45140</v>
      </c>
      <c r="E47" s="1066">
        <v>45151</v>
      </c>
      <c r="F47" s="710" t="s">
        <v>151</v>
      </c>
      <c r="G47" s="710" t="s">
        <v>361</v>
      </c>
      <c r="H47" s="1118">
        <v>45153</v>
      </c>
      <c r="I47" s="710"/>
      <c r="J47" s="710" t="s">
        <v>1353</v>
      </c>
      <c r="K47" s="710" t="s">
        <v>331</v>
      </c>
      <c r="L47" s="1117">
        <v>12296</v>
      </c>
      <c r="M47" s="1115">
        <v>45153</v>
      </c>
      <c r="N47" s="1115">
        <v>45152</v>
      </c>
      <c r="O47" s="1118">
        <v>45153</v>
      </c>
      <c r="P47" s="1175" t="s">
        <v>1669</v>
      </c>
      <c r="Q47" s="727" t="s">
        <v>35</v>
      </c>
      <c r="R47" s="58" t="s">
        <v>36</v>
      </c>
      <c r="S47" s="727" t="s">
        <v>37</v>
      </c>
      <c r="T47" s="152">
        <v>1275</v>
      </c>
      <c r="U47" s="152">
        <v>910</v>
      </c>
      <c r="V47" s="152"/>
      <c r="W47" s="152">
        <f>AUG_2023[[#This Row],[Sales Amount]]-AUG_2023[[#This Row],[Cost]]</f>
        <v>365</v>
      </c>
      <c r="X47" s="888">
        <f>AUG_2023[[#This Row],[Profit]]/AUG_2023[[#This Row],[Cost]]</f>
        <v>0.40109890109890112</v>
      </c>
      <c r="Y47" s="152"/>
      <c r="Z47" s="152"/>
    </row>
    <row r="48" spans="1:26" ht="90">
      <c r="A48" s="4191" t="s">
        <v>409</v>
      </c>
      <c r="B48" s="4191" t="s">
        <v>1670</v>
      </c>
      <c r="C48" s="19" t="s">
        <v>28</v>
      </c>
      <c r="D48" s="49">
        <v>45147</v>
      </c>
      <c r="E48" s="55">
        <v>45151</v>
      </c>
      <c r="F48" s="19" t="s">
        <v>1671</v>
      </c>
      <c r="G48" s="19" t="s">
        <v>1672</v>
      </c>
      <c r="H48" s="49">
        <v>45154</v>
      </c>
      <c r="I48" s="19" t="s">
        <v>115</v>
      </c>
      <c r="J48" s="19" t="s">
        <v>1673</v>
      </c>
      <c r="K48" s="25" t="s">
        <v>1674</v>
      </c>
      <c r="L48" s="4094">
        <v>3296</v>
      </c>
      <c r="M48" s="4192">
        <v>45153</v>
      </c>
      <c r="N48" s="102">
        <v>45153</v>
      </c>
      <c r="O48" s="102">
        <v>45155</v>
      </c>
      <c r="P48" s="4128" t="s">
        <v>1675</v>
      </c>
      <c r="Q48" s="120" t="s">
        <v>75</v>
      </c>
      <c r="R48" s="4193" t="s">
        <v>1676</v>
      </c>
      <c r="S48" s="120">
        <v>4</v>
      </c>
      <c r="T48" s="120">
        <v>900</v>
      </c>
      <c r="U48" s="120">
        <v>594.34</v>
      </c>
      <c r="V48" s="120">
        <v>1</v>
      </c>
      <c r="W48" s="4193" t="s">
        <v>1677</v>
      </c>
      <c r="X48" s="1067" t="e">
        <f>AUG_2023[[#This Row],[Profit]]/AUG_2023[[#This Row],[Cost]]</f>
        <v>#VALUE!</v>
      </c>
      <c r="Y48" s="120"/>
      <c r="Z48" s="120"/>
    </row>
    <row r="49" spans="1:26" s="117" customFormat="1" hidden="1">
      <c r="A49" s="18" t="s">
        <v>42</v>
      </c>
      <c r="B49" s="58" t="s">
        <v>1678</v>
      </c>
      <c r="C49" s="18" t="s">
        <v>28</v>
      </c>
      <c r="D49" s="661">
        <v>45137</v>
      </c>
      <c r="E49" s="708">
        <v>45152</v>
      </c>
      <c r="F49" s="18" t="s">
        <v>86</v>
      </c>
      <c r="G49" s="58" t="s">
        <v>1679</v>
      </c>
      <c r="H49" s="18"/>
      <c r="I49" s="58"/>
      <c r="J49" s="58" t="s">
        <v>168</v>
      </c>
      <c r="K49" s="58" t="s">
        <v>310</v>
      </c>
      <c r="L49" s="58">
        <v>572436</v>
      </c>
      <c r="M49" s="661">
        <v>45154</v>
      </c>
      <c r="N49" s="982">
        <v>45154</v>
      </c>
      <c r="O49" s="982">
        <v>45155</v>
      </c>
      <c r="P49" s="709" t="s">
        <v>1680</v>
      </c>
      <c r="Q49" s="709" t="s">
        <v>50</v>
      </c>
      <c r="R49" s="718" t="s">
        <v>534</v>
      </c>
      <c r="S49" s="718"/>
      <c r="T49" s="718"/>
      <c r="U49" s="718"/>
      <c r="V49" s="718"/>
      <c r="W49" s="718">
        <f>AUG_2023[[#This Row],[Sales Amount]]-AUG_2023[[#This Row],[Cost]]</f>
        <v>0</v>
      </c>
      <c r="X49" s="1348" t="e">
        <f>AUG_2023[[#This Row],[Profit]]/AUG_2023[[#This Row],[Cost]]</f>
        <v>#DIV/0!</v>
      </c>
      <c r="Y49" s="718"/>
      <c r="Z49" s="718"/>
    </row>
    <row r="50" spans="1:26" s="117" customFormat="1" ht="90">
      <c r="A50" s="4153" t="s">
        <v>165</v>
      </c>
      <c r="B50" s="1515" t="s">
        <v>1681</v>
      </c>
      <c r="C50" s="1515" t="s">
        <v>28</v>
      </c>
      <c r="D50" s="1519">
        <v>45152</v>
      </c>
      <c r="E50" s="576">
        <v>45152</v>
      </c>
      <c r="F50" s="1522" t="s">
        <v>45</v>
      </c>
      <c r="G50" s="4153" t="s">
        <v>1585</v>
      </c>
      <c r="H50" s="576">
        <v>45159</v>
      </c>
      <c r="I50" s="1526" t="s">
        <v>1682</v>
      </c>
      <c r="J50" s="4153" t="s">
        <v>363</v>
      </c>
      <c r="K50" s="31" t="s">
        <v>1587</v>
      </c>
      <c r="L50" s="31"/>
      <c r="M50" s="66">
        <v>45159</v>
      </c>
      <c r="N50" s="66">
        <v>45159</v>
      </c>
      <c r="O50" s="1287">
        <v>45166</v>
      </c>
      <c r="P50" s="4096" t="s">
        <v>1683</v>
      </c>
      <c r="Q50" s="660" t="s">
        <v>75</v>
      </c>
      <c r="R50" s="4134" t="s">
        <v>1684</v>
      </c>
      <c r="S50" s="660"/>
      <c r="T50" s="660">
        <v>1320</v>
      </c>
      <c r="U50" s="660">
        <v>1132.8</v>
      </c>
      <c r="V50" s="660">
        <v>1</v>
      </c>
      <c r="W50" s="660">
        <f>AUG_2023[[#This Row],[Sales Amount]]-AUG_2023[[#This Row],[Cost]]</f>
        <v>187.20000000000005</v>
      </c>
      <c r="X50" s="919">
        <f>AUG_2023[[#This Row],[Profit]]/AUG_2023[[#This Row],[Cost]]</f>
        <v>0.16525423728813565</v>
      </c>
      <c r="Y50" s="660"/>
      <c r="Z50" s="660"/>
    </row>
    <row r="51" spans="1:26" hidden="1">
      <c r="A51" s="4106" t="s">
        <v>26</v>
      </c>
      <c r="B51" s="4106" t="s">
        <v>1685</v>
      </c>
      <c r="C51" s="4106" t="s">
        <v>28</v>
      </c>
      <c r="D51" s="4189">
        <v>45144</v>
      </c>
      <c r="E51" s="1112">
        <v>45153</v>
      </c>
      <c r="F51" s="4106" t="s">
        <v>245</v>
      </c>
      <c r="G51" s="4106" t="s">
        <v>57</v>
      </c>
      <c r="H51" s="1130">
        <v>45154</v>
      </c>
      <c r="I51" s="1116" t="s">
        <v>104</v>
      </c>
      <c r="J51" s="18" t="s">
        <v>32</v>
      </c>
      <c r="K51" s="4149" t="s">
        <v>1686</v>
      </c>
      <c r="L51" s="1116">
        <v>4282372</v>
      </c>
      <c r="M51" s="1130">
        <v>45154</v>
      </c>
      <c r="N51" s="1130">
        <v>45153</v>
      </c>
      <c r="O51" s="1130">
        <v>45155</v>
      </c>
      <c r="P51" s="4194" t="s">
        <v>1687</v>
      </c>
      <c r="Q51" s="4149" t="s">
        <v>35</v>
      </c>
      <c r="R51" s="18" t="s">
        <v>36</v>
      </c>
      <c r="S51" s="18" t="s">
        <v>37</v>
      </c>
      <c r="T51" s="93">
        <v>2715</v>
      </c>
      <c r="U51" s="93">
        <v>2226</v>
      </c>
      <c r="V51" s="93">
        <v>3</v>
      </c>
      <c r="W51" s="93">
        <f>AUG_2023[[#This Row],[Sales Amount]]-AUG_2023[[#This Row],[Cost]]</f>
        <v>489</v>
      </c>
      <c r="X51" s="970">
        <f>AUG_2023[[#This Row],[Profit]]/AUG_2023[[#This Row],[Cost]]</f>
        <v>0.21967654986522911</v>
      </c>
      <c r="Y51" s="93"/>
      <c r="Z51" s="93"/>
    </row>
    <row r="52" spans="1:26" hidden="1">
      <c r="A52" s="4149" t="s">
        <v>26</v>
      </c>
      <c r="B52" s="4195" t="s">
        <v>1688</v>
      </c>
      <c r="C52" s="4195" t="s">
        <v>28</v>
      </c>
      <c r="D52" s="4196">
        <v>45144</v>
      </c>
      <c r="E52" s="1431">
        <v>45153</v>
      </c>
      <c r="F52" s="4149" t="s">
        <v>245</v>
      </c>
      <c r="G52" s="4149" t="s">
        <v>57</v>
      </c>
      <c r="H52" s="1115">
        <v>45155</v>
      </c>
      <c r="I52" s="1527" t="s">
        <v>104</v>
      </c>
      <c r="J52" s="58" t="s">
        <v>32</v>
      </c>
      <c r="K52" s="4149" t="s">
        <v>1686</v>
      </c>
      <c r="L52" s="915">
        <v>4282425</v>
      </c>
      <c r="M52" s="1115">
        <v>45154</v>
      </c>
      <c r="N52" s="1534">
        <v>45154</v>
      </c>
      <c r="O52" s="1510">
        <v>45156</v>
      </c>
      <c r="P52" s="4122" t="s">
        <v>1687</v>
      </c>
      <c r="Q52" s="4149" t="s">
        <v>35</v>
      </c>
      <c r="R52" s="1430" t="s">
        <v>36</v>
      </c>
      <c r="S52" s="1430" t="s">
        <v>37</v>
      </c>
      <c r="T52" s="1415">
        <v>2715</v>
      </c>
      <c r="U52" s="1415">
        <v>2226</v>
      </c>
      <c r="V52" s="1415">
        <v>3</v>
      </c>
      <c r="W52" s="1415">
        <f>AUG_2023[[#This Row],[Sales Amount]]-AUG_2023[[#This Row],[Cost]]</f>
        <v>489</v>
      </c>
      <c r="X52" s="904">
        <f>AUG_2023[[#This Row],[Profit]]/AUG_2023[[#This Row],[Cost]]</f>
        <v>0.21967654986522911</v>
      </c>
      <c r="Y52" s="1415"/>
      <c r="Z52" s="1415"/>
    </row>
    <row r="53" spans="1:26" hidden="1">
      <c r="A53" s="4106" t="s">
        <v>26</v>
      </c>
      <c r="B53" s="4106" t="s">
        <v>1689</v>
      </c>
      <c r="C53" s="4106" t="s">
        <v>28</v>
      </c>
      <c r="D53" s="4189">
        <v>45144</v>
      </c>
      <c r="E53" s="708">
        <v>45153</v>
      </c>
      <c r="F53" s="4106" t="s">
        <v>245</v>
      </c>
      <c r="G53" s="4106" t="s">
        <v>57</v>
      </c>
      <c r="H53" s="1130">
        <v>45156</v>
      </c>
      <c r="I53" s="1116" t="s">
        <v>104</v>
      </c>
      <c r="J53" s="18" t="s">
        <v>32</v>
      </c>
      <c r="K53" s="4106" t="s">
        <v>1686</v>
      </c>
      <c r="L53" s="1116">
        <v>4282426</v>
      </c>
      <c r="M53" s="1130">
        <v>45154</v>
      </c>
      <c r="N53" s="1184">
        <v>45154</v>
      </c>
      <c r="O53" s="1535">
        <v>45159</v>
      </c>
      <c r="P53" s="4194" t="s">
        <v>1687</v>
      </c>
      <c r="Q53" s="4106" t="s">
        <v>35</v>
      </c>
      <c r="R53" s="18" t="s">
        <v>36</v>
      </c>
      <c r="S53" s="18" t="s">
        <v>37</v>
      </c>
      <c r="T53" s="93">
        <v>2715</v>
      </c>
      <c r="U53" s="93">
        <v>2226</v>
      </c>
      <c r="V53" s="93">
        <v>3</v>
      </c>
      <c r="W53" s="93">
        <f>AUG_2023[[#This Row],[Sales Amount]]-AUG_2023[[#This Row],[Cost]]</f>
        <v>489</v>
      </c>
      <c r="X53" s="970">
        <f>AUG_2023[[#This Row],[Profit]]/AUG_2023[[#This Row],[Cost]]</f>
        <v>0.21967654986522911</v>
      </c>
      <c r="Y53" s="93"/>
      <c r="Z53" s="93"/>
    </row>
    <row r="54" spans="1:26" hidden="1">
      <c r="A54" s="4106" t="s">
        <v>26</v>
      </c>
      <c r="B54" s="4106" t="s">
        <v>1690</v>
      </c>
      <c r="C54" s="4106" t="s">
        <v>28</v>
      </c>
      <c r="D54" s="4178">
        <v>45144</v>
      </c>
      <c r="E54" s="1112">
        <v>45153</v>
      </c>
      <c r="F54" s="4106" t="s">
        <v>245</v>
      </c>
      <c r="G54" s="4106" t="s">
        <v>57</v>
      </c>
      <c r="H54" s="1130">
        <v>45159</v>
      </c>
      <c r="I54" s="1116" t="s">
        <v>104</v>
      </c>
      <c r="J54" s="58" t="s">
        <v>32</v>
      </c>
      <c r="K54" s="4149" t="s">
        <v>1686</v>
      </c>
      <c r="L54" s="1116">
        <v>4282429</v>
      </c>
      <c r="M54" s="1130">
        <v>45154</v>
      </c>
      <c r="N54" s="1184">
        <v>45154</v>
      </c>
      <c r="O54" s="1535">
        <v>45160</v>
      </c>
      <c r="P54" s="4194" t="s">
        <v>1691</v>
      </c>
      <c r="Q54" s="4106" t="s">
        <v>35</v>
      </c>
      <c r="R54" s="18" t="s">
        <v>36</v>
      </c>
      <c r="S54" s="18" t="s">
        <v>37</v>
      </c>
      <c r="T54" s="93">
        <v>2640</v>
      </c>
      <c r="U54" s="93">
        <v>1960</v>
      </c>
      <c r="V54" s="93">
        <v>2</v>
      </c>
      <c r="W54" s="93">
        <f>AUG_2023[[#This Row],[Sales Amount]]-AUG_2023[[#This Row],[Cost]]</f>
        <v>680</v>
      </c>
      <c r="X54" s="970">
        <f>AUG_2023[[#This Row],[Profit]]/AUG_2023[[#This Row],[Cost]]</f>
        <v>0.34693877551020408</v>
      </c>
      <c r="Y54" s="93"/>
      <c r="Z54" s="93"/>
    </row>
    <row r="55" spans="1:26" hidden="1">
      <c r="A55" s="4106" t="s">
        <v>26</v>
      </c>
      <c r="B55" s="18" t="s">
        <v>1692</v>
      </c>
      <c r="C55" s="18" t="s">
        <v>28</v>
      </c>
      <c r="D55" s="4189">
        <v>45146</v>
      </c>
      <c r="E55" s="708">
        <v>45155</v>
      </c>
      <c r="F55" s="1432" t="s">
        <v>285</v>
      </c>
      <c r="G55" s="18" t="s">
        <v>46</v>
      </c>
      <c r="H55" s="1130">
        <v>45160</v>
      </c>
      <c r="I55" s="1116" t="s">
        <v>178</v>
      </c>
      <c r="J55" s="4197" t="s">
        <v>32</v>
      </c>
      <c r="K55" s="4149" t="s">
        <v>954</v>
      </c>
      <c r="L55" s="1116" t="s">
        <v>1693</v>
      </c>
      <c r="M55" s="1130">
        <v>45158</v>
      </c>
      <c r="N55" s="1130">
        <v>45157</v>
      </c>
      <c r="O55" s="844">
        <v>45160</v>
      </c>
      <c r="P55" s="4122" t="s">
        <v>1694</v>
      </c>
      <c r="Q55" s="18" t="s">
        <v>35</v>
      </c>
      <c r="R55" s="58" t="s">
        <v>36</v>
      </c>
      <c r="S55" s="18" t="s">
        <v>37</v>
      </c>
      <c r="T55" s="93">
        <v>1530</v>
      </c>
      <c r="U55" s="93">
        <v>1282</v>
      </c>
      <c r="V55" s="93"/>
      <c r="W55" s="93">
        <f>AUG_2023[[#This Row],[Sales Amount]]-AUG_2023[[#This Row],[Cost]]</f>
        <v>248</v>
      </c>
      <c r="X55" s="970">
        <f>AUG_2023[[#This Row],[Profit]]/AUG_2023[[#This Row],[Cost]]</f>
        <v>0.19344773790951639</v>
      </c>
      <c r="Y55" s="93"/>
      <c r="Z55" s="93"/>
    </row>
    <row r="56" spans="1:26" hidden="1">
      <c r="A56" s="4106" t="s">
        <v>1262</v>
      </c>
      <c r="B56" s="4106" t="s">
        <v>1695</v>
      </c>
      <c r="C56" s="4106" t="s">
        <v>1264</v>
      </c>
      <c r="D56" s="4189">
        <v>45153</v>
      </c>
      <c r="E56" s="844">
        <v>45153</v>
      </c>
      <c r="F56" s="4198" t="s">
        <v>245</v>
      </c>
      <c r="G56" s="4106" t="s">
        <v>1696</v>
      </c>
      <c r="H56" s="1130">
        <v>45160</v>
      </c>
      <c r="I56" s="1116" t="s">
        <v>178</v>
      </c>
      <c r="J56" s="1450" t="s">
        <v>440</v>
      </c>
      <c r="K56" s="4149" t="s">
        <v>1697</v>
      </c>
      <c r="L56" s="1116" t="s">
        <v>542</v>
      </c>
      <c r="M56" s="1130">
        <v>45159</v>
      </c>
      <c r="N56" s="1119">
        <v>45159</v>
      </c>
      <c r="O56" s="844">
        <v>45160</v>
      </c>
      <c r="P56" s="4122" t="s">
        <v>1698</v>
      </c>
      <c r="Q56" s="18" t="s">
        <v>35</v>
      </c>
      <c r="R56" s="58" t="s">
        <v>36</v>
      </c>
      <c r="S56" s="18" t="s">
        <v>1270</v>
      </c>
      <c r="T56" s="93">
        <v>1440</v>
      </c>
      <c r="U56" s="84">
        <v>965</v>
      </c>
      <c r="V56" s="93"/>
      <c r="W56" s="93">
        <f>AUG_2023[[#This Row],[Sales Amount]]-AUG_2023[[#This Row],[Cost]]</f>
        <v>475</v>
      </c>
      <c r="X56" s="970">
        <f>AUG_2023[[#This Row],[Profit]]/AUG_2023[[#This Row],[Cost]]</f>
        <v>0.49222797927461137</v>
      </c>
      <c r="Y56" s="93"/>
      <c r="Z56" s="93"/>
    </row>
    <row r="57" spans="1:26" s="117" customFormat="1" hidden="1">
      <c r="A57" s="18" t="s">
        <v>497</v>
      </c>
      <c r="B57" s="18" t="s">
        <v>1699</v>
      </c>
      <c r="C57" s="18" t="s">
        <v>44</v>
      </c>
      <c r="D57" s="661">
        <v>45149</v>
      </c>
      <c r="E57" s="708">
        <v>45153</v>
      </c>
      <c r="F57" s="1432" t="s">
        <v>1017</v>
      </c>
      <c r="G57" s="18" t="s">
        <v>829</v>
      </c>
      <c r="H57" s="18"/>
      <c r="I57" s="18"/>
      <c r="J57" s="1450" t="s">
        <v>168</v>
      </c>
      <c r="K57" s="58" t="s">
        <v>310</v>
      </c>
      <c r="L57" s="58" t="s">
        <v>1700</v>
      </c>
      <c r="M57" s="661">
        <v>45155</v>
      </c>
      <c r="N57" s="982">
        <v>45154</v>
      </c>
      <c r="O57" s="982">
        <v>45155</v>
      </c>
      <c r="P57" s="709" t="s">
        <v>1701</v>
      </c>
      <c r="Q57" s="718" t="s">
        <v>50</v>
      </c>
      <c r="R57" s="709" t="s">
        <v>51</v>
      </c>
      <c r="S57" s="718"/>
      <c r="T57" s="718"/>
      <c r="U57" s="718"/>
      <c r="V57" s="718"/>
      <c r="W57" s="718">
        <f>AUG_2023[[#This Row],[Sales Amount]]-AUG_2023[[#This Row],[Cost]]</f>
        <v>0</v>
      </c>
      <c r="X57" s="1348" t="e">
        <f>AUG_2023[[#This Row],[Profit]]/AUG_2023[[#This Row],[Cost]]</f>
        <v>#DIV/0!</v>
      </c>
      <c r="Y57" s="718"/>
      <c r="Z57" s="718"/>
    </row>
    <row r="58" spans="1:26" s="117" customFormat="1">
      <c r="A58" s="4191" t="s">
        <v>1035</v>
      </c>
      <c r="B58" s="4191" t="s">
        <v>1702</v>
      </c>
      <c r="C58" s="19" t="s">
        <v>44</v>
      </c>
      <c r="D58" s="4199">
        <v>45144</v>
      </c>
      <c r="E58" s="55">
        <v>45155</v>
      </c>
      <c r="F58" s="4200" t="s">
        <v>151</v>
      </c>
      <c r="G58" s="19" t="s">
        <v>302</v>
      </c>
      <c r="H58" s="49" t="s">
        <v>1038</v>
      </c>
      <c r="I58" s="19"/>
      <c r="J58" s="19" t="s">
        <v>32</v>
      </c>
      <c r="K58" s="4191" t="s">
        <v>162</v>
      </c>
      <c r="L58" s="4191" t="s">
        <v>1703</v>
      </c>
      <c r="M58" s="662">
        <v>45157</v>
      </c>
      <c r="N58" s="49">
        <v>45156</v>
      </c>
      <c r="O58" s="49">
        <v>45156</v>
      </c>
      <c r="P58" s="4150" t="s">
        <v>1704</v>
      </c>
      <c r="Q58" s="4193" t="s">
        <v>75</v>
      </c>
      <c r="R58" s="24" t="s">
        <v>36</v>
      </c>
      <c r="S58" s="120"/>
      <c r="T58" s="120"/>
      <c r="U58" s="120"/>
      <c r="V58" s="120"/>
      <c r="W58" s="120">
        <f>AUG_2023[[#This Row],[Sales Amount]]-AUG_2023[[#This Row],[Cost]]</f>
        <v>0</v>
      </c>
      <c r="X58" s="1067" t="e">
        <f>AUG_2023[[#This Row],[Profit]]/AUG_2023[[#This Row],[Cost]]</f>
        <v>#DIV/0!</v>
      </c>
      <c r="Y58" s="120"/>
      <c r="Z58" s="120"/>
    </row>
    <row r="59" spans="1:26" s="117" customFormat="1" hidden="1">
      <c r="A59" s="4149" t="s">
        <v>26</v>
      </c>
      <c r="B59" s="4149" t="s">
        <v>1705</v>
      </c>
      <c r="C59" s="4106" t="s">
        <v>28</v>
      </c>
      <c r="D59" s="4189">
        <v>45144</v>
      </c>
      <c r="E59" s="708">
        <v>45153</v>
      </c>
      <c r="F59" s="4106" t="s">
        <v>245</v>
      </c>
      <c r="G59" s="4106" t="s">
        <v>57</v>
      </c>
      <c r="H59" s="1115">
        <v>45160</v>
      </c>
      <c r="I59" s="915" t="s">
        <v>104</v>
      </c>
      <c r="J59" s="1450" t="s">
        <v>32</v>
      </c>
      <c r="K59" s="18" t="s">
        <v>1686</v>
      </c>
      <c r="L59" s="915">
        <v>4282529</v>
      </c>
      <c r="M59" s="1119">
        <v>45154</v>
      </c>
      <c r="N59" s="1119">
        <v>45154</v>
      </c>
      <c r="O59" s="1424">
        <v>45161</v>
      </c>
      <c r="P59" s="4122" t="s">
        <v>1691</v>
      </c>
      <c r="Q59" s="4149" t="s">
        <v>35</v>
      </c>
      <c r="R59" s="58" t="s">
        <v>36</v>
      </c>
      <c r="S59" s="58" t="s">
        <v>37</v>
      </c>
      <c r="T59" s="106">
        <v>2640</v>
      </c>
      <c r="U59" s="106">
        <v>1960</v>
      </c>
      <c r="V59" s="106">
        <v>2</v>
      </c>
      <c r="W59" s="106">
        <f>AUG_2023[[#This Row],[Sales Amount]]-AUG_2023[[#This Row],[Cost]]</f>
        <v>680</v>
      </c>
      <c r="X59" s="887">
        <f>AUG_2023[[#This Row],[Profit]]/AUG_2023[[#This Row],[Cost]]</f>
        <v>0.34693877551020408</v>
      </c>
      <c r="Y59" s="106"/>
      <c r="Z59" s="106"/>
    </row>
    <row r="60" spans="1:26" ht="180">
      <c r="A60" s="25" t="s">
        <v>319</v>
      </c>
      <c r="B60" s="4850" t="s">
        <v>1706</v>
      </c>
      <c r="C60" s="3234" t="s">
        <v>44</v>
      </c>
      <c r="D60" s="4199">
        <v>45139</v>
      </c>
      <c r="E60" s="55">
        <v>45155</v>
      </c>
      <c r="F60" s="4184" t="s">
        <v>151</v>
      </c>
      <c r="G60" s="4154" t="s">
        <v>1707</v>
      </c>
      <c r="H60" s="944" t="s">
        <v>1708</v>
      </c>
      <c r="I60" s="829" t="s">
        <v>1709</v>
      </c>
      <c r="J60" s="4093" t="s">
        <v>1710</v>
      </c>
      <c r="K60" s="4093" t="s">
        <v>1711</v>
      </c>
      <c r="L60" s="1425" t="s">
        <v>1712</v>
      </c>
      <c r="M60" s="841">
        <v>45157</v>
      </c>
      <c r="N60" s="841">
        <v>45159</v>
      </c>
      <c r="O60" s="974">
        <v>45170</v>
      </c>
      <c r="P60" s="4104" t="s">
        <v>1713</v>
      </c>
      <c r="Q60" s="117" t="s">
        <v>75</v>
      </c>
      <c r="R60" s="4175" t="s">
        <v>1714</v>
      </c>
      <c r="S60" s="117">
        <v>4</v>
      </c>
      <c r="T60" s="117">
        <v>5525</v>
      </c>
      <c r="U60" s="4104">
        <f>3234.75+750+750</f>
        <v>4734.75</v>
      </c>
      <c r="V60" s="117">
        <v>1</v>
      </c>
      <c r="W60" s="117">
        <f>AUG_2023[[#This Row],[Sales Amount]]-AUG_2023[[#This Row],[Cost]]</f>
        <v>790.25</v>
      </c>
      <c r="X60" s="923">
        <f>AUG_2023[[#This Row],[Profit]]/AUG_2023[[#This Row],[Cost]]</f>
        <v>0.16690427160884946</v>
      </c>
      <c r="Y60" s="117"/>
      <c r="Z60" s="117"/>
    </row>
    <row r="61" spans="1:26">
      <c r="A61" s="25" t="s">
        <v>1035</v>
      </c>
      <c r="B61" s="4850" t="s">
        <v>1715</v>
      </c>
      <c r="C61" s="3234" t="s">
        <v>44</v>
      </c>
      <c r="D61" s="4199">
        <v>45144</v>
      </c>
      <c r="E61" s="55">
        <v>45156</v>
      </c>
      <c r="F61" s="4184" t="s">
        <v>151</v>
      </c>
      <c r="G61" s="25" t="s">
        <v>302</v>
      </c>
      <c r="H61" s="353" t="s">
        <v>1038</v>
      </c>
      <c r="I61" s="25"/>
      <c r="J61" s="4154" t="s">
        <v>32</v>
      </c>
      <c r="K61" s="4154" t="s">
        <v>162</v>
      </c>
      <c r="L61" s="4154" t="s">
        <v>1716</v>
      </c>
      <c r="M61" s="4118">
        <v>45158</v>
      </c>
      <c r="N61" s="353">
        <v>45157</v>
      </c>
      <c r="O61" s="353">
        <v>45157</v>
      </c>
      <c r="P61" s="4150" t="s">
        <v>1717</v>
      </c>
      <c r="Q61" s="4150" t="s">
        <v>75</v>
      </c>
      <c r="R61" s="507" t="s">
        <v>36</v>
      </c>
      <c r="S61" s="117"/>
      <c r="T61" s="117"/>
      <c r="U61" s="117"/>
      <c r="V61" s="117"/>
      <c r="W61" s="117">
        <f>AUG_2023[[#This Row],[Sales Amount]]-AUG_2023[[#This Row],[Cost]]</f>
        <v>0</v>
      </c>
      <c r="X61" s="923" t="e">
        <f>AUG_2023[[#This Row],[Profit]]/AUG_2023[[#This Row],[Cost]]</f>
        <v>#DIV/0!</v>
      </c>
      <c r="Y61" s="117"/>
      <c r="Z61" s="117"/>
    </row>
    <row r="62" spans="1:26" ht="60">
      <c r="A62" s="25" t="s">
        <v>409</v>
      </c>
      <c r="B62" s="4850" t="s">
        <v>1718</v>
      </c>
      <c r="C62" s="3234" t="s">
        <v>28</v>
      </c>
      <c r="D62" s="353">
        <v>45144</v>
      </c>
      <c r="E62" s="889">
        <v>45156</v>
      </c>
      <c r="F62" s="3234" t="s">
        <v>45</v>
      </c>
      <c r="G62" s="25" t="s">
        <v>302</v>
      </c>
      <c r="H62" s="353">
        <v>45163</v>
      </c>
      <c r="I62" s="25" t="s">
        <v>1719</v>
      </c>
      <c r="J62" s="25" t="s">
        <v>32</v>
      </c>
      <c r="K62" s="25" t="s">
        <v>59</v>
      </c>
      <c r="L62" s="579" t="s">
        <v>1720</v>
      </c>
      <c r="M62" s="4118">
        <v>45158</v>
      </c>
      <c r="N62" s="929">
        <v>45157</v>
      </c>
      <c r="O62" s="353">
        <v>45164</v>
      </c>
      <c r="P62" s="4104" t="s">
        <v>1721</v>
      </c>
      <c r="Q62" s="117" t="s">
        <v>75</v>
      </c>
      <c r="R62" s="4150" t="s">
        <v>1722</v>
      </c>
      <c r="S62" s="117"/>
      <c r="T62" s="117">
        <v>1740</v>
      </c>
      <c r="U62" s="117">
        <v>1208</v>
      </c>
      <c r="V62" s="117">
        <v>1</v>
      </c>
      <c r="W62" s="117">
        <f>AUG_2023[[#This Row],[Sales Amount]]-AUG_2023[[#This Row],[Cost]]</f>
        <v>532</v>
      </c>
      <c r="X62" s="923">
        <f>AUG_2023[[#This Row],[Profit]]/AUG_2023[[#This Row],[Cost]]</f>
        <v>0.44039735099337746</v>
      </c>
      <c r="Y62" s="117"/>
      <c r="Z62" s="117"/>
    </row>
    <row r="63" spans="1:26" hidden="1">
      <c r="A63" s="58" t="s">
        <v>409</v>
      </c>
      <c r="B63" s="58" t="s">
        <v>1723</v>
      </c>
      <c r="C63" s="3235" t="s">
        <v>28</v>
      </c>
      <c r="D63" s="844">
        <v>45144</v>
      </c>
      <c r="E63" s="1112">
        <v>45156</v>
      </c>
      <c r="F63" s="3235" t="s">
        <v>45</v>
      </c>
      <c r="G63" s="58" t="s">
        <v>1724</v>
      </c>
      <c r="H63" s="58"/>
      <c r="I63" s="58"/>
      <c r="J63" s="58" t="s">
        <v>32</v>
      </c>
      <c r="K63" s="58" t="s">
        <v>310</v>
      </c>
      <c r="L63" s="58" t="s">
        <v>1725</v>
      </c>
      <c r="M63" s="844">
        <v>45158</v>
      </c>
      <c r="N63" s="1139">
        <v>45157</v>
      </c>
      <c r="O63" s="1139">
        <v>45159</v>
      </c>
      <c r="P63" s="709" t="s">
        <v>1726</v>
      </c>
      <c r="Q63" s="709" t="s">
        <v>89</v>
      </c>
      <c r="R63" s="709" t="s">
        <v>51</v>
      </c>
      <c r="S63" s="709"/>
      <c r="T63" s="709"/>
      <c r="U63" s="709"/>
      <c r="V63" s="709"/>
      <c r="W63" s="709">
        <f>AUG_2023[[#This Row],[Sales Amount]]-AUG_2023[[#This Row],[Cost]]</f>
        <v>0</v>
      </c>
      <c r="X63" s="1384" t="e">
        <f>AUG_2023[[#This Row],[Profit]]/AUG_2023[[#This Row],[Cost]]</f>
        <v>#DIV/0!</v>
      </c>
      <c r="Y63" s="709"/>
      <c r="Z63" s="709"/>
    </row>
    <row r="64" spans="1:26" hidden="1">
      <c r="A64" s="58" t="s">
        <v>1255</v>
      </c>
      <c r="B64" s="58" t="s">
        <v>1727</v>
      </c>
      <c r="C64" s="58" t="s">
        <v>28</v>
      </c>
      <c r="D64" s="844">
        <v>45146</v>
      </c>
      <c r="E64" s="1112">
        <v>45156</v>
      </c>
      <c r="F64" s="58" t="s">
        <v>990</v>
      </c>
      <c r="G64" s="58" t="s">
        <v>1724</v>
      </c>
      <c r="H64" s="58"/>
      <c r="I64" s="58"/>
      <c r="J64" s="58" t="s">
        <v>32</v>
      </c>
      <c r="K64" s="58" t="s">
        <v>310</v>
      </c>
      <c r="L64" s="1481" t="s">
        <v>1728</v>
      </c>
      <c r="M64" s="844">
        <v>45159</v>
      </c>
      <c r="N64" s="1139">
        <v>45159</v>
      </c>
      <c r="O64" s="58"/>
      <c r="P64" s="709" t="s">
        <v>1729</v>
      </c>
      <c r="Q64" s="709" t="s">
        <v>50</v>
      </c>
      <c r="R64" s="709" t="s">
        <v>51</v>
      </c>
      <c r="S64" s="709"/>
      <c r="T64" s="709"/>
      <c r="U64" s="709"/>
      <c r="V64" s="709"/>
      <c r="W64" s="709">
        <f>AUG_2023[[#This Row],[Sales Amount]]-AUG_2023[[#This Row],[Cost]]</f>
        <v>0</v>
      </c>
      <c r="X64" s="1384" t="e">
        <f>AUG_2023[[#This Row],[Profit]]/AUG_2023[[#This Row],[Cost]]</f>
        <v>#DIV/0!</v>
      </c>
      <c r="Y64" s="709"/>
      <c r="Z64" s="709"/>
    </row>
    <row r="65" spans="1:26" ht="60">
      <c r="A65" s="4154" t="s">
        <v>165</v>
      </c>
      <c r="B65" s="25" t="s">
        <v>1730</v>
      </c>
      <c r="C65" s="4154" t="s">
        <v>200</v>
      </c>
      <c r="D65" s="4155">
        <v>45142</v>
      </c>
      <c r="E65" s="889">
        <v>45157</v>
      </c>
      <c r="F65" s="4154" t="s">
        <v>167</v>
      </c>
      <c r="G65" s="4154" t="s">
        <v>46</v>
      </c>
      <c r="H65" s="1506">
        <v>45160</v>
      </c>
      <c r="I65" s="803" t="s">
        <v>790</v>
      </c>
      <c r="J65" s="4201" t="s">
        <v>32</v>
      </c>
      <c r="K65" s="25" t="s">
        <v>1731</v>
      </c>
      <c r="L65" s="4191" t="s">
        <v>1732</v>
      </c>
      <c r="M65" s="353">
        <v>45159</v>
      </c>
      <c r="N65" s="353">
        <v>45159</v>
      </c>
      <c r="O65" s="373">
        <v>45160</v>
      </c>
      <c r="P65" s="4104" t="s">
        <v>1733</v>
      </c>
      <c r="Q65" s="117" t="s">
        <v>75</v>
      </c>
      <c r="R65" s="3" t="s">
        <v>1734</v>
      </c>
      <c r="S65" s="117"/>
      <c r="T65" s="117">
        <v>750</v>
      </c>
      <c r="U65" s="117">
        <v>480</v>
      </c>
      <c r="V65" s="117">
        <v>1</v>
      </c>
      <c r="W65" s="117">
        <f>AUG_2023[[#This Row],[Sales Amount]]-AUG_2023[[#This Row],[Cost]]</f>
        <v>270</v>
      </c>
      <c r="X65" s="923">
        <f>AUG_2023[[#This Row],[Profit]]/AUG_2023[[#This Row],[Cost]]</f>
        <v>0.5625</v>
      </c>
      <c r="Y65" s="117"/>
      <c r="Z65" s="117"/>
    </row>
    <row r="66" spans="1:26" ht="60">
      <c r="A66" s="483" t="s">
        <v>1735</v>
      </c>
      <c r="B66" s="4093" t="s">
        <v>1736</v>
      </c>
      <c r="C66" s="25" t="s">
        <v>1737</v>
      </c>
      <c r="D66" s="353">
        <v>45143</v>
      </c>
      <c r="E66" s="889">
        <v>45157</v>
      </c>
      <c r="F66" s="25" t="s">
        <v>45</v>
      </c>
      <c r="G66" s="25" t="s">
        <v>361</v>
      </c>
      <c r="H66" s="353">
        <v>45160</v>
      </c>
      <c r="I66" s="4093" t="s">
        <v>1738</v>
      </c>
      <c r="J66" s="1470" t="s">
        <v>32</v>
      </c>
      <c r="K66" s="4093" t="s">
        <v>1739</v>
      </c>
      <c r="L66" s="4191" t="s">
        <v>1740</v>
      </c>
      <c r="M66" s="353">
        <v>45159</v>
      </c>
      <c r="N66" s="373">
        <v>45159</v>
      </c>
      <c r="O66" s="373">
        <v>45162</v>
      </c>
      <c r="P66" s="4104" t="s">
        <v>1741</v>
      </c>
      <c r="Q66" s="117" t="s">
        <v>75</v>
      </c>
      <c r="R66" s="4150" t="s">
        <v>1742</v>
      </c>
      <c r="S66" s="117">
        <v>4</v>
      </c>
      <c r="T66" s="117">
        <v>2495</v>
      </c>
      <c r="U66" s="117">
        <v>1756</v>
      </c>
      <c r="V66" s="117">
        <v>1</v>
      </c>
      <c r="W66" s="117">
        <f>AUG_2023[[#This Row],[Sales Amount]]-AUG_2023[[#This Row],[Cost]]</f>
        <v>739</v>
      </c>
      <c r="X66" s="923">
        <f>AUG_2023[[#This Row],[Profit]]/AUG_2023[[#This Row],[Cost]]</f>
        <v>0.42084282460136674</v>
      </c>
      <c r="Y66" s="117"/>
      <c r="Z66" s="117"/>
    </row>
    <row r="67" spans="1:26" ht="45">
      <c r="A67" s="4154" t="s">
        <v>556</v>
      </c>
      <c r="B67" s="4154" t="s">
        <v>1743</v>
      </c>
      <c r="C67" s="4154" t="s">
        <v>451</v>
      </c>
      <c r="D67" s="4155">
        <v>45149</v>
      </c>
      <c r="E67" s="889">
        <v>45157</v>
      </c>
      <c r="F67" s="4154" t="s">
        <v>151</v>
      </c>
      <c r="G67" s="25" t="s">
        <v>302</v>
      </c>
      <c r="H67" s="889">
        <v>45162</v>
      </c>
      <c r="I67" s="803" t="s">
        <v>1744</v>
      </c>
      <c r="J67" s="1470" t="s">
        <v>32</v>
      </c>
      <c r="K67" s="4093" t="s">
        <v>1592</v>
      </c>
      <c r="L67" s="25" t="s">
        <v>1745</v>
      </c>
      <c r="M67" s="353">
        <v>45159</v>
      </c>
      <c r="N67" s="353">
        <v>45159</v>
      </c>
      <c r="O67" s="353">
        <v>45162</v>
      </c>
      <c r="P67" s="4104" t="s">
        <v>1746</v>
      </c>
      <c r="Q67" s="117" t="s">
        <v>75</v>
      </c>
      <c r="R67" s="4150" t="s">
        <v>1747</v>
      </c>
      <c r="S67" s="117">
        <v>4</v>
      </c>
      <c r="T67" s="117">
        <v>2210</v>
      </c>
      <c r="U67" s="117">
        <v>1546</v>
      </c>
      <c r="V67" s="117">
        <v>1</v>
      </c>
      <c r="W67" s="117">
        <f>AUG_2023[[#This Row],[Sales Amount]]-AUG_2023[[#This Row],[Cost]]</f>
        <v>664</v>
      </c>
      <c r="X67" s="923">
        <f>AUG_2023[[#This Row],[Profit]]/AUG_2023[[#This Row],[Cost]]</f>
        <v>0.4294954721862872</v>
      </c>
      <c r="Y67" s="117"/>
      <c r="Z67" s="117"/>
    </row>
    <row r="68" spans="1:26">
      <c r="A68" s="25" t="s">
        <v>1035</v>
      </c>
      <c r="B68" s="4154" t="s">
        <v>1748</v>
      </c>
      <c r="C68" s="25" t="s">
        <v>44</v>
      </c>
      <c r="D68" s="4155">
        <v>45144</v>
      </c>
      <c r="E68" s="889">
        <v>45157</v>
      </c>
      <c r="F68" s="4154" t="s">
        <v>151</v>
      </c>
      <c r="G68" s="25" t="s">
        <v>302</v>
      </c>
      <c r="H68" s="353" t="s">
        <v>1038</v>
      </c>
      <c r="I68" s="25"/>
      <c r="J68" s="1470" t="s">
        <v>32</v>
      </c>
      <c r="K68" s="4154" t="s">
        <v>162</v>
      </c>
      <c r="L68" s="25">
        <v>964018</v>
      </c>
      <c r="M68" s="353">
        <v>45160</v>
      </c>
      <c r="N68" s="353">
        <v>45159</v>
      </c>
      <c r="O68" s="353">
        <v>45159</v>
      </c>
      <c r="P68" s="4150" t="s">
        <v>1717</v>
      </c>
      <c r="Q68" s="4150" t="s">
        <v>75</v>
      </c>
      <c r="R68" s="4150" t="s">
        <v>36</v>
      </c>
      <c r="S68" s="117"/>
      <c r="T68" s="117"/>
      <c r="U68" s="117"/>
      <c r="V68" s="117"/>
      <c r="W68" s="117">
        <f>AUG_2023[[#This Row],[Sales Amount]]-AUG_2023[[#This Row],[Cost]]</f>
        <v>0</v>
      </c>
      <c r="X68" s="923" t="e">
        <f>AUG_2023[[#This Row],[Profit]]/AUG_2023[[#This Row],[Cost]]</f>
        <v>#DIV/0!</v>
      </c>
      <c r="Y68" s="117"/>
      <c r="Z68" s="117"/>
    </row>
    <row r="69" spans="1:26" s="117" customFormat="1" ht="45">
      <c r="A69" s="979" t="s">
        <v>210</v>
      </c>
      <c r="B69" s="7" t="s">
        <v>1749</v>
      </c>
      <c r="C69" s="3234" t="s">
        <v>44</v>
      </c>
      <c r="D69" s="353">
        <v>45147</v>
      </c>
      <c r="E69" s="889">
        <v>45157</v>
      </c>
      <c r="F69" s="25" t="s">
        <v>151</v>
      </c>
      <c r="G69" s="25" t="s">
        <v>302</v>
      </c>
      <c r="H69" s="353">
        <v>45163</v>
      </c>
      <c r="I69" s="25" t="s">
        <v>1750</v>
      </c>
      <c r="J69" s="25" t="s">
        <v>32</v>
      </c>
      <c r="K69" s="7" t="s">
        <v>1751</v>
      </c>
      <c r="L69" s="353" t="s">
        <v>1752</v>
      </c>
      <c r="M69" s="353">
        <v>45160</v>
      </c>
      <c r="N69" s="353">
        <v>45160</v>
      </c>
      <c r="O69" s="1471">
        <v>45164</v>
      </c>
      <c r="P69" s="4141" t="s">
        <v>1753</v>
      </c>
      <c r="Q69" s="106" t="s">
        <v>75</v>
      </c>
      <c r="R69" s="52" t="s">
        <v>1754</v>
      </c>
      <c r="S69" s="106">
        <v>4</v>
      </c>
      <c r="T69" s="106">
        <v>2090</v>
      </c>
      <c r="U69" s="106">
        <v>1559</v>
      </c>
      <c r="V69" s="106">
        <v>1</v>
      </c>
      <c r="W69" s="106">
        <f>AUG_2023[[#This Row],[Sales Amount]]-AUG_2023[[#This Row],[Cost]]</f>
        <v>531</v>
      </c>
      <c r="X69" s="887">
        <f>AUG_2023[[#This Row],[Profit]]/AUG_2023[[#This Row],[Cost]]</f>
        <v>0.34060295060936496</v>
      </c>
      <c r="Y69" s="106"/>
      <c r="Z69" s="106"/>
    </row>
    <row r="70" spans="1:26" s="117" customFormat="1" ht="45">
      <c r="A70" s="4154" t="s">
        <v>468</v>
      </c>
      <c r="B70" s="965" t="s">
        <v>1755</v>
      </c>
      <c r="C70" s="3236" t="s">
        <v>28</v>
      </c>
      <c r="D70" s="1468">
        <v>45157</v>
      </c>
      <c r="E70" s="1468">
        <v>45157</v>
      </c>
      <c r="F70" s="965" t="s">
        <v>245</v>
      </c>
      <c r="G70" s="965" t="s">
        <v>1756</v>
      </c>
      <c r="H70" s="1452" t="s">
        <v>1757</v>
      </c>
      <c r="I70" s="981" t="s">
        <v>1758</v>
      </c>
      <c r="J70" s="965" t="s">
        <v>859</v>
      </c>
      <c r="K70" s="965" t="s">
        <v>860</v>
      </c>
      <c r="L70" s="4154" t="s">
        <v>162</v>
      </c>
      <c r="M70" s="1468">
        <v>45162</v>
      </c>
      <c r="N70" s="1473">
        <v>45162</v>
      </c>
      <c r="O70" s="1473">
        <v>45178</v>
      </c>
      <c r="P70" s="4104" t="s">
        <v>1759</v>
      </c>
      <c r="Q70" s="117" t="s">
        <v>75</v>
      </c>
      <c r="R70" s="4104" t="s">
        <v>1760</v>
      </c>
      <c r="S70" s="117">
        <v>4</v>
      </c>
      <c r="T70" s="766">
        <v>2435.08</v>
      </c>
      <c r="U70" s="117">
        <v>550</v>
      </c>
      <c r="V70" s="117">
        <v>1</v>
      </c>
      <c r="W70" s="117">
        <f>AUG_2023[[#This Row],[Sales Amount]]-AUG_2023[[#This Row],[Cost]]</f>
        <v>1885.08</v>
      </c>
      <c r="X70" s="923">
        <f>AUG_2023[[#This Row],[Profit]]/AUG_2023[[#This Row],[Cost]]</f>
        <v>3.4274181818181817</v>
      </c>
    </row>
    <row r="71" spans="1:26" s="117" customFormat="1" ht="45">
      <c r="A71" s="4154" t="s">
        <v>468</v>
      </c>
      <c r="B71" s="965" t="s">
        <v>1761</v>
      </c>
      <c r="C71" s="965" t="s">
        <v>28</v>
      </c>
      <c r="D71" s="1468">
        <v>45157</v>
      </c>
      <c r="E71" s="1468">
        <v>45157</v>
      </c>
      <c r="F71" s="965" t="s">
        <v>245</v>
      </c>
      <c r="G71" s="965" t="s">
        <v>1756</v>
      </c>
      <c r="H71" s="1452" t="s">
        <v>1762</v>
      </c>
      <c r="I71" s="837" t="s">
        <v>1763</v>
      </c>
      <c r="J71" s="965" t="s">
        <v>859</v>
      </c>
      <c r="K71" s="965" t="s">
        <v>860</v>
      </c>
      <c r="L71" s="4154" t="s">
        <v>162</v>
      </c>
      <c r="M71" s="1473">
        <v>45162</v>
      </c>
      <c r="N71" s="1533">
        <v>45161</v>
      </c>
      <c r="O71" s="1473">
        <v>45177</v>
      </c>
      <c r="P71" s="4104" t="s">
        <v>1759</v>
      </c>
      <c r="Q71" s="117" t="s">
        <v>75</v>
      </c>
      <c r="R71" s="4104" t="s">
        <v>1760</v>
      </c>
      <c r="S71" s="117">
        <v>4</v>
      </c>
      <c r="T71" s="766">
        <v>2435.09</v>
      </c>
      <c r="U71" s="117">
        <v>565</v>
      </c>
      <c r="V71" s="117">
        <v>1</v>
      </c>
      <c r="W71" s="117">
        <f>AUG_2023[[#This Row],[Sales Amount]]-AUG_2023[[#This Row],[Cost]]</f>
        <v>1870.0900000000001</v>
      </c>
      <c r="X71" s="923">
        <f>AUG_2023[[#This Row],[Profit]]/AUG_2023[[#This Row],[Cost]]</f>
        <v>3.3098938053097346</v>
      </c>
    </row>
    <row r="72" spans="1:26" s="117" customFormat="1" ht="45">
      <c r="A72" s="4154" t="s">
        <v>468</v>
      </c>
      <c r="B72" s="965" t="s">
        <v>1764</v>
      </c>
      <c r="C72" s="965" t="s">
        <v>28</v>
      </c>
      <c r="D72" s="1468">
        <v>45157</v>
      </c>
      <c r="E72" s="1468">
        <v>45157</v>
      </c>
      <c r="F72" s="965" t="s">
        <v>245</v>
      </c>
      <c r="G72" s="965" t="s">
        <v>1756</v>
      </c>
      <c r="H72" s="1452" t="s">
        <v>1762</v>
      </c>
      <c r="I72" s="837" t="s">
        <v>1763</v>
      </c>
      <c r="J72" s="965" t="s">
        <v>859</v>
      </c>
      <c r="K72" s="965" t="s">
        <v>860</v>
      </c>
      <c r="L72" s="4154" t="s">
        <v>162</v>
      </c>
      <c r="M72" s="1468">
        <v>45162</v>
      </c>
      <c r="N72" s="1473">
        <v>45162</v>
      </c>
      <c r="O72" s="1473">
        <v>45176</v>
      </c>
      <c r="P72" s="4104" t="s">
        <v>1765</v>
      </c>
      <c r="Q72" s="117" t="s">
        <v>75</v>
      </c>
      <c r="R72" s="4104" t="s">
        <v>1760</v>
      </c>
      <c r="S72" s="117">
        <v>4</v>
      </c>
      <c r="T72" s="766">
        <v>2435.09</v>
      </c>
      <c r="U72" s="117">
        <v>550</v>
      </c>
      <c r="V72" s="117">
        <v>1</v>
      </c>
      <c r="W72" s="117">
        <f>AUG_2023[[#This Row],[Sales Amount]]-AUG_2023[[#This Row],[Cost]]</f>
        <v>1885.0900000000001</v>
      </c>
      <c r="X72" s="923">
        <f>AUG_2023[[#This Row],[Profit]]/AUG_2023[[#This Row],[Cost]]</f>
        <v>3.4274363636363638</v>
      </c>
    </row>
    <row r="73" spans="1:26" s="117" customFormat="1" hidden="1">
      <c r="A73" s="58" t="s">
        <v>42</v>
      </c>
      <c r="B73" s="58" t="s">
        <v>1766</v>
      </c>
      <c r="C73" s="58" t="s">
        <v>44</v>
      </c>
      <c r="D73" s="844">
        <v>45144</v>
      </c>
      <c r="E73" s="1112">
        <v>45157</v>
      </c>
      <c r="F73" s="58" t="s">
        <v>86</v>
      </c>
      <c r="G73" s="58" t="s">
        <v>1724</v>
      </c>
      <c r="H73" s="58" t="s">
        <v>1767</v>
      </c>
      <c r="I73" s="58"/>
      <c r="J73" s="58" t="s">
        <v>168</v>
      </c>
      <c r="K73" s="58" t="s">
        <v>310</v>
      </c>
      <c r="L73" s="58" t="s">
        <v>1768</v>
      </c>
      <c r="M73" s="844">
        <v>45158</v>
      </c>
      <c r="N73" s="1139">
        <v>45157</v>
      </c>
      <c r="O73" s="58"/>
      <c r="P73" s="709" t="s">
        <v>1769</v>
      </c>
      <c r="Q73" s="709" t="s">
        <v>50</v>
      </c>
      <c r="R73" s="709" t="s">
        <v>51</v>
      </c>
      <c r="S73" s="709"/>
      <c r="T73" s="709"/>
      <c r="U73" s="709"/>
      <c r="V73" s="709"/>
      <c r="W73" s="709">
        <f>AUG_2023[[#This Row],[Sales Amount]]-AUG_2023[[#This Row],[Cost]]</f>
        <v>0</v>
      </c>
      <c r="X73" s="1384" t="e">
        <f>AUG_2023[[#This Row],[Profit]]/AUG_2023[[#This Row],[Cost]]</f>
        <v>#DIV/0!</v>
      </c>
      <c r="Y73" s="709"/>
      <c r="Z73" s="709"/>
    </row>
    <row r="74" spans="1:26" ht="60">
      <c r="A74" s="4154" t="s">
        <v>96</v>
      </c>
      <c r="B74" s="4202" t="s">
        <v>1770</v>
      </c>
      <c r="C74" s="25" t="s">
        <v>451</v>
      </c>
      <c r="D74" s="353">
        <v>45152</v>
      </c>
      <c r="E74" s="889">
        <v>45158</v>
      </c>
      <c r="F74" s="4154" t="s">
        <v>1771</v>
      </c>
      <c r="G74" s="25" t="s">
        <v>302</v>
      </c>
      <c r="H74" s="353">
        <v>45160</v>
      </c>
      <c r="I74" s="803" t="s">
        <v>1772</v>
      </c>
      <c r="J74" s="25" t="s">
        <v>32</v>
      </c>
      <c r="K74" s="4154" t="s">
        <v>1622</v>
      </c>
      <c r="L74" s="827" t="s">
        <v>1773</v>
      </c>
      <c r="M74" s="353">
        <v>45161</v>
      </c>
      <c r="N74" s="353">
        <v>45160</v>
      </c>
      <c r="O74" s="756">
        <v>45161</v>
      </c>
      <c r="P74" s="4141" t="s">
        <v>1774</v>
      </c>
      <c r="Q74" s="4152" t="s">
        <v>75</v>
      </c>
      <c r="R74" t="s">
        <v>1775</v>
      </c>
      <c r="S74" s="106">
        <v>4</v>
      </c>
      <c r="T74" s="106">
        <v>1080</v>
      </c>
      <c r="U74" s="106">
        <v>1010</v>
      </c>
      <c r="V74" s="106">
        <v>1</v>
      </c>
      <c r="W74" s="106">
        <f>AUG_2023[[#This Row],[Sales Amount]]-AUG_2023[[#This Row],[Cost]]</f>
        <v>70</v>
      </c>
      <c r="X74" s="887">
        <f>AUG_2023[[#This Row],[Profit]]/AUG_2023[[#This Row],[Cost]]</f>
        <v>6.9306930693069313E-2</v>
      </c>
    </row>
    <row r="75" spans="1:26" ht="75">
      <c r="A75" s="4154" t="s">
        <v>468</v>
      </c>
      <c r="B75" t="s">
        <v>1776</v>
      </c>
      <c r="C75" s="25" t="s">
        <v>28</v>
      </c>
      <c r="D75" s="4155">
        <v>45146</v>
      </c>
      <c r="E75" s="889">
        <v>45158</v>
      </c>
      <c r="F75" s="4154" t="s">
        <v>1771</v>
      </c>
      <c r="G75" s="25" t="s">
        <v>302</v>
      </c>
      <c r="H75" s="4093" t="s">
        <v>1777</v>
      </c>
      <c r="I75" s="25"/>
      <c r="J75" s="4154" t="s">
        <v>32</v>
      </c>
      <c r="K75" s="4154" t="s">
        <v>47</v>
      </c>
      <c r="L75" s="25" t="s">
        <v>1778</v>
      </c>
      <c r="M75" s="929">
        <v>45162</v>
      </c>
      <c r="N75" s="929">
        <v>45160</v>
      </c>
      <c r="O75" s="373">
        <v>45163</v>
      </c>
      <c r="P75" s="4141" t="s">
        <v>1779</v>
      </c>
      <c r="Q75" s="106" t="s">
        <v>75</v>
      </c>
      <c r="R75" s="4152" t="s">
        <v>1780</v>
      </c>
      <c r="S75" s="106"/>
      <c r="T75" s="106">
        <v>3598</v>
      </c>
      <c r="U75" s="106">
        <v>602</v>
      </c>
      <c r="W75" s="106">
        <f>AUG_2023[[#This Row],[Sales Amount]]-AUG_2023[[#This Row],[Cost]]</f>
        <v>2996</v>
      </c>
      <c r="X75" s="887">
        <f>AUG_2023[[#This Row],[Profit]]/AUG_2023[[#This Row],[Cost]]</f>
        <v>4.9767441860465116</v>
      </c>
    </row>
    <row r="76" spans="1:26" s="709" customFormat="1" ht="165">
      <c r="A76" s="25" t="s">
        <v>1255</v>
      </c>
      <c r="B76" s="4154" t="s">
        <v>1781</v>
      </c>
      <c r="C76" s="3234" t="s">
        <v>44</v>
      </c>
      <c r="D76" s="353">
        <v>45147</v>
      </c>
      <c r="E76" s="889">
        <v>45159</v>
      </c>
      <c r="F76" s="25" t="s">
        <v>93</v>
      </c>
      <c r="G76" s="25" t="s">
        <v>302</v>
      </c>
      <c r="H76" s="353">
        <v>45161</v>
      </c>
      <c r="I76" s="25" t="s">
        <v>1782</v>
      </c>
      <c r="J76" s="25" t="s">
        <v>32</v>
      </c>
      <c r="K76" s="483" t="s">
        <v>1783</v>
      </c>
      <c r="L76" s="483" t="s">
        <v>1784</v>
      </c>
      <c r="M76" s="929">
        <v>45161</v>
      </c>
      <c r="N76" s="929">
        <v>45159</v>
      </c>
      <c r="O76" s="929">
        <v>45162</v>
      </c>
      <c r="P76" s="4104" t="s">
        <v>1785</v>
      </c>
      <c r="Q76" s="117" t="s">
        <v>75</v>
      </c>
      <c r="R76" s="4150" t="s">
        <v>1786</v>
      </c>
      <c r="S76" s="117" t="s">
        <v>67</v>
      </c>
      <c r="T76" s="117">
        <v>3131</v>
      </c>
      <c r="U76" s="117">
        <v>2121</v>
      </c>
      <c r="V76" s="117">
        <v>1</v>
      </c>
      <c r="W76" s="117">
        <f>AUG_2023[[#This Row],[Sales Amount]]-AUG_2023[[#This Row],[Cost]]</f>
        <v>1010</v>
      </c>
      <c r="X76" s="923">
        <f>AUG_2023[[#This Row],[Profit]]/AUG_2023[[#This Row],[Cost]]</f>
        <v>0.47619047619047616</v>
      </c>
      <c r="Y76" s="117"/>
      <c r="Z76" s="117"/>
    </row>
    <row r="77" spans="1:26" hidden="1">
      <c r="A77" s="4149" t="s">
        <v>42</v>
      </c>
      <c r="B77" s="4149" t="s">
        <v>1787</v>
      </c>
      <c r="C77" s="4149" t="s">
        <v>44</v>
      </c>
      <c r="D77" s="4178">
        <v>45149</v>
      </c>
      <c r="E77" s="1112">
        <v>45159</v>
      </c>
      <c r="F77" s="4149" t="s">
        <v>1788</v>
      </c>
      <c r="G77" s="58" t="s">
        <v>1724</v>
      </c>
      <c r="H77" s="58"/>
      <c r="I77" s="58"/>
      <c r="J77" s="4149" t="s">
        <v>32</v>
      </c>
      <c r="K77" s="58" t="s">
        <v>310</v>
      </c>
      <c r="L77" s="1454" t="s">
        <v>1789</v>
      </c>
      <c r="M77" s="844">
        <v>45161</v>
      </c>
      <c r="N77" s="1139">
        <v>45159</v>
      </c>
      <c r="O77" s="1139">
        <v>45160</v>
      </c>
      <c r="P77" s="4122" t="s">
        <v>1790</v>
      </c>
      <c r="Q77" s="4122" t="s">
        <v>89</v>
      </c>
      <c r="R77" s="709" t="s">
        <v>51</v>
      </c>
      <c r="S77" s="709"/>
      <c r="T77" s="709"/>
      <c r="U77" s="709"/>
      <c r="V77" s="709"/>
      <c r="W77" s="709">
        <f>AUG_2023[[#This Row],[Sales Amount]]-AUG_2023[[#This Row],[Cost]]</f>
        <v>0</v>
      </c>
      <c r="X77" s="1384" t="e">
        <f>AUG_2023[[#This Row],[Profit]]/AUG_2023[[#This Row],[Cost]]</f>
        <v>#DIV/0!</v>
      </c>
      <c r="Y77" s="709"/>
      <c r="Z77" s="709"/>
    </row>
    <row r="78" spans="1:26" hidden="1">
      <c r="A78" s="4149" t="s">
        <v>821</v>
      </c>
      <c r="B78" s="4852" t="s">
        <v>1791</v>
      </c>
      <c r="C78" s="4599" t="s">
        <v>44</v>
      </c>
      <c r="D78" s="4616">
        <v>45151</v>
      </c>
      <c r="E78" s="1112">
        <v>45160</v>
      </c>
      <c r="F78" s="4601" t="s">
        <v>1771</v>
      </c>
      <c r="G78" s="58" t="s">
        <v>1724</v>
      </c>
      <c r="H78" s="4599"/>
      <c r="I78" s="58"/>
      <c r="J78" s="4601" t="s">
        <v>32</v>
      </c>
      <c r="K78" s="4149" t="s">
        <v>310</v>
      </c>
      <c r="L78" s="1479" t="s">
        <v>1792</v>
      </c>
      <c r="M78" s="844">
        <v>45160</v>
      </c>
      <c r="N78" s="1139">
        <v>45160</v>
      </c>
      <c r="O78" s="1139">
        <v>45162</v>
      </c>
      <c r="P78" s="4122" t="s">
        <v>1793</v>
      </c>
      <c r="Q78" s="4122" t="s">
        <v>50</v>
      </c>
      <c r="R78" s="709" t="s">
        <v>36</v>
      </c>
      <c r="S78" s="709"/>
      <c r="T78" s="709"/>
      <c r="U78" s="709"/>
      <c r="V78" s="709"/>
      <c r="W78" s="709">
        <f>AUG_2023[[#This Row],[Sales Amount]]-AUG_2023[[#This Row],[Cost]]</f>
        <v>0</v>
      </c>
      <c r="X78" s="1384" t="e">
        <f>AUG_2023[[#This Row],[Profit]]/AUG_2023[[#This Row],[Cost]]</f>
        <v>#DIV/0!</v>
      </c>
      <c r="Y78" s="709"/>
      <c r="Z78" s="709"/>
    </row>
    <row r="79" spans="1:26" hidden="1">
      <c r="A79" s="58" t="s">
        <v>26</v>
      </c>
      <c r="B79" s="4187" t="s">
        <v>1794</v>
      </c>
      <c r="C79" s="1154" t="s">
        <v>200</v>
      </c>
      <c r="D79" s="4203">
        <v>45148</v>
      </c>
      <c r="E79" s="1521">
        <v>45161</v>
      </c>
      <c r="F79" s="4188" t="s">
        <v>245</v>
      </c>
      <c r="G79" s="4188" t="s">
        <v>152</v>
      </c>
      <c r="H79" s="1523">
        <v>45162</v>
      </c>
      <c r="I79" s="1528" t="s">
        <v>1795</v>
      </c>
      <c r="J79" s="1529" t="s">
        <v>203</v>
      </c>
      <c r="K79" s="4149" t="s">
        <v>204</v>
      </c>
      <c r="L79" s="915">
        <v>5722</v>
      </c>
      <c r="M79" s="1115">
        <v>45162</v>
      </c>
      <c r="N79" s="1119">
        <v>45162</v>
      </c>
      <c r="O79" s="1119">
        <v>45162</v>
      </c>
      <c r="P79" s="4122" t="s">
        <v>1796</v>
      </c>
      <c r="Q79" s="58" t="s">
        <v>35</v>
      </c>
      <c r="R79" s="58" t="s">
        <v>36</v>
      </c>
      <c r="S79" s="58" t="s">
        <v>37</v>
      </c>
      <c r="T79" s="106">
        <v>565</v>
      </c>
      <c r="U79" s="106">
        <v>470</v>
      </c>
      <c r="W79" s="106">
        <f>AUG_2023[[#This Row],[Sales Amount]]-AUG_2023[[#This Row],[Cost]]</f>
        <v>95</v>
      </c>
      <c r="X79" s="887">
        <f>AUG_2023[[#This Row],[Profit]]/AUG_2023[[#This Row],[Cost]]</f>
        <v>0.20212765957446807</v>
      </c>
    </row>
    <row r="80" spans="1:26" hidden="1">
      <c r="A80" s="4149" t="s">
        <v>26</v>
      </c>
      <c r="B80" s="58" t="s">
        <v>1797</v>
      </c>
      <c r="C80" s="58" t="s">
        <v>200</v>
      </c>
      <c r="D80" s="4178">
        <v>45142</v>
      </c>
      <c r="E80" s="1112">
        <v>45161</v>
      </c>
      <c r="F80" s="4149" t="s">
        <v>167</v>
      </c>
      <c r="G80" s="4149" t="s">
        <v>57</v>
      </c>
      <c r="H80" s="1467">
        <v>45163</v>
      </c>
      <c r="I80" s="915" t="s">
        <v>40</v>
      </c>
      <c r="J80" s="58" t="s">
        <v>247</v>
      </c>
      <c r="K80" s="4149" t="s">
        <v>281</v>
      </c>
      <c r="L80" s="915">
        <v>4402064</v>
      </c>
      <c r="M80" s="1115">
        <v>45163</v>
      </c>
      <c r="N80" s="1115">
        <v>45163</v>
      </c>
      <c r="O80" s="1139">
        <v>45163</v>
      </c>
      <c r="P80" s="4122" t="s">
        <v>1798</v>
      </c>
      <c r="Q80" s="58" t="s">
        <v>35</v>
      </c>
      <c r="R80" s="58" t="s">
        <v>36</v>
      </c>
      <c r="S80" s="58" t="s">
        <v>37</v>
      </c>
      <c r="T80" s="106">
        <v>1160</v>
      </c>
      <c r="U80" s="106">
        <v>798</v>
      </c>
      <c r="W80" s="106">
        <f>AUG_2023[[#This Row],[Sales Amount]]-AUG_2023[[#This Row],[Cost]]</f>
        <v>362</v>
      </c>
      <c r="X80" s="887">
        <f>AUG_2023[[#This Row],[Profit]]/AUG_2023[[#This Row],[Cost]]</f>
        <v>0.45363408521303256</v>
      </c>
    </row>
    <row r="81" spans="1:26" hidden="1">
      <c r="A81" s="4149" t="s">
        <v>1799</v>
      </c>
      <c r="B81" s="4852" t="s">
        <v>1800</v>
      </c>
      <c r="C81" s="4601" t="s">
        <v>451</v>
      </c>
      <c r="D81" s="4616">
        <v>45147</v>
      </c>
      <c r="E81" s="4617">
        <v>45161</v>
      </c>
      <c r="F81" s="4601" t="s">
        <v>1357</v>
      </c>
      <c r="G81" s="4149" t="s">
        <v>46</v>
      </c>
      <c r="H81" s="4854" t="s">
        <v>315</v>
      </c>
      <c r="I81" s="4600" t="s">
        <v>315</v>
      </c>
      <c r="J81" s="4601" t="s">
        <v>32</v>
      </c>
      <c r="K81" s="4601" t="s">
        <v>1801</v>
      </c>
      <c r="L81" s="915" t="s">
        <v>1802</v>
      </c>
      <c r="M81" s="1115">
        <v>45160</v>
      </c>
      <c r="N81" s="1424">
        <v>45159</v>
      </c>
      <c r="O81" s="844">
        <v>45160</v>
      </c>
      <c r="P81" s="4122" t="s">
        <v>1803</v>
      </c>
      <c r="Q81" s="4149" t="s">
        <v>35</v>
      </c>
      <c r="R81" s="58" t="s">
        <v>36</v>
      </c>
      <c r="S81" s="58" t="s">
        <v>101</v>
      </c>
      <c r="T81" s="106">
        <v>660</v>
      </c>
      <c r="U81" s="106">
        <v>526</v>
      </c>
      <c r="W81" s="106">
        <f>AUG_2023[[#This Row],[Sales Amount]]-AUG_2023[[#This Row],[Cost]]</f>
        <v>134</v>
      </c>
      <c r="X81" s="887">
        <f>AUG_2023[[#This Row],[Profit]]/AUG_2023[[#This Row],[Cost]]</f>
        <v>0.25475285171102663</v>
      </c>
    </row>
    <row r="82" spans="1:26" s="117" customFormat="1" ht="30">
      <c r="A82" s="765" t="s">
        <v>68</v>
      </c>
      <c r="B82" s="831" t="s">
        <v>1804</v>
      </c>
      <c r="C82" s="1518" t="s">
        <v>44</v>
      </c>
      <c r="D82" s="1520">
        <v>45149</v>
      </c>
      <c r="E82" s="68">
        <v>45161</v>
      </c>
      <c r="F82" s="1518" t="s">
        <v>45</v>
      </c>
      <c r="G82" s="765" t="s">
        <v>919</v>
      </c>
      <c r="H82" s="1520">
        <v>45162</v>
      </c>
      <c r="I82" s="1518" t="s">
        <v>445</v>
      </c>
      <c r="J82" s="1518" t="s">
        <v>490</v>
      </c>
      <c r="K82" s="1531" t="s">
        <v>1235</v>
      </c>
      <c r="L82" s="765" t="s">
        <v>1805</v>
      </c>
      <c r="M82" s="68">
        <v>45162</v>
      </c>
      <c r="N82" s="68">
        <v>45162</v>
      </c>
      <c r="O82" s="68">
        <v>45162</v>
      </c>
      <c r="P82" s="794" t="s">
        <v>1806</v>
      </c>
      <c r="Q82" s="766" t="s">
        <v>75</v>
      </c>
      <c r="R82" s="4175" t="s">
        <v>1807</v>
      </c>
      <c r="S82" s="117" t="s">
        <v>67</v>
      </c>
      <c r="T82" s="117">
        <v>800</v>
      </c>
      <c r="U82" s="117">
        <f>425+22.5</f>
        <v>447.5</v>
      </c>
      <c r="V82" s="117">
        <v>1</v>
      </c>
      <c r="W82" s="117">
        <f>AUG_2023[[#This Row],[Sales Amount]]-AUG_2023[[#This Row],[Cost]]</f>
        <v>352.5</v>
      </c>
      <c r="X82" s="923">
        <f>AUG_2023[[#This Row],[Profit]]/AUG_2023[[#This Row],[Cost]]</f>
        <v>0.78770949720670391</v>
      </c>
    </row>
    <row r="83" spans="1:26" ht="30">
      <c r="A83" s="25" t="s">
        <v>68</v>
      </c>
      <c r="B83" s="831" t="s">
        <v>1808</v>
      </c>
      <c r="C83" s="1433" t="s">
        <v>44</v>
      </c>
      <c r="D83" s="1503">
        <v>45154</v>
      </c>
      <c r="E83" s="1505">
        <v>45161</v>
      </c>
      <c r="F83" s="1433" t="s">
        <v>45</v>
      </c>
      <c r="G83" s="25" t="s">
        <v>919</v>
      </c>
      <c r="H83" s="1503">
        <v>45162</v>
      </c>
      <c r="I83" s="4204" t="s">
        <v>790</v>
      </c>
      <c r="J83" s="4204" t="s">
        <v>490</v>
      </c>
      <c r="K83" s="1530" t="s">
        <v>1235</v>
      </c>
      <c r="L83" s="4093" t="s">
        <v>1809</v>
      </c>
      <c r="M83" s="944">
        <v>45163</v>
      </c>
      <c r="N83" s="353">
        <v>45161</v>
      </c>
      <c r="O83" s="353">
        <v>45162</v>
      </c>
      <c r="P83" s="4104" t="s">
        <v>1810</v>
      </c>
      <c r="Q83" s="117" t="s">
        <v>75</v>
      </c>
      <c r="R83" s="4150" t="s">
        <v>1811</v>
      </c>
      <c r="S83" s="117" t="s">
        <v>67</v>
      </c>
      <c r="T83" s="117">
        <v>665</v>
      </c>
      <c r="U83" s="117">
        <f>490+22.5</f>
        <v>512.5</v>
      </c>
      <c r="V83" s="117">
        <v>1</v>
      </c>
      <c r="W83" s="117">
        <f>AUG_2023[[#This Row],[Sales Amount]]-AUG_2023[[#This Row],[Cost]]</f>
        <v>152.5</v>
      </c>
      <c r="X83" s="923">
        <f>AUG_2023[[#This Row],[Profit]]/AUG_2023[[#This Row],[Cost]]</f>
        <v>0.29756097560975608</v>
      </c>
      <c r="Y83" s="117"/>
      <c r="Z83" s="117"/>
    </row>
    <row r="84" spans="1:26" ht="30">
      <c r="A84" s="25" t="s">
        <v>68</v>
      </c>
      <c r="B84" s="765" t="s">
        <v>1812</v>
      </c>
      <c r="C84" s="25" t="s">
        <v>44</v>
      </c>
      <c r="D84" s="353">
        <v>45154</v>
      </c>
      <c r="E84" s="872">
        <v>45161</v>
      </c>
      <c r="F84" s="25" t="s">
        <v>45</v>
      </c>
      <c r="G84" s="25" t="s">
        <v>919</v>
      </c>
      <c r="H84" s="353">
        <v>45163</v>
      </c>
      <c r="I84" s="4154" t="s">
        <v>618</v>
      </c>
      <c r="J84" s="4154" t="s">
        <v>490</v>
      </c>
      <c r="K84" s="827" t="s">
        <v>1235</v>
      </c>
      <c r="L84" s="4093" t="s">
        <v>1813</v>
      </c>
      <c r="M84" s="944">
        <v>45163</v>
      </c>
      <c r="N84" s="353">
        <v>45163</v>
      </c>
      <c r="O84" s="353">
        <v>45163</v>
      </c>
      <c r="P84" s="4104" t="s">
        <v>1810</v>
      </c>
      <c r="Q84" s="117" t="s">
        <v>75</v>
      </c>
      <c r="R84" s="4150" t="s">
        <v>1811</v>
      </c>
      <c r="S84" s="117" t="s">
        <v>67</v>
      </c>
      <c r="T84" s="117">
        <v>665</v>
      </c>
      <c r="U84" s="117">
        <f>425+22.5</f>
        <v>447.5</v>
      </c>
      <c r="V84" s="117">
        <v>1</v>
      </c>
      <c r="W84" s="117">
        <f>AUG_2023[[#This Row],[Sales Amount]]-AUG_2023[[#This Row],[Cost]]</f>
        <v>217.5</v>
      </c>
      <c r="X84" s="923">
        <f>AUG_2023[[#This Row],[Profit]]/AUG_2023[[#This Row],[Cost]]</f>
        <v>0.48603351955307261</v>
      </c>
      <c r="Y84" s="117"/>
      <c r="Z84" s="117"/>
    </row>
    <row r="85" spans="1:26" ht="30">
      <c r="A85" s="25" t="s">
        <v>68</v>
      </c>
      <c r="B85" s="517" t="s">
        <v>1814</v>
      </c>
      <c r="C85" s="25" t="s">
        <v>44</v>
      </c>
      <c r="D85" s="353">
        <v>45154</v>
      </c>
      <c r="E85" s="872">
        <v>45161</v>
      </c>
      <c r="F85" s="25" t="s">
        <v>45</v>
      </c>
      <c r="G85" s="25" t="s">
        <v>919</v>
      </c>
      <c r="H85" s="4853">
        <v>45163</v>
      </c>
      <c r="I85" s="4154" t="s">
        <v>445</v>
      </c>
      <c r="J85" s="4154" t="s">
        <v>490</v>
      </c>
      <c r="K85" s="827" t="s">
        <v>1235</v>
      </c>
      <c r="L85" s="353" t="s">
        <v>1815</v>
      </c>
      <c r="M85" s="944">
        <v>45163</v>
      </c>
      <c r="N85" s="353">
        <v>45163</v>
      </c>
      <c r="O85" s="353">
        <v>45163</v>
      </c>
      <c r="P85" s="4104" t="s">
        <v>1810</v>
      </c>
      <c r="Q85" s="117" t="s">
        <v>75</v>
      </c>
      <c r="R85" s="4150" t="s">
        <v>1811</v>
      </c>
      <c r="S85" s="117" t="s">
        <v>67</v>
      </c>
      <c r="T85" s="117">
        <v>665</v>
      </c>
      <c r="U85" s="4150">
        <f>500+22.5</f>
        <v>522.5</v>
      </c>
      <c r="V85" s="117">
        <v>1</v>
      </c>
      <c r="W85" s="117">
        <f>AUG_2023[[#This Row],[Sales Amount]]-AUG_2023[[#This Row],[Cost]]</f>
        <v>142.5</v>
      </c>
      <c r="X85" s="923">
        <f>AUG_2023[[#This Row],[Profit]]/AUG_2023[[#This Row],[Cost]]</f>
        <v>0.27272727272727271</v>
      </c>
      <c r="Y85" s="117"/>
      <c r="Z85" s="117"/>
    </row>
    <row r="86" spans="1:26" hidden="1">
      <c r="A86" s="4149" t="s">
        <v>639</v>
      </c>
      <c r="B86" s="4149" t="s">
        <v>1816</v>
      </c>
      <c r="C86" s="58" t="s">
        <v>28</v>
      </c>
      <c r="D86" s="4178">
        <v>45153</v>
      </c>
      <c r="E86" s="1112">
        <v>45161</v>
      </c>
      <c r="F86" s="4149" t="s">
        <v>151</v>
      </c>
      <c r="G86" s="4149" t="s">
        <v>361</v>
      </c>
      <c r="H86" s="4855">
        <v>45163</v>
      </c>
      <c r="I86" s="915" t="s">
        <v>108</v>
      </c>
      <c r="J86" s="58" t="s">
        <v>32</v>
      </c>
      <c r="K86" s="1114" t="s">
        <v>1486</v>
      </c>
      <c r="L86" s="915">
        <v>555253</v>
      </c>
      <c r="M86" s="1115">
        <v>45164</v>
      </c>
      <c r="N86" s="844">
        <v>45162</v>
      </c>
      <c r="O86" s="1115">
        <v>45163</v>
      </c>
      <c r="P86" s="709" t="s">
        <v>1817</v>
      </c>
      <c r="Q86" s="58" t="s">
        <v>35</v>
      </c>
      <c r="R86" s="58" t="s">
        <v>36</v>
      </c>
      <c r="S86" s="58" t="s">
        <v>37</v>
      </c>
      <c r="T86" s="106">
        <v>1130</v>
      </c>
      <c r="U86" s="106">
        <v>946</v>
      </c>
      <c r="W86" s="106">
        <f>AUG_2023[[#This Row],[Sales Amount]]-AUG_2023[[#This Row],[Cost]]</f>
        <v>184</v>
      </c>
      <c r="X86" s="887">
        <f>AUG_2023[[#This Row],[Profit]]/AUG_2023[[#This Row],[Cost]]</f>
        <v>0.1945031712473573</v>
      </c>
    </row>
    <row r="87" spans="1:26" s="117" customFormat="1" hidden="1">
      <c r="A87" s="4178" t="s">
        <v>1509</v>
      </c>
      <c r="B87" s="58" t="s">
        <v>1818</v>
      </c>
      <c r="C87" s="4149" t="s">
        <v>200</v>
      </c>
      <c r="D87" s="4178">
        <v>45158</v>
      </c>
      <c r="E87" s="1112">
        <v>45161</v>
      </c>
      <c r="F87" s="4149" t="s">
        <v>151</v>
      </c>
      <c r="G87" s="4149" t="s">
        <v>1819</v>
      </c>
      <c r="H87" s="4855">
        <v>45167</v>
      </c>
      <c r="I87" s="915" t="s">
        <v>1820</v>
      </c>
      <c r="J87" s="58" t="s">
        <v>1821</v>
      </c>
      <c r="K87" s="4149" t="s">
        <v>1822</v>
      </c>
      <c r="L87" s="915" t="s">
        <v>542</v>
      </c>
      <c r="M87" s="1115">
        <v>45167</v>
      </c>
      <c r="N87" s="844">
        <v>45166</v>
      </c>
      <c r="O87" s="844">
        <v>45174</v>
      </c>
      <c r="P87" s="4122" t="s">
        <v>1823</v>
      </c>
      <c r="Q87" s="58" t="s">
        <v>35</v>
      </c>
      <c r="R87" s="58" t="s">
        <v>36</v>
      </c>
      <c r="S87" s="58" t="s">
        <v>37</v>
      </c>
      <c r="T87" s="106">
        <v>2120</v>
      </c>
      <c r="U87" s="106">
        <v>1160</v>
      </c>
      <c r="V87" s="106"/>
      <c r="W87" s="106">
        <f>AUG_2023[[#This Row],[Sales Amount]]-AUG_2023[[#This Row],[Cost]]</f>
        <v>960</v>
      </c>
      <c r="X87" s="887">
        <f>AUG_2023[[#This Row],[Profit]]/AUG_2023[[#This Row],[Cost]]</f>
        <v>0.82758620689655171</v>
      </c>
      <c r="Y87" s="106"/>
      <c r="Z87" s="106"/>
    </row>
    <row r="88" spans="1:26" hidden="1">
      <c r="A88" s="4149" t="s">
        <v>497</v>
      </c>
      <c r="B88" s="4149" t="s">
        <v>1824</v>
      </c>
      <c r="C88" s="4149" t="s">
        <v>28</v>
      </c>
      <c r="D88" s="4178">
        <v>45148</v>
      </c>
      <c r="E88" s="1112">
        <v>45161</v>
      </c>
      <c r="F88" s="4149" t="s">
        <v>1017</v>
      </c>
      <c r="G88" s="4149" t="s">
        <v>829</v>
      </c>
      <c r="H88" s="58"/>
      <c r="I88" s="58"/>
      <c r="J88" s="4149" t="s">
        <v>168</v>
      </c>
      <c r="K88" s="4149" t="s">
        <v>310</v>
      </c>
      <c r="L88" s="1480" t="s">
        <v>1825</v>
      </c>
      <c r="M88" s="844">
        <v>45163</v>
      </c>
      <c r="N88" s="1139">
        <v>45162</v>
      </c>
      <c r="O88" s="58"/>
      <c r="P88" s="4122" t="s">
        <v>1826</v>
      </c>
      <c r="Q88" s="4122" t="s">
        <v>50</v>
      </c>
      <c r="R88" s="709" t="s">
        <v>51</v>
      </c>
      <c r="S88" s="709"/>
      <c r="T88" s="709"/>
      <c r="U88" s="709"/>
      <c r="V88" s="709"/>
      <c r="W88" s="709">
        <f>AUG_2023[[#This Row],[Sales Amount]]-AUG_2023[[#This Row],[Cost]]</f>
        <v>0</v>
      </c>
      <c r="X88" s="1384" t="e">
        <f>AUG_2023[[#This Row],[Profit]]/AUG_2023[[#This Row],[Cost]]</f>
        <v>#DIV/0!</v>
      </c>
      <c r="Y88" s="709"/>
      <c r="Z88" s="709"/>
    </row>
    <row r="89" spans="1:26" ht="90">
      <c r="A89" s="25" t="s">
        <v>1539</v>
      </c>
      <c r="B89" s="4154" t="s">
        <v>1827</v>
      </c>
      <c r="C89" s="25" t="s">
        <v>44</v>
      </c>
      <c r="D89" s="4155">
        <v>45152</v>
      </c>
      <c r="E89" s="889">
        <v>45162</v>
      </c>
      <c r="F89" s="4154" t="s">
        <v>1828</v>
      </c>
      <c r="G89" s="4154" t="s">
        <v>302</v>
      </c>
      <c r="H89" s="68">
        <v>45164</v>
      </c>
      <c r="I89" s="765" t="s">
        <v>926</v>
      </c>
      <c r="J89" s="25" t="s">
        <v>32</v>
      </c>
      <c r="K89" s="4154" t="s">
        <v>1829</v>
      </c>
      <c r="L89" s="4154" t="s">
        <v>1830</v>
      </c>
      <c r="M89" s="4118">
        <v>45164</v>
      </c>
      <c r="N89" s="353">
        <v>45164</v>
      </c>
      <c r="O89" s="353">
        <v>45166</v>
      </c>
      <c r="P89" s="4104" t="s">
        <v>1831</v>
      </c>
      <c r="Q89" s="4150" t="s">
        <v>75</v>
      </c>
      <c r="R89" s="4150" t="s">
        <v>1832</v>
      </c>
      <c r="S89" s="117">
        <v>4</v>
      </c>
      <c r="T89" s="117">
        <v>1367.5</v>
      </c>
      <c r="U89" s="117">
        <v>824</v>
      </c>
      <c r="V89" s="117">
        <v>1</v>
      </c>
      <c r="W89" s="117">
        <f>AUG_2023[[#This Row],[Sales Amount]]-AUG_2023[[#This Row],[Cost]]</f>
        <v>543.5</v>
      </c>
      <c r="X89" s="923">
        <f>AUG_2023[[#This Row],[Profit]]/AUG_2023[[#This Row],[Cost]]</f>
        <v>0.65958737864077666</v>
      </c>
      <c r="Y89" s="117"/>
      <c r="Z89" s="117"/>
    </row>
    <row r="90" spans="1:26" hidden="1">
      <c r="A90" s="4149" t="s">
        <v>26</v>
      </c>
      <c r="B90" s="1434" t="s">
        <v>1833</v>
      </c>
      <c r="C90" s="4149" t="s">
        <v>200</v>
      </c>
      <c r="D90" s="4178">
        <v>45146</v>
      </c>
      <c r="E90" s="1112">
        <v>45162</v>
      </c>
      <c r="F90" s="4149" t="s">
        <v>167</v>
      </c>
      <c r="G90" s="4149" t="s">
        <v>46</v>
      </c>
      <c r="H90" s="1115">
        <v>45166</v>
      </c>
      <c r="I90" s="915" t="s">
        <v>108</v>
      </c>
      <c r="J90" s="4149" t="s">
        <v>32</v>
      </c>
      <c r="K90" s="1344" t="s">
        <v>1834</v>
      </c>
      <c r="L90" s="915" t="s">
        <v>1835</v>
      </c>
      <c r="M90" s="1115">
        <v>45165</v>
      </c>
      <c r="N90" s="1115">
        <v>45165</v>
      </c>
      <c r="O90" s="844">
        <v>45166</v>
      </c>
      <c r="P90" s="4122" t="s">
        <v>1836</v>
      </c>
      <c r="Q90" s="58" t="s">
        <v>35</v>
      </c>
      <c r="R90" s="58" t="s">
        <v>36</v>
      </c>
      <c r="S90" s="58" t="s">
        <v>37</v>
      </c>
      <c r="T90" s="106">
        <v>2250</v>
      </c>
      <c r="U90" s="106">
        <v>1550</v>
      </c>
      <c r="V90" s="106">
        <v>2</v>
      </c>
      <c r="W90" s="106">
        <f>AUG_2023[[#This Row],[Sales Amount]]-AUG_2023[[#This Row],[Cost]]</f>
        <v>700</v>
      </c>
      <c r="X90" s="887">
        <f>AUG_2023[[#This Row],[Profit]]/AUG_2023[[#This Row],[Cost]]</f>
        <v>0.45161290322580644</v>
      </c>
    </row>
    <row r="91" spans="1:26" s="1442" customFormat="1" hidden="1">
      <c r="A91" s="4149" t="s">
        <v>26</v>
      </c>
      <c r="B91" s="1434" t="s">
        <v>1837</v>
      </c>
      <c r="C91" s="4149" t="s">
        <v>200</v>
      </c>
      <c r="D91" s="4178">
        <v>45146</v>
      </c>
      <c r="E91" s="1112">
        <v>45162</v>
      </c>
      <c r="F91" s="4149" t="s">
        <v>167</v>
      </c>
      <c r="G91" s="4149" t="s">
        <v>46</v>
      </c>
      <c r="H91" s="1115">
        <v>45166</v>
      </c>
      <c r="I91" s="915" t="s">
        <v>108</v>
      </c>
      <c r="J91" s="4149" t="s">
        <v>32</v>
      </c>
      <c r="K91" s="1344" t="s">
        <v>1834</v>
      </c>
      <c r="L91" s="915" t="s">
        <v>1838</v>
      </c>
      <c r="M91" s="1115">
        <v>45165</v>
      </c>
      <c r="N91" s="1115">
        <v>45164</v>
      </c>
      <c r="O91" s="844">
        <v>45166</v>
      </c>
      <c r="P91" s="4122" t="s">
        <v>1836</v>
      </c>
      <c r="Q91" s="58" t="s">
        <v>35</v>
      </c>
      <c r="R91" s="58" t="s">
        <v>36</v>
      </c>
      <c r="S91" s="58" t="s">
        <v>37</v>
      </c>
      <c r="T91" s="106">
        <v>2250</v>
      </c>
      <c r="U91" s="106">
        <v>1550</v>
      </c>
      <c r="V91" s="106">
        <v>2</v>
      </c>
      <c r="W91" s="106">
        <f>AUG_2023[[#This Row],[Sales Amount]]-AUG_2023[[#This Row],[Cost]]</f>
        <v>700</v>
      </c>
      <c r="X91" s="887">
        <f>AUG_2023[[#This Row],[Profit]]/AUG_2023[[#This Row],[Cost]]</f>
        <v>0.45161290322580644</v>
      </c>
      <c r="Y91" s="106"/>
      <c r="Z91" s="106"/>
    </row>
    <row r="92" spans="1:26" hidden="1">
      <c r="A92" s="4149" t="s">
        <v>497</v>
      </c>
      <c r="B92" s="4149" t="s">
        <v>1839</v>
      </c>
      <c r="C92" s="58" t="s">
        <v>44</v>
      </c>
      <c r="D92" s="4178">
        <v>45152</v>
      </c>
      <c r="E92" s="1112">
        <v>45162</v>
      </c>
      <c r="F92" s="4149" t="s">
        <v>86</v>
      </c>
      <c r="G92" s="58" t="s">
        <v>1724</v>
      </c>
      <c r="H92" s="844"/>
      <c r="I92" s="58"/>
      <c r="J92" s="4852" t="s">
        <v>168</v>
      </c>
      <c r="K92" s="4149" t="s">
        <v>310</v>
      </c>
      <c r="L92" s="1481" t="s">
        <v>1840</v>
      </c>
      <c r="M92" s="844">
        <v>45164</v>
      </c>
      <c r="N92" s="844">
        <v>45163</v>
      </c>
      <c r="O92" s="844">
        <v>45167</v>
      </c>
      <c r="P92" s="4122" t="s">
        <v>1841</v>
      </c>
      <c r="Q92" s="4122" t="s">
        <v>1281</v>
      </c>
      <c r="R92" s="709" t="s">
        <v>51</v>
      </c>
      <c r="S92" s="709"/>
      <c r="T92" s="709"/>
      <c r="U92" s="709"/>
      <c r="V92" s="709"/>
      <c r="W92" s="709">
        <f>AUG_2023[[#This Row],[Sales Amount]]-AUG_2023[[#This Row],[Cost]]</f>
        <v>0</v>
      </c>
      <c r="X92" s="1384" t="e">
        <f>AUG_2023[[#This Row],[Profit]]/AUG_2023[[#This Row],[Cost]]</f>
        <v>#DIV/0!</v>
      </c>
      <c r="Y92" s="709"/>
      <c r="Z92" s="709"/>
    </row>
    <row r="93" spans="1:26" s="117" customFormat="1" hidden="1">
      <c r="A93" s="58" t="s">
        <v>1431</v>
      </c>
      <c r="B93" s="58" t="s">
        <v>1842</v>
      </c>
      <c r="C93" s="3235" t="s">
        <v>28</v>
      </c>
      <c r="D93" s="844">
        <v>45139</v>
      </c>
      <c r="E93" s="1112">
        <v>45163</v>
      </c>
      <c r="F93" s="58" t="s">
        <v>29</v>
      </c>
      <c r="G93" s="58" t="s">
        <v>30</v>
      </c>
      <c r="H93" s="1115">
        <v>45166</v>
      </c>
      <c r="I93" s="915" t="s">
        <v>108</v>
      </c>
      <c r="J93" s="58" t="s">
        <v>32</v>
      </c>
      <c r="K93" s="58" t="s">
        <v>1433</v>
      </c>
      <c r="L93" s="915">
        <v>236424</v>
      </c>
      <c r="M93" s="1119">
        <v>45165</v>
      </c>
      <c r="N93" s="844">
        <v>45164</v>
      </c>
      <c r="O93" s="844">
        <v>45166</v>
      </c>
      <c r="P93" s="709" t="s">
        <v>1843</v>
      </c>
      <c r="Q93" s="58" t="s">
        <v>35</v>
      </c>
      <c r="R93" s="58" t="s">
        <v>36</v>
      </c>
      <c r="S93" s="58" t="s">
        <v>37</v>
      </c>
      <c r="T93" s="106">
        <v>1928.5</v>
      </c>
      <c r="U93" s="106">
        <v>1659</v>
      </c>
      <c r="V93" s="106"/>
      <c r="W93" s="106">
        <f>AUG_2023[[#This Row],[Sales Amount]]-AUG_2023[[#This Row],[Cost]]</f>
        <v>269.5</v>
      </c>
      <c r="X93" s="887">
        <f>AUG_2023[[#This Row],[Profit]]/AUG_2023[[#This Row],[Cost]]</f>
        <v>0.16244725738396623</v>
      </c>
      <c r="Y93" s="106"/>
      <c r="Z93" s="106"/>
    </row>
    <row r="94" spans="1:26" s="117" customFormat="1" hidden="1">
      <c r="A94" s="58" t="s">
        <v>1431</v>
      </c>
      <c r="B94" s="58" t="s">
        <v>1844</v>
      </c>
      <c r="C94" s="3235" t="s">
        <v>28</v>
      </c>
      <c r="D94" s="844">
        <v>45142</v>
      </c>
      <c r="E94" s="1112">
        <v>45163</v>
      </c>
      <c r="F94" s="58" t="s">
        <v>285</v>
      </c>
      <c r="G94" s="58" t="s">
        <v>30</v>
      </c>
      <c r="H94" s="1115">
        <v>45167</v>
      </c>
      <c r="I94" s="915" t="s">
        <v>108</v>
      </c>
      <c r="J94" s="58" t="s">
        <v>32</v>
      </c>
      <c r="K94" s="58" t="s">
        <v>1433</v>
      </c>
      <c r="L94" s="915">
        <v>652417</v>
      </c>
      <c r="M94" s="1119">
        <v>45165</v>
      </c>
      <c r="N94" s="844">
        <v>45164</v>
      </c>
      <c r="O94" s="1139">
        <v>45167</v>
      </c>
      <c r="P94" s="709" t="s">
        <v>1845</v>
      </c>
      <c r="Q94" s="58" t="s">
        <v>35</v>
      </c>
      <c r="R94" s="58" t="s">
        <v>36</v>
      </c>
      <c r="S94" s="58" t="s">
        <v>37</v>
      </c>
      <c r="T94" s="106">
        <v>2086</v>
      </c>
      <c r="U94" s="106">
        <v>1797</v>
      </c>
      <c r="V94" s="106"/>
      <c r="W94" s="106">
        <f>AUG_2023[[#This Row],[Sales Amount]]-AUG_2023[[#This Row],[Cost]]</f>
        <v>289</v>
      </c>
      <c r="X94" s="887">
        <f>AUG_2023[[#This Row],[Profit]]/AUG_2023[[#This Row],[Cost]]</f>
        <v>0.16082359488035614</v>
      </c>
      <c r="Y94" s="106"/>
      <c r="Z94" s="106"/>
    </row>
    <row r="95" spans="1:26" s="117" customFormat="1" ht="60">
      <c r="A95" s="4154" t="s">
        <v>1134</v>
      </c>
      <c r="B95" s="4154" t="s">
        <v>1846</v>
      </c>
      <c r="C95" s="3234" t="s">
        <v>28</v>
      </c>
      <c r="D95" s="4155">
        <v>45163</v>
      </c>
      <c r="E95" s="889">
        <v>45163</v>
      </c>
      <c r="F95" s="4154" t="s">
        <v>135</v>
      </c>
      <c r="G95" s="4856" t="s">
        <v>1847</v>
      </c>
      <c r="H95" s="353">
        <v>45170</v>
      </c>
      <c r="I95" s="25" t="s">
        <v>1848</v>
      </c>
      <c r="J95" s="4154" t="s">
        <v>1640</v>
      </c>
      <c r="K95" s="4154" t="s">
        <v>1641</v>
      </c>
      <c r="L95" s="837" t="s">
        <v>1849</v>
      </c>
      <c r="M95" s="353">
        <v>45169</v>
      </c>
      <c r="N95" s="4155">
        <v>45168</v>
      </c>
      <c r="O95" s="353">
        <v>45169</v>
      </c>
      <c r="P95" s="4104" t="s">
        <v>1850</v>
      </c>
      <c r="Q95" s="4150" t="s">
        <v>75</v>
      </c>
      <c r="R95" s="4150" t="s">
        <v>1851</v>
      </c>
      <c r="S95" s="117">
        <v>4</v>
      </c>
      <c r="T95" s="117">
        <v>2687.17</v>
      </c>
      <c r="U95" s="117">
        <v>2297.83</v>
      </c>
      <c r="V95" s="117">
        <v>1</v>
      </c>
      <c r="W95" s="117">
        <f>AUG_2023[[#This Row],[Sales Amount]]-AUG_2023[[#This Row],[Cost]]</f>
        <v>389.34000000000015</v>
      </c>
      <c r="X95" s="923">
        <f>AUG_2023[[#This Row],[Profit]]/AUG_2023[[#This Row],[Cost]]</f>
        <v>0.16943812205428607</v>
      </c>
    </row>
    <row r="96" spans="1:26" hidden="1">
      <c r="A96" s="4149" t="s">
        <v>1088</v>
      </c>
      <c r="B96" s="4149" t="s">
        <v>1852</v>
      </c>
      <c r="C96" s="3235" t="s">
        <v>44</v>
      </c>
      <c r="D96" s="4178">
        <v>45152</v>
      </c>
      <c r="E96" s="1112">
        <v>45163</v>
      </c>
      <c r="F96" s="4149" t="s">
        <v>990</v>
      </c>
      <c r="G96" s="58" t="s">
        <v>1724</v>
      </c>
      <c r="H96" s="844"/>
      <c r="I96" s="58"/>
      <c r="J96" s="4149" t="s">
        <v>168</v>
      </c>
      <c r="K96" s="4149" t="s">
        <v>310</v>
      </c>
      <c r="L96" s="58" t="s">
        <v>1853</v>
      </c>
      <c r="M96" s="844">
        <v>45165</v>
      </c>
      <c r="N96" s="844">
        <v>45164</v>
      </c>
      <c r="O96" s="844"/>
      <c r="P96" s="4122" t="s">
        <v>1854</v>
      </c>
      <c r="Q96" s="4122" t="s">
        <v>50</v>
      </c>
      <c r="R96" s="709" t="s">
        <v>36</v>
      </c>
      <c r="S96" s="709"/>
      <c r="T96" s="709"/>
      <c r="U96" s="709"/>
      <c r="V96" s="709"/>
      <c r="W96" s="709">
        <f>AUG_2023[[#This Row],[Sales Amount]]-AUG_2023[[#This Row],[Cost]]</f>
        <v>0</v>
      </c>
      <c r="X96" s="1384" t="e">
        <f>AUG_2023[[#This Row],[Profit]]/AUG_2023[[#This Row],[Cost]]</f>
        <v>#DIV/0!</v>
      </c>
      <c r="Y96" s="709"/>
      <c r="Z96" s="709"/>
    </row>
    <row r="97" spans="1:26" s="1442" customFormat="1" hidden="1">
      <c r="A97" s="4149" t="s">
        <v>1509</v>
      </c>
      <c r="B97" s="4149" t="s">
        <v>1855</v>
      </c>
      <c r="C97" s="3235" t="s">
        <v>451</v>
      </c>
      <c r="D97" s="4178">
        <v>45154</v>
      </c>
      <c r="E97" s="1112">
        <v>45164</v>
      </c>
      <c r="F97" s="4149" t="s">
        <v>173</v>
      </c>
      <c r="G97" s="4149" t="s">
        <v>46</v>
      </c>
      <c r="H97" s="1115">
        <v>45167</v>
      </c>
      <c r="I97" s="1113"/>
      <c r="J97" s="58" t="s">
        <v>297</v>
      </c>
      <c r="K97" s="1344" t="s">
        <v>1856</v>
      </c>
      <c r="L97" s="915">
        <v>412341</v>
      </c>
      <c r="M97" s="1115">
        <v>45167</v>
      </c>
      <c r="N97" s="844">
        <v>45166</v>
      </c>
      <c r="O97" s="844">
        <v>45167</v>
      </c>
      <c r="P97" s="4122" t="s">
        <v>1857</v>
      </c>
      <c r="Q97" s="58" t="s">
        <v>35</v>
      </c>
      <c r="R97" s="58" t="s">
        <v>36</v>
      </c>
      <c r="S97" s="58" t="s">
        <v>37</v>
      </c>
      <c r="T97" s="106">
        <v>6205</v>
      </c>
      <c r="U97" s="106"/>
      <c r="V97" s="106"/>
      <c r="W97" s="106">
        <f>AUG_2023[[#This Row],[Sales Amount]]-AUG_2023[[#This Row],[Cost]]</f>
        <v>6205</v>
      </c>
      <c r="X97" s="887" t="e">
        <f>AUG_2023[[#This Row],[Profit]]/AUG_2023[[#This Row],[Cost]]</f>
        <v>#DIV/0!</v>
      </c>
      <c r="Y97" s="106"/>
      <c r="Z97" s="106"/>
    </row>
    <row r="98" spans="1:26" ht="30">
      <c r="A98" s="483" t="s">
        <v>1314</v>
      </c>
      <c r="B98" s="4154" t="s">
        <v>1858</v>
      </c>
      <c r="C98" s="3234" t="s">
        <v>44</v>
      </c>
      <c r="D98" s="4155">
        <v>45157</v>
      </c>
      <c r="E98" s="889">
        <v>45164</v>
      </c>
      <c r="F98" s="4154" t="s">
        <v>1828</v>
      </c>
      <c r="G98" s="4154" t="s">
        <v>302</v>
      </c>
      <c r="H98" s="4155" t="s">
        <v>1038</v>
      </c>
      <c r="I98" s="25"/>
      <c r="J98" s="4154" t="s">
        <v>162</v>
      </c>
      <c r="K98" s="25" t="s">
        <v>1412</v>
      </c>
      <c r="L98" s="4155" t="s">
        <v>1859</v>
      </c>
      <c r="M98" s="4155">
        <v>45167</v>
      </c>
      <c r="N98" s="353">
        <v>45175</v>
      </c>
      <c r="O98" s="353">
        <v>45177</v>
      </c>
      <c r="P98" s="4150" t="s">
        <v>1860</v>
      </c>
      <c r="Q98" s="117" t="s">
        <v>75</v>
      </c>
      <c r="R98" s="4150" t="s">
        <v>1861</v>
      </c>
      <c r="S98" s="117"/>
      <c r="T98" s="117">
        <v>105</v>
      </c>
      <c r="U98" s="117">
        <v>15</v>
      </c>
      <c r="V98" s="117"/>
      <c r="W98" s="117">
        <f>AUG_2023[[#This Row],[Sales Amount]]-AUG_2023[[#This Row],[Cost]]</f>
        <v>90</v>
      </c>
      <c r="X98" s="923">
        <f>AUG_2023[[#This Row],[Profit]]/AUG_2023[[#This Row],[Cost]]</f>
        <v>6</v>
      </c>
      <c r="Y98" s="117"/>
      <c r="Z98" s="117"/>
    </row>
    <row r="99" spans="1:26" ht="30">
      <c r="A99" s="483" t="s">
        <v>1314</v>
      </c>
      <c r="B99" s="4154" t="s">
        <v>1862</v>
      </c>
      <c r="C99" s="25" t="s">
        <v>44</v>
      </c>
      <c r="D99" s="4155">
        <v>45157</v>
      </c>
      <c r="E99" s="889">
        <v>45164</v>
      </c>
      <c r="F99" s="4154" t="s">
        <v>1828</v>
      </c>
      <c r="G99" s="4850" t="s">
        <v>302</v>
      </c>
      <c r="H99" s="4618" t="s">
        <v>1038</v>
      </c>
      <c r="I99" s="25"/>
      <c r="J99" s="25" t="s">
        <v>162</v>
      </c>
      <c r="K99" s="25" t="s">
        <v>1412</v>
      </c>
      <c r="L99" s="4155" t="s">
        <v>1863</v>
      </c>
      <c r="M99" s="4618">
        <v>45168</v>
      </c>
      <c r="N99" s="4604">
        <v>45175</v>
      </c>
      <c r="O99" s="353">
        <v>45177</v>
      </c>
      <c r="P99" s="4150" t="s">
        <v>1864</v>
      </c>
      <c r="Q99" s="4150" t="s">
        <v>75</v>
      </c>
      <c r="R99" s="4150" t="s">
        <v>1865</v>
      </c>
      <c r="S99" s="117"/>
      <c r="T99" s="117">
        <v>105</v>
      </c>
      <c r="U99" s="117">
        <v>15</v>
      </c>
      <c r="V99" s="117"/>
      <c r="W99" s="117">
        <f>AUG_2023[[#This Row],[Sales Amount]]-AUG_2023[[#This Row],[Cost]]</f>
        <v>90</v>
      </c>
      <c r="X99" s="923">
        <f>AUG_2023[[#This Row],[Profit]]/AUG_2023[[#This Row],[Cost]]</f>
        <v>6</v>
      </c>
      <c r="Y99" s="117"/>
      <c r="Z99" s="117"/>
    </row>
    <row r="100" spans="1:26" ht="30">
      <c r="A100" s="25" t="s">
        <v>243</v>
      </c>
      <c r="B100" s="4154" t="s">
        <v>1866</v>
      </c>
      <c r="C100" s="3234" t="s">
        <v>44</v>
      </c>
      <c r="D100" s="4155">
        <v>45166</v>
      </c>
      <c r="E100" s="889">
        <v>45166</v>
      </c>
      <c r="F100" s="25" t="s">
        <v>167</v>
      </c>
      <c r="G100" s="25" t="s">
        <v>1867</v>
      </c>
      <c r="H100" s="4155">
        <v>45168</v>
      </c>
      <c r="I100" s="4154" t="s">
        <v>445</v>
      </c>
      <c r="J100" s="25" t="s">
        <v>600</v>
      </c>
      <c r="K100" s="4154" t="s">
        <v>601</v>
      </c>
      <c r="L100" s="25"/>
      <c r="M100" s="353">
        <v>45170</v>
      </c>
      <c r="N100" s="4118">
        <v>45167</v>
      </c>
      <c r="O100" s="353">
        <v>45168</v>
      </c>
      <c r="P100" s="4104" t="s">
        <v>1868</v>
      </c>
      <c r="Q100" s="117" t="s">
        <v>75</v>
      </c>
      <c r="R100" s="4150" t="s">
        <v>1869</v>
      </c>
      <c r="S100" s="117">
        <v>4</v>
      </c>
      <c r="T100" s="117">
        <v>1432.84</v>
      </c>
      <c r="U100" s="117">
        <v>902.84</v>
      </c>
      <c r="V100" s="117">
        <v>1</v>
      </c>
      <c r="W100" s="117">
        <f>AUG_2023[[#This Row],[Sales Amount]]-AUG_2023[[#This Row],[Cost]]</f>
        <v>529.99999999999989</v>
      </c>
      <c r="X100" s="923">
        <f>AUG_2023[[#This Row],[Profit]]/AUG_2023[[#This Row],[Cost]]</f>
        <v>0.58703646271764642</v>
      </c>
      <c r="Y100" s="117"/>
      <c r="Z100" s="117"/>
    </row>
    <row r="101" spans="1:26" s="709" customFormat="1">
      <c r="A101" s="25" t="s">
        <v>243</v>
      </c>
      <c r="B101" s="4154" t="s">
        <v>1870</v>
      </c>
      <c r="C101" s="3234" t="s">
        <v>44</v>
      </c>
      <c r="D101" s="4155">
        <v>45166</v>
      </c>
      <c r="E101" s="889">
        <v>45166</v>
      </c>
      <c r="F101" s="25" t="s">
        <v>167</v>
      </c>
      <c r="G101" s="4154" t="s">
        <v>1867</v>
      </c>
      <c r="H101" s="4155">
        <v>45170</v>
      </c>
      <c r="I101" s="4154" t="s">
        <v>445</v>
      </c>
      <c r="J101" s="25" t="s">
        <v>600</v>
      </c>
      <c r="K101" s="25" t="s">
        <v>601</v>
      </c>
      <c r="L101" s="25"/>
      <c r="M101" s="353">
        <v>45170</v>
      </c>
      <c r="N101" s="4118">
        <v>45169</v>
      </c>
      <c r="O101" s="353">
        <v>45170</v>
      </c>
      <c r="P101" s="4150" t="s">
        <v>1871</v>
      </c>
      <c r="Q101" s="117" t="s">
        <v>75</v>
      </c>
      <c r="R101" s="4150" t="s">
        <v>1872</v>
      </c>
      <c r="S101" s="117">
        <v>4</v>
      </c>
      <c r="T101" s="117">
        <v>1432.84</v>
      </c>
      <c r="U101" s="117">
        <v>902.84</v>
      </c>
      <c r="V101" s="117">
        <v>1</v>
      </c>
      <c r="W101" s="117">
        <f>AUG_2023[[#This Row],[Sales Amount]]-AUG_2023[[#This Row],[Cost]]</f>
        <v>529.99999999999989</v>
      </c>
      <c r="X101" s="923">
        <f>AUG_2023[[#This Row],[Profit]]/AUG_2023[[#This Row],[Cost]]</f>
        <v>0.58703646271764642</v>
      </c>
      <c r="Y101" s="117"/>
      <c r="Z101" s="117"/>
    </row>
    <row r="102" spans="1:26" hidden="1">
      <c r="A102" s="58" t="s">
        <v>639</v>
      </c>
      <c r="B102" s="1114" t="s">
        <v>1873</v>
      </c>
      <c r="C102" s="3237" t="s">
        <v>28</v>
      </c>
      <c r="D102" s="1373">
        <v>45152</v>
      </c>
      <c r="E102" s="1374">
        <v>45166</v>
      </c>
      <c r="F102" s="1114" t="s">
        <v>885</v>
      </c>
      <c r="G102" s="4149" t="s">
        <v>361</v>
      </c>
      <c r="H102" s="844">
        <v>45168</v>
      </c>
      <c r="I102" s="1440">
        <v>0.41666666666666669</v>
      </c>
      <c r="J102" s="58" t="s">
        <v>32</v>
      </c>
      <c r="K102" s="1114" t="s">
        <v>1486</v>
      </c>
      <c r="L102" s="58">
        <v>166754</v>
      </c>
      <c r="M102" s="844">
        <v>45169</v>
      </c>
      <c r="N102" s="1424">
        <v>45168</v>
      </c>
      <c r="O102" s="1424">
        <v>45168</v>
      </c>
      <c r="P102" s="709" t="s">
        <v>1874</v>
      </c>
      <c r="Q102" s="58" t="s">
        <v>35</v>
      </c>
      <c r="R102" s="58" t="s">
        <v>36</v>
      </c>
      <c r="S102" s="58" t="s">
        <v>37</v>
      </c>
      <c r="T102" s="106">
        <v>995</v>
      </c>
      <c r="U102" s="106">
        <v>851</v>
      </c>
      <c r="W102" s="106">
        <f>AUG_2023[[#This Row],[Sales Amount]]-AUG_2023[[#This Row],[Cost]]</f>
        <v>144</v>
      </c>
      <c r="X102" s="887">
        <f>AUG_2023[[#This Row],[Profit]]/AUG_2023[[#This Row],[Cost]]</f>
        <v>0.1692126909518214</v>
      </c>
    </row>
    <row r="103" spans="1:26" hidden="1">
      <c r="A103" s="4149" t="s">
        <v>622</v>
      </c>
      <c r="B103" s="4149" t="s">
        <v>1875</v>
      </c>
      <c r="C103" s="4190" t="s">
        <v>28</v>
      </c>
      <c r="D103" s="4178">
        <v>45155</v>
      </c>
      <c r="E103" s="1112">
        <v>45166</v>
      </c>
      <c r="F103" s="4149" t="s">
        <v>45</v>
      </c>
      <c r="G103" s="4149" t="s">
        <v>46</v>
      </c>
      <c r="H103" s="1115">
        <v>45167</v>
      </c>
      <c r="I103" s="915" t="s">
        <v>108</v>
      </c>
      <c r="J103" s="4149" t="s">
        <v>32</v>
      </c>
      <c r="K103" s="1478" t="s">
        <v>1445</v>
      </c>
      <c r="L103" s="915" t="s">
        <v>1876</v>
      </c>
      <c r="M103" s="1115">
        <v>45168</v>
      </c>
      <c r="N103" s="1115">
        <v>45167</v>
      </c>
      <c r="O103" s="1115">
        <v>45168</v>
      </c>
      <c r="P103" s="4122" t="s">
        <v>1877</v>
      </c>
      <c r="Q103" s="4149" t="s">
        <v>35</v>
      </c>
      <c r="R103" s="58" t="s">
        <v>36</v>
      </c>
      <c r="S103" s="58" t="s">
        <v>67</v>
      </c>
      <c r="T103" s="106">
        <v>760</v>
      </c>
      <c r="U103" s="106">
        <v>650</v>
      </c>
      <c r="W103" s="106">
        <f>AUG_2023[[#This Row],[Sales Amount]]-AUG_2023[[#This Row],[Cost]]</f>
        <v>110</v>
      </c>
      <c r="X103" s="887">
        <f>AUG_2023[[#This Row],[Profit]]/AUG_2023[[#This Row],[Cost]]</f>
        <v>0.16923076923076924</v>
      </c>
    </row>
    <row r="104" spans="1:26" ht="30">
      <c r="A104" s="25" t="s">
        <v>243</v>
      </c>
      <c r="B104" s="4154" t="s">
        <v>1878</v>
      </c>
      <c r="C104" s="25" t="s">
        <v>44</v>
      </c>
      <c r="D104" s="4155">
        <v>45166</v>
      </c>
      <c r="E104" s="889">
        <v>45166</v>
      </c>
      <c r="F104" s="25" t="s">
        <v>167</v>
      </c>
      <c r="G104" s="25" t="s">
        <v>1867</v>
      </c>
      <c r="H104" s="353">
        <v>45177</v>
      </c>
      <c r="I104" s="4154" t="s">
        <v>495</v>
      </c>
      <c r="J104" s="25" t="s">
        <v>600</v>
      </c>
      <c r="K104" s="25" t="s">
        <v>601</v>
      </c>
      <c r="L104" s="929"/>
      <c r="M104" s="353">
        <v>45170</v>
      </c>
      <c r="N104" s="4118">
        <v>45177</v>
      </c>
      <c r="O104" s="353">
        <v>45177</v>
      </c>
      <c r="P104" s="4104" t="s">
        <v>1879</v>
      </c>
      <c r="Q104" s="117" t="s">
        <v>75</v>
      </c>
      <c r="R104" s="4150" t="s">
        <v>1880</v>
      </c>
      <c r="S104" s="117">
        <v>4</v>
      </c>
      <c r="T104" s="117">
        <v>1182.8399999999999</v>
      </c>
      <c r="U104" s="117">
        <v>660</v>
      </c>
      <c r="V104" s="117">
        <v>1</v>
      </c>
      <c r="W104" s="117">
        <f>AUG_2023[[#This Row],[Sales Amount]]-AUG_2023[[#This Row],[Cost]]</f>
        <v>522.83999999999992</v>
      </c>
      <c r="X104" s="923">
        <f>AUG_2023[[#This Row],[Profit]]/AUG_2023[[#This Row],[Cost]]</f>
        <v>0.7921818181818181</v>
      </c>
      <c r="Y104" s="117"/>
      <c r="Z104" s="117"/>
    </row>
    <row r="105" spans="1:26" ht="30">
      <c r="A105" s="765" t="s">
        <v>68</v>
      </c>
      <c r="B105" s="765" t="s">
        <v>1881</v>
      </c>
      <c r="C105" s="765" t="s">
        <v>44</v>
      </c>
      <c r="D105" s="68">
        <v>45149</v>
      </c>
      <c r="E105" s="68">
        <v>45167</v>
      </c>
      <c r="F105" s="765" t="s">
        <v>45</v>
      </c>
      <c r="G105" s="765" t="s">
        <v>919</v>
      </c>
      <c r="H105" s="68">
        <v>45168</v>
      </c>
      <c r="I105" s="765" t="s">
        <v>618</v>
      </c>
      <c r="J105" s="765" t="s">
        <v>490</v>
      </c>
      <c r="K105" s="837" t="s">
        <v>1235</v>
      </c>
      <c r="L105" s="765" t="s">
        <v>1882</v>
      </c>
      <c r="M105" s="68">
        <v>45169</v>
      </c>
      <c r="N105" s="68">
        <v>45167</v>
      </c>
      <c r="O105" s="68">
        <v>45168</v>
      </c>
      <c r="P105" s="794" t="s">
        <v>1883</v>
      </c>
      <c r="Q105" s="766" t="s">
        <v>75</v>
      </c>
      <c r="R105" s="1513" t="s">
        <v>1884</v>
      </c>
      <c r="S105" s="117" t="s">
        <v>67</v>
      </c>
      <c r="T105" s="117">
        <v>800</v>
      </c>
      <c r="U105" s="117">
        <f>540+22.5</f>
        <v>562.5</v>
      </c>
      <c r="V105" s="117">
        <v>1</v>
      </c>
      <c r="W105" s="117">
        <f>AUG_2023[[#This Row],[Sales Amount]]-AUG_2023[[#This Row],[Cost]]</f>
        <v>237.5</v>
      </c>
      <c r="X105" s="923">
        <f>AUG_2023[[#This Row],[Profit]]/AUG_2023[[#This Row],[Cost]]</f>
        <v>0.42222222222222222</v>
      </c>
      <c r="Y105" s="117"/>
      <c r="Z105" s="117"/>
    </row>
    <row r="106" spans="1:26" ht="30">
      <c r="A106" s="765" t="s">
        <v>68</v>
      </c>
      <c r="B106" s="765" t="s">
        <v>1885</v>
      </c>
      <c r="C106" s="765" t="s">
        <v>44</v>
      </c>
      <c r="D106" s="68">
        <v>45149</v>
      </c>
      <c r="E106" s="68">
        <v>45167</v>
      </c>
      <c r="F106" s="765" t="s">
        <v>45</v>
      </c>
      <c r="G106" s="765" t="s">
        <v>919</v>
      </c>
      <c r="H106" s="68">
        <v>45168</v>
      </c>
      <c r="I106" s="765" t="s">
        <v>445</v>
      </c>
      <c r="J106" s="765" t="s">
        <v>490</v>
      </c>
      <c r="K106" s="837" t="s">
        <v>1235</v>
      </c>
      <c r="L106" s="765" t="s">
        <v>1886</v>
      </c>
      <c r="M106" s="68">
        <v>45169</v>
      </c>
      <c r="N106" s="68">
        <v>45167</v>
      </c>
      <c r="O106" s="68">
        <v>45168</v>
      </c>
      <c r="P106" s="794" t="s">
        <v>1887</v>
      </c>
      <c r="Q106" s="766" t="s">
        <v>75</v>
      </c>
      <c r="R106" s="1513" t="s">
        <v>1884</v>
      </c>
      <c r="S106" s="117" t="s">
        <v>67</v>
      </c>
      <c r="T106" s="117">
        <v>800</v>
      </c>
      <c r="U106" s="117">
        <f>540+22.5</f>
        <v>562.5</v>
      </c>
      <c r="V106" s="117">
        <v>1</v>
      </c>
      <c r="W106" s="117">
        <f>AUG_2023[[#This Row],[Sales Amount]]-AUG_2023[[#This Row],[Cost]]</f>
        <v>237.5</v>
      </c>
      <c r="X106" s="923">
        <f>AUG_2023[[#This Row],[Profit]]/AUG_2023[[#This Row],[Cost]]</f>
        <v>0.42222222222222222</v>
      </c>
      <c r="Y106" s="117"/>
      <c r="Z106" s="117"/>
    </row>
    <row r="107" spans="1:26" hidden="1">
      <c r="A107" s="58" t="s">
        <v>1431</v>
      </c>
      <c r="B107" s="4149" t="s">
        <v>1888</v>
      </c>
      <c r="C107" s="58" t="s">
        <v>28</v>
      </c>
      <c r="D107" s="4178">
        <v>45146</v>
      </c>
      <c r="E107" s="1112">
        <v>45168</v>
      </c>
      <c r="F107" s="58" t="s">
        <v>285</v>
      </c>
      <c r="G107" s="4149" t="s">
        <v>46</v>
      </c>
      <c r="H107" s="1115">
        <v>45170</v>
      </c>
      <c r="I107" s="915" t="s">
        <v>115</v>
      </c>
      <c r="J107" s="4149" t="s">
        <v>32</v>
      </c>
      <c r="K107" s="58" t="s">
        <v>1433</v>
      </c>
      <c r="L107" s="915" t="s">
        <v>1889</v>
      </c>
      <c r="M107" s="1115">
        <v>45170</v>
      </c>
      <c r="N107" s="1115">
        <v>45170</v>
      </c>
      <c r="O107" s="1115">
        <v>45170</v>
      </c>
      <c r="P107" s="4122" t="s">
        <v>1890</v>
      </c>
      <c r="Q107" s="58" t="s">
        <v>35</v>
      </c>
      <c r="R107" s="58" t="s">
        <v>36</v>
      </c>
      <c r="S107" s="58" t="s">
        <v>37</v>
      </c>
      <c r="T107" s="106">
        <v>1393.5</v>
      </c>
      <c r="U107" s="106">
        <v>1296</v>
      </c>
      <c r="W107" s="106">
        <f>AUG_2023[[#This Row],[Sales Amount]]-AUG_2023[[#This Row],[Cost]]</f>
        <v>97.5</v>
      </c>
      <c r="X107" s="887">
        <f>AUG_2023[[#This Row],[Profit]]/AUG_2023[[#This Row],[Cost]]</f>
        <v>7.5231481481481483E-2</v>
      </c>
    </row>
    <row r="108" spans="1:26" ht="60">
      <c r="A108" s="4154" t="s">
        <v>165</v>
      </c>
      <c r="B108" s="4154" t="s">
        <v>1891</v>
      </c>
      <c r="C108" s="25" t="s">
        <v>44</v>
      </c>
      <c r="D108" s="4155">
        <v>45163</v>
      </c>
      <c r="E108" s="889">
        <v>45168</v>
      </c>
      <c r="F108" s="4154" t="s">
        <v>260</v>
      </c>
      <c r="G108" s="803" t="s">
        <v>103</v>
      </c>
      <c r="H108" s="353">
        <v>45169</v>
      </c>
      <c r="I108" s="4154" t="s">
        <v>1892</v>
      </c>
      <c r="J108" s="4154" t="s">
        <v>32</v>
      </c>
      <c r="K108" s="4154" t="s">
        <v>1893</v>
      </c>
      <c r="L108" s="25">
        <v>93349452</v>
      </c>
      <c r="M108" s="353">
        <v>45169</v>
      </c>
      <c r="N108" s="353">
        <v>45169</v>
      </c>
      <c r="O108" s="353">
        <v>45169</v>
      </c>
      <c r="P108" s="4104" t="s">
        <v>1894</v>
      </c>
      <c r="Q108" s="117" t="s">
        <v>75</v>
      </c>
      <c r="R108" s="3" t="s">
        <v>1895</v>
      </c>
      <c r="S108" s="117">
        <v>4</v>
      </c>
      <c r="T108" s="117">
        <v>1470</v>
      </c>
      <c r="U108" s="117">
        <v>990</v>
      </c>
      <c r="V108" s="117">
        <v>1</v>
      </c>
      <c r="W108" s="117">
        <f>AUG_2023[[#This Row],[Sales Amount]]-AUG_2023[[#This Row],[Cost]]</f>
        <v>480</v>
      </c>
      <c r="X108" s="923">
        <f>AUG_2023[[#This Row],[Profit]]/AUG_2023[[#This Row],[Cost]]</f>
        <v>0.48484848484848486</v>
      </c>
      <c r="Y108" s="117"/>
      <c r="Z108" s="117"/>
    </row>
    <row r="109" spans="1:26" ht="60">
      <c r="A109" s="25" t="s">
        <v>165</v>
      </c>
      <c r="B109" s="4154" t="s">
        <v>1896</v>
      </c>
      <c r="C109" s="25" t="s">
        <v>44</v>
      </c>
      <c r="D109" s="4155">
        <v>45163</v>
      </c>
      <c r="E109" s="889">
        <v>45168</v>
      </c>
      <c r="F109" s="4154" t="s">
        <v>260</v>
      </c>
      <c r="G109" s="803" t="s">
        <v>103</v>
      </c>
      <c r="H109" s="353">
        <v>45169</v>
      </c>
      <c r="I109" s="4154" t="s">
        <v>1897</v>
      </c>
      <c r="J109" s="25" t="s">
        <v>32</v>
      </c>
      <c r="K109" s="25" t="s">
        <v>1893</v>
      </c>
      <c r="L109" s="25">
        <v>90366412</v>
      </c>
      <c r="M109" s="353">
        <v>45169</v>
      </c>
      <c r="N109" s="353">
        <v>45168</v>
      </c>
      <c r="O109" s="353">
        <v>45169</v>
      </c>
      <c r="P109" s="4104" t="s">
        <v>1898</v>
      </c>
      <c r="Q109" s="117" t="s">
        <v>75</v>
      </c>
      <c r="R109" s="3" t="s">
        <v>1899</v>
      </c>
      <c r="S109" s="117">
        <v>4</v>
      </c>
      <c r="T109" s="117">
        <v>1470</v>
      </c>
      <c r="U109" s="117">
        <v>990</v>
      </c>
      <c r="V109" s="117">
        <v>1</v>
      </c>
      <c r="W109" s="117">
        <f>AUG_2023[[#This Row],[Sales Amount]]-AUG_2023[[#This Row],[Cost]]</f>
        <v>480</v>
      </c>
      <c r="X109" s="923">
        <f>AUG_2023[[#This Row],[Profit]]/AUG_2023[[#This Row],[Cost]]</f>
        <v>0.48484848484848486</v>
      </c>
      <c r="Y109" s="117"/>
      <c r="Z109" s="117"/>
    </row>
    <row r="110" spans="1:26" s="709" customFormat="1" hidden="1">
      <c r="A110" s="4149" t="s">
        <v>1509</v>
      </c>
      <c r="B110" s="4149" t="s">
        <v>1900</v>
      </c>
      <c r="C110" s="58" t="s">
        <v>451</v>
      </c>
      <c r="D110" s="4178">
        <v>45154</v>
      </c>
      <c r="E110" s="1112">
        <v>45168</v>
      </c>
      <c r="F110" s="4149" t="s">
        <v>173</v>
      </c>
      <c r="G110" s="4149" t="s">
        <v>46</v>
      </c>
      <c r="H110" s="1115">
        <v>45175</v>
      </c>
      <c r="I110" s="58" t="s">
        <v>115</v>
      </c>
      <c r="J110" s="58" t="s">
        <v>297</v>
      </c>
      <c r="K110" s="4149" t="s">
        <v>1856</v>
      </c>
      <c r="L110" s="915" t="s">
        <v>1901</v>
      </c>
      <c r="M110" s="1115">
        <v>45171</v>
      </c>
      <c r="N110" s="844">
        <v>45174</v>
      </c>
      <c r="O110" s="1115">
        <v>45175</v>
      </c>
      <c r="P110" s="1386" t="s">
        <v>1902</v>
      </c>
      <c r="Q110" s="58" t="s">
        <v>35</v>
      </c>
      <c r="R110" s="58" t="s">
        <v>36</v>
      </c>
      <c r="S110" s="58" t="s">
        <v>37</v>
      </c>
      <c r="T110" s="106">
        <v>6205</v>
      </c>
      <c r="U110" s="106"/>
      <c r="V110" s="106"/>
      <c r="W110" s="106">
        <f>AUG_2023[[#This Row],[Sales Amount]]-AUG_2023[[#This Row],[Cost]]</f>
        <v>6205</v>
      </c>
      <c r="X110" s="887" t="e">
        <f>AUG_2023[[#This Row],[Profit]]/AUG_2023[[#This Row],[Cost]]</f>
        <v>#DIV/0!</v>
      </c>
      <c r="Y110" s="106"/>
      <c r="Z110" s="106"/>
    </row>
    <row r="111" spans="1:26">
      <c r="A111" s="25" t="s">
        <v>1035</v>
      </c>
      <c r="B111" s="4154" t="s">
        <v>1903</v>
      </c>
      <c r="C111" s="25" t="s">
        <v>44</v>
      </c>
      <c r="D111" s="353">
        <v>45155</v>
      </c>
      <c r="E111" s="889">
        <v>45168</v>
      </c>
      <c r="F111" s="25" t="s">
        <v>151</v>
      </c>
      <c r="G111" s="25" t="s">
        <v>302</v>
      </c>
      <c r="H111" s="4155" t="s">
        <v>1038</v>
      </c>
      <c r="I111" s="25"/>
      <c r="J111" s="1470" t="s">
        <v>32</v>
      </c>
      <c r="K111" s="25" t="s">
        <v>162</v>
      </c>
      <c r="L111" s="25" t="s">
        <v>1904</v>
      </c>
      <c r="M111" s="353">
        <v>45171</v>
      </c>
      <c r="N111" s="353">
        <v>45170</v>
      </c>
      <c r="O111" s="353">
        <v>45170</v>
      </c>
      <c r="P111" s="4150" t="s">
        <v>1905</v>
      </c>
      <c r="Q111" s="117" t="s">
        <v>75</v>
      </c>
      <c r="R111" s="4150" t="s">
        <v>36</v>
      </c>
      <c r="S111" s="117"/>
      <c r="T111" s="117"/>
      <c r="U111" s="117"/>
      <c r="V111" s="117"/>
      <c r="W111" s="117">
        <f>AUG_2023[[#This Row],[Sales Amount]]-AUG_2023[[#This Row],[Cost]]</f>
        <v>0</v>
      </c>
      <c r="X111" s="923" t="e">
        <f>AUG_2023[[#This Row],[Profit]]/AUG_2023[[#This Row],[Cost]]</f>
        <v>#DIV/0!</v>
      </c>
      <c r="Y111" s="117"/>
      <c r="Z111" s="117"/>
    </row>
    <row r="112" spans="1:26">
      <c r="A112" s="25" t="s">
        <v>1035</v>
      </c>
      <c r="B112" s="4154" t="s">
        <v>1906</v>
      </c>
      <c r="C112" s="25" t="s">
        <v>44</v>
      </c>
      <c r="D112" s="4155">
        <v>45156</v>
      </c>
      <c r="E112" s="889">
        <v>45168</v>
      </c>
      <c r="F112" s="25" t="s">
        <v>151</v>
      </c>
      <c r="G112" s="25" t="s">
        <v>302</v>
      </c>
      <c r="H112" s="4155" t="s">
        <v>1038</v>
      </c>
      <c r="I112" s="25"/>
      <c r="J112" s="1470" t="s">
        <v>32</v>
      </c>
      <c r="K112" s="25" t="s">
        <v>162</v>
      </c>
      <c r="L112" s="4154" t="s">
        <v>1907</v>
      </c>
      <c r="M112" s="353">
        <v>45171</v>
      </c>
      <c r="N112" s="353">
        <v>45169</v>
      </c>
      <c r="O112" s="353">
        <v>45170</v>
      </c>
      <c r="P112" s="4150" t="s">
        <v>1908</v>
      </c>
      <c r="Q112" s="117" t="s">
        <v>75</v>
      </c>
      <c r="R112" s="4150" t="s">
        <v>36</v>
      </c>
      <c r="S112" s="117"/>
      <c r="T112" s="117"/>
      <c r="U112" s="117"/>
      <c r="V112" s="117"/>
      <c r="W112" s="117">
        <f>AUG_2023[[#This Row],[Sales Amount]]-AUG_2023[[#This Row],[Cost]]</f>
        <v>0</v>
      </c>
      <c r="X112" s="923" t="e">
        <f>AUG_2023[[#This Row],[Profit]]/AUG_2023[[#This Row],[Cost]]</f>
        <v>#DIV/0!</v>
      </c>
      <c r="Y112" s="117"/>
      <c r="Z112" s="117"/>
    </row>
    <row r="113" spans="1:26" ht="75">
      <c r="A113" s="25" t="s">
        <v>1134</v>
      </c>
      <c r="B113" s="4154" t="s">
        <v>1909</v>
      </c>
      <c r="C113" s="25" t="s">
        <v>28</v>
      </c>
      <c r="D113" s="4155">
        <v>45168</v>
      </c>
      <c r="E113" s="889">
        <v>45168</v>
      </c>
      <c r="F113" s="25" t="s">
        <v>135</v>
      </c>
      <c r="G113" s="25" t="s">
        <v>1519</v>
      </c>
      <c r="H113" s="889">
        <v>45175</v>
      </c>
      <c r="I113" s="803" t="s">
        <v>1848</v>
      </c>
      <c r="J113" s="1470" t="s">
        <v>1910</v>
      </c>
      <c r="K113" s="25" t="s">
        <v>1641</v>
      </c>
      <c r="L113" s="4154" t="s">
        <v>162</v>
      </c>
      <c r="M113" s="841">
        <v>45174</v>
      </c>
      <c r="N113" s="68">
        <v>45174</v>
      </c>
      <c r="O113" s="68">
        <v>45174</v>
      </c>
      <c r="P113" s="4104" t="s">
        <v>1911</v>
      </c>
      <c r="Q113" s="117" t="s">
        <v>75</v>
      </c>
      <c r="R113" s="4150" t="s">
        <v>1912</v>
      </c>
      <c r="S113" s="117">
        <v>4</v>
      </c>
      <c r="T113" s="117">
        <v>2580.92</v>
      </c>
      <c r="U113" s="117">
        <v>2275</v>
      </c>
      <c r="V113" s="117">
        <v>1</v>
      </c>
      <c r="W113" s="117">
        <f>AUG_2023[[#This Row],[Sales Amount]]-AUG_2023[[#This Row],[Cost]]</f>
        <v>305.92000000000007</v>
      </c>
      <c r="X113" s="923">
        <f>AUG_2023[[#This Row],[Profit]]/AUG_2023[[#This Row],[Cost]]</f>
        <v>0.13447032967032971</v>
      </c>
      <c r="Y113" s="117"/>
      <c r="Z113" s="117"/>
    </row>
    <row r="114" spans="1:26" hidden="1">
      <c r="A114" s="4149" t="s">
        <v>263</v>
      </c>
      <c r="B114" s="4149" t="s">
        <v>1913</v>
      </c>
      <c r="C114" s="4149" t="s">
        <v>44</v>
      </c>
      <c r="D114" s="4178">
        <v>45168</v>
      </c>
      <c r="E114" s="844">
        <v>45168</v>
      </c>
      <c r="F114" s="4149" t="s">
        <v>63</v>
      </c>
      <c r="G114" s="4149" t="s">
        <v>265</v>
      </c>
      <c r="H114" s="844">
        <v>45176</v>
      </c>
      <c r="I114" s="1440">
        <v>0.45833333333333331</v>
      </c>
      <c r="J114" s="4197" t="s">
        <v>1914</v>
      </c>
      <c r="K114" s="4149" t="s">
        <v>267</v>
      </c>
      <c r="L114" s="58"/>
      <c r="M114" s="844">
        <v>45177</v>
      </c>
      <c r="N114" s="946">
        <v>45176</v>
      </c>
      <c r="O114" s="946">
        <v>45176</v>
      </c>
      <c r="P114" s="4122" t="s">
        <v>1915</v>
      </c>
      <c r="Q114" s="4122" t="s">
        <v>128</v>
      </c>
      <c r="R114" s="709" t="s">
        <v>36</v>
      </c>
      <c r="S114" s="709"/>
      <c r="T114" s="709">
        <v>1217.6600000000001</v>
      </c>
      <c r="U114" s="709">
        <f>80.16+80+670</f>
        <v>830.16</v>
      </c>
      <c r="V114" s="709">
        <v>1</v>
      </c>
      <c r="W114" s="709">
        <f>AUG_2023[[#This Row],[Sales Amount]]-AUG_2023[[#This Row],[Cost]]</f>
        <v>387.50000000000011</v>
      </c>
      <c r="X114" s="1384">
        <f>AUG_2023[[#This Row],[Profit]]/AUG_2023[[#This Row],[Cost]]</f>
        <v>0.46677748867688174</v>
      </c>
      <c r="Y114" s="709"/>
      <c r="Z114" s="709"/>
    </row>
    <row r="115" spans="1:26">
      <c r="A115" s="4154" t="s">
        <v>468</v>
      </c>
      <c r="B115" s="1486" t="s">
        <v>1916</v>
      </c>
      <c r="C115" s="965" t="s">
        <v>200</v>
      </c>
      <c r="D115" s="1453">
        <v>45154</v>
      </c>
      <c r="E115" s="889">
        <v>45169</v>
      </c>
      <c r="F115" s="965" t="s">
        <v>167</v>
      </c>
      <c r="G115" s="4154" t="s">
        <v>302</v>
      </c>
      <c r="H115" s="1453">
        <v>45170</v>
      </c>
      <c r="I115" s="965" t="s">
        <v>178</v>
      </c>
      <c r="J115" s="1472" t="s">
        <v>168</v>
      </c>
      <c r="K115" s="965" t="s">
        <v>504</v>
      </c>
      <c r="L115" s="25" t="s">
        <v>1917</v>
      </c>
      <c r="M115" s="929">
        <v>45171</v>
      </c>
      <c r="N115" s="841">
        <v>45170</v>
      </c>
      <c r="O115" s="1487">
        <v>45170</v>
      </c>
      <c r="P115" s="4150" t="s">
        <v>1918</v>
      </c>
      <c r="Q115" s="117" t="s">
        <v>75</v>
      </c>
      <c r="R115" s="4150" t="s">
        <v>1919</v>
      </c>
      <c r="S115" s="117">
        <v>4</v>
      </c>
      <c r="T115" s="117">
        <v>890</v>
      </c>
      <c r="U115" s="117">
        <v>866</v>
      </c>
      <c r="V115" s="117"/>
      <c r="W115" s="117">
        <f>AUG_2023[[#This Row],[Sales Amount]]-AUG_2023[[#This Row],[Cost]]</f>
        <v>24</v>
      </c>
      <c r="X115" s="923">
        <f>AUG_2023[[#This Row],[Profit]]/AUG_2023[[#This Row],[Cost]]</f>
        <v>2.771362586605081E-2</v>
      </c>
      <c r="Y115" s="117"/>
      <c r="Z115" s="117"/>
    </row>
    <row r="116" spans="1:26" hidden="1">
      <c r="A116" s="4149" t="s">
        <v>1431</v>
      </c>
      <c r="B116" s="58" t="s">
        <v>1920</v>
      </c>
      <c r="C116" s="3235" t="s">
        <v>28</v>
      </c>
      <c r="D116" s="4178">
        <v>45149</v>
      </c>
      <c r="E116" s="1112">
        <v>45169</v>
      </c>
      <c r="F116" s="4149" t="s">
        <v>29</v>
      </c>
      <c r="G116" s="4149" t="s">
        <v>30</v>
      </c>
      <c r="H116" s="1115">
        <v>45174</v>
      </c>
      <c r="I116" s="915" t="s">
        <v>40</v>
      </c>
      <c r="J116" s="58" t="s">
        <v>32</v>
      </c>
      <c r="K116" s="58" t="s">
        <v>1433</v>
      </c>
      <c r="L116" s="915">
        <v>617671</v>
      </c>
      <c r="M116" s="1115">
        <v>45172</v>
      </c>
      <c r="N116" s="1115">
        <v>45172</v>
      </c>
      <c r="O116" s="844">
        <v>45175</v>
      </c>
      <c r="P116" s="4122" t="s">
        <v>1921</v>
      </c>
      <c r="Q116" s="58" t="s">
        <v>35</v>
      </c>
      <c r="R116" s="58" t="s">
        <v>36</v>
      </c>
      <c r="S116" s="58" t="s">
        <v>37</v>
      </c>
      <c r="T116" s="106">
        <v>1968.5</v>
      </c>
      <c r="U116" s="106">
        <v>1697</v>
      </c>
      <c r="W116" s="106">
        <f>AUG_2023[[#This Row],[Sales Amount]]-AUG_2023[[#This Row],[Cost]]</f>
        <v>271.5</v>
      </c>
      <c r="X116" s="887">
        <f>AUG_2023[[#This Row],[Profit]]/AUG_2023[[#This Row],[Cost]]</f>
        <v>0.15998821449616971</v>
      </c>
    </row>
    <row r="117" spans="1:26" ht="120">
      <c r="A117" s="25" t="s">
        <v>1134</v>
      </c>
      <c r="B117" s="4154" t="s">
        <v>1922</v>
      </c>
      <c r="C117" s="3234" t="s">
        <v>28</v>
      </c>
      <c r="D117" s="4155">
        <v>45169</v>
      </c>
      <c r="E117" s="889">
        <v>45169</v>
      </c>
      <c r="F117" s="25" t="s">
        <v>135</v>
      </c>
      <c r="G117" s="803" t="s">
        <v>1923</v>
      </c>
      <c r="H117" s="929" t="s">
        <v>1924</v>
      </c>
      <c r="I117" s="483" t="s">
        <v>1925</v>
      </c>
      <c r="J117" s="25" t="s">
        <v>125</v>
      </c>
      <c r="K117" s="25" t="s">
        <v>1641</v>
      </c>
      <c r="L117" s="4154" t="s">
        <v>162</v>
      </c>
      <c r="M117" s="841">
        <v>45178</v>
      </c>
      <c r="N117" s="841">
        <v>45177</v>
      </c>
      <c r="O117" s="353">
        <v>45180</v>
      </c>
      <c r="P117" s="4104" t="s">
        <v>1926</v>
      </c>
      <c r="Q117" s="117" t="s">
        <v>75</v>
      </c>
      <c r="R117" s="4150" t="s">
        <v>1927</v>
      </c>
      <c r="S117" s="117">
        <v>4</v>
      </c>
      <c r="T117" s="117">
        <v>2665.92</v>
      </c>
      <c r="U117" s="4150">
        <f>1790+832</f>
        <v>2622</v>
      </c>
      <c r="V117" s="117">
        <v>1</v>
      </c>
      <c r="W117" s="117">
        <f>AUG_2023[[#This Row],[Sales Amount]]-AUG_2023[[#This Row],[Cost]]</f>
        <v>43.920000000000073</v>
      </c>
      <c r="X117" s="923">
        <f>AUG_2023[[#This Row],[Profit]]/AUG_2023[[#This Row],[Cost]]</f>
        <v>1.6750572082379889E-2</v>
      </c>
      <c r="Y117" s="117"/>
      <c r="Z117" s="117"/>
    </row>
    <row r="118" spans="1:26" hidden="1">
      <c r="A118" s="4149" t="s">
        <v>1431</v>
      </c>
      <c r="B118" s="4149" t="s">
        <v>1928</v>
      </c>
      <c r="C118" s="58" t="s">
        <v>28</v>
      </c>
      <c r="D118" s="4178">
        <v>45149</v>
      </c>
      <c r="E118" s="1112">
        <v>45170</v>
      </c>
      <c r="F118" s="4149" t="s">
        <v>29</v>
      </c>
      <c r="G118" s="4149" t="s">
        <v>30</v>
      </c>
      <c r="H118" s="1115">
        <v>45174</v>
      </c>
      <c r="I118" s="915" t="s">
        <v>108</v>
      </c>
      <c r="J118" s="58" t="s">
        <v>32</v>
      </c>
      <c r="K118" s="58" t="s">
        <v>1433</v>
      </c>
      <c r="L118" s="915">
        <v>626439</v>
      </c>
      <c r="M118" s="1115">
        <v>45172</v>
      </c>
      <c r="N118" s="1115">
        <v>45171</v>
      </c>
      <c r="O118" s="844">
        <v>45175</v>
      </c>
      <c r="P118" s="4122" t="s">
        <v>1929</v>
      </c>
      <c r="Q118" s="58" t="s">
        <v>35</v>
      </c>
      <c r="R118" s="58" t="s">
        <v>36</v>
      </c>
      <c r="S118" s="58" t="s">
        <v>37</v>
      </c>
      <c r="T118" s="106">
        <v>2103.5</v>
      </c>
      <c r="U118" s="106">
        <v>1800</v>
      </c>
      <c r="W118" s="106">
        <f>AUG_2023[[#This Row],[Sales Amount]]-AUG_2023[[#This Row],[Cost]]</f>
        <v>303.5</v>
      </c>
      <c r="X118" s="887">
        <f>AUG_2023[[#This Row],[Profit]]/AUG_2023[[#This Row],[Cost]]</f>
        <v>0.1686111111111111</v>
      </c>
    </row>
    <row r="119" spans="1:26" ht="30">
      <c r="A119" s="4191" t="s">
        <v>1035</v>
      </c>
      <c r="B119" s="4154" t="s">
        <v>1930</v>
      </c>
      <c r="C119" s="25" t="s">
        <v>44</v>
      </c>
      <c r="D119" s="4155">
        <v>45170</v>
      </c>
      <c r="E119" s="889">
        <v>45170</v>
      </c>
      <c r="F119" s="4191" t="s">
        <v>151</v>
      </c>
      <c r="G119" s="4191" t="s">
        <v>1519</v>
      </c>
      <c r="H119" s="4155">
        <v>45177</v>
      </c>
      <c r="I119" s="25" t="s">
        <v>115</v>
      </c>
      <c r="J119" s="965" t="s">
        <v>859</v>
      </c>
      <c r="K119" s="483" t="s">
        <v>1931</v>
      </c>
      <c r="L119" s="4154" t="s">
        <v>162</v>
      </c>
      <c r="M119" s="841">
        <v>45177</v>
      </c>
      <c r="N119" s="841">
        <v>45176</v>
      </c>
      <c r="O119" s="353">
        <v>45180</v>
      </c>
      <c r="P119" s="4104" t="s">
        <v>1932</v>
      </c>
      <c r="Q119" s="120" t="s">
        <v>75</v>
      </c>
      <c r="R119" s="4165" t="s">
        <v>1933</v>
      </c>
      <c r="S119" s="117">
        <v>4</v>
      </c>
      <c r="T119" s="117">
        <v>1763.42</v>
      </c>
      <c r="U119" s="4150">
        <f>1400+68.42+20</f>
        <v>1488.42</v>
      </c>
      <c r="V119" s="117"/>
      <c r="W119" s="117">
        <f>AUG_2023[[#This Row],[Sales Amount]]-AUG_2023[[#This Row],[Cost]]</f>
        <v>275</v>
      </c>
      <c r="X119" s="923">
        <f>AUG_2023[[#This Row],[Profit]]/AUG_2023[[#This Row],[Cost]]</f>
        <v>0.18475967804786284</v>
      </c>
      <c r="Y119" s="117"/>
      <c r="Z119" s="117"/>
    </row>
    <row r="120" spans="1:26" hidden="1">
      <c r="A120" s="4149" t="s">
        <v>1431</v>
      </c>
      <c r="B120" s="4149" t="s">
        <v>1934</v>
      </c>
      <c r="C120" s="58" t="s">
        <v>28</v>
      </c>
      <c r="D120" s="4178">
        <v>45149</v>
      </c>
      <c r="E120" s="1112">
        <v>45171</v>
      </c>
      <c r="F120" s="4149" t="s">
        <v>29</v>
      </c>
      <c r="G120" s="4149" t="s">
        <v>30</v>
      </c>
      <c r="H120" s="1115">
        <v>45175</v>
      </c>
      <c r="I120" s="915" t="s">
        <v>108</v>
      </c>
      <c r="J120" s="58" t="s">
        <v>32</v>
      </c>
      <c r="K120" s="58" t="s">
        <v>1433</v>
      </c>
      <c r="L120" s="915">
        <v>461427</v>
      </c>
      <c r="M120" s="1115">
        <v>45174</v>
      </c>
      <c r="N120" s="844">
        <v>45174</v>
      </c>
      <c r="O120" s="844">
        <v>45175</v>
      </c>
      <c r="P120" s="4122" t="s">
        <v>1935</v>
      </c>
      <c r="Q120" s="58" t="s">
        <v>35</v>
      </c>
      <c r="R120" s="58" t="s">
        <v>36</v>
      </c>
      <c r="S120" s="58" t="s">
        <v>37</v>
      </c>
      <c r="T120" s="106">
        <v>1906</v>
      </c>
      <c r="U120" s="106">
        <v>1661</v>
      </c>
      <c r="W120" s="106">
        <f>AUG_2023[[#This Row],[Sales Amount]]-AUG_2023[[#This Row],[Cost]]</f>
        <v>245</v>
      </c>
      <c r="X120" s="887">
        <f>AUG_2023[[#This Row],[Profit]]/AUG_2023[[#This Row],[Cost]]</f>
        <v>0.14750150511739915</v>
      </c>
    </row>
    <row r="121" spans="1:26" s="117" customFormat="1" hidden="1">
      <c r="A121" s="4149" t="s">
        <v>1509</v>
      </c>
      <c r="B121" s="4149" t="s">
        <v>1936</v>
      </c>
      <c r="C121" s="58" t="s">
        <v>451</v>
      </c>
      <c r="D121" s="4178">
        <v>45154</v>
      </c>
      <c r="E121" s="1112">
        <v>45171</v>
      </c>
      <c r="F121" s="4149" t="s">
        <v>173</v>
      </c>
      <c r="G121" s="4149" t="s">
        <v>46</v>
      </c>
      <c r="H121" s="1115">
        <v>45175</v>
      </c>
      <c r="I121" s="915" t="s">
        <v>115</v>
      </c>
      <c r="J121" s="58" t="s">
        <v>297</v>
      </c>
      <c r="K121" s="1344" t="s">
        <v>1856</v>
      </c>
      <c r="L121" s="915" t="s">
        <v>1937</v>
      </c>
      <c r="M121" s="1115">
        <v>45175</v>
      </c>
      <c r="N121" s="1115">
        <v>45172</v>
      </c>
      <c r="O121" s="1115">
        <v>45175</v>
      </c>
      <c r="P121" s="4122" t="s">
        <v>1938</v>
      </c>
      <c r="Q121" s="58" t="s">
        <v>35</v>
      </c>
      <c r="R121" s="58" t="s">
        <v>36</v>
      </c>
      <c r="S121" s="58" t="s">
        <v>37</v>
      </c>
      <c r="T121" s="106">
        <v>6205</v>
      </c>
      <c r="U121" s="106"/>
      <c r="V121" s="106"/>
      <c r="W121" s="106">
        <f>AUG_2023[[#This Row],[Sales Amount]]-AUG_2023[[#This Row],[Cost]]</f>
        <v>6205</v>
      </c>
      <c r="X121" s="887" t="e">
        <f>AUG_2023[[#This Row],[Profit]]/AUG_2023[[#This Row],[Cost]]</f>
        <v>#DIV/0!</v>
      </c>
      <c r="Y121" s="106"/>
      <c r="Z121" s="106"/>
    </row>
    <row r="122" spans="1:26" s="117" customFormat="1">
      <c r="A122" s="25" t="s">
        <v>1035</v>
      </c>
      <c r="B122" s="4154" t="s">
        <v>1939</v>
      </c>
      <c r="C122" s="25" t="s">
        <v>44</v>
      </c>
      <c r="D122" s="353">
        <v>45155</v>
      </c>
      <c r="E122" s="889">
        <v>45171</v>
      </c>
      <c r="F122" s="25" t="s">
        <v>151</v>
      </c>
      <c r="G122" s="25" t="s">
        <v>302</v>
      </c>
      <c r="H122" s="4155" t="s">
        <v>1038</v>
      </c>
      <c r="I122" s="25"/>
      <c r="J122" s="25" t="s">
        <v>32</v>
      </c>
      <c r="K122" s="25" t="s">
        <v>162</v>
      </c>
      <c r="L122" s="25">
        <v>286215</v>
      </c>
      <c r="M122" s="353">
        <v>45174</v>
      </c>
      <c r="N122" s="353">
        <v>45174</v>
      </c>
      <c r="O122" s="373">
        <v>45174</v>
      </c>
      <c r="P122" s="4150" t="s">
        <v>1940</v>
      </c>
      <c r="Q122" s="117" t="s">
        <v>75</v>
      </c>
      <c r="R122" s="4150" t="s">
        <v>36</v>
      </c>
      <c r="W122" s="117">
        <f>AUG_2023[[#This Row],[Sales Amount]]-AUG_2023[[#This Row],[Cost]]</f>
        <v>0</v>
      </c>
      <c r="X122" s="923" t="e">
        <f>AUG_2023[[#This Row],[Profit]]/AUG_2023[[#This Row],[Cost]]</f>
        <v>#DIV/0!</v>
      </c>
    </row>
    <row r="123" spans="1:26" s="117" customFormat="1" ht="60">
      <c r="A123" s="739" t="s">
        <v>468</v>
      </c>
      <c r="B123" s="4149" t="s">
        <v>1941</v>
      </c>
      <c r="C123" s="58" t="s">
        <v>1518</v>
      </c>
      <c r="D123" s="4178">
        <v>45161</v>
      </c>
      <c r="E123" s="1112">
        <v>45171</v>
      </c>
      <c r="F123" s="4149" t="s">
        <v>98</v>
      </c>
      <c r="G123" s="4149" t="s">
        <v>302</v>
      </c>
      <c r="H123" s="800" t="s">
        <v>1942</v>
      </c>
      <c r="I123" s="58"/>
      <c r="J123" s="4149" t="s">
        <v>32</v>
      </c>
      <c r="K123" s="4149" t="s">
        <v>47</v>
      </c>
      <c r="L123" s="4149" t="s">
        <v>1943</v>
      </c>
      <c r="M123" s="844">
        <v>45176</v>
      </c>
      <c r="N123" s="844">
        <v>45174</v>
      </c>
      <c r="O123" s="844">
        <v>45176</v>
      </c>
      <c r="P123" s="4122" t="s">
        <v>1944</v>
      </c>
      <c r="Q123" s="709" t="s">
        <v>75</v>
      </c>
      <c r="R123" s="709" t="s">
        <v>51</v>
      </c>
      <c r="S123" s="709"/>
      <c r="T123" s="709"/>
      <c r="U123" s="727"/>
      <c r="V123" s="727"/>
      <c r="W123" s="727">
        <f>AUG_2023[[#This Row],[Sales Amount]]-AUG_2023[[#This Row],[Cost]]</f>
        <v>0</v>
      </c>
      <c r="X123" s="1179" t="e">
        <f>AUG_2023[[#This Row],[Profit]]/AUG_2023[[#This Row],[Cost]]</f>
        <v>#DIV/0!</v>
      </c>
      <c r="Y123" s="727"/>
      <c r="Z123" s="711"/>
    </row>
    <row r="124" spans="1:26" hidden="1">
      <c r="A124" s="4149" t="s">
        <v>1945</v>
      </c>
      <c r="B124" s="4149" t="s">
        <v>1946</v>
      </c>
      <c r="C124" s="58" t="s">
        <v>28</v>
      </c>
      <c r="D124" s="4178">
        <v>45166</v>
      </c>
      <c r="E124" s="1112">
        <v>45171</v>
      </c>
      <c r="F124" s="4149" t="s">
        <v>98</v>
      </c>
      <c r="G124" s="58" t="s">
        <v>46</v>
      </c>
      <c r="H124" s="1115">
        <v>45175</v>
      </c>
      <c r="I124" s="915" t="s">
        <v>178</v>
      </c>
      <c r="J124" s="58" t="s">
        <v>32</v>
      </c>
      <c r="K124" s="915" t="s">
        <v>1947</v>
      </c>
      <c r="L124" s="915" t="s">
        <v>1948</v>
      </c>
      <c r="M124" s="1115">
        <v>45175</v>
      </c>
      <c r="N124" s="1115">
        <v>45175</v>
      </c>
      <c r="O124" s="1115">
        <v>45175</v>
      </c>
      <c r="P124" s="4122" t="s">
        <v>1949</v>
      </c>
      <c r="Q124" s="58" t="s">
        <v>35</v>
      </c>
      <c r="R124" s="58" t="s">
        <v>36</v>
      </c>
      <c r="S124" s="58" t="s">
        <v>67</v>
      </c>
      <c r="T124" s="106">
        <v>930</v>
      </c>
      <c r="U124" s="106">
        <v>776</v>
      </c>
      <c r="W124" s="106">
        <f>AUG_2023[[#This Row],[Sales Amount]]-AUG_2023[[#This Row],[Cost]]</f>
        <v>154</v>
      </c>
      <c r="X124" s="887">
        <f>AUG_2023[[#This Row],[Profit]]/AUG_2023[[#This Row],[Cost]]</f>
        <v>0.19845360824742267</v>
      </c>
    </row>
    <row r="125" spans="1:26" hidden="1">
      <c r="A125" s="4149" t="s">
        <v>122</v>
      </c>
      <c r="B125" s="4149" t="s">
        <v>1950</v>
      </c>
      <c r="C125" s="4149" t="s">
        <v>755</v>
      </c>
      <c r="D125" s="4178">
        <v>45171</v>
      </c>
      <c r="E125" s="844">
        <v>45171</v>
      </c>
      <c r="F125" s="4149" t="s">
        <v>45</v>
      </c>
      <c r="G125" s="4149" t="s">
        <v>124</v>
      </c>
      <c r="H125" s="844">
        <v>45179</v>
      </c>
      <c r="I125" s="1440">
        <v>0.95833333333333337</v>
      </c>
      <c r="J125" s="4149" t="s">
        <v>859</v>
      </c>
      <c r="K125" s="4149" t="s">
        <v>1951</v>
      </c>
      <c r="L125" s="58"/>
      <c r="M125" s="844">
        <v>45176</v>
      </c>
      <c r="N125" s="844">
        <v>45177</v>
      </c>
      <c r="O125" s="844">
        <v>45182</v>
      </c>
      <c r="P125" s="4122" t="s">
        <v>1952</v>
      </c>
      <c r="Q125" s="4122" t="s">
        <v>128</v>
      </c>
      <c r="R125" s="709" t="s">
        <v>36</v>
      </c>
      <c r="S125" s="709"/>
      <c r="T125" s="709">
        <v>3850</v>
      </c>
      <c r="U125" s="709">
        <v>3105</v>
      </c>
      <c r="V125" s="709"/>
      <c r="W125" s="709">
        <f>AUG_2023[[#This Row],[Sales Amount]]-AUG_2023[[#This Row],[Cost]]</f>
        <v>745</v>
      </c>
      <c r="X125" s="1384">
        <f>AUG_2023[[#This Row],[Profit]]/AUG_2023[[#This Row],[Cost]]</f>
        <v>0.23993558776167473</v>
      </c>
      <c r="Y125" s="709"/>
      <c r="Z125" s="709"/>
    </row>
    <row r="126" spans="1:26" s="117" customFormat="1" hidden="1">
      <c r="A126" s="58" t="s">
        <v>263</v>
      </c>
      <c r="B126" s="4149" t="s">
        <v>1953</v>
      </c>
      <c r="C126" s="58" t="s">
        <v>44</v>
      </c>
      <c r="D126" s="844">
        <v>45171</v>
      </c>
      <c r="E126" s="844">
        <v>45171</v>
      </c>
      <c r="F126" s="58" t="s">
        <v>1671</v>
      </c>
      <c r="G126" s="58" t="s">
        <v>1954</v>
      </c>
      <c r="H126" s="844">
        <v>45176</v>
      </c>
      <c r="I126" s="1440">
        <v>0.33333333333333331</v>
      </c>
      <c r="J126" s="58" t="s">
        <v>1955</v>
      </c>
      <c r="K126" s="4149" t="s">
        <v>1956</v>
      </c>
      <c r="L126" s="58"/>
      <c r="M126" s="844">
        <v>45177</v>
      </c>
      <c r="N126" s="1139">
        <v>45175</v>
      </c>
      <c r="O126" s="1139">
        <v>45176</v>
      </c>
      <c r="P126" s="4122" t="s">
        <v>1957</v>
      </c>
      <c r="Q126" s="709" t="s">
        <v>128</v>
      </c>
      <c r="R126" s="709" t="s">
        <v>36</v>
      </c>
      <c r="S126" s="709"/>
      <c r="T126" s="709">
        <v>1355.16</v>
      </c>
      <c r="U126" s="709">
        <f>120+80+80.16+755</f>
        <v>1035.1599999999999</v>
      </c>
      <c r="V126" s="709">
        <v>1</v>
      </c>
      <c r="W126" s="709">
        <f>AUG_2023[[#This Row],[Sales Amount]]-AUG_2023[[#This Row],[Cost]]</f>
        <v>320.00000000000023</v>
      </c>
      <c r="X126" s="1384">
        <f>AUG_2023[[#This Row],[Profit]]/AUG_2023[[#This Row],[Cost]]</f>
        <v>0.30913095560106679</v>
      </c>
      <c r="Y126" s="709"/>
      <c r="Z126" s="709"/>
    </row>
    <row r="127" spans="1:26" hidden="1">
      <c r="A127" s="4149" t="s">
        <v>1472</v>
      </c>
      <c r="B127" s="1146">
        <v>6362679860</v>
      </c>
      <c r="C127" s="4149" t="s">
        <v>1473</v>
      </c>
      <c r="D127" s="4178">
        <v>45172</v>
      </c>
      <c r="E127" s="844">
        <v>45172</v>
      </c>
      <c r="F127" s="4149" t="s">
        <v>45</v>
      </c>
      <c r="G127" s="4149" t="s">
        <v>587</v>
      </c>
      <c r="H127" s="58"/>
      <c r="I127" s="58"/>
      <c r="J127" s="4149"/>
      <c r="K127" s="4149" t="s">
        <v>1958</v>
      </c>
      <c r="L127" s="58"/>
      <c r="M127" s="4178" t="s">
        <v>1959</v>
      </c>
      <c r="N127" s="58"/>
      <c r="O127" s="58"/>
      <c r="P127" s="4122" t="s">
        <v>1960</v>
      </c>
      <c r="Q127" s="4122" t="s">
        <v>128</v>
      </c>
      <c r="R127" s="709" t="s">
        <v>36</v>
      </c>
      <c r="S127" s="709"/>
      <c r="T127" s="709">
        <v>1860</v>
      </c>
      <c r="U127" s="709">
        <f>795+35+552</f>
        <v>1382</v>
      </c>
      <c r="V127" s="709"/>
      <c r="W127" s="709">
        <f>AUG_2023[[#This Row],[Sales Amount]]-AUG_2023[[#This Row],[Cost]]</f>
        <v>478</v>
      </c>
      <c r="X127" s="1384">
        <f>AUG_2023[[#This Row],[Profit]]/AUG_2023[[#This Row],[Cost]]</f>
        <v>0.34587554269175108</v>
      </c>
      <c r="Y127" s="709"/>
      <c r="Z127" s="709"/>
    </row>
    <row r="128" spans="1:26" s="117" customFormat="1" hidden="1">
      <c r="A128" s="4149" t="s">
        <v>1431</v>
      </c>
      <c r="B128" s="58" t="s">
        <v>1961</v>
      </c>
      <c r="C128" s="58" t="s">
        <v>28</v>
      </c>
      <c r="D128" s="4178">
        <v>45162</v>
      </c>
      <c r="E128" s="1451">
        <v>45172</v>
      </c>
      <c r="F128" s="4149" t="s">
        <v>285</v>
      </c>
      <c r="G128" s="58" t="s">
        <v>46</v>
      </c>
      <c r="H128" s="1115">
        <v>45176</v>
      </c>
      <c r="I128" s="915" t="s">
        <v>40</v>
      </c>
      <c r="J128" s="58" t="s">
        <v>32</v>
      </c>
      <c r="K128" s="58" t="s">
        <v>1433</v>
      </c>
      <c r="L128" s="915" t="s">
        <v>1962</v>
      </c>
      <c r="M128" s="1115">
        <v>45175</v>
      </c>
      <c r="N128" s="1115">
        <v>45175</v>
      </c>
      <c r="O128" s="844">
        <v>45176</v>
      </c>
      <c r="P128" s="4122" t="s">
        <v>1963</v>
      </c>
      <c r="Q128" s="58" t="s">
        <v>35</v>
      </c>
      <c r="R128" s="58" t="s">
        <v>36</v>
      </c>
      <c r="S128" s="58" t="s">
        <v>37</v>
      </c>
      <c r="T128" s="106">
        <v>1723.5</v>
      </c>
      <c r="U128" s="106">
        <v>1451</v>
      </c>
      <c r="V128" s="106"/>
      <c r="W128" s="106">
        <f>AUG_2023[[#This Row],[Sales Amount]]-AUG_2023[[#This Row],[Cost]]</f>
        <v>272.5</v>
      </c>
      <c r="X128" s="887">
        <f>AUG_2023[[#This Row],[Profit]]/AUG_2023[[#This Row],[Cost]]</f>
        <v>0.18780151619572708</v>
      </c>
      <c r="Y128" s="106"/>
      <c r="Z128" s="106"/>
    </row>
    <row r="129" spans="1:26" s="709" customFormat="1" hidden="1">
      <c r="A129" s="4149" t="s">
        <v>1431</v>
      </c>
      <c r="B129" s="4149" t="s">
        <v>1964</v>
      </c>
      <c r="C129" s="58" t="s">
        <v>28</v>
      </c>
      <c r="D129" s="844">
        <v>45162</v>
      </c>
      <c r="E129" s="1112">
        <v>45172</v>
      </c>
      <c r="F129" s="4149" t="s">
        <v>285</v>
      </c>
      <c r="G129" s="58" t="s">
        <v>46</v>
      </c>
      <c r="H129" s="1115">
        <v>45176</v>
      </c>
      <c r="I129" s="1115" t="s">
        <v>108</v>
      </c>
      <c r="J129" s="58" t="s">
        <v>32</v>
      </c>
      <c r="K129" s="58" t="s">
        <v>1433</v>
      </c>
      <c r="L129" s="915" t="s">
        <v>1965</v>
      </c>
      <c r="M129" s="1115">
        <v>45175</v>
      </c>
      <c r="N129" s="1115">
        <v>45175</v>
      </c>
      <c r="O129" s="844">
        <v>45176</v>
      </c>
      <c r="P129" s="4122" t="s">
        <v>1966</v>
      </c>
      <c r="Q129" s="4149" t="s">
        <v>35</v>
      </c>
      <c r="R129" s="58" t="s">
        <v>36</v>
      </c>
      <c r="S129" s="58" t="s">
        <v>37</v>
      </c>
      <c r="T129" s="106">
        <v>1768.5</v>
      </c>
      <c r="U129" s="106">
        <v>1521</v>
      </c>
      <c r="V129" s="106"/>
      <c r="W129" s="106">
        <f>AUG_2023[[#This Row],[Sales Amount]]-AUG_2023[[#This Row],[Cost]]</f>
        <v>247.5</v>
      </c>
      <c r="X129" s="887">
        <f>AUG_2023[[#This Row],[Profit]]/AUG_2023[[#This Row],[Cost]]</f>
        <v>0.16272189349112426</v>
      </c>
      <c r="Y129" s="106"/>
      <c r="Z129" s="106"/>
    </row>
    <row r="130" spans="1:26" ht="45">
      <c r="A130" s="25" t="s">
        <v>165</v>
      </c>
      <c r="B130" s="4850" t="s">
        <v>1967</v>
      </c>
      <c r="C130" s="4848" t="s">
        <v>44</v>
      </c>
      <c r="D130" s="4155">
        <v>45172</v>
      </c>
      <c r="E130" s="889">
        <v>45172</v>
      </c>
      <c r="F130" s="4154" t="s">
        <v>167</v>
      </c>
      <c r="G130" s="4093" t="s">
        <v>1968</v>
      </c>
      <c r="H130" s="353">
        <v>45177</v>
      </c>
      <c r="I130" s="25" t="s">
        <v>1383</v>
      </c>
      <c r="J130" s="1470" t="s">
        <v>1969</v>
      </c>
      <c r="K130" s="4154" t="s">
        <v>1970</v>
      </c>
      <c r="L130" s="25" t="s">
        <v>162</v>
      </c>
      <c r="M130" s="353">
        <v>45177</v>
      </c>
      <c r="N130" s="353">
        <v>45177</v>
      </c>
      <c r="O130" s="353">
        <v>45181</v>
      </c>
      <c r="P130" s="4104" t="s">
        <v>1971</v>
      </c>
      <c r="Q130" s="120" t="s">
        <v>75</v>
      </c>
      <c r="R130" s="4150" t="s">
        <v>1972</v>
      </c>
      <c r="S130" s="117">
        <v>4</v>
      </c>
      <c r="T130" s="117">
        <v>1993.5</v>
      </c>
      <c r="U130" s="117">
        <f>775+91</f>
        <v>866</v>
      </c>
      <c r="V130" s="117">
        <v>1</v>
      </c>
      <c r="W130" s="117">
        <f>AUG_2023[[#This Row],[Sales Amount]]-AUG_2023[[#This Row],[Cost]]</f>
        <v>1127.5</v>
      </c>
      <c r="X130" s="923">
        <f>AUG_2023[[#This Row],[Profit]]/AUG_2023[[#This Row],[Cost]]</f>
        <v>1.3019630484988454</v>
      </c>
      <c r="Y130" s="117"/>
      <c r="Z130" s="117"/>
    </row>
    <row r="131" spans="1:26" s="117" customFormat="1" ht="30">
      <c r="A131" s="25" t="s">
        <v>68</v>
      </c>
      <c r="B131" s="4857" t="s">
        <v>1973</v>
      </c>
      <c r="C131" s="4848" t="s">
        <v>44</v>
      </c>
      <c r="D131" s="353">
        <v>45154</v>
      </c>
      <c r="E131" s="889">
        <v>45173</v>
      </c>
      <c r="F131" s="25" t="s">
        <v>45</v>
      </c>
      <c r="G131" s="25" t="s">
        <v>919</v>
      </c>
      <c r="H131" s="353">
        <v>45162</v>
      </c>
      <c r="I131" s="4154" t="s">
        <v>926</v>
      </c>
      <c r="J131" s="4201" t="s">
        <v>490</v>
      </c>
      <c r="K131" s="827" t="s">
        <v>1235</v>
      </c>
      <c r="L131" s="4093" t="s">
        <v>1974</v>
      </c>
      <c r="M131" s="944">
        <v>45163</v>
      </c>
      <c r="N131" s="353">
        <v>45162</v>
      </c>
      <c r="O131" s="353">
        <v>45162</v>
      </c>
      <c r="P131" s="4104" t="s">
        <v>1810</v>
      </c>
      <c r="Q131" s="120" t="s">
        <v>75</v>
      </c>
      <c r="R131" s="4150" t="s">
        <v>1811</v>
      </c>
      <c r="S131" s="117" t="s">
        <v>67</v>
      </c>
      <c r="T131" s="117">
        <v>665</v>
      </c>
      <c r="U131" s="117">
        <f>425+22.5</f>
        <v>447.5</v>
      </c>
      <c r="V131" s="117">
        <v>1</v>
      </c>
      <c r="W131" s="117">
        <f>AUG_2023[[#This Row],[Sales Amount]]-AUG_2023[[#This Row],[Cost]]</f>
        <v>217.5</v>
      </c>
      <c r="X131" s="923">
        <f>AUG_2023[[#This Row],[Profit]]/AUG_2023[[#This Row],[Cost]]</f>
        <v>0.48603351955307261</v>
      </c>
    </row>
    <row r="132" spans="1:26" s="117" customFormat="1" hidden="1">
      <c r="A132" s="4154" t="s">
        <v>1472</v>
      </c>
      <c r="B132" s="4858">
        <v>6362204360</v>
      </c>
      <c r="C132" s="4850" t="s">
        <v>1975</v>
      </c>
      <c r="D132" s="4155">
        <v>45173</v>
      </c>
      <c r="E132" s="353">
        <v>45173</v>
      </c>
      <c r="F132" s="4154" t="s">
        <v>45</v>
      </c>
      <c r="G132" s="4154" t="s">
        <v>587</v>
      </c>
      <c r="H132" s="353"/>
      <c r="I132" s="25"/>
      <c r="J132" s="4201"/>
      <c r="K132" s="4154" t="s">
        <v>1958</v>
      </c>
      <c r="L132" s="25"/>
      <c r="M132" s="889" t="s">
        <v>1976</v>
      </c>
      <c r="N132" s="353"/>
      <c r="O132" s="353"/>
      <c r="P132" s="4150" t="s">
        <v>1977</v>
      </c>
      <c r="Q132" s="4193" t="s">
        <v>128</v>
      </c>
      <c r="R132" s="117" t="s">
        <v>36</v>
      </c>
      <c r="T132" s="117">
        <v>1180</v>
      </c>
      <c r="U132" s="117">
        <v>705</v>
      </c>
      <c r="W132" s="117">
        <f>AUG_2023[[#This Row],[Sales Amount]]-AUG_2023[[#This Row],[Cost]]</f>
        <v>475</v>
      </c>
      <c r="X132" s="923">
        <f>AUG_2023[[#This Row],[Profit]]/AUG_2023[[#This Row],[Cost]]</f>
        <v>0.67375886524822692</v>
      </c>
    </row>
    <row r="133" spans="1:26">
      <c r="A133" s="4154" t="s">
        <v>1035</v>
      </c>
      <c r="B133" s="4850" t="s">
        <v>1978</v>
      </c>
      <c r="C133" s="4848" t="s">
        <v>44</v>
      </c>
      <c r="D133" s="4155">
        <v>45156</v>
      </c>
      <c r="E133" s="889">
        <v>45173</v>
      </c>
      <c r="F133" s="25" t="s">
        <v>151</v>
      </c>
      <c r="G133" s="25" t="s">
        <v>302</v>
      </c>
      <c r="H133" s="4155" t="s">
        <v>1038</v>
      </c>
      <c r="I133" s="25"/>
      <c r="J133" s="1470" t="s">
        <v>32</v>
      </c>
      <c r="K133" s="25" t="s">
        <v>162</v>
      </c>
      <c r="L133" s="4154" t="s">
        <v>1979</v>
      </c>
      <c r="M133" s="353">
        <v>45176</v>
      </c>
      <c r="N133" s="353">
        <v>45176</v>
      </c>
      <c r="O133" s="353">
        <v>45176</v>
      </c>
      <c r="P133" s="4150" t="s">
        <v>1908</v>
      </c>
      <c r="Q133" s="120" t="s">
        <v>75</v>
      </c>
      <c r="R133" s="4150" t="s">
        <v>36</v>
      </c>
      <c r="S133" s="117"/>
      <c r="T133" s="117"/>
      <c r="U133" s="117"/>
      <c r="V133" s="117"/>
      <c r="W133" s="117">
        <f>AUG_2023[[#This Row],[Sales Amount]]-AUG_2023[[#This Row],[Cost]]</f>
        <v>0</v>
      </c>
      <c r="X133" s="923" t="e">
        <f>AUG_2023[[#This Row],[Profit]]/AUG_2023[[#This Row],[Cost]]</f>
        <v>#DIV/0!</v>
      </c>
      <c r="Y133" s="117"/>
      <c r="Z133" s="117"/>
    </row>
    <row r="134" spans="1:26">
      <c r="A134" s="4154" t="s">
        <v>1035</v>
      </c>
      <c r="B134" s="4184" t="s">
        <v>1980</v>
      </c>
      <c r="C134" s="3234" t="s">
        <v>44</v>
      </c>
      <c r="D134" s="4155">
        <v>45164</v>
      </c>
      <c r="E134" s="889">
        <v>45174</v>
      </c>
      <c r="F134" s="4154" t="s">
        <v>245</v>
      </c>
      <c r="G134" s="4154" t="s">
        <v>57</v>
      </c>
      <c r="H134" s="25" t="s">
        <v>1038</v>
      </c>
      <c r="I134" s="25"/>
      <c r="J134" s="25" t="s">
        <v>32</v>
      </c>
      <c r="K134" s="25" t="s">
        <v>162</v>
      </c>
      <c r="L134" s="837">
        <v>6043617</v>
      </c>
      <c r="M134" s="353">
        <v>45178</v>
      </c>
      <c r="N134" s="353">
        <v>45177</v>
      </c>
      <c r="O134" s="353">
        <v>45177</v>
      </c>
      <c r="P134" s="4150" t="s">
        <v>1981</v>
      </c>
      <c r="Q134" s="117" t="s">
        <v>75</v>
      </c>
      <c r="R134" s="4150" t="s">
        <v>36</v>
      </c>
      <c r="S134" s="117"/>
      <c r="T134" s="117"/>
      <c r="U134" s="117"/>
      <c r="V134" s="117"/>
      <c r="W134" s="117">
        <f>AUG_2023[[#This Row],[Sales Amount]]-AUG_2023[[#This Row],[Cost]]</f>
        <v>0</v>
      </c>
      <c r="X134" s="923" t="e">
        <f>AUG_2023[[#This Row],[Profit]]/AUG_2023[[#This Row],[Cost]]</f>
        <v>#DIV/0!</v>
      </c>
      <c r="Y134" s="117"/>
      <c r="Z134" s="117"/>
    </row>
    <row r="135" spans="1:26" s="117" customFormat="1" ht="30">
      <c r="A135" s="25" t="s">
        <v>68</v>
      </c>
      <c r="B135" s="4154" t="s">
        <v>1982</v>
      </c>
      <c r="C135" s="3234" t="s">
        <v>28</v>
      </c>
      <c r="D135" s="4155">
        <v>45165</v>
      </c>
      <c r="E135" s="889">
        <v>45174</v>
      </c>
      <c r="F135" s="25" t="s">
        <v>45</v>
      </c>
      <c r="G135" s="25" t="s">
        <v>919</v>
      </c>
      <c r="H135" s="353">
        <v>45175</v>
      </c>
      <c r="I135" s="25"/>
      <c r="J135" s="4154" t="s">
        <v>490</v>
      </c>
      <c r="K135" s="827" t="s">
        <v>1235</v>
      </c>
      <c r="L135" s="25" t="s">
        <v>1983</v>
      </c>
      <c r="M135" s="889">
        <v>45176</v>
      </c>
      <c r="N135" s="353">
        <v>45175</v>
      </c>
      <c r="O135" s="353">
        <v>45175</v>
      </c>
      <c r="P135" s="4104" t="s">
        <v>1984</v>
      </c>
      <c r="Q135" s="117" t="s">
        <v>75</v>
      </c>
      <c r="R135" s="4165" t="s">
        <v>1985</v>
      </c>
      <c r="S135" s="117" t="s">
        <v>67</v>
      </c>
      <c r="T135" s="117">
        <v>900</v>
      </c>
      <c r="U135" s="117">
        <f>550+15</f>
        <v>565</v>
      </c>
      <c r="V135" s="117">
        <v>5</v>
      </c>
      <c r="W135" s="117">
        <f>AUG_2023[[#This Row],[Sales Amount]]-AUG_2023[[#This Row],[Cost]]</f>
        <v>335</v>
      </c>
      <c r="X135" s="923">
        <f>AUG_2023[[#This Row],[Profit]]/AUG_2023[[#This Row],[Cost]]</f>
        <v>0.59292035398230092</v>
      </c>
    </row>
    <row r="136" spans="1:26" s="117" customFormat="1" ht="30">
      <c r="A136" s="25" t="s">
        <v>68</v>
      </c>
      <c r="B136" s="25" t="s">
        <v>1986</v>
      </c>
      <c r="C136" s="3234" t="s">
        <v>28</v>
      </c>
      <c r="D136" s="4155">
        <v>45165</v>
      </c>
      <c r="E136" s="889">
        <v>45174</v>
      </c>
      <c r="F136" s="25" t="s">
        <v>45</v>
      </c>
      <c r="G136" s="25" t="s">
        <v>919</v>
      </c>
      <c r="H136" s="353">
        <v>45175</v>
      </c>
      <c r="I136" s="25"/>
      <c r="J136" s="4154" t="s">
        <v>490</v>
      </c>
      <c r="K136" s="827" t="s">
        <v>1235</v>
      </c>
      <c r="L136" s="1425" t="s">
        <v>1987</v>
      </c>
      <c r="M136" s="889">
        <v>45176</v>
      </c>
      <c r="N136" s="353">
        <v>45175</v>
      </c>
      <c r="O136" s="353">
        <v>45175</v>
      </c>
      <c r="P136" s="4104" t="s">
        <v>1984</v>
      </c>
      <c r="Q136" s="117" t="s">
        <v>75</v>
      </c>
      <c r="R136" s="4165" t="s">
        <v>1985</v>
      </c>
      <c r="S136" s="117" t="s">
        <v>67</v>
      </c>
      <c r="T136" s="117">
        <v>900</v>
      </c>
      <c r="U136" s="117">
        <f>550+15</f>
        <v>565</v>
      </c>
      <c r="V136" s="117">
        <v>5</v>
      </c>
      <c r="W136" s="117">
        <f>AUG_2023[[#This Row],[Sales Amount]]-AUG_2023[[#This Row],[Cost]]</f>
        <v>335</v>
      </c>
      <c r="X136" s="923">
        <f>AUG_2023[[#This Row],[Profit]]/AUG_2023[[#This Row],[Cost]]</f>
        <v>0.59292035398230092</v>
      </c>
    </row>
    <row r="137" spans="1:26" s="117" customFormat="1" ht="30">
      <c r="A137" s="25" t="s">
        <v>68</v>
      </c>
      <c r="B137" s="4848" t="s">
        <v>1988</v>
      </c>
      <c r="C137" s="4603" t="s">
        <v>28</v>
      </c>
      <c r="D137" s="4618">
        <v>45165</v>
      </c>
      <c r="E137" s="889">
        <v>45174</v>
      </c>
      <c r="F137" s="4603" t="s">
        <v>45</v>
      </c>
      <c r="G137" s="25" t="s">
        <v>919</v>
      </c>
      <c r="H137" s="4604">
        <v>45175</v>
      </c>
      <c r="I137" s="25"/>
      <c r="J137" s="4154" t="s">
        <v>490</v>
      </c>
      <c r="K137" s="827" t="s">
        <v>1235</v>
      </c>
      <c r="L137" s="25" t="s">
        <v>1989</v>
      </c>
      <c r="M137" s="889">
        <v>45176</v>
      </c>
      <c r="N137" s="353">
        <v>45174</v>
      </c>
      <c r="O137" s="353">
        <v>45175</v>
      </c>
      <c r="P137" s="4104" t="s">
        <v>1984</v>
      </c>
      <c r="Q137" s="117" t="s">
        <v>75</v>
      </c>
      <c r="R137" s="4165" t="s">
        <v>1985</v>
      </c>
      <c r="S137" s="117" t="s">
        <v>67</v>
      </c>
      <c r="T137" s="117">
        <v>900</v>
      </c>
      <c r="U137" s="117">
        <f>550+15</f>
        <v>565</v>
      </c>
      <c r="V137" s="117">
        <v>5</v>
      </c>
      <c r="W137" s="117">
        <f>AUG_2023[[#This Row],[Sales Amount]]-AUG_2023[[#This Row],[Cost]]</f>
        <v>335</v>
      </c>
      <c r="X137" s="923">
        <f>AUG_2023[[#This Row],[Profit]]/AUG_2023[[#This Row],[Cost]]</f>
        <v>0.59292035398230092</v>
      </c>
    </row>
    <row r="138" spans="1:26" ht="90">
      <c r="A138" s="25" t="s">
        <v>165</v>
      </c>
      <c r="B138" s="4154" t="s">
        <v>1990</v>
      </c>
      <c r="C138" s="25" t="s">
        <v>44</v>
      </c>
      <c r="D138" s="4618">
        <v>45163</v>
      </c>
      <c r="E138" s="889">
        <v>45175</v>
      </c>
      <c r="F138" s="4154" t="s">
        <v>1828</v>
      </c>
      <c r="G138" s="4603" t="s">
        <v>302</v>
      </c>
      <c r="H138" s="353">
        <v>45177</v>
      </c>
      <c r="I138" s="4154" t="s">
        <v>618</v>
      </c>
      <c r="J138" s="4154" t="s">
        <v>1991</v>
      </c>
      <c r="K138" s="4154" t="s">
        <v>1992</v>
      </c>
      <c r="L138" s="765" t="s">
        <v>1993</v>
      </c>
      <c r="M138" s="353">
        <v>45177</v>
      </c>
      <c r="N138" s="353">
        <v>45176</v>
      </c>
      <c r="O138" s="353">
        <v>45180</v>
      </c>
      <c r="P138" s="4104" t="s">
        <v>1994</v>
      </c>
      <c r="Q138" s="117" t="s">
        <v>75</v>
      </c>
      <c r="R138" s="117" t="s">
        <v>1995</v>
      </c>
      <c r="S138" s="117"/>
      <c r="T138" s="117">
        <v>1520</v>
      </c>
      <c r="U138" s="117">
        <v>1126.25</v>
      </c>
      <c r="V138" s="117"/>
      <c r="W138" s="117">
        <f>AUG_2023[[#This Row],[Sales Amount]]-AUG_2023[[#This Row],[Cost]]</f>
        <v>393.75</v>
      </c>
      <c r="X138" s="923">
        <f>AUG_2023[[#This Row],[Profit]]/AUG_2023[[#This Row],[Cost]]</f>
        <v>0.34961154273029965</v>
      </c>
      <c r="Y138" s="117"/>
      <c r="Z138" s="117"/>
    </row>
    <row r="139" spans="1:26" ht="90">
      <c r="A139" s="4154" t="s">
        <v>165</v>
      </c>
      <c r="B139" s="4154" t="s">
        <v>1996</v>
      </c>
      <c r="C139" s="25" t="s">
        <v>44</v>
      </c>
      <c r="D139" s="4155">
        <v>45163</v>
      </c>
      <c r="E139" s="889">
        <v>45175</v>
      </c>
      <c r="F139" s="4154" t="s">
        <v>1828</v>
      </c>
      <c r="G139" s="25" t="s">
        <v>302</v>
      </c>
      <c r="H139" s="353">
        <v>45180</v>
      </c>
      <c r="I139" s="4154" t="s">
        <v>618</v>
      </c>
      <c r="J139" s="4154" t="s">
        <v>1991</v>
      </c>
      <c r="K139" s="4154" t="s">
        <v>1992</v>
      </c>
      <c r="L139" s="765" t="s">
        <v>1997</v>
      </c>
      <c r="M139" s="353">
        <v>45177</v>
      </c>
      <c r="N139" s="353">
        <v>45177</v>
      </c>
      <c r="O139" s="353">
        <v>45180</v>
      </c>
      <c r="P139" s="4104" t="s">
        <v>1998</v>
      </c>
      <c r="Q139" s="117" t="s">
        <v>75</v>
      </c>
      <c r="R139" s="117" t="s">
        <v>1999</v>
      </c>
      <c r="S139" s="117"/>
      <c r="T139" s="117">
        <v>1475</v>
      </c>
      <c r="U139" s="117">
        <v>1086.25</v>
      </c>
      <c r="V139" s="117"/>
      <c r="W139" s="117">
        <f>AUG_2023[[#This Row],[Sales Amount]]-AUG_2023[[#This Row],[Cost]]</f>
        <v>388.75</v>
      </c>
      <c r="X139" s="923">
        <f>AUG_2023[[#This Row],[Profit]]/AUG_2023[[#This Row],[Cost]]</f>
        <v>0.35788262370540852</v>
      </c>
      <c r="Y139" s="117"/>
      <c r="Z139" s="117"/>
    </row>
    <row r="140" spans="1:26" s="709" customFormat="1" hidden="1">
      <c r="A140" s="4149" t="s">
        <v>2000</v>
      </c>
      <c r="B140" s="4149" t="s">
        <v>2001</v>
      </c>
      <c r="C140" s="4149"/>
      <c r="D140" s="4178"/>
      <c r="E140" s="844">
        <v>45175</v>
      </c>
      <c r="F140" s="4149"/>
      <c r="G140" s="4149" t="s">
        <v>2002</v>
      </c>
      <c r="H140" s="844">
        <v>45182</v>
      </c>
      <c r="I140" s="1440">
        <v>0.45833333333333331</v>
      </c>
      <c r="J140" s="4149" t="s">
        <v>435</v>
      </c>
      <c r="K140" s="4149" t="s">
        <v>2003</v>
      </c>
      <c r="L140" s="58">
        <v>628868</v>
      </c>
      <c r="M140" s="844">
        <v>45182</v>
      </c>
      <c r="N140" s="4859">
        <v>45181</v>
      </c>
      <c r="O140" s="4859"/>
      <c r="P140" s="4122" t="s">
        <v>2004</v>
      </c>
      <c r="Q140" s="4122" t="s">
        <v>128</v>
      </c>
      <c r="R140" s="709" t="s">
        <v>36</v>
      </c>
      <c r="T140" s="709">
        <v>920</v>
      </c>
      <c r="U140" s="709">
        <v>465</v>
      </c>
      <c r="V140" s="709">
        <v>1</v>
      </c>
      <c r="W140" s="709">
        <f>AUG_2023[[#This Row],[Sales Amount]]-AUG_2023[[#This Row],[Cost]]</f>
        <v>455</v>
      </c>
      <c r="X140" s="1384">
        <f>AUG_2023[[#This Row],[Profit]]/AUG_2023[[#This Row],[Cost]]</f>
        <v>0.978494623655914</v>
      </c>
    </row>
    <row r="141" spans="1:26" ht="60">
      <c r="A141" s="19" t="s">
        <v>165</v>
      </c>
      <c r="B141" s="4191" t="s">
        <v>2005</v>
      </c>
      <c r="C141" s="19" t="s">
        <v>44</v>
      </c>
      <c r="D141" s="4199">
        <v>45176</v>
      </c>
      <c r="E141" s="55">
        <v>45176</v>
      </c>
      <c r="F141" s="4191" t="s">
        <v>167</v>
      </c>
      <c r="G141" s="4093" t="s">
        <v>2006</v>
      </c>
      <c r="H141" s="889">
        <v>45183</v>
      </c>
      <c r="I141" s="1469" t="s">
        <v>1782</v>
      </c>
      <c r="J141" s="25" t="s">
        <v>1969</v>
      </c>
      <c r="K141" s="4154" t="s">
        <v>2007</v>
      </c>
      <c r="L141" s="19" t="s">
        <v>162</v>
      </c>
      <c r="M141" s="662">
        <v>45183</v>
      </c>
      <c r="N141" s="725">
        <v>45183</v>
      </c>
      <c r="O141" s="4199">
        <v>45184</v>
      </c>
      <c r="P141" s="4128" t="s">
        <v>2008</v>
      </c>
      <c r="Q141" s="117" t="s">
        <v>75</v>
      </c>
      <c r="R141" s="4150" t="s">
        <v>2009</v>
      </c>
      <c r="S141" s="117">
        <v>4</v>
      </c>
      <c r="T141" s="120">
        <v>1490</v>
      </c>
      <c r="U141" s="120">
        <v>1299</v>
      </c>
      <c r="V141" s="120">
        <v>1</v>
      </c>
      <c r="W141" s="120">
        <f>AUG_2023[[#This Row],[Sales Amount]]-AUG_2023[[#This Row],[Cost]]</f>
        <v>191</v>
      </c>
      <c r="X141" s="1067">
        <f>AUG_2023[[#This Row],[Profit]]/AUG_2023[[#This Row],[Cost]]</f>
        <v>0.147036181678214</v>
      </c>
      <c r="Y141" s="120"/>
      <c r="Z141" s="120"/>
    </row>
    <row r="142" spans="1:26" hidden="1">
      <c r="A142" s="18" t="s">
        <v>263</v>
      </c>
      <c r="B142" s="4106" t="s">
        <v>2010</v>
      </c>
      <c r="C142" s="4106" t="s">
        <v>44</v>
      </c>
      <c r="D142" s="661">
        <v>45176</v>
      </c>
      <c r="E142" s="661">
        <v>45176</v>
      </c>
      <c r="F142" s="4106" t="s">
        <v>1671</v>
      </c>
      <c r="G142" s="4106" t="s">
        <v>265</v>
      </c>
      <c r="H142" s="661">
        <v>45181</v>
      </c>
      <c r="I142" s="1525">
        <v>0.45833333333333331</v>
      </c>
      <c r="J142" s="18" t="s">
        <v>1914</v>
      </c>
      <c r="K142" s="4106" t="s">
        <v>267</v>
      </c>
      <c r="L142" s="18"/>
      <c r="M142" s="661">
        <v>45182</v>
      </c>
      <c r="N142" s="982">
        <v>45181</v>
      </c>
      <c r="O142" s="982">
        <v>45182</v>
      </c>
      <c r="P142" s="4194" t="s">
        <v>2011</v>
      </c>
      <c r="Q142" s="718" t="s">
        <v>128</v>
      </c>
      <c r="R142" s="718" t="s">
        <v>36</v>
      </c>
      <c r="S142" s="718"/>
      <c r="T142" s="718">
        <v>1528.91</v>
      </c>
      <c r="U142" s="718">
        <f>80.16+80+120+1022.5</f>
        <v>1302.6599999999999</v>
      </c>
      <c r="V142" s="718"/>
      <c r="W142" s="718">
        <f>AUG_2023[[#This Row],[Sales Amount]]-AUG_2023[[#This Row],[Cost]]</f>
        <v>226.25000000000023</v>
      </c>
      <c r="X142" s="1348">
        <f>AUG_2023[[#This Row],[Profit]]/AUG_2023[[#This Row],[Cost]]</f>
        <v>0.17368307923786733</v>
      </c>
      <c r="Y142" s="718"/>
      <c r="Z142" s="718"/>
    </row>
    <row r="143" spans="1:26">
      <c r="A143" s="4191" t="s">
        <v>165</v>
      </c>
      <c r="B143" s="1517" t="s">
        <v>2012</v>
      </c>
      <c r="C143" s="4191" t="s">
        <v>200</v>
      </c>
      <c r="D143" s="4199">
        <v>45167</v>
      </c>
      <c r="E143" s="55">
        <v>45176</v>
      </c>
      <c r="F143" s="19" t="s">
        <v>167</v>
      </c>
      <c r="G143" s="4191" t="s">
        <v>302</v>
      </c>
      <c r="H143" s="49">
        <v>45178</v>
      </c>
      <c r="I143" s="4191" t="s">
        <v>672</v>
      </c>
      <c r="J143" s="4191" t="s">
        <v>32</v>
      </c>
      <c r="K143" s="4191" t="s">
        <v>2013</v>
      </c>
      <c r="L143" s="19" t="s">
        <v>2014</v>
      </c>
      <c r="M143" s="662">
        <v>45178</v>
      </c>
      <c r="N143" s="49">
        <v>45177</v>
      </c>
      <c r="O143" s="49">
        <v>45178</v>
      </c>
      <c r="P143" s="717" t="s">
        <v>2015</v>
      </c>
      <c r="Q143" s="120" t="s">
        <v>75</v>
      </c>
      <c r="R143" s="4193" t="s">
        <v>2016</v>
      </c>
      <c r="S143" s="120">
        <v>4</v>
      </c>
      <c r="T143" s="120">
        <v>1150</v>
      </c>
      <c r="U143" s="120">
        <v>870</v>
      </c>
      <c r="V143" s="120">
        <v>4</v>
      </c>
      <c r="W143" s="120">
        <f>AUG_2023[[#This Row],[Sales Amount]]-AUG_2023[[#This Row],[Cost]]</f>
        <v>280</v>
      </c>
      <c r="X143" s="1067">
        <f>AUG_2023[[#This Row],[Profit]]/AUG_2023[[#This Row],[Cost]]</f>
        <v>0.32183908045977011</v>
      </c>
      <c r="Y143" s="120"/>
      <c r="Z143" s="120"/>
    </row>
    <row r="144" spans="1:26" s="117" customFormat="1" ht="75">
      <c r="A144" s="25" t="s">
        <v>409</v>
      </c>
      <c r="B144" s="1512" t="s">
        <v>2017</v>
      </c>
      <c r="C144" s="4154" t="s">
        <v>200</v>
      </c>
      <c r="D144" s="4155">
        <v>45167</v>
      </c>
      <c r="E144" s="889">
        <v>45177</v>
      </c>
      <c r="F144" s="4154" t="s">
        <v>245</v>
      </c>
      <c r="G144" s="4154" t="s">
        <v>2018</v>
      </c>
      <c r="H144" s="4199">
        <v>45183</v>
      </c>
      <c r="I144" s="25"/>
      <c r="J144" s="25" t="s">
        <v>297</v>
      </c>
      <c r="K144" s="4154" t="s">
        <v>2019</v>
      </c>
      <c r="L144" s="19" t="s">
        <v>2020</v>
      </c>
      <c r="M144" s="841">
        <v>45181</v>
      </c>
      <c r="N144" s="841">
        <v>45181</v>
      </c>
      <c r="O144" s="4155">
        <v>45184</v>
      </c>
      <c r="P144" s="4128" t="s">
        <v>2021</v>
      </c>
      <c r="Q144" s="4150" t="s">
        <v>75</v>
      </c>
      <c r="R144" s="4205" t="s">
        <v>2022</v>
      </c>
      <c r="T144" s="117">
        <v>1815</v>
      </c>
      <c r="V144" s="117">
        <v>1</v>
      </c>
      <c r="W144" s="117">
        <f>AUG_2023[[#This Row],[Sales Amount]]-AUG_2023[[#This Row],[Cost]]</f>
        <v>1815</v>
      </c>
      <c r="X144" s="923" t="e">
        <f>AUG_2023[[#This Row],[Profit]]/AUG_2023[[#This Row],[Cost]]</f>
        <v>#DIV/0!</v>
      </c>
    </row>
    <row r="145" spans="1:26" s="117" customFormat="1" ht="30">
      <c r="A145" s="19" t="s">
        <v>68</v>
      </c>
      <c r="B145" s="4191" t="s">
        <v>2023</v>
      </c>
      <c r="C145" s="19" t="s">
        <v>28</v>
      </c>
      <c r="D145" s="4199">
        <v>45165</v>
      </c>
      <c r="E145" s="55">
        <v>45177</v>
      </c>
      <c r="F145" s="19" t="s">
        <v>45</v>
      </c>
      <c r="G145" s="19" t="s">
        <v>919</v>
      </c>
      <c r="H145" s="49">
        <v>45180</v>
      </c>
      <c r="I145" s="19"/>
      <c r="J145" s="4154" t="s">
        <v>490</v>
      </c>
      <c r="K145" s="1508" t="s">
        <v>1235</v>
      </c>
      <c r="L145" s="19" t="s">
        <v>2024</v>
      </c>
      <c r="M145" s="662">
        <v>45179</v>
      </c>
      <c r="N145" s="49">
        <v>45178</v>
      </c>
      <c r="O145" s="49">
        <v>45180</v>
      </c>
      <c r="P145" s="4128" t="s">
        <v>1984</v>
      </c>
      <c r="Q145" s="120" t="s">
        <v>75</v>
      </c>
      <c r="R145" s="4104" t="s">
        <v>1985</v>
      </c>
      <c r="S145" s="120" t="s">
        <v>67</v>
      </c>
      <c r="T145" s="120">
        <v>900</v>
      </c>
      <c r="U145" s="120">
        <f>805+15</f>
        <v>820</v>
      </c>
      <c r="V145" s="120">
        <v>5</v>
      </c>
      <c r="W145" s="120">
        <f>AUG_2023[[#This Row],[Sales Amount]]-AUG_2023[[#This Row],[Cost]]</f>
        <v>80</v>
      </c>
      <c r="X145" s="1067">
        <f>AUG_2023[[#This Row],[Profit]]/AUG_2023[[#This Row],[Cost]]</f>
        <v>9.7560975609756101E-2</v>
      </c>
      <c r="Y145" s="120"/>
      <c r="Z145" s="120"/>
    </row>
    <row r="146" spans="1:26" s="1442" customFormat="1" ht="75">
      <c r="A146" s="4153" t="s">
        <v>1051</v>
      </c>
      <c r="B146" s="1516" t="s">
        <v>2025</v>
      </c>
      <c r="C146" s="4153" t="s">
        <v>200</v>
      </c>
      <c r="D146" s="4185">
        <v>45155</v>
      </c>
      <c r="E146" s="118">
        <v>45178</v>
      </c>
      <c r="F146" s="4153" t="s">
        <v>29</v>
      </c>
      <c r="G146" s="4153" t="s">
        <v>57</v>
      </c>
      <c r="H146" s="4206">
        <v>45183</v>
      </c>
      <c r="I146" s="4153" t="s">
        <v>2026</v>
      </c>
      <c r="J146" s="4153" t="s">
        <v>32</v>
      </c>
      <c r="K146" s="4153" t="s">
        <v>1053</v>
      </c>
      <c r="L146" s="502">
        <v>5146928</v>
      </c>
      <c r="M146" s="66">
        <v>45181</v>
      </c>
      <c r="N146" s="49">
        <v>45181</v>
      </c>
      <c r="O146" s="66">
        <v>45184</v>
      </c>
      <c r="P146" s="4128" t="s">
        <v>2027</v>
      </c>
      <c r="Q146" s="4163" t="s">
        <v>75</v>
      </c>
      <c r="R146" s="4150" t="s">
        <v>2028</v>
      </c>
      <c r="S146" s="660">
        <v>4</v>
      </c>
      <c r="T146" s="660">
        <v>1645</v>
      </c>
      <c r="U146" s="660">
        <v>1282</v>
      </c>
      <c r="V146" s="660">
        <v>1</v>
      </c>
      <c r="W146" s="660">
        <f>AUG_2023[[#This Row],[Sales Amount]]-AUG_2023[[#This Row],[Cost]]</f>
        <v>363</v>
      </c>
      <c r="X146" s="919">
        <f>AUG_2023[[#This Row],[Profit]]/AUG_2023[[#This Row],[Cost]]</f>
        <v>0.28315132605304211</v>
      </c>
      <c r="Y146" s="660"/>
      <c r="Z146" s="660"/>
    </row>
    <row r="147" spans="1:26" s="1442" customFormat="1" ht="60">
      <c r="A147" s="4191" t="s">
        <v>2029</v>
      </c>
      <c r="B147" s="4191" t="s">
        <v>2030</v>
      </c>
      <c r="C147" s="19" t="s">
        <v>28</v>
      </c>
      <c r="D147" s="4199">
        <v>45162</v>
      </c>
      <c r="E147" s="55">
        <v>45178</v>
      </c>
      <c r="F147" s="19" t="s">
        <v>151</v>
      </c>
      <c r="G147" s="19" t="s">
        <v>302</v>
      </c>
      <c r="H147" s="49">
        <v>45180</v>
      </c>
      <c r="I147" s="4191" t="s">
        <v>1421</v>
      </c>
      <c r="J147" s="4191" t="s">
        <v>32</v>
      </c>
      <c r="K147" s="4191" t="s">
        <v>397</v>
      </c>
      <c r="L147" s="19" t="s">
        <v>2031</v>
      </c>
      <c r="M147" s="49">
        <v>45180</v>
      </c>
      <c r="N147" s="49">
        <v>45180</v>
      </c>
      <c r="O147" s="49">
        <v>45180</v>
      </c>
      <c r="P147" s="4128" t="s">
        <v>2032</v>
      </c>
      <c r="Q147" s="4193" t="s">
        <v>75</v>
      </c>
      <c r="R147" s="3" t="s">
        <v>2033</v>
      </c>
      <c r="S147" s="120">
        <v>4</v>
      </c>
      <c r="T147" s="120">
        <v>1535</v>
      </c>
      <c r="U147" s="120">
        <v>1250</v>
      </c>
      <c r="V147" s="120">
        <v>1</v>
      </c>
      <c r="W147" s="120">
        <f>AUG_2023[[#This Row],[Sales Amount]]-AUG_2023[[#This Row],[Cost]]</f>
        <v>285</v>
      </c>
      <c r="X147" s="1067">
        <f>AUG_2023[[#This Row],[Profit]]/AUG_2023[[#This Row],[Cost]]</f>
        <v>0.22800000000000001</v>
      </c>
      <c r="Y147" s="120"/>
      <c r="Z147" s="120"/>
    </row>
    <row r="148" spans="1:26" ht="105">
      <c r="A148" s="19" t="s">
        <v>165</v>
      </c>
      <c r="B148" s="4191" t="s">
        <v>2034</v>
      </c>
      <c r="C148" s="19" t="s">
        <v>44</v>
      </c>
      <c r="D148" s="4199">
        <v>45161</v>
      </c>
      <c r="E148" s="55">
        <v>45178</v>
      </c>
      <c r="F148" s="4191" t="s">
        <v>151</v>
      </c>
      <c r="G148" s="4191" t="s">
        <v>947</v>
      </c>
      <c r="H148" s="4192">
        <v>45183</v>
      </c>
      <c r="I148" s="4191" t="s">
        <v>2035</v>
      </c>
      <c r="J148" s="4191" t="s">
        <v>673</v>
      </c>
      <c r="K148" s="4191" t="s">
        <v>742</v>
      </c>
      <c r="L148" s="517">
        <v>3660</v>
      </c>
      <c r="M148" s="49">
        <v>45179</v>
      </c>
      <c r="N148" s="49">
        <v>45179</v>
      </c>
      <c r="O148" s="49">
        <v>45185</v>
      </c>
      <c r="P148" s="4128" t="s">
        <v>2036</v>
      </c>
      <c r="Q148" s="120" t="s">
        <v>75</v>
      </c>
      <c r="R148" s="4150" t="s">
        <v>2037</v>
      </c>
      <c r="S148" s="120">
        <v>4</v>
      </c>
      <c r="T148" s="120">
        <v>2190</v>
      </c>
      <c r="U148" s="120">
        <v>1262.5999999999999</v>
      </c>
      <c r="V148" s="120">
        <v>1</v>
      </c>
      <c r="W148" s="120">
        <f>AUG_2023[[#This Row],[Sales Amount]]-AUG_2023[[#This Row],[Cost]]</f>
        <v>927.40000000000009</v>
      </c>
      <c r="X148" s="1067">
        <f>AUG_2023[[#This Row],[Profit]]/AUG_2023[[#This Row],[Cost]]</f>
        <v>0.7345160779344212</v>
      </c>
      <c r="Y148" s="120"/>
      <c r="Z148" s="120"/>
    </row>
    <row r="149" spans="1:26" s="709" customFormat="1" hidden="1">
      <c r="A149" s="18" t="s">
        <v>61</v>
      </c>
      <c r="B149" s="18" t="s">
        <v>2038</v>
      </c>
      <c r="C149" s="18" t="s">
        <v>28</v>
      </c>
      <c r="D149" s="661">
        <v>45139</v>
      </c>
      <c r="E149" s="708">
        <v>45178</v>
      </c>
      <c r="F149" s="18" t="s">
        <v>2039</v>
      </c>
      <c r="G149" s="18" t="s">
        <v>152</v>
      </c>
      <c r="H149" s="1130">
        <v>45185</v>
      </c>
      <c r="I149" s="915" t="s">
        <v>115</v>
      </c>
      <c r="J149" s="18" t="s">
        <v>32</v>
      </c>
      <c r="K149" s="18" t="s">
        <v>65</v>
      </c>
      <c r="L149" s="1116">
        <v>7857</v>
      </c>
      <c r="M149" s="1130">
        <v>45181</v>
      </c>
      <c r="N149" s="1184">
        <v>45181</v>
      </c>
      <c r="O149" s="661">
        <v>45185</v>
      </c>
      <c r="P149" s="709" t="s">
        <v>2040</v>
      </c>
      <c r="Q149" s="18" t="s">
        <v>35</v>
      </c>
      <c r="R149" s="18" t="s">
        <v>36</v>
      </c>
      <c r="S149" s="18" t="s">
        <v>67</v>
      </c>
      <c r="T149" s="93">
        <v>2165</v>
      </c>
      <c r="U149" s="84">
        <v>2050</v>
      </c>
      <c r="V149" s="93"/>
      <c r="W149" s="93">
        <f>AUG_2023[[#This Row],[Sales Amount]]-AUG_2023[[#This Row],[Cost]]</f>
        <v>115</v>
      </c>
      <c r="X149" s="970">
        <f>AUG_2023[[#This Row],[Profit]]/AUG_2023[[#This Row],[Cost]]</f>
        <v>5.6097560975609757E-2</v>
      </c>
      <c r="Y149" s="93"/>
      <c r="Z149" s="93"/>
    </row>
    <row r="150" spans="1:26" s="1442" customFormat="1" hidden="1">
      <c r="A150" s="4106" t="s">
        <v>329</v>
      </c>
      <c r="B150" s="1500" t="s">
        <v>2041</v>
      </c>
      <c r="C150" s="18" t="s">
        <v>28</v>
      </c>
      <c r="D150" s="661">
        <v>45160</v>
      </c>
      <c r="E150" s="661">
        <v>45179</v>
      </c>
      <c r="F150" s="18" t="s">
        <v>29</v>
      </c>
      <c r="G150" s="18" t="s">
        <v>57</v>
      </c>
      <c r="H150" s="1184">
        <v>45146</v>
      </c>
      <c r="I150" s="913" t="s">
        <v>2042</v>
      </c>
      <c r="J150" s="18" t="s">
        <v>32</v>
      </c>
      <c r="K150" s="18" t="s">
        <v>661</v>
      </c>
      <c r="L150" s="1184" t="s">
        <v>542</v>
      </c>
      <c r="M150" s="1184">
        <v>45148</v>
      </c>
      <c r="N150" s="1130">
        <v>45145</v>
      </c>
      <c r="O150" s="844">
        <v>45146</v>
      </c>
      <c r="P150" s="718" t="s">
        <v>2043</v>
      </c>
      <c r="Q150" s="718" t="s">
        <v>35</v>
      </c>
      <c r="R150" s="58" t="s">
        <v>36</v>
      </c>
      <c r="S150" s="718" t="s">
        <v>664</v>
      </c>
      <c r="T150" s="93">
        <v>710</v>
      </c>
      <c r="U150" s="93">
        <v>576</v>
      </c>
      <c r="V150" s="93"/>
      <c r="W150" s="93">
        <f>AUG_2023[[#This Row],[Sales Amount]]-AUG_2023[[#This Row],[Cost]]</f>
        <v>134</v>
      </c>
      <c r="X150" s="970">
        <f>AUG_2023[[#This Row],[Profit]]/AUG_2023[[#This Row],[Cost]]</f>
        <v>0.2326388888888889</v>
      </c>
      <c r="Y150" s="93"/>
      <c r="Z150" s="93"/>
    </row>
    <row r="151" spans="1:26" s="709" customFormat="1" hidden="1">
      <c r="A151" s="4115" t="s">
        <v>329</v>
      </c>
      <c r="B151" s="1514" t="s">
        <v>2044</v>
      </c>
      <c r="C151" s="710" t="s">
        <v>28</v>
      </c>
      <c r="D151" s="1110">
        <v>45160</v>
      </c>
      <c r="E151" s="661">
        <v>45179</v>
      </c>
      <c r="F151" s="710" t="s">
        <v>29</v>
      </c>
      <c r="G151" s="58" t="s">
        <v>57</v>
      </c>
      <c r="H151" s="1141">
        <v>45146</v>
      </c>
      <c r="I151" s="1031" t="s">
        <v>2045</v>
      </c>
      <c r="J151" s="18" t="s">
        <v>32</v>
      </c>
      <c r="K151" s="18" t="s">
        <v>661</v>
      </c>
      <c r="L151" s="1141" t="s">
        <v>542</v>
      </c>
      <c r="M151" s="1141">
        <v>45148</v>
      </c>
      <c r="N151" s="1118">
        <v>45145</v>
      </c>
      <c r="O151" s="1110">
        <v>45146</v>
      </c>
      <c r="P151" s="727" t="s">
        <v>2046</v>
      </c>
      <c r="Q151" s="727" t="s">
        <v>35</v>
      </c>
      <c r="R151" s="58" t="s">
        <v>36</v>
      </c>
      <c r="S151" s="727" t="s">
        <v>664</v>
      </c>
      <c r="T151" s="152">
        <v>710</v>
      </c>
      <c r="U151" s="152">
        <v>576</v>
      </c>
      <c r="V151" s="152"/>
      <c r="W151" s="152">
        <f>AUG_2023[[#This Row],[Sales Amount]]-AUG_2023[[#This Row],[Cost]]</f>
        <v>134</v>
      </c>
      <c r="X151" s="888">
        <f>AUG_2023[[#This Row],[Profit]]/AUG_2023[[#This Row],[Cost]]</f>
        <v>0.2326388888888889</v>
      </c>
      <c r="Y151" s="152"/>
      <c r="Z151" s="152"/>
    </row>
    <row r="152" spans="1:26" s="709" customFormat="1" hidden="1">
      <c r="A152" s="4149" t="s">
        <v>1472</v>
      </c>
      <c r="B152" s="1146">
        <v>6363271910</v>
      </c>
      <c r="C152" s="4149" t="s">
        <v>1473</v>
      </c>
      <c r="D152" s="4178">
        <v>45179</v>
      </c>
      <c r="E152" s="844">
        <v>45179</v>
      </c>
      <c r="F152" s="4149" t="s">
        <v>45</v>
      </c>
      <c r="G152" s="4149" t="s">
        <v>2047</v>
      </c>
      <c r="H152" s="844"/>
      <c r="I152" s="58"/>
      <c r="J152" s="4149"/>
      <c r="K152" s="4149" t="s">
        <v>1958</v>
      </c>
      <c r="L152" s="58"/>
      <c r="M152" s="844"/>
      <c r="N152" s="844"/>
      <c r="O152" s="844"/>
      <c r="P152" s="4122" t="s">
        <v>2048</v>
      </c>
      <c r="Q152" s="4122" t="s">
        <v>128</v>
      </c>
      <c r="R152" s="709" t="s">
        <v>36</v>
      </c>
      <c r="T152" s="709">
        <v>1735</v>
      </c>
      <c r="U152" s="709">
        <v>1077</v>
      </c>
      <c r="W152" s="709">
        <f>AUG_2023[[#This Row],[Sales Amount]]-AUG_2023[[#This Row],[Cost]]</f>
        <v>658</v>
      </c>
      <c r="X152" s="1384">
        <f>AUG_2023[[#This Row],[Profit]]/AUG_2023[[#This Row],[Cost]]</f>
        <v>0.61095636025998146</v>
      </c>
    </row>
    <row r="153" spans="1:26" s="117" customFormat="1" ht="45">
      <c r="A153" s="25" t="s">
        <v>68</v>
      </c>
      <c r="B153" s="803" t="s">
        <v>2049</v>
      </c>
      <c r="C153" s="1476" t="s">
        <v>28</v>
      </c>
      <c r="D153" s="4155">
        <v>45162</v>
      </c>
      <c r="E153" s="889">
        <v>45179</v>
      </c>
      <c r="F153" s="25" t="s">
        <v>45</v>
      </c>
      <c r="G153" s="25" t="s">
        <v>919</v>
      </c>
      <c r="H153" s="353">
        <v>45181</v>
      </c>
      <c r="I153" s="4154" t="s">
        <v>618</v>
      </c>
      <c r="J153" s="4154" t="s">
        <v>490</v>
      </c>
      <c r="K153" s="827" t="s">
        <v>1235</v>
      </c>
      <c r="L153" s="25" t="s">
        <v>2050</v>
      </c>
      <c r="M153" s="353">
        <v>45182</v>
      </c>
      <c r="N153" s="353">
        <v>45181</v>
      </c>
      <c r="O153" s="353">
        <v>45181</v>
      </c>
      <c r="P153" s="4104" t="s">
        <v>2051</v>
      </c>
      <c r="Q153" s="660" t="s">
        <v>75</v>
      </c>
      <c r="R153" s="4165" t="s">
        <v>2052</v>
      </c>
      <c r="S153" s="660" t="s">
        <v>67</v>
      </c>
      <c r="T153" s="117">
        <v>915</v>
      </c>
      <c r="U153" s="117">
        <f>650+15</f>
        <v>665</v>
      </c>
      <c r="V153" s="117">
        <v>4</v>
      </c>
      <c r="W153" s="117">
        <f>AUG_2023[[#This Row],[Sales Amount]]-AUG_2023[[#This Row],[Cost]]</f>
        <v>250</v>
      </c>
      <c r="X153" s="923">
        <f>AUG_2023[[#This Row],[Profit]]/AUG_2023[[#This Row],[Cost]]</f>
        <v>0.37593984962406013</v>
      </c>
    </row>
    <row r="154" spans="1:26" s="117" customFormat="1" ht="30">
      <c r="A154" s="25" t="s">
        <v>68</v>
      </c>
      <c r="B154" s="4154" t="s">
        <v>2053</v>
      </c>
      <c r="C154" s="1476" t="s">
        <v>28</v>
      </c>
      <c r="D154" s="4155">
        <v>45162</v>
      </c>
      <c r="E154" s="872">
        <v>45179</v>
      </c>
      <c r="F154" s="25" t="s">
        <v>45</v>
      </c>
      <c r="G154" s="25" t="s">
        <v>919</v>
      </c>
      <c r="H154" s="353">
        <v>45181</v>
      </c>
      <c r="I154" s="4154" t="s">
        <v>445</v>
      </c>
      <c r="J154" s="4154" t="s">
        <v>490</v>
      </c>
      <c r="K154" s="827" t="s">
        <v>1235</v>
      </c>
      <c r="L154" s="25" t="s">
        <v>2054</v>
      </c>
      <c r="M154" s="353">
        <v>45182</v>
      </c>
      <c r="N154" s="353">
        <v>45180</v>
      </c>
      <c r="O154" s="353">
        <v>45181</v>
      </c>
      <c r="P154" s="4104" t="s">
        <v>2055</v>
      </c>
      <c r="Q154" s="117" t="s">
        <v>75</v>
      </c>
      <c r="R154" s="4165" t="s">
        <v>2052</v>
      </c>
      <c r="S154" s="117" t="s">
        <v>67</v>
      </c>
      <c r="T154" s="117">
        <v>915</v>
      </c>
      <c r="U154" s="117">
        <f>540+15</f>
        <v>555</v>
      </c>
      <c r="V154" s="117">
        <v>4</v>
      </c>
      <c r="W154" s="117">
        <f>AUG_2023[[#This Row],[Sales Amount]]-AUG_2023[[#This Row],[Cost]]</f>
        <v>360</v>
      </c>
      <c r="X154" s="923">
        <f>AUG_2023[[#This Row],[Profit]]/AUG_2023[[#This Row],[Cost]]</f>
        <v>0.64864864864864868</v>
      </c>
    </row>
    <row r="155" spans="1:26" s="709" customFormat="1" ht="45">
      <c r="A155" s="25" t="s">
        <v>68</v>
      </c>
      <c r="B155" s="803" t="s">
        <v>2056</v>
      </c>
      <c r="C155" s="1476" t="s">
        <v>28</v>
      </c>
      <c r="D155" s="4155">
        <v>45162</v>
      </c>
      <c r="E155" s="872">
        <v>45179</v>
      </c>
      <c r="F155" s="25" t="s">
        <v>45</v>
      </c>
      <c r="G155" s="25" t="s">
        <v>919</v>
      </c>
      <c r="H155" s="353">
        <v>45181</v>
      </c>
      <c r="I155" s="1507" t="s">
        <v>926</v>
      </c>
      <c r="J155" s="4154" t="s">
        <v>490</v>
      </c>
      <c r="K155" s="827" t="s">
        <v>1235</v>
      </c>
      <c r="L155" s="25" t="s">
        <v>2057</v>
      </c>
      <c r="M155" s="353">
        <v>45182</v>
      </c>
      <c r="N155" s="353">
        <v>45181</v>
      </c>
      <c r="O155" s="353">
        <v>45181</v>
      </c>
      <c r="P155" s="4104" t="s">
        <v>2058</v>
      </c>
      <c r="Q155" s="117" t="s">
        <v>75</v>
      </c>
      <c r="R155" s="4165" t="s">
        <v>2052</v>
      </c>
      <c r="S155" s="117" t="s">
        <v>67</v>
      </c>
      <c r="T155" s="117">
        <v>915</v>
      </c>
      <c r="U155" s="117">
        <f>550+15</f>
        <v>565</v>
      </c>
      <c r="V155" s="117">
        <v>4</v>
      </c>
      <c r="W155" s="117">
        <f>AUG_2023[[#This Row],[Sales Amount]]-AUG_2023[[#This Row],[Cost]]</f>
        <v>350</v>
      </c>
      <c r="X155" s="923">
        <f>AUG_2023[[#This Row],[Profit]]/AUG_2023[[#This Row],[Cost]]</f>
        <v>0.61946902654867253</v>
      </c>
      <c r="Y155" s="117"/>
      <c r="Z155" s="117"/>
    </row>
    <row r="156" spans="1:26" s="117" customFormat="1" ht="30">
      <c r="A156" s="25" t="s">
        <v>68</v>
      </c>
      <c r="B156" s="4154" t="s">
        <v>2059</v>
      </c>
      <c r="C156" s="1502" t="s">
        <v>28</v>
      </c>
      <c r="D156" s="4155">
        <v>45162</v>
      </c>
      <c r="E156" s="872">
        <v>45179</v>
      </c>
      <c r="F156" s="25" t="s">
        <v>45</v>
      </c>
      <c r="G156" s="19" t="s">
        <v>919</v>
      </c>
      <c r="H156" s="353">
        <v>45182</v>
      </c>
      <c r="I156" s="4154" t="s">
        <v>790</v>
      </c>
      <c r="J156" s="4154" t="s">
        <v>490</v>
      </c>
      <c r="K156" s="827" t="s">
        <v>1235</v>
      </c>
      <c r="L156" s="25" t="s">
        <v>2060</v>
      </c>
      <c r="M156" s="353">
        <v>45182</v>
      </c>
      <c r="N156" s="353">
        <v>45181</v>
      </c>
      <c r="O156" s="353">
        <v>45182</v>
      </c>
      <c r="P156" s="4104" t="s">
        <v>2055</v>
      </c>
      <c r="Q156" s="117" t="s">
        <v>75</v>
      </c>
      <c r="R156" s="4165" t="s">
        <v>2052</v>
      </c>
      <c r="S156" s="117" t="s">
        <v>67</v>
      </c>
      <c r="T156" s="117">
        <v>915</v>
      </c>
      <c r="U156" s="117">
        <f>590+15</f>
        <v>605</v>
      </c>
      <c r="V156" s="117">
        <v>4</v>
      </c>
      <c r="W156" s="117">
        <f>AUG_2023[[#This Row],[Sales Amount]]-AUG_2023[[#This Row],[Cost]]</f>
        <v>310</v>
      </c>
      <c r="X156" s="923">
        <f>AUG_2023[[#This Row],[Profit]]/AUG_2023[[#This Row],[Cost]]</f>
        <v>0.51239669421487599</v>
      </c>
    </row>
    <row r="157" spans="1:26" s="709" customFormat="1">
      <c r="A157" s="4153" t="s">
        <v>1035</v>
      </c>
      <c r="B157" s="4154" t="s">
        <v>2061</v>
      </c>
      <c r="C157" s="19" t="s">
        <v>44</v>
      </c>
      <c r="D157" s="4155">
        <v>45165</v>
      </c>
      <c r="E157" s="889">
        <v>45179</v>
      </c>
      <c r="F157" s="25" t="s">
        <v>151</v>
      </c>
      <c r="G157" s="25" t="s">
        <v>302</v>
      </c>
      <c r="H157" s="4155" t="s">
        <v>1038</v>
      </c>
      <c r="I157" s="25"/>
      <c r="J157" s="25" t="s">
        <v>32</v>
      </c>
      <c r="K157" s="25" t="s">
        <v>162</v>
      </c>
      <c r="L157" s="4603" t="s">
        <v>2062</v>
      </c>
      <c r="M157" s="353">
        <v>45182</v>
      </c>
      <c r="N157" s="353">
        <v>45181</v>
      </c>
      <c r="O157" s="353">
        <v>45181</v>
      </c>
      <c r="P157" s="4150" t="s">
        <v>2063</v>
      </c>
      <c r="Q157" s="117" t="s">
        <v>75</v>
      </c>
      <c r="R157" s="4150" t="s">
        <v>36</v>
      </c>
      <c r="S157" s="117"/>
      <c r="T157" s="117"/>
      <c r="U157" s="117"/>
      <c r="V157" s="117"/>
      <c r="W157" s="117">
        <f>AUG_2023[[#This Row],[Sales Amount]]-AUG_2023[[#This Row],[Cost]]</f>
        <v>0</v>
      </c>
      <c r="X157" s="923" t="e">
        <f>AUG_2023[[#This Row],[Profit]]/AUG_2023[[#This Row],[Cost]]</f>
        <v>#DIV/0!</v>
      </c>
      <c r="Y157" s="117"/>
      <c r="Z157" s="117"/>
    </row>
    <row r="158" spans="1:26" s="117" customFormat="1" ht="30">
      <c r="A158" s="25" t="s">
        <v>68</v>
      </c>
      <c r="B158" s="4850" t="s">
        <v>2064</v>
      </c>
      <c r="C158" s="4603" t="s">
        <v>28</v>
      </c>
      <c r="D158" s="4618">
        <v>45165</v>
      </c>
      <c r="E158" s="4619">
        <v>45180</v>
      </c>
      <c r="F158" s="4603" t="s">
        <v>45</v>
      </c>
      <c r="G158" s="4603" t="s">
        <v>919</v>
      </c>
      <c r="H158" s="4604">
        <v>45182</v>
      </c>
      <c r="I158" s="25" t="s">
        <v>618</v>
      </c>
      <c r="J158" s="4610" t="s">
        <v>490</v>
      </c>
      <c r="K158" s="4620" t="s">
        <v>1235</v>
      </c>
      <c r="L158" s="25" t="s">
        <v>2065</v>
      </c>
      <c r="M158" s="930">
        <v>45182</v>
      </c>
      <c r="N158" s="353">
        <v>45181</v>
      </c>
      <c r="O158" s="353">
        <v>45182</v>
      </c>
      <c r="P158" s="4104" t="s">
        <v>1984</v>
      </c>
      <c r="Q158" s="117" t="s">
        <v>75</v>
      </c>
      <c r="R158" s="4104" t="s">
        <v>1985</v>
      </c>
      <c r="S158" s="117" t="s">
        <v>67</v>
      </c>
      <c r="T158" s="117">
        <v>900</v>
      </c>
      <c r="U158" s="117">
        <f>590+15</f>
        <v>605</v>
      </c>
      <c r="V158" s="117">
        <v>5</v>
      </c>
      <c r="W158" s="117">
        <f>AUG_2023[[#This Row],[Sales Amount]]-AUG_2023[[#This Row],[Cost]]</f>
        <v>295</v>
      </c>
      <c r="X158" s="923">
        <f>AUG_2023[[#This Row],[Profit]]/AUG_2023[[#This Row],[Cost]]</f>
        <v>0.48760330578512395</v>
      </c>
    </row>
    <row r="159" spans="1:26" s="117" customFormat="1">
      <c r="A159" s="4191" t="s">
        <v>165</v>
      </c>
      <c r="B159" s="765" t="s">
        <v>2066</v>
      </c>
      <c r="C159" s="4154" t="s">
        <v>451</v>
      </c>
      <c r="D159" s="4155">
        <v>45167</v>
      </c>
      <c r="E159" s="55">
        <v>45180</v>
      </c>
      <c r="F159" s="25" t="s">
        <v>167</v>
      </c>
      <c r="G159" s="4154" t="s">
        <v>302</v>
      </c>
      <c r="H159" s="353">
        <v>45182</v>
      </c>
      <c r="I159" s="25" t="s">
        <v>672</v>
      </c>
      <c r="J159" s="4154" t="s">
        <v>32</v>
      </c>
      <c r="K159" s="4154" t="s">
        <v>2013</v>
      </c>
      <c r="L159" s="1425" t="s">
        <v>2067</v>
      </c>
      <c r="M159" s="353">
        <v>45183</v>
      </c>
      <c r="N159" s="353">
        <v>45182</v>
      </c>
      <c r="O159" s="353">
        <v>45182</v>
      </c>
      <c r="P159" s="4150" t="s">
        <v>2068</v>
      </c>
      <c r="Q159" s="117" t="s">
        <v>75</v>
      </c>
      <c r="R159" s="4150" t="s">
        <v>2016</v>
      </c>
      <c r="S159" s="117">
        <v>4</v>
      </c>
      <c r="T159" s="117">
        <v>1150</v>
      </c>
      <c r="U159" s="117">
        <v>870</v>
      </c>
      <c r="V159" s="117">
        <v>4</v>
      </c>
      <c r="W159" s="117">
        <f>AUG_2023[[#This Row],[Sales Amount]]-AUG_2023[[#This Row],[Cost]]</f>
        <v>280</v>
      </c>
      <c r="X159" s="923">
        <f>AUG_2023[[#This Row],[Profit]]/AUG_2023[[#This Row],[Cost]]</f>
        <v>0.32183908045977011</v>
      </c>
    </row>
    <row r="160" spans="1:26" ht="45">
      <c r="A160" s="4154" t="s">
        <v>468</v>
      </c>
      <c r="B160" s="965" t="s">
        <v>2069</v>
      </c>
      <c r="C160" s="965" t="s">
        <v>200</v>
      </c>
      <c r="D160" s="1453">
        <v>45166</v>
      </c>
      <c r="E160" s="561">
        <v>45180</v>
      </c>
      <c r="F160" s="965" t="s">
        <v>245</v>
      </c>
      <c r="G160" s="965" t="s">
        <v>947</v>
      </c>
      <c r="H160" s="1453">
        <v>45182</v>
      </c>
      <c r="I160" s="965" t="s">
        <v>926</v>
      </c>
      <c r="J160" s="965" t="s">
        <v>297</v>
      </c>
      <c r="K160" s="965" t="s">
        <v>2070</v>
      </c>
      <c r="L160" s="25">
        <v>1367</v>
      </c>
      <c r="M160" s="1453">
        <v>45182</v>
      </c>
      <c r="N160" s="1453">
        <v>45182</v>
      </c>
      <c r="O160" s="1453">
        <v>45182</v>
      </c>
      <c r="P160" s="4104" t="s">
        <v>2071</v>
      </c>
      <c r="Q160" s="117" t="s">
        <v>75</v>
      </c>
      <c r="R160" s="4165" t="s">
        <v>2072</v>
      </c>
      <c r="S160" s="117">
        <v>4</v>
      </c>
      <c r="T160" s="117">
        <v>955</v>
      </c>
      <c r="U160" s="117">
        <v>586.79999999999995</v>
      </c>
      <c r="V160" s="117">
        <v>2</v>
      </c>
      <c r="W160" s="117">
        <f>AUG_2023[[#This Row],[Sales Amount]]-AUG_2023[[#This Row],[Cost]]</f>
        <v>368.20000000000005</v>
      </c>
      <c r="X160" s="923">
        <f>AUG_2023[[#This Row],[Profit]]/AUG_2023[[#This Row],[Cost]]</f>
        <v>0.62747102931152021</v>
      </c>
      <c r="Y160" s="117"/>
      <c r="Z160" s="117"/>
    </row>
    <row r="161" spans="1:26" s="117" customFormat="1" ht="45">
      <c r="A161" s="4153" t="s">
        <v>468</v>
      </c>
      <c r="B161" s="965" t="s">
        <v>2073</v>
      </c>
      <c r="C161" s="1515" t="s">
        <v>200</v>
      </c>
      <c r="D161" s="1453">
        <v>45166</v>
      </c>
      <c r="E161" s="1468">
        <v>45180</v>
      </c>
      <c r="F161" s="965" t="s">
        <v>245</v>
      </c>
      <c r="G161" s="4621" t="s">
        <v>947</v>
      </c>
      <c r="H161" s="1453">
        <v>45182</v>
      </c>
      <c r="I161" s="965" t="s">
        <v>2074</v>
      </c>
      <c r="J161" s="738" t="s">
        <v>297</v>
      </c>
      <c r="K161" s="738" t="s">
        <v>2070</v>
      </c>
      <c r="L161" s="25">
        <v>1375</v>
      </c>
      <c r="M161" s="1504">
        <v>45182</v>
      </c>
      <c r="N161" s="1453">
        <v>45182</v>
      </c>
      <c r="O161" s="1453">
        <v>45182</v>
      </c>
      <c r="P161" s="4128" t="s">
        <v>2071</v>
      </c>
      <c r="Q161" s="117" t="s">
        <v>75</v>
      </c>
      <c r="R161" s="4140" t="s">
        <v>2072</v>
      </c>
      <c r="S161" s="120">
        <v>4</v>
      </c>
      <c r="T161" s="117">
        <v>955</v>
      </c>
      <c r="U161" s="117">
        <v>564.29999999999995</v>
      </c>
      <c r="V161" s="117">
        <v>2</v>
      </c>
      <c r="W161" s="117">
        <f>AUG_2023[[#This Row],[Sales Amount]]-AUG_2023[[#This Row],[Cost]]</f>
        <v>390.70000000000005</v>
      </c>
      <c r="X161" s="923">
        <f>AUG_2023[[#This Row],[Profit]]/AUG_2023[[#This Row],[Cost]]</f>
        <v>0.69236221867800829</v>
      </c>
    </row>
    <row r="162" spans="1:26" s="117" customFormat="1">
      <c r="A162" s="4154" t="s">
        <v>1035</v>
      </c>
      <c r="B162" s="4093" t="s">
        <v>2075</v>
      </c>
      <c r="C162" s="31" t="s">
        <v>44</v>
      </c>
      <c r="D162" s="4155">
        <v>45165</v>
      </c>
      <c r="E162" s="889">
        <v>45181</v>
      </c>
      <c r="F162" s="25" t="s">
        <v>151</v>
      </c>
      <c r="G162" s="4603" t="s">
        <v>302</v>
      </c>
      <c r="H162" s="4155" t="s">
        <v>1038</v>
      </c>
      <c r="I162" s="25"/>
      <c r="J162" s="25" t="s">
        <v>32</v>
      </c>
      <c r="K162" s="25" t="s">
        <v>162</v>
      </c>
      <c r="L162" s="4154" t="s">
        <v>2076</v>
      </c>
      <c r="M162" s="353">
        <v>45184</v>
      </c>
      <c r="N162" s="353">
        <v>45182</v>
      </c>
      <c r="O162" s="353">
        <v>45183</v>
      </c>
      <c r="P162" s="4150" t="s">
        <v>2063</v>
      </c>
      <c r="Q162" s="117" t="s">
        <v>75</v>
      </c>
      <c r="R162" s="4150" t="s">
        <v>36</v>
      </c>
      <c r="W162" s="117">
        <f>AUG_2023[[#This Row],[Sales Amount]]-AUG_2023[[#This Row],[Cost]]</f>
        <v>0</v>
      </c>
      <c r="X162" s="923" t="e">
        <f>AUG_2023[[#This Row],[Profit]]/AUG_2023[[#This Row],[Cost]]</f>
        <v>#DIV/0!</v>
      </c>
    </row>
    <row r="163" spans="1:26" s="117" customFormat="1">
      <c r="A163" s="4154" t="s">
        <v>1035</v>
      </c>
      <c r="B163" s="4154" t="s">
        <v>2077</v>
      </c>
      <c r="C163" s="4603" t="s">
        <v>44</v>
      </c>
      <c r="D163" s="4618">
        <v>45165</v>
      </c>
      <c r="E163" s="4619">
        <v>45181</v>
      </c>
      <c r="F163" s="4603" t="s">
        <v>151</v>
      </c>
      <c r="G163" s="25" t="s">
        <v>302</v>
      </c>
      <c r="H163" s="4199" t="s">
        <v>1038</v>
      </c>
      <c r="I163" s="25"/>
      <c r="J163" s="25" t="s">
        <v>32</v>
      </c>
      <c r="K163" s="25" t="s">
        <v>162</v>
      </c>
      <c r="L163" s="4154" t="s">
        <v>2078</v>
      </c>
      <c r="M163" s="68">
        <v>45183</v>
      </c>
      <c r="N163" s="68">
        <v>45183</v>
      </c>
      <c r="O163" s="353">
        <v>45184</v>
      </c>
      <c r="P163" s="4150" t="s">
        <v>2063</v>
      </c>
      <c r="Q163" s="117" t="s">
        <v>75</v>
      </c>
      <c r="R163" s="4150" t="s">
        <v>36</v>
      </c>
      <c r="W163" s="117">
        <f>AUG_2023[[#This Row],[Sales Amount]]-AUG_2023[[#This Row],[Cost]]</f>
        <v>0</v>
      </c>
      <c r="X163" s="923" t="e">
        <f>AUG_2023[[#This Row],[Profit]]/AUG_2023[[#This Row],[Cost]]</f>
        <v>#DIV/0!</v>
      </c>
    </row>
    <row r="164" spans="1:26" hidden="1">
      <c r="A164" s="4149" t="s">
        <v>1477</v>
      </c>
      <c r="B164" s="1455">
        <v>6362369750</v>
      </c>
      <c r="C164" s="4106" t="s">
        <v>451</v>
      </c>
      <c r="D164" s="4178">
        <v>45180</v>
      </c>
      <c r="E164" s="661">
        <v>45182</v>
      </c>
      <c r="F164" s="4149" t="s">
        <v>45</v>
      </c>
      <c r="G164" s="4149" t="s">
        <v>46</v>
      </c>
      <c r="H164" s="1115">
        <v>45139</v>
      </c>
      <c r="I164" s="1423">
        <v>0.41666666666666669</v>
      </c>
      <c r="J164" s="4149" t="s">
        <v>32</v>
      </c>
      <c r="K164" s="4149" t="s">
        <v>2079</v>
      </c>
      <c r="L164" s="915" t="s">
        <v>542</v>
      </c>
      <c r="M164" s="1115" t="s">
        <v>2080</v>
      </c>
      <c r="N164" s="844">
        <v>45139</v>
      </c>
      <c r="O164" s="844">
        <v>45139</v>
      </c>
      <c r="P164" s="4122" t="s">
        <v>2081</v>
      </c>
      <c r="Q164" s="4149" t="s">
        <v>715</v>
      </c>
      <c r="R164" s="58" t="s">
        <v>36</v>
      </c>
      <c r="S164" s="58" t="s">
        <v>664</v>
      </c>
      <c r="T164" s="106">
        <v>2330</v>
      </c>
      <c r="U164" s="106">
        <f>1066+976</f>
        <v>2042</v>
      </c>
      <c r="W164" s="106">
        <f>AUG_2023[[#This Row],[Sales Amount]]-AUG_2023[[#This Row],[Cost]]</f>
        <v>288</v>
      </c>
      <c r="X164" s="887">
        <f>AUG_2023[[#This Row],[Profit]]/AUG_2023[[#This Row],[Cost]]</f>
        <v>0.14103819784524976</v>
      </c>
    </row>
    <row r="165" spans="1:26" hidden="1">
      <c r="A165" s="4149" t="s">
        <v>622</v>
      </c>
      <c r="B165" s="4149" t="s">
        <v>2082</v>
      </c>
      <c r="C165" s="4149" t="s">
        <v>200</v>
      </c>
      <c r="D165" s="844">
        <v>45153</v>
      </c>
      <c r="E165" s="1112">
        <v>45182</v>
      </c>
      <c r="F165" s="4149" t="s">
        <v>167</v>
      </c>
      <c r="G165" s="4149" t="s">
        <v>46</v>
      </c>
      <c r="H165" s="844">
        <v>45183</v>
      </c>
      <c r="I165" s="58"/>
      <c r="J165" s="4149" t="s">
        <v>32</v>
      </c>
      <c r="K165" s="1478" t="s">
        <v>1445</v>
      </c>
      <c r="L165" s="915" t="s">
        <v>2083</v>
      </c>
      <c r="M165" s="1115">
        <v>45184</v>
      </c>
      <c r="N165" s="1119">
        <v>45182</v>
      </c>
      <c r="O165" s="844">
        <v>45183</v>
      </c>
      <c r="P165" s="4122" t="s">
        <v>2084</v>
      </c>
      <c r="Q165" s="4149" t="s">
        <v>35</v>
      </c>
      <c r="R165" s="58" t="s">
        <v>36</v>
      </c>
      <c r="S165" s="58" t="s">
        <v>67</v>
      </c>
      <c r="T165" s="106">
        <v>650</v>
      </c>
      <c r="U165" s="106">
        <v>550</v>
      </c>
      <c r="W165" s="106">
        <f>AUG_2023[[#This Row],[Sales Amount]]-AUG_2023[[#This Row],[Cost]]</f>
        <v>100</v>
      </c>
      <c r="X165" s="887">
        <f>AUG_2023[[#This Row],[Profit]]/AUG_2023[[#This Row],[Cost]]</f>
        <v>0.18181818181818182</v>
      </c>
    </row>
    <row r="166" spans="1:26">
      <c r="A166" s="4154" t="s">
        <v>1035</v>
      </c>
      <c r="B166" s="4154" t="s">
        <v>2085</v>
      </c>
      <c r="C166" s="19" t="s">
        <v>44</v>
      </c>
      <c r="D166" s="4155">
        <v>45165</v>
      </c>
      <c r="E166" s="889">
        <v>45182</v>
      </c>
      <c r="F166" s="25" t="s">
        <v>151</v>
      </c>
      <c r="G166" s="25" t="s">
        <v>302</v>
      </c>
      <c r="H166" s="4155" t="s">
        <v>1038</v>
      </c>
      <c r="I166" s="25"/>
      <c r="J166" s="25" t="s">
        <v>32</v>
      </c>
      <c r="K166" s="25" t="s">
        <v>162</v>
      </c>
      <c r="L166" s="837" t="s">
        <v>2086</v>
      </c>
      <c r="M166" s="68">
        <v>45184</v>
      </c>
      <c r="N166" s="353">
        <v>45184</v>
      </c>
      <c r="O166" s="353">
        <v>45188</v>
      </c>
      <c r="P166" s="4150" t="s">
        <v>2087</v>
      </c>
      <c r="Q166" s="117" t="s">
        <v>75</v>
      </c>
      <c r="R166" s="4150" t="s">
        <v>36</v>
      </c>
      <c r="S166" s="117"/>
      <c r="T166" s="117"/>
      <c r="U166" s="117"/>
      <c r="V166" s="117"/>
      <c r="W166" s="117">
        <f>AUG_2023[[#This Row],[Sales Amount]]-AUG_2023[[#This Row],[Cost]]</f>
        <v>0</v>
      </c>
      <c r="X166" s="923" t="e">
        <f>AUG_2023[[#This Row],[Profit]]/AUG_2023[[#This Row],[Cost]]</f>
        <v>#DIV/0!</v>
      </c>
      <c r="Y166" s="117"/>
      <c r="Z166" s="117"/>
    </row>
    <row r="167" spans="1:26">
      <c r="A167" s="4154" t="s">
        <v>1035</v>
      </c>
      <c r="B167" s="4154" t="s">
        <v>2088</v>
      </c>
      <c r="C167" s="19" t="s">
        <v>44</v>
      </c>
      <c r="D167" s="4155">
        <v>45165</v>
      </c>
      <c r="E167" s="889">
        <v>45182</v>
      </c>
      <c r="F167" s="25" t="s">
        <v>151</v>
      </c>
      <c r="G167" s="25" t="s">
        <v>302</v>
      </c>
      <c r="H167" s="4155" t="s">
        <v>1038</v>
      </c>
      <c r="I167" s="25"/>
      <c r="J167" s="25" t="s">
        <v>32</v>
      </c>
      <c r="K167" s="25" t="s">
        <v>162</v>
      </c>
      <c r="L167" s="4154" t="s">
        <v>2089</v>
      </c>
      <c r="M167" s="68">
        <v>45184</v>
      </c>
      <c r="N167" s="353">
        <v>45184</v>
      </c>
      <c r="O167" s="353">
        <v>45184</v>
      </c>
      <c r="P167" s="4150" t="s">
        <v>2063</v>
      </c>
      <c r="Q167" s="117" t="s">
        <v>75</v>
      </c>
      <c r="R167" s="4150" t="s">
        <v>36</v>
      </c>
      <c r="S167" s="117"/>
      <c r="T167" s="117"/>
      <c r="U167" s="117"/>
      <c r="V167" s="117"/>
      <c r="W167" s="117">
        <f>AUG_2023[[#This Row],[Sales Amount]]-AUG_2023[[#This Row],[Cost]]</f>
        <v>0</v>
      </c>
      <c r="X167" s="923" t="e">
        <f>AUG_2023[[#This Row],[Profit]]/AUG_2023[[#This Row],[Cost]]</f>
        <v>#DIV/0!</v>
      </c>
      <c r="Y167" s="117"/>
      <c r="Z167" s="117"/>
    </row>
    <row r="168" spans="1:26">
      <c r="A168" s="4154" t="s">
        <v>165</v>
      </c>
      <c r="B168" s="1488" t="s">
        <v>2090</v>
      </c>
      <c r="C168" s="4191" t="s">
        <v>200</v>
      </c>
      <c r="D168" s="4155">
        <v>45167</v>
      </c>
      <c r="E168" s="889">
        <v>45182</v>
      </c>
      <c r="F168" s="25" t="s">
        <v>167</v>
      </c>
      <c r="G168" s="4191" t="s">
        <v>302</v>
      </c>
      <c r="H168" s="353">
        <v>45184</v>
      </c>
      <c r="I168" s="4154" t="s">
        <v>672</v>
      </c>
      <c r="J168" s="4154" t="s">
        <v>32</v>
      </c>
      <c r="K168" s="4154" t="s">
        <v>2013</v>
      </c>
      <c r="L168" s="25">
        <v>133696</v>
      </c>
      <c r="M168" s="353">
        <v>45184</v>
      </c>
      <c r="N168" s="353">
        <v>45184</v>
      </c>
      <c r="O168" s="353">
        <v>45184</v>
      </c>
      <c r="P168" s="860" t="s">
        <v>2091</v>
      </c>
      <c r="Q168" s="117" t="s">
        <v>75</v>
      </c>
      <c r="R168" s="4150" t="s">
        <v>2016</v>
      </c>
      <c r="S168" s="117">
        <v>4</v>
      </c>
      <c r="T168" s="117">
        <v>1150</v>
      </c>
      <c r="U168" s="117">
        <v>870</v>
      </c>
      <c r="V168" s="117">
        <v>4</v>
      </c>
      <c r="W168" s="117">
        <f>AUG_2023[[#This Row],[Sales Amount]]-AUG_2023[[#This Row],[Cost]]</f>
        <v>280</v>
      </c>
      <c r="X168" s="923">
        <f>AUG_2023[[#This Row],[Profit]]/AUG_2023[[#This Row],[Cost]]</f>
        <v>0.32183908045977011</v>
      </c>
      <c r="Y168" s="117"/>
      <c r="Z168" s="117"/>
    </row>
    <row r="169" spans="1:26" s="117" customFormat="1" ht="150">
      <c r="A169" s="25" t="s">
        <v>165</v>
      </c>
      <c r="B169" s="4154" t="s">
        <v>2092</v>
      </c>
      <c r="C169" s="25" t="s">
        <v>44</v>
      </c>
      <c r="D169" s="4155">
        <v>45169</v>
      </c>
      <c r="E169" s="1468">
        <v>45183</v>
      </c>
      <c r="F169" s="4154" t="s">
        <v>135</v>
      </c>
      <c r="G169" s="4154" t="s">
        <v>2093</v>
      </c>
      <c r="H169" s="353">
        <v>45184</v>
      </c>
      <c r="I169" s="4154" t="s">
        <v>899</v>
      </c>
      <c r="J169" s="4154" t="s">
        <v>2094</v>
      </c>
      <c r="K169" s="4850" t="s">
        <v>2095</v>
      </c>
      <c r="L169" s="765">
        <v>6135213</v>
      </c>
      <c r="M169" s="68">
        <v>45185</v>
      </c>
      <c r="N169" s="68">
        <v>45184</v>
      </c>
      <c r="O169" s="4118">
        <v>45188</v>
      </c>
      <c r="P169" s="4104" t="s">
        <v>2096</v>
      </c>
      <c r="Q169" s="117" t="s">
        <v>75</v>
      </c>
      <c r="R169" s="4150" t="s">
        <v>2097</v>
      </c>
      <c r="S169" s="117">
        <v>4</v>
      </c>
      <c r="T169" s="117">
        <v>1235</v>
      </c>
      <c r="U169" s="117">
        <v>701.25</v>
      </c>
      <c r="V169" s="117">
        <v>1</v>
      </c>
      <c r="W169" s="117">
        <f>AUG_2023[[#This Row],[Sales Amount]]-AUG_2023[[#This Row],[Cost]]</f>
        <v>533.75</v>
      </c>
      <c r="X169" s="923">
        <f>AUG_2023[[#This Row],[Profit]]/AUG_2023[[#This Row],[Cost]]</f>
        <v>0.76114081996434935</v>
      </c>
    </row>
    <row r="170" spans="1:26" s="117" customFormat="1">
      <c r="A170" s="4154" t="s">
        <v>165</v>
      </c>
      <c r="B170" s="765" t="s">
        <v>2098</v>
      </c>
      <c r="C170" s="4154" t="s">
        <v>451</v>
      </c>
      <c r="D170" s="4155">
        <v>45167</v>
      </c>
      <c r="E170" s="889">
        <v>45183</v>
      </c>
      <c r="F170" s="25" t="s">
        <v>167</v>
      </c>
      <c r="G170" s="4154" t="s">
        <v>302</v>
      </c>
      <c r="H170" s="353">
        <v>45185</v>
      </c>
      <c r="I170" s="4154" t="s">
        <v>445</v>
      </c>
      <c r="J170" s="4154" t="s">
        <v>32</v>
      </c>
      <c r="K170" s="4154" t="s">
        <v>2013</v>
      </c>
      <c r="L170" s="25" t="s">
        <v>2099</v>
      </c>
      <c r="M170" s="68">
        <v>45185</v>
      </c>
      <c r="N170" s="68">
        <v>45185</v>
      </c>
      <c r="O170" s="68">
        <v>45185</v>
      </c>
      <c r="P170" s="4150" t="s">
        <v>2068</v>
      </c>
      <c r="Q170" s="117" t="s">
        <v>75</v>
      </c>
      <c r="R170" s="4150" t="s">
        <v>2016</v>
      </c>
      <c r="S170" s="117">
        <v>4</v>
      </c>
      <c r="T170" s="117">
        <v>1150</v>
      </c>
      <c r="U170" s="117">
        <v>870</v>
      </c>
      <c r="V170" s="117">
        <v>4</v>
      </c>
      <c r="W170" s="117">
        <f>AUG_2023[[#This Row],[Sales Amount]]-AUG_2023[[#This Row],[Cost]]</f>
        <v>280</v>
      </c>
      <c r="X170" s="923">
        <f>AUG_2023[[#This Row],[Profit]]/AUG_2023[[#This Row],[Cost]]</f>
        <v>0.32183908045977011</v>
      </c>
    </row>
    <row r="171" spans="1:26" hidden="1">
      <c r="A171" s="4149" t="s">
        <v>1472</v>
      </c>
      <c r="B171" s="1146">
        <v>6363661190</v>
      </c>
      <c r="C171" s="4149" t="s">
        <v>2100</v>
      </c>
      <c r="D171" s="4178">
        <v>45184</v>
      </c>
      <c r="E171" s="844">
        <v>45184</v>
      </c>
      <c r="F171" s="4149" t="s">
        <v>45</v>
      </c>
      <c r="G171" s="4149" t="s">
        <v>2101</v>
      </c>
      <c r="H171" s="844"/>
      <c r="I171" s="58"/>
      <c r="J171" s="4197"/>
      <c r="K171" s="4149" t="s">
        <v>1958</v>
      </c>
      <c r="L171" s="58"/>
      <c r="M171" s="844">
        <v>45164</v>
      </c>
      <c r="N171" s="844"/>
      <c r="O171" s="844"/>
      <c r="P171" s="4122" t="s">
        <v>2102</v>
      </c>
      <c r="Q171" s="4122" t="s">
        <v>128</v>
      </c>
      <c r="R171" s="709" t="s">
        <v>36</v>
      </c>
      <c r="S171" s="709"/>
      <c r="T171" s="709">
        <v>1270</v>
      </c>
      <c r="U171" s="709">
        <f>368*2+70</f>
        <v>806</v>
      </c>
      <c r="V171" s="709">
        <v>2</v>
      </c>
      <c r="W171" s="709">
        <f>AUG_2023[[#This Row],[Sales Amount]]-AUG_2023[[#This Row],[Cost]]</f>
        <v>464</v>
      </c>
      <c r="X171" s="1384">
        <f>AUG_2023[[#This Row],[Profit]]/AUG_2023[[#This Row],[Cost]]</f>
        <v>0.57568238213399503</v>
      </c>
      <c r="Y171" s="709"/>
      <c r="Z171" s="709"/>
    </row>
    <row r="172" spans="1:26" hidden="1">
      <c r="A172" s="4149" t="s">
        <v>1472</v>
      </c>
      <c r="B172" s="1146">
        <v>6363745500</v>
      </c>
      <c r="C172" s="4190" t="s">
        <v>2100</v>
      </c>
      <c r="D172" s="4178">
        <v>45184</v>
      </c>
      <c r="E172" s="844">
        <v>45184</v>
      </c>
      <c r="F172" s="4149" t="s">
        <v>45</v>
      </c>
      <c r="G172" s="4149" t="s">
        <v>2047</v>
      </c>
      <c r="H172" s="844"/>
      <c r="I172" s="58"/>
      <c r="J172" s="4149"/>
      <c r="K172" s="4149" t="s">
        <v>1958</v>
      </c>
      <c r="L172" s="58"/>
      <c r="M172" s="844">
        <v>45164</v>
      </c>
      <c r="N172" s="844"/>
      <c r="O172" s="844"/>
      <c r="P172" s="4122" t="s">
        <v>2102</v>
      </c>
      <c r="Q172" s="4122" t="s">
        <v>128</v>
      </c>
      <c r="R172" s="709" t="s">
        <v>36</v>
      </c>
      <c r="S172" s="709"/>
      <c r="T172" s="709">
        <v>1270</v>
      </c>
      <c r="U172" s="709">
        <f>368*2+70</f>
        <v>806</v>
      </c>
      <c r="V172" s="709">
        <v>2</v>
      </c>
      <c r="W172" s="709">
        <f>AUG_2023[[#This Row],[Sales Amount]]-AUG_2023[[#This Row],[Cost]]</f>
        <v>464</v>
      </c>
      <c r="X172" s="1384">
        <f>AUG_2023[[#This Row],[Profit]]/AUG_2023[[#This Row],[Cost]]</f>
        <v>0.57568238213399503</v>
      </c>
      <c r="Y172" s="709"/>
      <c r="Z172" s="709"/>
    </row>
    <row r="173" spans="1:26" ht="60" hidden="1">
      <c r="A173" s="4149" t="s">
        <v>676</v>
      </c>
      <c r="B173" s="1146">
        <v>6362203400</v>
      </c>
      <c r="C173" s="4149" t="s">
        <v>2103</v>
      </c>
      <c r="D173" s="4178">
        <v>45159</v>
      </c>
      <c r="E173" s="844">
        <v>45185</v>
      </c>
      <c r="F173" s="4149" t="s">
        <v>45</v>
      </c>
      <c r="G173" s="58" t="s">
        <v>46</v>
      </c>
      <c r="H173" s="1316" t="s">
        <v>2104</v>
      </c>
      <c r="I173" s="1113"/>
      <c r="J173" s="58" t="s">
        <v>32</v>
      </c>
      <c r="K173" s="4149" t="s">
        <v>2105</v>
      </c>
      <c r="L173" s="1113" t="s">
        <v>542</v>
      </c>
      <c r="M173" s="1115" t="s">
        <v>2106</v>
      </c>
      <c r="N173" s="946" t="s">
        <v>2107</v>
      </c>
      <c r="O173" s="946" t="s">
        <v>2104</v>
      </c>
      <c r="P173" s="4122" t="s">
        <v>2108</v>
      </c>
      <c r="Q173" s="4149" t="s">
        <v>35</v>
      </c>
      <c r="R173" s="58" t="s">
        <v>36</v>
      </c>
      <c r="S173" s="58" t="s">
        <v>664</v>
      </c>
      <c r="W173" s="106">
        <f>AUG_2023[[#This Row],[Sales Amount]]-AUG_2023[[#This Row],[Cost]]</f>
        <v>0</v>
      </c>
      <c r="X173" s="887" t="e">
        <f>AUG_2023[[#This Row],[Profit]]/AUG_2023[[#This Row],[Cost]]</f>
        <v>#DIV/0!</v>
      </c>
    </row>
    <row r="174" spans="1:26" s="117" customFormat="1">
      <c r="A174" s="4154" t="s">
        <v>1035</v>
      </c>
      <c r="B174" s="4183" t="s">
        <v>2109</v>
      </c>
      <c r="C174" s="25" t="s">
        <v>44</v>
      </c>
      <c r="D174" s="4155">
        <v>45170</v>
      </c>
      <c r="E174" s="889">
        <v>45185</v>
      </c>
      <c r="F174" s="4154" t="s">
        <v>151</v>
      </c>
      <c r="G174" s="4154" t="s">
        <v>302</v>
      </c>
      <c r="H174" s="4155" t="s">
        <v>1038</v>
      </c>
      <c r="I174" s="25"/>
      <c r="J174" s="19" t="s">
        <v>32</v>
      </c>
      <c r="K174" s="25" t="s">
        <v>162</v>
      </c>
      <c r="L174" s="353" t="s">
        <v>2110</v>
      </c>
      <c r="M174" s="353">
        <v>45188</v>
      </c>
      <c r="N174" s="353">
        <v>45188</v>
      </c>
      <c r="O174" s="353">
        <v>45188</v>
      </c>
      <c r="P174" s="4150" t="s">
        <v>2111</v>
      </c>
      <c r="Q174" s="117" t="s">
        <v>75</v>
      </c>
      <c r="R174" s="4150" t="s">
        <v>36</v>
      </c>
      <c r="W174" s="117">
        <f>AUG_2023[[#This Row],[Sales Amount]]-AUG_2023[[#This Row],[Cost]]</f>
        <v>0</v>
      </c>
      <c r="X174" s="923" t="e">
        <f>AUG_2023[[#This Row],[Profit]]/AUG_2023[[#This Row],[Cost]]</f>
        <v>#DIV/0!</v>
      </c>
    </row>
    <row r="175" spans="1:26" s="117" customFormat="1" hidden="1">
      <c r="A175" s="4149" t="s">
        <v>622</v>
      </c>
      <c r="B175" s="4149" t="s">
        <v>2112</v>
      </c>
      <c r="C175" s="4149" t="s">
        <v>28</v>
      </c>
      <c r="D175" s="4178">
        <v>45173</v>
      </c>
      <c r="E175" s="1112">
        <v>45188</v>
      </c>
      <c r="F175" s="58" t="s">
        <v>135</v>
      </c>
      <c r="G175" s="58" t="s">
        <v>57</v>
      </c>
      <c r="H175" s="1139">
        <v>45189</v>
      </c>
      <c r="I175" s="58"/>
      <c r="J175" s="58" t="s">
        <v>32</v>
      </c>
      <c r="K175" s="1478" t="s">
        <v>1445</v>
      </c>
      <c r="L175" s="915">
        <v>6986866</v>
      </c>
      <c r="M175" s="1115">
        <v>45190</v>
      </c>
      <c r="N175" s="844">
        <v>45189</v>
      </c>
      <c r="O175" s="844">
        <v>45189</v>
      </c>
      <c r="P175" s="4122" t="s">
        <v>2113</v>
      </c>
      <c r="Q175" s="58" t="s">
        <v>35</v>
      </c>
      <c r="R175" s="58" t="s">
        <v>36</v>
      </c>
      <c r="S175" s="58" t="s">
        <v>67</v>
      </c>
      <c r="T175" s="106">
        <v>650</v>
      </c>
      <c r="U175" s="106">
        <v>550</v>
      </c>
      <c r="V175" s="106"/>
      <c r="W175" s="106">
        <f>AUG_2023[[#This Row],[Sales Amount]]-AUG_2023[[#This Row],[Cost]]</f>
        <v>100</v>
      </c>
      <c r="X175" s="887">
        <f>AUG_2023[[#This Row],[Profit]]/AUG_2023[[#This Row],[Cost]]</f>
        <v>0.18181818181818182</v>
      </c>
      <c r="Y175" s="106"/>
      <c r="Z175" s="106"/>
    </row>
    <row r="176" spans="1:26" hidden="1">
      <c r="A176" s="4149" t="s">
        <v>676</v>
      </c>
      <c r="B176" s="1441">
        <v>6362594640</v>
      </c>
      <c r="C176" s="4149" t="s">
        <v>2114</v>
      </c>
      <c r="D176" s="4178">
        <v>45160</v>
      </c>
      <c r="E176" s="844">
        <v>45191</v>
      </c>
      <c r="F176" s="4149" t="s">
        <v>45</v>
      </c>
      <c r="G176" s="4149" t="s">
        <v>46</v>
      </c>
      <c r="H176" s="1195" t="s">
        <v>2115</v>
      </c>
      <c r="I176" s="1113"/>
      <c r="J176" s="4149" t="s">
        <v>2116</v>
      </c>
      <c r="K176" s="4149" t="s">
        <v>2105</v>
      </c>
      <c r="L176" s="915" t="s">
        <v>542</v>
      </c>
      <c r="M176" s="1115" t="s">
        <v>2117</v>
      </c>
      <c r="N176" s="1115">
        <v>45145</v>
      </c>
      <c r="O176" s="844">
        <v>45145</v>
      </c>
      <c r="P176" s="4152" t="s">
        <v>2118</v>
      </c>
      <c r="Q176" s="4151" t="s">
        <v>715</v>
      </c>
      <c r="R176" s="7" t="s">
        <v>36</v>
      </c>
      <c r="S176" s="7" t="s">
        <v>664</v>
      </c>
      <c r="W176" s="106">
        <f>AUG_2023[[#This Row],[Sales Amount]]-AUG_2023[[#This Row],[Cost]]</f>
        <v>0</v>
      </c>
      <c r="X176" s="887" t="e">
        <f>AUG_2023[[#This Row],[Profit]]/AUG_2023[[#This Row],[Cost]]</f>
        <v>#DIV/0!</v>
      </c>
    </row>
    <row r="177" spans="1:26" ht="15.75" hidden="1" thickBot="1">
      <c r="A177" s="4149" t="s">
        <v>329</v>
      </c>
      <c r="B177" s="1344" t="s">
        <v>2119</v>
      </c>
      <c r="C177" s="58" t="s">
        <v>28</v>
      </c>
      <c r="D177" s="4178">
        <v>45175</v>
      </c>
      <c r="E177" s="844">
        <v>45193</v>
      </c>
      <c r="F177" s="58" t="s">
        <v>29</v>
      </c>
      <c r="G177" s="58" t="s">
        <v>57</v>
      </c>
      <c r="H177" s="1467">
        <v>45159</v>
      </c>
      <c r="I177" s="1524" t="s">
        <v>2045</v>
      </c>
      <c r="J177" s="4149" t="s">
        <v>32</v>
      </c>
      <c r="K177" s="58" t="s">
        <v>661</v>
      </c>
      <c r="L177" s="915" t="s">
        <v>542</v>
      </c>
      <c r="M177" s="1115" t="s">
        <v>2120</v>
      </c>
      <c r="N177" s="1424">
        <v>45159</v>
      </c>
      <c r="O177" s="1424">
        <v>45159</v>
      </c>
      <c r="P177" s="4122" t="s">
        <v>2121</v>
      </c>
      <c r="Q177" s="58" t="s">
        <v>35</v>
      </c>
      <c r="R177" s="58" t="s">
        <v>36</v>
      </c>
      <c r="S177" s="58" t="s">
        <v>664</v>
      </c>
      <c r="T177" s="106">
        <v>813.5</v>
      </c>
      <c r="U177" s="7">
        <v>611</v>
      </c>
      <c r="W177" s="106">
        <f>AUG_2023[[#This Row],[Sales Amount]]-AUG_2023[[#This Row],[Cost]]</f>
        <v>202.5</v>
      </c>
      <c r="X177" s="887">
        <f>AUG_2023[[#This Row],[Profit]]/AUG_2023[[#This Row],[Cost]]</f>
        <v>0.33142389525368249</v>
      </c>
    </row>
    <row r="178" spans="1:26" s="117" customFormat="1" hidden="1">
      <c r="A178" s="4149" t="s">
        <v>329</v>
      </c>
      <c r="B178" s="1344" t="s">
        <v>2122</v>
      </c>
      <c r="C178" s="58" t="s">
        <v>28</v>
      </c>
      <c r="D178" s="4178">
        <v>45175</v>
      </c>
      <c r="E178" s="844">
        <v>45193</v>
      </c>
      <c r="F178" s="58" t="s">
        <v>29</v>
      </c>
      <c r="G178" s="58" t="s">
        <v>57</v>
      </c>
      <c r="H178" s="1467">
        <v>45159</v>
      </c>
      <c r="I178" s="915" t="s">
        <v>2042</v>
      </c>
      <c r="J178" s="4149" t="s">
        <v>32</v>
      </c>
      <c r="K178" s="58" t="s">
        <v>661</v>
      </c>
      <c r="L178" s="915" t="s">
        <v>542</v>
      </c>
      <c r="M178" s="1115" t="s">
        <v>2120</v>
      </c>
      <c r="N178" s="1424">
        <v>45159</v>
      </c>
      <c r="O178" s="1424">
        <v>45159</v>
      </c>
      <c r="P178" s="4122" t="s">
        <v>2123</v>
      </c>
      <c r="Q178" s="58" t="s">
        <v>35</v>
      </c>
      <c r="R178" s="58" t="s">
        <v>36</v>
      </c>
      <c r="S178" s="58" t="s">
        <v>664</v>
      </c>
      <c r="T178" s="106">
        <v>710</v>
      </c>
      <c r="U178" s="7">
        <v>576</v>
      </c>
      <c r="V178" s="106"/>
      <c r="W178" s="106">
        <f>AUG_2023[[#This Row],[Sales Amount]]-AUG_2023[[#This Row],[Cost]]</f>
        <v>134</v>
      </c>
      <c r="X178" s="887">
        <f>AUG_2023[[#This Row],[Profit]]/AUG_2023[[#This Row],[Cost]]</f>
        <v>0.2326388888888889</v>
      </c>
      <c r="Y178" s="106"/>
      <c r="Z178" s="106"/>
    </row>
    <row r="179" spans="1:26" hidden="1">
      <c r="A179" s="4149" t="s">
        <v>1477</v>
      </c>
      <c r="B179" s="1441">
        <v>6362691170</v>
      </c>
      <c r="C179" s="4149" t="s">
        <v>28</v>
      </c>
      <c r="D179" s="4178">
        <v>45159</v>
      </c>
      <c r="E179" s="844">
        <v>45194</v>
      </c>
      <c r="F179" s="4149" t="s">
        <v>45</v>
      </c>
      <c r="G179" s="58" t="s">
        <v>46</v>
      </c>
      <c r="H179" s="1115">
        <v>45146</v>
      </c>
      <c r="I179" s="915" t="s">
        <v>115</v>
      </c>
      <c r="J179" s="58" t="s">
        <v>32</v>
      </c>
      <c r="K179" s="4149" t="s">
        <v>2124</v>
      </c>
      <c r="L179" s="915" t="s">
        <v>542</v>
      </c>
      <c r="M179" s="1115" t="s">
        <v>2125</v>
      </c>
      <c r="N179" s="844">
        <v>45146</v>
      </c>
      <c r="O179" s="844">
        <v>45146</v>
      </c>
      <c r="P179" s="4152" t="s">
        <v>2126</v>
      </c>
      <c r="Q179" s="7" t="s">
        <v>715</v>
      </c>
      <c r="R179" s="7" t="s">
        <v>36</v>
      </c>
      <c r="S179" s="7" t="s">
        <v>664</v>
      </c>
      <c r="W179" s="106">
        <f>AUG_2023[[#This Row],[Sales Amount]]-AUG_2023[[#This Row],[Cost]]</f>
        <v>0</v>
      </c>
      <c r="X179" s="887" t="e">
        <f>AUG_2023[[#This Row],[Profit]]/AUG_2023[[#This Row],[Cost]]</f>
        <v>#DIV/0!</v>
      </c>
    </row>
    <row r="180" spans="1:26" hidden="1">
      <c r="A180" s="4149" t="s">
        <v>1472</v>
      </c>
      <c r="B180" s="1146">
        <v>6363271740</v>
      </c>
      <c r="C180" s="4149" t="s">
        <v>2100</v>
      </c>
      <c r="D180" s="4178">
        <v>45195</v>
      </c>
      <c r="E180" s="844">
        <v>45195</v>
      </c>
      <c r="F180" s="4149" t="s">
        <v>45</v>
      </c>
      <c r="G180" s="4149" t="s">
        <v>851</v>
      </c>
      <c r="H180" s="844">
        <v>45153</v>
      </c>
      <c r="I180" s="58" t="s">
        <v>899</v>
      </c>
      <c r="J180" s="4149" t="s">
        <v>1478</v>
      </c>
      <c r="K180" s="4149" t="s">
        <v>2127</v>
      </c>
      <c r="L180" s="58"/>
      <c r="M180" s="844" t="s">
        <v>2128</v>
      </c>
      <c r="N180" s="844">
        <v>45153</v>
      </c>
      <c r="O180" s="844">
        <v>45155</v>
      </c>
      <c r="P180" s="4122" t="s">
        <v>2129</v>
      </c>
      <c r="Q180" s="4122" t="s">
        <v>128</v>
      </c>
      <c r="R180" s="709" t="s">
        <v>36</v>
      </c>
      <c r="S180" s="709"/>
      <c r="T180" s="709">
        <v>1305</v>
      </c>
      <c r="U180" s="709">
        <f>306.05+566</f>
        <v>872.05</v>
      </c>
      <c r="V180" s="709"/>
      <c r="W180" s="709">
        <f>AUG_2023[[#This Row],[Sales Amount]]-AUG_2023[[#This Row],[Cost]]</f>
        <v>432.95000000000005</v>
      </c>
      <c r="X180" s="1384">
        <f>AUG_2023[[#This Row],[Profit]]/AUG_2023[[#This Row],[Cost]]</f>
        <v>0.49647382604208484</v>
      </c>
      <c r="Y180" s="709"/>
      <c r="Z180" s="709"/>
    </row>
    <row r="181" spans="1:26" s="117" customFormat="1" hidden="1">
      <c r="A181" s="4149" t="s">
        <v>329</v>
      </c>
      <c r="B181" s="4149" t="s">
        <v>2130</v>
      </c>
      <c r="C181" s="710" t="s">
        <v>28</v>
      </c>
      <c r="D181" s="4178">
        <v>45177</v>
      </c>
      <c r="E181" s="844">
        <v>45197</v>
      </c>
      <c r="F181" s="4149" t="s">
        <v>29</v>
      </c>
      <c r="G181" s="4149" t="s">
        <v>57</v>
      </c>
      <c r="H181" s="1115">
        <v>45163</v>
      </c>
      <c r="I181" s="913" t="s">
        <v>2045</v>
      </c>
      <c r="J181" s="18" t="s">
        <v>32</v>
      </c>
      <c r="K181" s="18" t="s">
        <v>661</v>
      </c>
      <c r="L181" s="915" t="s">
        <v>542</v>
      </c>
      <c r="M181" s="1115" t="s">
        <v>2131</v>
      </c>
      <c r="N181" s="1115">
        <v>45163</v>
      </c>
      <c r="O181" s="1115">
        <v>45163</v>
      </c>
      <c r="P181" s="709" t="s">
        <v>2123</v>
      </c>
      <c r="Q181" s="58" t="s">
        <v>35</v>
      </c>
      <c r="R181" s="58" t="s">
        <v>36</v>
      </c>
      <c r="S181" s="58" t="s">
        <v>664</v>
      </c>
      <c r="T181" s="106">
        <v>727.5</v>
      </c>
      <c r="U181" s="106">
        <v>526</v>
      </c>
      <c r="V181" s="106"/>
      <c r="W181" s="106">
        <f>AUG_2023[[#This Row],[Sales Amount]]-AUG_2023[[#This Row],[Cost]]</f>
        <v>201.5</v>
      </c>
      <c r="X181" s="887">
        <f>AUG_2023[[#This Row],[Profit]]/AUG_2023[[#This Row],[Cost]]</f>
        <v>0.38307984790874527</v>
      </c>
      <c r="Y181" s="106"/>
      <c r="Z181" s="106"/>
    </row>
    <row r="182" spans="1:26" s="117" customFormat="1" hidden="1">
      <c r="A182" s="4154" t="s">
        <v>1472</v>
      </c>
      <c r="B182" s="1146">
        <v>6362765290</v>
      </c>
      <c r="C182" s="4154" t="s">
        <v>44</v>
      </c>
      <c r="D182" s="4155">
        <v>45198</v>
      </c>
      <c r="E182" s="353">
        <v>45198</v>
      </c>
      <c r="F182" s="4154" t="s">
        <v>45</v>
      </c>
      <c r="G182" s="4154" t="s">
        <v>851</v>
      </c>
      <c r="H182" s="373">
        <v>45146</v>
      </c>
      <c r="I182" s="25"/>
      <c r="J182" s="4610" t="s">
        <v>1478</v>
      </c>
      <c r="K182" s="4154" t="s">
        <v>1489</v>
      </c>
      <c r="L182" s="25"/>
      <c r="M182" s="353" t="s">
        <v>2132</v>
      </c>
      <c r="N182" s="373">
        <v>45146</v>
      </c>
      <c r="O182" s="373">
        <v>45148</v>
      </c>
      <c r="P182" s="4150" t="s">
        <v>2133</v>
      </c>
      <c r="Q182" s="4150" t="s">
        <v>128</v>
      </c>
      <c r="R182" s="117" t="s">
        <v>36</v>
      </c>
      <c r="T182" s="117">
        <v>1305</v>
      </c>
      <c r="U182" s="117">
        <f>516+570.46</f>
        <v>1086.46</v>
      </c>
      <c r="W182" s="117">
        <f>AUG_2023[[#This Row],[Sales Amount]]-AUG_2023[[#This Row],[Cost]]</f>
        <v>218.53999999999996</v>
      </c>
      <c r="X182" s="923">
        <f>AUG_2023[[#This Row],[Profit]]/AUG_2023[[#This Row],[Cost]]</f>
        <v>0.20114868471917968</v>
      </c>
    </row>
    <row r="183" spans="1:26" s="117" customFormat="1" hidden="1">
      <c r="A183" s="4149" t="s">
        <v>1477</v>
      </c>
      <c r="B183" s="1146">
        <v>6363660900</v>
      </c>
      <c r="C183" s="4149" t="s">
        <v>2100</v>
      </c>
      <c r="D183" s="4178">
        <v>45175</v>
      </c>
      <c r="E183" s="844">
        <v>45205</v>
      </c>
      <c r="F183" s="4149" t="s">
        <v>45</v>
      </c>
      <c r="G183" s="58" t="s">
        <v>46</v>
      </c>
      <c r="H183" s="1115">
        <v>45160</v>
      </c>
      <c r="I183" s="915" t="s">
        <v>115</v>
      </c>
      <c r="J183" s="58" t="s">
        <v>32</v>
      </c>
      <c r="K183" s="4149" t="s">
        <v>2124</v>
      </c>
      <c r="L183" s="915" t="s">
        <v>542</v>
      </c>
      <c r="M183" s="1115" t="s">
        <v>2106</v>
      </c>
      <c r="N183" s="1424">
        <v>45159</v>
      </c>
      <c r="O183" s="1115">
        <v>45160</v>
      </c>
      <c r="P183" s="4122" t="s">
        <v>2134</v>
      </c>
      <c r="Q183" s="58" t="s">
        <v>35</v>
      </c>
      <c r="R183" s="58" t="s">
        <v>36</v>
      </c>
      <c r="S183" s="58" t="s">
        <v>664</v>
      </c>
      <c r="T183" s="106"/>
      <c r="U183" s="106"/>
      <c r="V183" s="106"/>
      <c r="W183" s="106">
        <f>AUG_2023[[#This Row],[Sales Amount]]-AUG_2023[[#This Row],[Cost]]</f>
        <v>0</v>
      </c>
      <c r="X183" s="887" t="e">
        <f>AUG_2023[[#This Row],[Profit]]/AUG_2023[[#This Row],[Cost]]</f>
        <v>#DIV/0!</v>
      </c>
      <c r="Y183" s="106"/>
      <c r="Z183" s="106"/>
    </row>
    <row r="184" spans="1:26" hidden="1">
      <c r="A184" s="4149" t="s">
        <v>1477</v>
      </c>
      <c r="B184" s="1146">
        <v>6363661240</v>
      </c>
      <c r="C184" s="4149" t="s">
        <v>2100</v>
      </c>
      <c r="D184" s="4178">
        <v>45180</v>
      </c>
      <c r="E184" s="844">
        <v>45208</v>
      </c>
      <c r="F184" s="4149" t="s">
        <v>45</v>
      </c>
      <c r="G184" s="58" t="s">
        <v>46</v>
      </c>
      <c r="H184" s="1115">
        <v>45160</v>
      </c>
      <c r="I184" s="915" t="s">
        <v>115</v>
      </c>
      <c r="J184" s="58" t="s">
        <v>32</v>
      </c>
      <c r="K184" s="4149" t="s">
        <v>2124</v>
      </c>
      <c r="L184" s="915" t="s">
        <v>542</v>
      </c>
      <c r="M184" s="1115" t="s">
        <v>2135</v>
      </c>
      <c r="N184" s="844">
        <v>45159</v>
      </c>
      <c r="O184" s="1115">
        <v>45160</v>
      </c>
      <c r="P184" s="4122" t="s">
        <v>2136</v>
      </c>
      <c r="Q184" s="58" t="s">
        <v>35</v>
      </c>
      <c r="R184" s="58" t="s">
        <v>36</v>
      </c>
      <c r="S184" s="58" t="s">
        <v>664</v>
      </c>
      <c r="W184" s="106">
        <f>AUG_2023[[#This Row],[Sales Amount]]-AUG_2023[[#This Row],[Cost]]</f>
        <v>0</v>
      </c>
      <c r="X184" s="887" t="e">
        <f>AUG_2023[[#This Row],[Profit]]/AUG_2023[[#This Row],[Cost]]</f>
        <v>#DIV/0!</v>
      </c>
    </row>
    <row r="185" spans="1:26" s="117" customFormat="1" ht="60" hidden="1">
      <c r="A185" s="4149" t="s">
        <v>676</v>
      </c>
      <c r="B185" s="1146">
        <v>6363985480</v>
      </c>
      <c r="C185" s="4149" t="s">
        <v>2103</v>
      </c>
      <c r="D185" s="4178">
        <v>45177</v>
      </c>
      <c r="E185" s="844">
        <v>45212</v>
      </c>
      <c r="F185" s="4149" t="s">
        <v>45</v>
      </c>
      <c r="G185" s="4149" t="s">
        <v>361</v>
      </c>
      <c r="H185" s="1316" t="s">
        <v>2137</v>
      </c>
      <c r="I185" s="1113"/>
      <c r="J185" s="58" t="s">
        <v>32</v>
      </c>
      <c r="K185" s="4149" t="s">
        <v>2105</v>
      </c>
      <c r="L185" s="915" t="s">
        <v>542</v>
      </c>
      <c r="M185" s="1115" t="s">
        <v>2138</v>
      </c>
      <c r="N185" s="946" t="s">
        <v>2137</v>
      </c>
      <c r="O185" s="946" t="s">
        <v>2137</v>
      </c>
      <c r="P185" s="4122" t="s">
        <v>2139</v>
      </c>
      <c r="Q185" s="58" t="s">
        <v>35</v>
      </c>
      <c r="R185" s="58" t="s">
        <v>36</v>
      </c>
      <c r="S185" s="58" t="s">
        <v>664</v>
      </c>
      <c r="T185" s="106"/>
      <c r="U185" s="106"/>
      <c r="V185" s="106"/>
      <c r="W185" s="106">
        <f>AUG_2023[[#This Row],[Sales Amount]]-AUG_2023[[#This Row],[Cost]]</f>
        <v>0</v>
      </c>
      <c r="X185" s="887" t="e">
        <f>AUG_2023[[#This Row],[Profit]]/AUG_2023[[#This Row],[Cost]]</f>
        <v>#DIV/0!</v>
      </c>
      <c r="Y185" s="106"/>
      <c r="Z185" s="106"/>
    </row>
    <row r="186" spans="1:26" s="1442" customFormat="1" hidden="1">
      <c r="A186" s="4207" t="s">
        <v>1088</v>
      </c>
      <c r="B186" s="4207" t="s">
        <v>2140</v>
      </c>
      <c r="C186" s="4207" t="s">
        <v>994</v>
      </c>
      <c r="D186" s="4208">
        <v>45141</v>
      </c>
      <c r="E186" s="1458">
        <v>45149</v>
      </c>
      <c r="F186" s="4207" t="s">
        <v>990</v>
      </c>
      <c r="G186" s="4207" t="s">
        <v>829</v>
      </c>
      <c r="H186" s="1456"/>
      <c r="I186" s="1456"/>
      <c r="J186" s="4207" t="s">
        <v>32</v>
      </c>
      <c r="K186" s="4207" t="s">
        <v>310</v>
      </c>
      <c r="L186" s="1456" t="s">
        <v>2141</v>
      </c>
      <c r="M186" s="1459">
        <v>45151</v>
      </c>
      <c r="N186" s="1474">
        <v>45153</v>
      </c>
      <c r="O186" s="1474">
        <v>45198</v>
      </c>
      <c r="P186" s="4209" t="s">
        <v>2142</v>
      </c>
      <c r="Q186" s="4209" t="s">
        <v>50</v>
      </c>
      <c r="R186" s="1442" t="s">
        <v>2143</v>
      </c>
      <c r="W186" s="1442">
        <f>AUG_2023[[#This Row],[Sales Amount]]-AUG_2023[[#This Row],[Cost]]</f>
        <v>0</v>
      </c>
      <c r="X186" s="1457" t="e">
        <f>AUG_2023[[#This Row],[Profit]]/AUG_2023[[#This Row],[Cost]]</f>
        <v>#DIV/0!</v>
      </c>
    </row>
    <row r="187" spans="1:26" hidden="1">
      <c r="A187" s="7" t="s">
        <v>2144</v>
      </c>
      <c r="B187" s="7" t="s">
        <v>2145</v>
      </c>
      <c r="C187" s="7" t="s">
        <v>85</v>
      </c>
      <c r="D187" s="126">
        <v>45131</v>
      </c>
      <c r="E187" s="143">
        <v>45149</v>
      </c>
      <c r="F187" s="7" t="s">
        <v>1357</v>
      </c>
      <c r="G187" s="7" t="s">
        <v>302</v>
      </c>
      <c r="H187" s="7"/>
      <c r="J187" s="7" t="s">
        <v>32</v>
      </c>
      <c r="K187" s="7" t="s">
        <v>2146</v>
      </c>
      <c r="M187" s="126">
        <v>45152</v>
      </c>
      <c r="N187" s="7"/>
      <c r="O187" s="7"/>
      <c r="P187" s="106" t="s">
        <v>2147</v>
      </c>
      <c r="Q187" s="106" t="s">
        <v>862</v>
      </c>
      <c r="R187" s="106"/>
      <c r="S187" s="106"/>
      <c r="W187" s="106">
        <f>AUG_2023[[#This Row],[Sales Amount]]-AUG_2023[[#This Row],[Cost]]</f>
        <v>0</v>
      </c>
      <c r="X187" s="887" t="e">
        <f>AUG_2023[[#This Row],[Profit]]/AUG_2023[[#This Row],[Cost]]</f>
        <v>#DIV/0!</v>
      </c>
    </row>
    <row r="188" spans="1:26" hidden="1">
      <c r="A188" s="1456" t="s">
        <v>821</v>
      </c>
      <c r="B188" s="1456" t="s">
        <v>2148</v>
      </c>
      <c r="C188" s="1456" t="s">
        <v>28</v>
      </c>
      <c r="D188" s="1459">
        <v>45142</v>
      </c>
      <c r="E188" s="1458">
        <v>45150</v>
      </c>
      <c r="F188" s="1456" t="s">
        <v>98</v>
      </c>
      <c r="G188" s="1456" t="s">
        <v>829</v>
      </c>
      <c r="H188" s="1456"/>
      <c r="I188" s="1456"/>
      <c r="J188" s="1456" t="s">
        <v>168</v>
      </c>
      <c r="K188" s="1456" t="s">
        <v>310</v>
      </c>
      <c r="L188" s="1532" t="s">
        <v>2149</v>
      </c>
      <c r="M188" s="1459">
        <v>45153</v>
      </c>
      <c r="N188" s="1474">
        <v>45152</v>
      </c>
      <c r="O188" s="1474">
        <v>45153</v>
      </c>
      <c r="P188" s="1442" t="s">
        <v>2150</v>
      </c>
      <c r="Q188" s="1442" t="s">
        <v>50</v>
      </c>
      <c r="R188" s="1442" t="s">
        <v>51</v>
      </c>
      <c r="S188" s="1442"/>
      <c r="T188" s="1442"/>
      <c r="U188" s="1442"/>
      <c r="V188" s="1442"/>
      <c r="W188" s="1442">
        <f>AUG_2023[[#This Row],[Sales Amount]]-AUG_2023[[#This Row],[Cost]]</f>
        <v>0</v>
      </c>
      <c r="X188" s="1457" t="e">
        <f>AUG_2023[[#This Row],[Profit]]/AUG_2023[[#This Row],[Cost]]</f>
        <v>#DIV/0!</v>
      </c>
      <c r="Y188" s="1442"/>
      <c r="Z188" s="1442"/>
    </row>
    <row r="189" spans="1:26" hidden="1">
      <c r="A189" s="7" t="s">
        <v>42</v>
      </c>
      <c r="B189" s="7" t="s">
        <v>2151</v>
      </c>
      <c r="C189" s="7" t="s">
        <v>44</v>
      </c>
      <c r="D189" s="126">
        <v>45144</v>
      </c>
      <c r="E189" s="143">
        <v>45150</v>
      </c>
      <c r="F189" s="7" t="s">
        <v>86</v>
      </c>
      <c r="G189" s="7" t="s">
        <v>829</v>
      </c>
      <c r="H189" s="7"/>
      <c r="J189" s="7" t="s">
        <v>168</v>
      </c>
      <c r="K189" s="7" t="s">
        <v>310</v>
      </c>
      <c r="L189" s="7" t="s">
        <v>2152</v>
      </c>
      <c r="M189" s="126">
        <v>45152</v>
      </c>
      <c r="N189" s="338">
        <v>45152</v>
      </c>
      <c r="O189" s="338">
        <v>45154</v>
      </c>
      <c r="P189" s="106" t="s">
        <v>2153</v>
      </c>
      <c r="Q189" s="106" t="s">
        <v>50</v>
      </c>
      <c r="R189" s="106"/>
      <c r="S189" s="106"/>
      <c r="W189" s="106">
        <f>AUG_2023[[#This Row],[Sales Amount]]-AUG_2023[[#This Row],[Cost]]</f>
        <v>0</v>
      </c>
      <c r="X189" s="887" t="e">
        <f>AUG_2023[[#This Row],[Profit]]/AUG_2023[[#This Row],[Cost]]</f>
        <v>#DIV/0!</v>
      </c>
    </row>
    <row r="190" spans="1:26" s="117" customFormat="1" hidden="1">
      <c r="A190" s="1456" t="s">
        <v>409</v>
      </c>
      <c r="B190" s="1456" t="s">
        <v>2154</v>
      </c>
      <c r="C190" s="4622" t="s">
        <v>28</v>
      </c>
      <c r="D190" s="1459">
        <v>45145</v>
      </c>
      <c r="E190" s="1458">
        <v>45150</v>
      </c>
      <c r="F190" s="1456" t="s">
        <v>93</v>
      </c>
      <c r="G190" s="1456" t="s">
        <v>302</v>
      </c>
      <c r="H190" s="1456"/>
      <c r="I190" s="1456"/>
      <c r="J190" s="4622" t="s">
        <v>32</v>
      </c>
      <c r="K190" s="1456" t="s">
        <v>310</v>
      </c>
      <c r="L190" s="1456" t="s">
        <v>2155</v>
      </c>
      <c r="M190" s="1459">
        <v>45152</v>
      </c>
      <c r="N190" s="1459">
        <v>45152</v>
      </c>
      <c r="O190" s="1459">
        <v>45153</v>
      </c>
      <c r="P190" s="1536" t="s">
        <v>2156</v>
      </c>
      <c r="Q190" s="1442" t="s">
        <v>89</v>
      </c>
      <c r="R190" s="1442" t="s">
        <v>51</v>
      </c>
      <c r="S190" s="1442"/>
      <c r="T190" s="1442"/>
      <c r="U190" s="1442"/>
      <c r="V190" s="1442"/>
      <c r="W190" s="1442">
        <f>AUG_2023[[#This Row],[Sales Amount]]-AUG_2023[[#This Row],[Cost]]</f>
        <v>0</v>
      </c>
      <c r="X190" s="1457" t="e">
        <f>AUG_2023[[#This Row],[Profit]]/AUG_2023[[#This Row],[Cost]]</f>
        <v>#DIV/0!</v>
      </c>
      <c r="Y190" s="1442"/>
      <c r="Z190" s="1442"/>
    </row>
    <row r="191" spans="1:26" s="117" customFormat="1" hidden="1">
      <c r="A191" s="1456" t="s">
        <v>1255</v>
      </c>
      <c r="B191" s="1456" t="s">
        <v>2157</v>
      </c>
      <c r="C191" s="4622" t="s">
        <v>28</v>
      </c>
      <c r="D191" s="1459">
        <v>45146</v>
      </c>
      <c r="E191" s="1458">
        <v>45151</v>
      </c>
      <c r="F191" s="1456" t="s">
        <v>98</v>
      </c>
      <c r="G191" s="1456" t="s">
        <v>46</v>
      </c>
      <c r="H191" s="1456"/>
      <c r="I191" s="1456"/>
      <c r="J191" s="4622" t="s">
        <v>32</v>
      </c>
      <c r="K191" s="1456" t="s">
        <v>310</v>
      </c>
      <c r="L191" s="1474">
        <v>45153</v>
      </c>
      <c r="M191" s="1459" t="s">
        <v>2158</v>
      </c>
      <c r="N191" s="1474">
        <v>45152</v>
      </c>
      <c r="O191" s="1474">
        <v>45154</v>
      </c>
      <c r="P191" s="1442" t="s">
        <v>2159</v>
      </c>
      <c r="Q191" s="1442" t="s">
        <v>50</v>
      </c>
      <c r="R191" s="1442" t="s">
        <v>51</v>
      </c>
      <c r="S191" s="1442"/>
      <c r="T191" s="1442"/>
      <c r="U191" s="1442"/>
      <c r="V191" s="1442"/>
      <c r="W191" s="1442">
        <f>AUG_2023[[#This Row],[Sales Amount]]-AUG_2023[[#This Row],[Cost]]</f>
        <v>0</v>
      </c>
      <c r="X191" s="1457" t="e">
        <f>AUG_2023[[#This Row],[Profit]]/AUG_2023[[#This Row],[Cost]]</f>
        <v>#DIV/0!</v>
      </c>
      <c r="Y191" s="1442"/>
      <c r="Z191" s="1442"/>
    </row>
    <row r="192" spans="1:26" hidden="1">
      <c r="A192" s="4207" t="s">
        <v>2160</v>
      </c>
      <c r="B192" s="4207" t="s">
        <v>2161</v>
      </c>
      <c r="C192" s="4207" t="s">
        <v>44</v>
      </c>
      <c r="D192" s="4208">
        <v>45146</v>
      </c>
      <c r="E192" s="1458">
        <f>5+AUG_2023[[#This Row],[ETA PORT]]</f>
        <v>45151</v>
      </c>
      <c r="F192" s="4207" t="s">
        <v>734</v>
      </c>
      <c r="G192" s="4207" t="s">
        <v>829</v>
      </c>
      <c r="H192" s="1456"/>
      <c r="I192" s="1456"/>
      <c r="J192" s="4623" t="s">
        <v>168</v>
      </c>
      <c r="K192" s="4207" t="s">
        <v>310</v>
      </c>
      <c r="L192" s="1456" t="s">
        <v>2162</v>
      </c>
      <c r="M192" s="1459">
        <v>45154</v>
      </c>
      <c r="N192" s="1474">
        <v>45152</v>
      </c>
      <c r="O192" s="1474">
        <v>45154</v>
      </c>
      <c r="P192" s="4209" t="s">
        <v>2163</v>
      </c>
      <c r="Q192" s="4209" t="s">
        <v>50</v>
      </c>
      <c r="R192" s="1442" t="s">
        <v>51</v>
      </c>
      <c r="S192" s="1442"/>
      <c r="T192" s="1442"/>
      <c r="U192" s="1442"/>
      <c r="V192" s="1442"/>
      <c r="W192" s="1442">
        <f>AUG_2023[[#This Row],[Sales Amount]]-AUG_2023[[#This Row],[Cost]]</f>
        <v>0</v>
      </c>
      <c r="X192" s="1457" t="e">
        <f>AUG_2023[[#This Row],[Profit]]/AUG_2023[[#This Row],[Cost]]</f>
        <v>#DIV/0!</v>
      </c>
      <c r="Y192" s="1442"/>
      <c r="Z192" s="1442"/>
    </row>
    <row r="193" spans="1:26" hidden="1">
      <c r="A193" s="1456" t="s">
        <v>42</v>
      </c>
      <c r="B193" s="1456" t="s">
        <v>2164</v>
      </c>
      <c r="C193" s="1456" t="s">
        <v>28</v>
      </c>
      <c r="D193" s="1459">
        <v>45145</v>
      </c>
      <c r="E193" s="1458">
        <v>45153</v>
      </c>
      <c r="F193" s="1456" t="s">
        <v>93</v>
      </c>
      <c r="G193" s="1456" t="s">
        <v>1724</v>
      </c>
      <c r="H193" s="1456"/>
      <c r="I193" s="1456"/>
      <c r="J193" s="1456" t="s">
        <v>32</v>
      </c>
      <c r="K193" s="1456" t="s">
        <v>310</v>
      </c>
      <c r="L193" s="1509" t="s">
        <v>2165</v>
      </c>
      <c r="M193" s="1459">
        <v>45155</v>
      </c>
      <c r="N193" s="1474">
        <v>45154</v>
      </c>
      <c r="O193" s="1474">
        <v>45156</v>
      </c>
      <c r="P193" s="1442" t="s">
        <v>2166</v>
      </c>
      <c r="Q193" s="1442" t="s">
        <v>50</v>
      </c>
      <c r="R193" s="1442" t="s">
        <v>51</v>
      </c>
      <c r="S193" s="1442"/>
      <c r="T193" s="1442"/>
      <c r="U193" s="1442"/>
      <c r="V193" s="1442"/>
      <c r="W193" s="1442">
        <f>AUG_2023[[#This Row],[Sales Amount]]-AUG_2023[[#This Row],[Cost]]</f>
        <v>0</v>
      </c>
      <c r="X193" s="1457" t="e">
        <f>AUG_2023[[#This Row],[Profit]]/AUG_2023[[#This Row],[Cost]]</f>
        <v>#DIV/0!</v>
      </c>
      <c r="Y193" s="1442"/>
      <c r="Z193" s="1442"/>
    </row>
    <row r="194" spans="1:26" hidden="1">
      <c r="A194" s="4207" t="s">
        <v>1088</v>
      </c>
      <c r="B194" s="4207" t="s">
        <v>2167</v>
      </c>
      <c r="C194" s="1456" t="s">
        <v>44</v>
      </c>
      <c r="D194" s="4208">
        <v>45146</v>
      </c>
      <c r="E194" s="1458">
        <v>45155</v>
      </c>
      <c r="F194" s="1456" t="s">
        <v>93</v>
      </c>
      <c r="G194" s="1456" t="s">
        <v>1724</v>
      </c>
      <c r="H194" s="1456"/>
      <c r="I194" s="1456"/>
      <c r="J194" s="4207" t="s">
        <v>32</v>
      </c>
      <c r="K194" s="4207" t="s">
        <v>310</v>
      </c>
      <c r="L194" s="1456" t="s">
        <v>2168</v>
      </c>
      <c r="M194" s="1459">
        <v>45158</v>
      </c>
      <c r="N194" s="1474">
        <v>45156</v>
      </c>
      <c r="O194" s="1474">
        <v>45159</v>
      </c>
      <c r="P194" s="4209" t="s">
        <v>2169</v>
      </c>
      <c r="Q194" s="4209" t="s">
        <v>50</v>
      </c>
      <c r="R194" s="1442" t="s">
        <v>51</v>
      </c>
      <c r="S194" s="1442"/>
      <c r="T194" s="1442"/>
      <c r="U194" s="1442"/>
      <c r="V194" s="1442"/>
      <c r="W194" s="1442">
        <f>AUG_2023[[#This Row],[Sales Amount]]-AUG_2023[[#This Row],[Cost]]</f>
        <v>0</v>
      </c>
      <c r="X194" s="1457" t="e">
        <f>AUG_2023[[#This Row],[Profit]]/AUG_2023[[#This Row],[Cost]]</f>
        <v>#DIV/0!</v>
      </c>
      <c r="Y194" s="1442"/>
      <c r="Z194" s="1442"/>
    </row>
    <row r="195" spans="1:26" ht="45" hidden="1">
      <c r="A195" s="58" t="s">
        <v>1509</v>
      </c>
      <c r="B195" s="4149" t="s">
        <v>2170</v>
      </c>
      <c r="C195" s="4149" t="s">
        <v>85</v>
      </c>
      <c r="D195" s="4178">
        <v>45150</v>
      </c>
      <c r="E195" s="1112">
        <v>45163</v>
      </c>
      <c r="F195" s="4149" t="s">
        <v>56</v>
      </c>
      <c r="G195" s="4149" t="s">
        <v>46</v>
      </c>
      <c r="H195" s="1316" t="s">
        <v>2171</v>
      </c>
      <c r="I195" s="1113"/>
      <c r="J195" s="58" t="s">
        <v>32</v>
      </c>
      <c r="K195" s="4149" t="s">
        <v>2172</v>
      </c>
      <c r="L195" s="915" t="s">
        <v>2173</v>
      </c>
      <c r="M195" s="1119">
        <v>45165</v>
      </c>
      <c r="N195" s="844">
        <v>45167</v>
      </c>
      <c r="O195" s="844">
        <v>45200</v>
      </c>
      <c r="P195" s="4122" t="s">
        <v>2174</v>
      </c>
      <c r="Q195" s="58" t="s">
        <v>35</v>
      </c>
      <c r="R195" s="58" t="s">
        <v>36</v>
      </c>
      <c r="S195" s="58" t="s">
        <v>37</v>
      </c>
      <c r="T195" s="106">
        <v>4370</v>
      </c>
      <c r="U195" s="106">
        <v>3646</v>
      </c>
      <c r="W195" s="106">
        <f>AUG_2023[[#This Row],[Sales Amount]]-AUG_2023[[#This Row],[Cost]]</f>
        <v>724</v>
      </c>
      <c r="X195" s="887">
        <f>AUG_2023[[#This Row],[Profit]]/AUG_2023[[#This Row],[Cost]]</f>
        <v>0.19857377948436644</v>
      </c>
    </row>
    <row r="196" spans="1:26" s="1442" customFormat="1" ht="180">
      <c r="A196" s="1456" t="s">
        <v>556</v>
      </c>
      <c r="B196" s="4207" t="s">
        <v>2175</v>
      </c>
      <c r="C196" s="4207" t="s">
        <v>28</v>
      </c>
      <c r="D196" s="4208">
        <v>45156</v>
      </c>
      <c r="E196" s="1458">
        <v>45166</v>
      </c>
      <c r="F196" s="1456" t="s">
        <v>151</v>
      </c>
      <c r="G196" s="1456" t="s">
        <v>302</v>
      </c>
      <c r="H196" s="1600" t="s">
        <v>2176</v>
      </c>
      <c r="I196" s="4210" t="s">
        <v>2177</v>
      </c>
      <c r="J196" s="1456" t="s">
        <v>32</v>
      </c>
      <c r="K196" s="1475" t="s">
        <v>2178</v>
      </c>
      <c r="L196" s="1456" t="s">
        <v>2179</v>
      </c>
      <c r="M196" s="1601">
        <v>45168</v>
      </c>
      <c r="N196" s="1601">
        <v>45168</v>
      </c>
      <c r="O196" s="1602">
        <v>45171</v>
      </c>
      <c r="P196" s="4211" t="s">
        <v>2180</v>
      </c>
      <c r="Q196" s="1442" t="s">
        <v>75</v>
      </c>
      <c r="R196" s="1442" t="s">
        <v>51</v>
      </c>
      <c r="W196" s="1442">
        <f>AUG_2023[[#This Row],[Sales Amount]]-AUG_2023[[#This Row],[Cost]]</f>
        <v>0</v>
      </c>
      <c r="X196" s="1457" t="e">
        <f>AUG_2023[[#This Row],[Profit]]/AUG_2023[[#This Row],[Cost]]</f>
        <v>#DIV/0!</v>
      </c>
    </row>
    <row r="197" spans="1:26" hidden="1">
      <c r="A197" s="4207" t="s">
        <v>2160</v>
      </c>
      <c r="B197" s="4207" t="s">
        <v>2181</v>
      </c>
      <c r="C197" s="4207" t="s">
        <v>44</v>
      </c>
      <c r="D197" s="4208">
        <v>45159</v>
      </c>
      <c r="E197" s="1458">
        <v>45168</v>
      </c>
      <c r="F197" s="4207" t="s">
        <v>734</v>
      </c>
      <c r="G197" s="4207" t="s">
        <v>1724</v>
      </c>
      <c r="H197" s="1456"/>
      <c r="I197" s="1456"/>
      <c r="J197" s="4207" t="s">
        <v>168</v>
      </c>
      <c r="K197" s="4207" t="s">
        <v>310</v>
      </c>
      <c r="L197" s="1456">
        <v>820415</v>
      </c>
      <c r="M197" s="1459">
        <v>45170</v>
      </c>
      <c r="N197" s="1474">
        <v>45168</v>
      </c>
      <c r="O197" s="1474">
        <v>45170</v>
      </c>
      <c r="P197" s="4209" t="s">
        <v>2182</v>
      </c>
      <c r="Q197" s="4209" t="s">
        <v>50</v>
      </c>
      <c r="R197" s="1442" t="s">
        <v>51</v>
      </c>
      <c r="S197" s="1442"/>
      <c r="T197" s="1442"/>
      <c r="U197" s="1442"/>
      <c r="V197" s="1442"/>
      <c r="W197" s="1442">
        <f>AUG_2023[[#This Row],[Sales Amount]]-AUG_2023[[#This Row],[Cost]]</f>
        <v>0</v>
      </c>
      <c r="X197" s="1457" t="e">
        <f>AUG_2023[[#This Row],[Profit]]/AUG_2023[[#This Row],[Cost]]</f>
        <v>#DIV/0!</v>
      </c>
      <c r="Y197" s="1442"/>
      <c r="Z197" s="1442"/>
    </row>
    <row r="198" spans="1:26" hidden="1">
      <c r="A198" s="4146" t="s">
        <v>1088</v>
      </c>
      <c r="B198" s="4207" t="s">
        <v>2183</v>
      </c>
      <c r="C198" s="4207" t="s">
        <v>85</v>
      </c>
      <c r="D198" s="4208">
        <v>45160</v>
      </c>
      <c r="E198" s="1458">
        <v>45168</v>
      </c>
      <c r="F198" s="4207" t="s">
        <v>56</v>
      </c>
      <c r="G198" s="4207" t="s">
        <v>1724</v>
      </c>
      <c r="H198" s="1459"/>
      <c r="I198" s="1456"/>
      <c r="J198" s="4207" t="s">
        <v>168</v>
      </c>
      <c r="K198" s="1475" t="s">
        <v>310</v>
      </c>
      <c r="L198" s="1456" t="s">
        <v>2184</v>
      </c>
      <c r="M198" s="1459">
        <v>45171</v>
      </c>
      <c r="N198" s="1459">
        <v>45170</v>
      </c>
      <c r="O198" s="1459">
        <v>45172</v>
      </c>
      <c r="P198" s="4209" t="s">
        <v>2185</v>
      </c>
      <c r="Q198" s="4209" t="s">
        <v>1281</v>
      </c>
      <c r="R198" s="1442" t="s">
        <v>51</v>
      </c>
      <c r="S198" s="1442"/>
      <c r="T198" s="1442"/>
      <c r="U198" s="1442"/>
      <c r="V198" s="1442"/>
      <c r="W198" s="1442">
        <f>AUG_2023[[#This Row],[Sales Amount]]-AUG_2023[[#This Row],[Cost]]</f>
        <v>0</v>
      </c>
      <c r="X198" s="1457" t="e">
        <f>AUG_2023[[#This Row],[Profit]]/AUG_2023[[#This Row],[Cost]]</f>
        <v>#DIV/0!</v>
      </c>
      <c r="Y198" s="1442"/>
      <c r="Z198" s="1442"/>
    </row>
    <row r="199" spans="1:26" hidden="1">
      <c r="A199" s="4115" t="s">
        <v>263</v>
      </c>
      <c r="B199" s="4149" t="s">
        <v>2186</v>
      </c>
      <c r="C199" s="4149" t="s">
        <v>44</v>
      </c>
      <c r="D199" s="4178">
        <v>45171</v>
      </c>
      <c r="E199" s="844">
        <v>45171</v>
      </c>
      <c r="F199" s="4149" t="s">
        <v>2039</v>
      </c>
      <c r="G199" s="4149" t="s">
        <v>2187</v>
      </c>
      <c r="H199" s="844">
        <v>45180</v>
      </c>
      <c r="I199" s="1440">
        <v>0.375</v>
      </c>
      <c r="J199" s="4149" t="s">
        <v>859</v>
      </c>
      <c r="K199" s="4149" t="s">
        <v>2188</v>
      </c>
      <c r="L199" s="58"/>
      <c r="M199" s="844">
        <v>45177</v>
      </c>
      <c r="N199" s="1139">
        <v>45178</v>
      </c>
      <c r="O199" s="1139">
        <v>45181</v>
      </c>
      <c r="P199" s="4122" t="s">
        <v>2189</v>
      </c>
      <c r="Q199" s="4122" t="s">
        <v>128</v>
      </c>
      <c r="R199" s="709" t="s">
        <v>36</v>
      </c>
      <c r="S199" s="709"/>
      <c r="T199" s="709">
        <v>1915.58</v>
      </c>
      <c r="U199" s="709">
        <f>1260+80.16+88.42+80</f>
        <v>1508.5800000000002</v>
      </c>
      <c r="V199" s="709"/>
      <c r="W199" s="709">
        <f>AUG_2023[[#This Row],[Sales Amount]]-AUG_2023[[#This Row],[Cost]]</f>
        <v>406.99999999999977</v>
      </c>
      <c r="X199" s="1384">
        <f>AUG_2023[[#This Row],[Profit]]/AUG_2023[[#This Row],[Cost]]</f>
        <v>0.26979013376817917</v>
      </c>
      <c r="Y199" s="709"/>
      <c r="Z199" s="709"/>
    </row>
    <row r="200" spans="1:26" s="709" customFormat="1" hidden="1">
      <c r="A200" s="4115" t="s">
        <v>2160</v>
      </c>
      <c r="B200" s="4149" t="s">
        <v>2190</v>
      </c>
      <c r="C200" s="58" t="s">
        <v>28</v>
      </c>
      <c r="D200" s="844">
        <v>45166</v>
      </c>
      <c r="E200" s="1112">
        <f>6+D200</f>
        <v>45172</v>
      </c>
      <c r="F200" s="4149" t="s">
        <v>734</v>
      </c>
      <c r="G200" s="58" t="s">
        <v>1724</v>
      </c>
      <c r="H200" s="844"/>
      <c r="I200" s="58"/>
      <c r="J200" s="58" t="s">
        <v>168</v>
      </c>
      <c r="K200" s="800" t="s">
        <v>310</v>
      </c>
      <c r="L200" s="58" t="s">
        <v>2191</v>
      </c>
      <c r="M200" s="844">
        <v>45175</v>
      </c>
      <c r="N200" s="844">
        <v>45174</v>
      </c>
      <c r="O200" s="844">
        <v>45177</v>
      </c>
      <c r="P200" s="4122" t="s">
        <v>2192</v>
      </c>
      <c r="Q200" s="4122" t="s">
        <v>1281</v>
      </c>
      <c r="R200" s="709" t="s">
        <v>51</v>
      </c>
      <c r="W200" s="709">
        <f>AUG_2023[[#This Row],[Sales Amount]]-AUG_2023[[#This Row],[Cost]]</f>
        <v>0</v>
      </c>
      <c r="X200" s="1384" t="e">
        <f>AUG_2023[[#This Row],[Profit]]/AUG_2023[[#This Row],[Cost]]</f>
        <v>#DIV/0!</v>
      </c>
    </row>
    <row r="201" spans="1:26" hidden="1">
      <c r="A201" s="4149" t="s">
        <v>122</v>
      </c>
      <c r="B201" s="4149" t="s">
        <v>2193</v>
      </c>
      <c r="C201" s="4149" t="s">
        <v>44</v>
      </c>
      <c r="D201" s="4178">
        <v>45182</v>
      </c>
      <c r="E201" s="844">
        <v>45182</v>
      </c>
      <c r="F201" s="4149" t="s">
        <v>45</v>
      </c>
      <c r="G201" s="4149" t="s">
        <v>2194</v>
      </c>
      <c r="H201" s="844">
        <v>45191</v>
      </c>
      <c r="I201" s="1440">
        <v>0.29166666666666669</v>
      </c>
      <c r="J201" s="4149" t="s">
        <v>859</v>
      </c>
      <c r="K201" s="4149" t="s">
        <v>1951</v>
      </c>
      <c r="L201" s="58"/>
      <c r="M201" s="844">
        <v>45188</v>
      </c>
      <c r="N201" s="844">
        <v>45189</v>
      </c>
      <c r="O201" s="844">
        <v>45194</v>
      </c>
      <c r="P201" s="4122" t="s">
        <v>2195</v>
      </c>
      <c r="Q201" s="4122" t="s">
        <v>128</v>
      </c>
      <c r="R201" s="709"/>
      <c r="S201" s="709"/>
      <c r="T201" s="709">
        <v>4307.5</v>
      </c>
      <c r="U201" s="709">
        <f>90+35+2917+88+175</f>
        <v>3305</v>
      </c>
      <c r="V201" s="709"/>
      <c r="W201" s="709">
        <f>AUG_2023[[#This Row],[Sales Amount]]-AUG_2023[[#This Row],[Cost]]</f>
        <v>1002.5</v>
      </c>
      <c r="X201" s="1384">
        <f>AUG_2023[[#This Row],[Profit]]/AUG_2023[[#This Row],[Cost]]</f>
        <v>0.30332829046898641</v>
      </c>
      <c r="Y201" s="709"/>
      <c r="Z201" s="709"/>
    </row>
    <row r="202" spans="1:26" hidden="1">
      <c r="A202" s="4149" t="s">
        <v>622</v>
      </c>
      <c r="B202" s="4149" t="s">
        <v>2196</v>
      </c>
      <c r="C202" s="4149" t="s">
        <v>28</v>
      </c>
      <c r="D202" s="4178">
        <v>45181</v>
      </c>
      <c r="E202" s="1112">
        <v>45203</v>
      </c>
      <c r="F202" s="4149" t="s">
        <v>135</v>
      </c>
      <c r="G202" s="58" t="s">
        <v>57</v>
      </c>
      <c r="H202" s="1139">
        <v>45205</v>
      </c>
      <c r="I202" s="58" t="s">
        <v>115</v>
      </c>
      <c r="J202" s="58" t="s">
        <v>32</v>
      </c>
      <c r="K202" s="1478" t="s">
        <v>1445</v>
      </c>
      <c r="L202" s="915">
        <v>7443011</v>
      </c>
      <c r="M202" s="1115">
        <v>45205</v>
      </c>
      <c r="N202" s="1115">
        <v>45205</v>
      </c>
      <c r="O202" s="1139">
        <v>45206</v>
      </c>
      <c r="P202" s="4122" t="s">
        <v>2197</v>
      </c>
      <c r="Q202" s="4149" t="s">
        <v>35</v>
      </c>
      <c r="R202" s="58" t="s">
        <v>36</v>
      </c>
      <c r="S202" s="58" t="s">
        <v>67</v>
      </c>
      <c r="T202" s="106">
        <v>650</v>
      </c>
      <c r="U202" s="106">
        <v>550</v>
      </c>
      <c r="W202" s="106">
        <f>AUG_2023[[#This Row],[Sales Amount]]-AUG_2023[[#This Row],[Cost]]</f>
        <v>100</v>
      </c>
      <c r="X202" s="887">
        <f>AUG_2023[[#This Row],[Profit]]/AUG_2023[[#This Row],[Cost]]</f>
        <v>0.18181818181818182</v>
      </c>
    </row>
    <row r="203" spans="1:26">
      <c r="A203" s="4202" t="s">
        <v>1035</v>
      </c>
      <c r="B203" s="4151" t="s">
        <v>2198</v>
      </c>
      <c r="C203" s="7" t="s">
        <v>44</v>
      </c>
      <c r="D203" s="4212">
        <v>45170</v>
      </c>
      <c r="E203" s="143">
        <v>45192</v>
      </c>
      <c r="F203" s="4151" t="s">
        <v>151</v>
      </c>
      <c r="G203" s="4151" t="s">
        <v>302</v>
      </c>
      <c r="H203" s="4155" t="s">
        <v>1038</v>
      </c>
      <c r="I203" s="25"/>
      <c r="J203" s="25" t="s">
        <v>32</v>
      </c>
      <c r="K203" s="25" t="s">
        <v>162</v>
      </c>
      <c r="L203" s="1482" t="s">
        <v>2199</v>
      </c>
      <c r="M203" s="126">
        <v>45194</v>
      </c>
      <c r="P203" s="4152" t="s">
        <v>2200</v>
      </c>
      <c r="Q203" s="106" t="s">
        <v>75</v>
      </c>
      <c r="R203" s="4150" t="s">
        <v>36</v>
      </c>
      <c r="S203" s="106"/>
      <c r="W203" s="106">
        <f>AUG_2023[[#This Row],[Sales Amount]]-AUG_2023[[#This Row],[Cost]]</f>
        <v>0</v>
      </c>
      <c r="X203" s="887" t="e">
        <f>AUG_2023[[#This Row],[Profit]]/AUG_2023[[#This Row],[Cost]]</f>
        <v>#DIV/0!</v>
      </c>
    </row>
    <row r="204" spans="1:26" hidden="1">
      <c r="A204" s="4149" t="s">
        <v>622</v>
      </c>
      <c r="B204" s="915" t="s">
        <v>2201</v>
      </c>
      <c r="C204" s="4149" t="s">
        <v>28</v>
      </c>
      <c r="D204" s="4178">
        <v>45178</v>
      </c>
      <c r="E204" s="1112">
        <v>45193</v>
      </c>
      <c r="F204" s="4149" t="s">
        <v>173</v>
      </c>
      <c r="G204" s="58" t="s">
        <v>46</v>
      </c>
      <c r="H204" s="1537">
        <v>45196</v>
      </c>
      <c r="I204" s="58"/>
      <c r="J204" s="58" t="s">
        <v>32</v>
      </c>
      <c r="K204" s="1478" t="s">
        <v>1445</v>
      </c>
      <c r="L204" s="915" t="s">
        <v>2202</v>
      </c>
      <c r="M204" s="1467">
        <v>45196</v>
      </c>
      <c r="N204" s="1467">
        <v>45196</v>
      </c>
      <c r="O204" s="844">
        <v>45197</v>
      </c>
      <c r="P204" s="4122" t="s">
        <v>2203</v>
      </c>
      <c r="Q204" s="58" t="s">
        <v>35</v>
      </c>
      <c r="R204" s="58" t="s">
        <v>36</v>
      </c>
      <c r="S204" s="58" t="s">
        <v>67</v>
      </c>
      <c r="T204" s="106">
        <v>650</v>
      </c>
      <c r="U204" s="106">
        <v>550</v>
      </c>
      <c r="W204" s="106">
        <f>AUG_2023[[#This Row],[Sales Amount]]-AUG_2023[[#This Row],[Cost]]</f>
        <v>100</v>
      </c>
      <c r="X204" s="887">
        <f>AUG_2023[[#This Row],[Profit]]/AUG_2023[[#This Row],[Cost]]</f>
        <v>0.18181818181818182</v>
      </c>
    </row>
    <row r="205" spans="1:26" hidden="1">
      <c r="A205" s="4151"/>
      <c r="B205" s="4213"/>
      <c r="C205" s="4214"/>
      <c r="D205" s="4215"/>
      <c r="E205" s="3238"/>
      <c r="F205" s="4214"/>
      <c r="G205" s="3239"/>
      <c r="I205" s="3239"/>
      <c r="J205" s="4214"/>
      <c r="K205" s="3240"/>
      <c r="L205" s="3241"/>
      <c r="P205" s="4152"/>
      <c r="Q205" s="4152"/>
      <c r="R205" s="106"/>
      <c r="S205" s="106"/>
      <c r="U205" s="152"/>
      <c r="V205" s="152"/>
      <c r="W205" s="106">
        <f>AUG_2023[[#This Row],[Sales Amount]]-AUG_2023[[#This Row],[Cost]]</f>
        <v>0</v>
      </c>
      <c r="X205" s="887" t="e">
        <f>AUG_2023[[#This Row],[Profit]]/AUG_2023[[#This Row],[Cost]]</f>
        <v>#DIV/0!</v>
      </c>
      <c r="Y205" s="152"/>
      <c r="Z205" s="645"/>
    </row>
    <row r="206" spans="1:26" hidden="1">
      <c r="A206" s="4151"/>
      <c r="B206" s="4151"/>
      <c r="C206" s="4151"/>
      <c r="D206" s="4212"/>
      <c r="E206" s="143"/>
      <c r="F206" s="4151"/>
      <c r="G206" s="4151"/>
      <c r="H206" s="7"/>
      <c r="J206" s="4214"/>
      <c r="K206" s="4151"/>
      <c r="N206" s="7"/>
      <c r="O206" s="7"/>
      <c r="P206" s="4152"/>
      <c r="Q206" s="4152"/>
      <c r="R206" s="106"/>
      <c r="S206" s="106"/>
      <c r="W206" s="106">
        <f>AUG_2023[[#This Row],[Sales Amount]]-AUG_2023[[#This Row],[Cost]]</f>
        <v>0</v>
      </c>
      <c r="X206" s="887" t="e">
        <f>AUG_2023[[#This Row],[Profit]]/AUG_2023[[#This Row],[Cost]]</f>
        <v>#DIV/0!</v>
      </c>
    </row>
    <row r="207" spans="1:26" hidden="1">
      <c r="A207" s="4213"/>
      <c r="B207" s="4213"/>
      <c r="C207" s="4213"/>
      <c r="D207" s="4216"/>
      <c r="E207" s="3242"/>
      <c r="F207" s="4213"/>
      <c r="G207" s="3241"/>
      <c r="H207" s="3243"/>
      <c r="I207" s="3241"/>
      <c r="J207" s="4213"/>
      <c r="K207" s="4213"/>
      <c r="L207" s="3241"/>
      <c r="M207" s="3243"/>
      <c r="N207" s="3243"/>
      <c r="O207" s="3243"/>
      <c r="P207" s="4217"/>
      <c r="Q207" s="4217"/>
      <c r="R207" s="3075"/>
      <c r="S207" s="106"/>
      <c r="W207" s="106">
        <f>AUG_2023[[#This Row],[Sales Amount]]-AUG_2023[[#This Row],[Cost]]</f>
        <v>0</v>
      </c>
      <c r="X207" s="887" t="e">
        <f>AUG_2023[[#This Row],[Profit]]/AUG_2023[[#This Row],[Cost]]</f>
        <v>#DIV/0!</v>
      </c>
    </row>
  </sheetData>
  <conditionalFormatting sqref="B1">
    <cfRule type="duplicateValues" dxfId="479" priority="1"/>
  </conditionalFormatting>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F26C1-881B-4FF1-BEAC-0E3ECB5F88C5}">
  <dimension ref="A1:AF157"/>
  <sheetViews>
    <sheetView zoomScaleNormal="100" workbookViewId="0">
      <pane xSplit="7" ySplit="1" topLeftCell="H81" activePane="bottomRight" state="frozen"/>
      <selection pane="bottomRight" activeCell="G84" sqref="G84"/>
      <selection pane="bottomLeft"/>
      <selection pane="topRight"/>
    </sheetView>
  </sheetViews>
  <sheetFormatPr defaultColWidth="9.125" defaultRowHeight="15"/>
  <cols>
    <col min="1" max="1" width="20.25" style="7" customWidth="1"/>
    <col min="2" max="2" width="17" style="7" customWidth="1"/>
    <col min="3" max="3" width="10.875" style="106" customWidth="1"/>
    <col min="4" max="4" width="10.875" style="144" customWidth="1"/>
    <col min="5" max="5" width="9.125" style="126" customWidth="1"/>
    <col min="6" max="6" width="11.25" style="106" customWidth="1"/>
    <col min="7" max="7" width="24.25" style="7" customWidth="1"/>
    <col min="8" max="8" width="24.875" style="7" customWidth="1"/>
    <col min="9" max="9" width="21.25" style="7" customWidth="1"/>
    <col min="10" max="10" width="14.125" style="7" customWidth="1"/>
    <col min="11" max="11" width="31.25" style="106" customWidth="1"/>
    <col min="12" max="12" width="26.25" style="106" customWidth="1"/>
    <col min="13" max="14" width="13.25" style="144" customWidth="1"/>
    <col min="15" max="15" width="12.875" style="106" customWidth="1"/>
    <col min="16" max="16" width="52.25" style="106" customWidth="1"/>
    <col min="17" max="17" width="9.125" style="7"/>
    <col min="18" max="18" width="20.25" style="7" bestFit="1" customWidth="1"/>
    <col min="19" max="19" width="10.25" style="7" customWidth="1"/>
    <col min="20" max="20" width="15.25" style="7" customWidth="1"/>
    <col min="21" max="21" width="9.875" style="106" bestFit="1" customWidth="1"/>
    <col min="22" max="22" width="16.25" style="106" customWidth="1"/>
    <col min="23" max="23" width="9.125" style="106"/>
    <col min="24" max="24" width="13.125" style="106" customWidth="1"/>
    <col min="25" max="25" width="9.125" style="106"/>
    <col min="26" max="26" width="11.875" style="106" customWidth="1"/>
    <col min="27" max="16384" width="9.125" style="106"/>
  </cols>
  <sheetData>
    <row r="1" spans="1:26" customFormat="1" ht="13.9" customHeight="1">
      <c r="A1" s="1540" t="s">
        <v>0</v>
      </c>
      <c r="B1" s="1540" t="s">
        <v>1</v>
      </c>
      <c r="C1" s="1540" t="s">
        <v>2</v>
      </c>
      <c r="D1" s="1540" t="s">
        <v>3</v>
      </c>
      <c r="E1" s="1541" t="s">
        <v>4</v>
      </c>
      <c r="F1" s="1540" t="s">
        <v>5</v>
      </c>
      <c r="G1" s="1540" t="s">
        <v>6</v>
      </c>
      <c r="H1" s="1540" t="s">
        <v>7</v>
      </c>
      <c r="I1" s="1540" t="s">
        <v>8</v>
      </c>
      <c r="J1" s="1540" t="s">
        <v>9</v>
      </c>
      <c r="K1" s="1542" t="s">
        <v>10</v>
      </c>
      <c r="L1" s="1543" t="s">
        <v>11</v>
      </c>
      <c r="M1" s="1541" t="s">
        <v>12</v>
      </c>
      <c r="N1" s="1540" t="s">
        <v>13</v>
      </c>
      <c r="O1" s="1540" t="s">
        <v>14</v>
      </c>
      <c r="P1" s="1567" t="s">
        <v>15</v>
      </c>
      <c r="Q1" s="1544" t="s">
        <v>16</v>
      </c>
      <c r="R1" s="1544" t="s">
        <v>17</v>
      </c>
      <c r="S1" s="1544" t="s">
        <v>18</v>
      </c>
      <c r="T1" s="1545" t="s">
        <v>19</v>
      </c>
      <c r="U1" s="1544" t="s">
        <v>20</v>
      </c>
      <c r="V1" s="1544" t="s">
        <v>21</v>
      </c>
      <c r="W1" s="1544" t="s">
        <v>22</v>
      </c>
      <c r="X1" s="1546" t="s">
        <v>23</v>
      </c>
      <c r="Y1" s="1546" t="s">
        <v>24</v>
      </c>
      <c r="Z1" s="1546" t="s">
        <v>25</v>
      </c>
    </row>
    <row r="2" spans="1:26" customFormat="1">
      <c r="A2" s="4839" t="s">
        <v>2204</v>
      </c>
      <c r="B2" s="4839" t="s">
        <v>2205</v>
      </c>
      <c r="C2" s="4839" t="s">
        <v>44</v>
      </c>
      <c r="D2" s="4859">
        <v>45166</v>
      </c>
      <c r="E2" s="4860">
        <v>45181</v>
      </c>
      <c r="F2" s="4839" t="s">
        <v>1671</v>
      </c>
      <c r="G2" s="4839" t="s">
        <v>2206</v>
      </c>
      <c r="H2" s="4839"/>
      <c r="I2" s="4861"/>
      <c r="J2" s="4861" t="s">
        <v>168</v>
      </c>
      <c r="K2" s="4861" t="s">
        <v>310</v>
      </c>
      <c r="L2" s="4862">
        <v>6033619</v>
      </c>
      <c r="M2" s="4859">
        <v>45183</v>
      </c>
      <c r="N2" s="4859">
        <v>45183</v>
      </c>
      <c r="O2" s="4863">
        <v>45187</v>
      </c>
      <c r="P2" s="4864" t="s">
        <v>2207</v>
      </c>
      <c r="Q2" s="4861" t="s">
        <v>50</v>
      </c>
      <c r="R2" s="4861" t="s">
        <v>51</v>
      </c>
      <c r="S2" s="4861"/>
      <c r="T2" s="4861"/>
      <c r="U2" s="4861"/>
      <c r="V2" s="4861"/>
      <c r="W2" s="4861">
        <f>SEP_2023[[#This Row],[Sales Amount]]-SEP_2023[[#This Row],[Cost]]</f>
        <v>0</v>
      </c>
      <c r="X2" s="4865" t="e">
        <f>SEP_2023[[#This Row],[Profit]]/SEP_2023[[#This Row],[Cost]]</f>
        <v>#DIV/0!</v>
      </c>
      <c r="Y2" s="4861"/>
      <c r="Z2" s="4861"/>
    </row>
    <row r="3" spans="1:26" customFormat="1">
      <c r="A3" s="4839" t="s">
        <v>26</v>
      </c>
      <c r="B3" s="4866" t="s">
        <v>2208</v>
      </c>
      <c r="C3" s="4839" t="s">
        <v>200</v>
      </c>
      <c r="D3" s="4859">
        <v>45187</v>
      </c>
      <c r="E3" s="4867">
        <v>45197</v>
      </c>
      <c r="F3" s="4839" t="s">
        <v>167</v>
      </c>
      <c r="G3" s="4868" t="s">
        <v>2209</v>
      </c>
      <c r="H3" s="4855">
        <v>45198</v>
      </c>
      <c r="I3" s="4869" t="s">
        <v>108</v>
      </c>
      <c r="J3" s="4870" t="s">
        <v>32</v>
      </c>
      <c r="K3" s="4839" t="s">
        <v>1834</v>
      </c>
      <c r="L3" s="4841" t="s">
        <v>2210</v>
      </c>
      <c r="M3" s="4855">
        <v>45198</v>
      </c>
      <c r="N3" s="4855">
        <v>45198</v>
      </c>
      <c r="O3" s="4855">
        <v>45198</v>
      </c>
      <c r="P3" s="4871" t="s">
        <v>2211</v>
      </c>
      <c r="Q3" s="4870" t="s">
        <v>35</v>
      </c>
      <c r="R3" s="4839" t="s">
        <v>36</v>
      </c>
      <c r="S3" s="4839" t="s">
        <v>37</v>
      </c>
      <c r="T3" s="4872">
        <v>1860</v>
      </c>
      <c r="U3" s="4873">
        <v>1512</v>
      </c>
      <c r="V3" s="4873">
        <v>2</v>
      </c>
      <c r="W3" s="4874">
        <f>SEP_2023[[#This Row],[Sales Amount]]-SEP_2023[[#This Row],[Cost]]</f>
        <v>348</v>
      </c>
      <c r="X3" s="4875">
        <f>SEP_2023[[#This Row],[Profit]]/SEP_2023[[#This Row],[Cost]]</f>
        <v>0.23015873015873015</v>
      </c>
      <c r="Y3" s="4874"/>
      <c r="Z3" s="4874"/>
    </row>
    <row r="4" spans="1:26" customFormat="1">
      <c r="A4" s="4839" t="s">
        <v>26</v>
      </c>
      <c r="B4" s="4866" t="s">
        <v>2212</v>
      </c>
      <c r="C4" s="4839" t="s">
        <v>200</v>
      </c>
      <c r="D4" s="4859">
        <v>45187</v>
      </c>
      <c r="E4" s="4867">
        <v>45197</v>
      </c>
      <c r="F4" s="4839" t="s">
        <v>167</v>
      </c>
      <c r="G4" s="4839" t="s">
        <v>46</v>
      </c>
      <c r="H4" s="4855">
        <v>45198</v>
      </c>
      <c r="I4" s="4869" t="s">
        <v>2213</v>
      </c>
      <c r="J4" s="4870" t="s">
        <v>32</v>
      </c>
      <c r="K4" s="4839" t="s">
        <v>1834</v>
      </c>
      <c r="L4" s="4841" t="s">
        <v>2214</v>
      </c>
      <c r="M4" s="4855">
        <v>45199</v>
      </c>
      <c r="N4" s="4855">
        <v>45198</v>
      </c>
      <c r="O4" s="4876">
        <v>45198</v>
      </c>
      <c r="P4" s="4871" t="s">
        <v>2211</v>
      </c>
      <c r="Q4" s="4870" t="s">
        <v>35</v>
      </c>
      <c r="R4" s="4839" t="s">
        <v>36</v>
      </c>
      <c r="S4" s="4839" t="s">
        <v>37</v>
      </c>
      <c r="T4" s="4872">
        <v>1860</v>
      </c>
      <c r="U4" s="4873">
        <v>1512</v>
      </c>
      <c r="V4" s="4873">
        <v>2</v>
      </c>
      <c r="W4" s="4874">
        <f>SEP_2023[[#This Row],[Sales Amount]]-SEP_2023[[#This Row],[Cost]]</f>
        <v>348</v>
      </c>
      <c r="X4" s="4875">
        <f>SEP_2023[[#This Row],[Profit]]/SEP_2023[[#This Row],[Cost]]</f>
        <v>0.23015873015873015</v>
      </c>
      <c r="Y4" s="4874"/>
      <c r="Z4" s="4874"/>
    </row>
    <row r="5" spans="1:26" s="1569" customFormat="1">
      <c r="A5" s="4870" t="s">
        <v>198</v>
      </c>
      <c r="B5" s="4839" t="s">
        <v>2215</v>
      </c>
      <c r="C5" s="4870" t="s">
        <v>200</v>
      </c>
      <c r="D5" s="4877">
        <v>45177</v>
      </c>
      <c r="E5" s="4878">
        <v>45183</v>
      </c>
      <c r="F5" s="4870" t="s">
        <v>167</v>
      </c>
      <c r="G5" s="4161" t="s">
        <v>46</v>
      </c>
      <c r="H5" s="4879">
        <v>45187</v>
      </c>
      <c r="I5" s="4869" t="s">
        <v>40</v>
      </c>
      <c r="J5" s="4880" t="s">
        <v>32</v>
      </c>
      <c r="K5" s="4839" t="s">
        <v>2216</v>
      </c>
      <c r="L5" s="4869" t="s">
        <v>2217</v>
      </c>
      <c r="M5" s="4881">
        <v>45186</v>
      </c>
      <c r="N5" s="4879">
        <v>45185</v>
      </c>
      <c r="O5" s="4881">
        <v>45187</v>
      </c>
      <c r="P5" s="4871" t="s">
        <v>2218</v>
      </c>
      <c r="Q5" s="4870" t="s">
        <v>35</v>
      </c>
      <c r="R5" s="4839" t="s">
        <v>36</v>
      </c>
      <c r="S5" s="4839" t="s">
        <v>37</v>
      </c>
      <c r="T5" s="4873">
        <v>2310</v>
      </c>
      <c r="U5" s="4872">
        <v>1888</v>
      </c>
      <c r="V5" s="4873">
        <v>2</v>
      </c>
      <c r="W5" s="4874">
        <f>SEP_2023[[#This Row],[Sales Amount]]-SEP_2023[[#This Row],[Cost]]</f>
        <v>422</v>
      </c>
      <c r="X5" s="4875">
        <f>SEP_2023[[#This Row],[Profit]]/SEP_2023[[#This Row],[Cost]]</f>
        <v>0.22351694915254236</v>
      </c>
      <c r="Y5" s="4874"/>
      <c r="Z5" s="4874"/>
    </row>
    <row r="6" spans="1:26" s="26" customFormat="1">
      <c r="A6" s="4870" t="s">
        <v>198</v>
      </c>
      <c r="B6" s="4839" t="s">
        <v>2219</v>
      </c>
      <c r="C6" s="4870" t="s">
        <v>200</v>
      </c>
      <c r="D6" s="4877">
        <v>45177</v>
      </c>
      <c r="E6" s="4878">
        <v>45183</v>
      </c>
      <c r="F6" s="4870" t="s">
        <v>167</v>
      </c>
      <c r="G6" s="4870" t="s">
        <v>46</v>
      </c>
      <c r="H6" s="4879">
        <v>45187</v>
      </c>
      <c r="I6" s="4869" t="s">
        <v>115</v>
      </c>
      <c r="J6" s="4870" t="s">
        <v>32</v>
      </c>
      <c r="K6" s="4839" t="s">
        <v>2216</v>
      </c>
      <c r="L6" s="4869" t="s">
        <v>2220</v>
      </c>
      <c r="M6" s="4879">
        <v>45186</v>
      </c>
      <c r="N6" s="4879">
        <v>45185</v>
      </c>
      <c r="O6" s="4881">
        <v>45187</v>
      </c>
      <c r="P6" s="4871" t="s">
        <v>2218</v>
      </c>
      <c r="Q6" s="4870" t="s">
        <v>35</v>
      </c>
      <c r="R6" s="4839" t="s">
        <v>36</v>
      </c>
      <c r="S6" s="4839" t="s">
        <v>37</v>
      </c>
      <c r="T6" s="4873">
        <v>2310</v>
      </c>
      <c r="U6" s="4872">
        <v>1888</v>
      </c>
      <c r="V6" s="4873">
        <v>2</v>
      </c>
      <c r="W6" s="4874">
        <f>SEP_2023[[#This Row],[Sales Amount]]-SEP_2023[[#This Row],[Cost]]</f>
        <v>422</v>
      </c>
      <c r="X6" s="4875">
        <f>SEP_2023[[#This Row],[Profit]]/SEP_2023[[#This Row],[Cost]]</f>
        <v>0.22351694915254236</v>
      </c>
      <c r="Y6" s="4874"/>
      <c r="Z6" s="4874"/>
    </row>
    <row r="7" spans="1:26" customFormat="1">
      <c r="A7" s="4839" t="s">
        <v>198</v>
      </c>
      <c r="B7" s="4839" t="s">
        <v>2221</v>
      </c>
      <c r="C7" s="4839" t="s">
        <v>200</v>
      </c>
      <c r="D7" s="4859">
        <v>45185</v>
      </c>
      <c r="E7" s="4867">
        <v>45202</v>
      </c>
      <c r="F7" s="4839" t="s">
        <v>285</v>
      </c>
      <c r="G7" s="4839" t="s">
        <v>46</v>
      </c>
      <c r="H7" s="4879">
        <v>45203</v>
      </c>
      <c r="I7" s="4869" t="s">
        <v>178</v>
      </c>
      <c r="J7" s="4870" t="s">
        <v>32</v>
      </c>
      <c r="K7" s="4839" t="s">
        <v>954</v>
      </c>
      <c r="L7" s="915" t="s">
        <v>2222</v>
      </c>
      <c r="M7" s="4855">
        <v>45204</v>
      </c>
      <c r="N7" s="4881">
        <v>45202</v>
      </c>
      <c r="O7" s="4877">
        <v>45203</v>
      </c>
      <c r="P7" s="4882" t="s">
        <v>2223</v>
      </c>
      <c r="Q7" s="4870" t="s">
        <v>35</v>
      </c>
      <c r="R7" s="4870" t="s">
        <v>36</v>
      </c>
      <c r="S7" s="4839" t="s">
        <v>37</v>
      </c>
      <c r="T7" s="4872">
        <v>2660</v>
      </c>
      <c r="U7" s="4872">
        <v>2152</v>
      </c>
      <c r="V7" s="4873">
        <v>2</v>
      </c>
      <c r="W7" s="4874">
        <f>SEP_2023[[#This Row],[Sales Amount]]-SEP_2023[[#This Row],[Cost]]</f>
        <v>508</v>
      </c>
      <c r="X7" s="4875">
        <f>SEP_2023[[#This Row],[Profit]]/SEP_2023[[#This Row],[Cost]]</f>
        <v>0.23605947955390336</v>
      </c>
      <c r="Y7" s="4874"/>
      <c r="Z7" s="4874"/>
    </row>
    <row r="8" spans="1:26" s="650" customFormat="1" ht="45">
      <c r="A8" s="4834" t="s">
        <v>313</v>
      </c>
      <c r="B8" s="4883" t="s">
        <v>2224</v>
      </c>
      <c r="C8" s="4864" t="s">
        <v>44</v>
      </c>
      <c r="D8" s="4884">
        <v>45172</v>
      </c>
      <c r="E8" s="4885">
        <v>45190</v>
      </c>
      <c r="F8" s="4864" t="s">
        <v>2225</v>
      </c>
      <c r="G8" s="4864" t="s">
        <v>57</v>
      </c>
      <c r="H8" s="4884">
        <v>45205</v>
      </c>
      <c r="I8" s="4864"/>
      <c r="J8" s="4886" t="s">
        <v>32</v>
      </c>
      <c r="K8" s="4864" t="s">
        <v>2226</v>
      </c>
      <c r="L8" s="4887" t="s">
        <v>2227</v>
      </c>
      <c r="M8" s="4888">
        <v>45192</v>
      </c>
      <c r="N8" s="4889">
        <v>45191</v>
      </c>
      <c r="O8" s="4889">
        <v>45194</v>
      </c>
      <c r="P8" s="4890" t="s">
        <v>2228</v>
      </c>
      <c r="Q8" s="4861" t="s">
        <v>75</v>
      </c>
      <c r="R8" s="4861" t="s">
        <v>51</v>
      </c>
      <c r="S8" s="4861"/>
      <c r="T8" s="4861"/>
      <c r="U8" s="4861"/>
      <c r="V8" s="4861"/>
      <c r="W8" s="4861">
        <f>SEP_2023[[#This Row],[Sales Amount]]-SEP_2023[[#This Row],[Cost]]</f>
        <v>0</v>
      </c>
      <c r="X8" s="4865" t="e">
        <f>SEP_2023[[#This Row],[Profit]]/SEP_2023[[#This Row],[Cost]]</f>
        <v>#DIV/0!</v>
      </c>
      <c r="Y8" s="4861"/>
      <c r="Z8" s="4861"/>
    </row>
    <row r="9" spans="1:26" customFormat="1" ht="30">
      <c r="A9" s="4839" t="s">
        <v>26</v>
      </c>
      <c r="B9" s="4839" t="s">
        <v>2229</v>
      </c>
      <c r="C9" s="4839" t="s">
        <v>28</v>
      </c>
      <c r="D9" s="4859">
        <v>45162</v>
      </c>
      <c r="E9" s="4867">
        <v>45170</v>
      </c>
      <c r="F9" s="4839" t="s">
        <v>245</v>
      </c>
      <c r="G9" s="4839" t="s">
        <v>57</v>
      </c>
      <c r="H9" s="4879">
        <v>45175</v>
      </c>
      <c r="I9" s="4869" t="s">
        <v>108</v>
      </c>
      <c r="J9" s="4839" t="s">
        <v>32</v>
      </c>
      <c r="K9" s="4839" t="s">
        <v>1686</v>
      </c>
      <c r="L9" s="4841">
        <v>5867056</v>
      </c>
      <c r="M9" s="4876">
        <v>45172</v>
      </c>
      <c r="N9" s="4876">
        <v>45171</v>
      </c>
      <c r="O9" s="4881">
        <v>45177</v>
      </c>
      <c r="P9" s="4891" t="s">
        <v>2230</v>
      </c>
      <c r="Q9" s="4839" t="s">
        <v>35</v>
      </c>
      <c r="R9" s="4839" t="s">
        <v>36</v>
      </c>
      <c r="S9" s="4839" t="s">
        <v>37</v>
      </c>
      <c r="T9" s="4892">
        <v>3765</v>
      </c>
      <c r="U9" s="4872">
        <v>3226</v>
      </c>
      <c r="V9" s="4892">
        <v>3</v>
      </c>
      <c r="W9" s="4874">
        <f>SEP_2023[[#This Row],[Sales Amount]]-SEP_2023[[#This Row],[Cost]]</f>
        <v>539</v>
      </c>
      <c r="X9" s="4875">
        <f>SEP_2023[[#This Row],[Profit]]/SEP_2023[[#This Row],[Cost]]</f>
        <v>0.1670799752014879</v>
      </c>
      <c r="Y9" s="4874"/>
      <c r="Z9" s="4874"/>
    </row>
    <row r="10" spans="1:26" s="52" customFormat="1" ht="30">
      <c r="A10" s="4839" t="s">
        <v>26</v>
      </c>
      <c r="B10" s="18" t="s">
        <v>2231</v>
      </c>
      <c r="C10" s="4839" t="s">
        <v>28</v>
      </c>
      <c r="D10" s="4859">
        <v>45162</v>
      </c>
      <c r="E10" s="4867">
        <v>45170</v>
      </c>
      <c r="F10" s="4839" t="s">
        <v>245</v>
      </c>
      <c r="G10" s="4839" t="s">
        <v>57</v>
      </c>
      <c r="H10" s="4879">
        <v>45174</v>
      </c>
      <c r="I10" s="4869" t="s">
        <v>108</v>
      </c>
      <c r="J10" s="4839" t="s">
        <v>32</v>
      </c>
      <c r="K10" s="4839" t="s">
        <v>1686</v>
      </c>
      <c r="L10" s="4841">
        <v>5867055</v>
      </c>
      <c r="M10" s="4855">
        <v>45172</v>
      </c>
      <c r="N10" s="4876">
        <v>45171</v>
      </c>
      <c r="O10" s="4879">
        <v>45176</v>
      </c>
      <c r="P10" s="4891" t="s">
        <v>2230</v>
      </c>
      <c r="Q10" s="4839" t="s">
        <v>35</v>
      </c>
      <c r="R10" s="4839" t="s">
        <v>36</v>
      </c>
      <c r="S10" s="4839" t="s">
        <v>37</v>
      </c>
      <c r="T10" s="4892">
        <v>3765</v>
      </c>
      <c r="U10" s="4872">
        <v>3226</v>
      </c>
      <c r="V10" s="4892">
        <v>3</v>
      </c>
      <c r="W10" s="4874">
        <f>SEP_2023[[#This Row],[Sales Amount]]-SEP_2023[[#This Row],[Cost]]</f>
        <v>539</v>
      </c>
      <c r="X10" s="4875">
        <f>SEP_2023[[#This Row],[Profit]]/SEP_2023[[#This Row],[Cost]]</f>
        <v>0.1670799752014879</v>
      </c>
      <c r="Y10" s="4874"/>
      <c r="Z10" s="4874"/>
    </row>
    <row r="11" spans="1:26" customFormat="1" ht="30">
      <c r="A11" s="4839" t="s">
        <v>26</v>
      </c>
      <c r="B11" s="4839" t="s">
        <v>2232</v>
      </c>
      <c r="C11" s="4839" t="s">
        <v>28</v>
      </c>
      <c r="D11" s="4859">
        <v>45162</v>
      </c>
      <c r="E11" s="4867">
        <v>45172</v>
      </c>
      <c r="F11" s="4839" t="s">
        <v>245</v>
      </c>
      <c r="G11" s="4839" t="s">
        <v>57</v>
      </c>
      <c r="H11" s="4879">
        <v>45175</v>
      </c>
      <c r="I11" s="4869" t="s">
        <v>115</v>
      </c>
      <c r="J11" s="4839" t="s">
        <v>32</v>
      </c>
      <c r="K11" s="4839" t="s">
        <v>1686</v>
      </c>
      <c r="L11" s="4841">
        <v>5867044</v>
      </c>
      <c r="M11" s="4855">
        <v>45174</v>
      </c>
      <c r="N11" s="4876">
        <v>45174</v>
      </c>
      <c r="O11" s="4879">
        <v>45177</v>
      </c>
      <c r="P11" s="4891" t="s">
        <v>2230</v>
      </c>
      <c r="Q11" s="4839" t="s">
        <v>35</v>
      </c>
      <c r="R11" s="4839" t="s">
        <v>36</v>
      </c>
      <c r="S11" s="4839" t="s">
        <v>37</v>
      </c>
      <c r="T11" s="4892">
        <v>3765</v>
      </c>
      <c r="U11" s="4872">
        <v>3226</v>
      </c>
      <c r="V11" s="4892">
        <v>3</v>
      </c>
      <c r="W11" s="4874">
        <f>SEP_2023[[#This Row],[Sales Amount]]-SEP_2023[[#This Row],[Cost]]</f>
        <v>539</v>
      </c>
      <c r="X11" s="4875">
        <f>SEP_2023[[#This Row],[Profit]]/SEP_2023[[#This Row],[Cost]]</f>
        <v>0.1670799752014879</v>
      </c>
      <c r="Y11" s="4874"/>
      <c r="Z11" s="4874"/>
    </row>
    <row r="12" spans="1:26" customFormat="1">
      <c r="A12" s="4839" t="s">
        <v>26</v>
      </c>
      <c r="B12" s="4870" t="s">
        <v>2233</v>
      </c>
      <c r="C12" s="4870" t="s">
        <v>44</v>
      </c>
      <c r="D12" s="4877">
        <v>45173</v>
      </c>
      <c r="E12" s="4878">
        <v>45182</v>
      </c>
      <c r="F12" s="4870" t="s">
        <v>63</v>
      </c>
      <c r="G12" s="4880" t="s">
        <v>152</v>
      </c>
      <c r="H12" s="4879">
        <v>45184</v>
      </c>
      <c r="I12" s="4869" t="s">
        <v>2234</v>
      </c>
      <c r="J12" s="4870" t="s">
        <v>32</v>
      </c>
      <c r="K12" s="4839" t="s">
        <v>2235</v>
      </c>
      <c r="L12" s="4869">
        <v>7069</v>
      </c>
      <c r="M12" s="4879">
        <v>45184</v>
      </c>
      <c r="N12" s="4879">
        <v>45184</v>
      </c>
      <c r="O12" s="4879">
        <v>45184</v>
      </c>
      <c r="P12" s="4893" t="s">
        <v>2236</v>
      </c>
      <c r="Q12" s="4839" t="s">
        <v>35</v>
      </c>
      <c r="R12" s="4839" t="s">
        <v>36</v>
      </c>
      <c r="S12" s="4839" t="s">
        <v>37</v>
      </c>
      <c r="T12" s="4892">
        <v>1280</v>
      </c>
      <c r="U12" s="4872">
        <v>976</v>
      </c>
      <c r="V12" s="4892"/>
      <c r="W12" s="4874">
        <f>SEP_2023[[#This Row],[Sales Amount]]-SEP_2023[[#This Row],[Cost]]</f>
        <v>304</v>
      </c>
      <c r="X12" s="4875">
        <f>SEP_2023[[#This Row],[Profit]]/SEP_2023[[#This Row],[Cost]]</f>
        <v>0.31147540983606559</v>
      </c>
      <c r="Y12" s="4874"/>
      <c r="Z12" s="4874"/>
    </row>
    <row r="13" spans="1:26" s="26" customFormat="1">
      <c r="A13" s="4839" t="s">
        <v>198</v>
      </c>
      <c r="B13" s="4839" t="s">
        <v>2237</v>
      </c>
      <c r="C13" s="4839" t="s">
        <v>28</v>
      </c>
      <c r="D13" s="4859">
        <v>45185</v>
      </c>
      <c r="E13" s="4867">
        <v>45194</v>
      </c>
      <c r="F13" s="4839" t="s">
        <v>285</v>
      </c>
      <c r="G13" s="4839" t="s">
        <v>46</v>
      </c>
      <c r="H13" s="4859">
        <v>45196</v>
      </c>
      <c r="I13" s="4870"/>
      <c r="J13" s="4870" t="s">
        <v>32</v>
      </c>
      <c r="K13" s="4870" t="s">
        <v>954</v>
      </c>
      <c r="L13" s="4841" t="s">
        <v>2238</v>
      </c>
      <c r="M13" s="4855">
        <v>45197</v>
      </c>
      <c r="N13" s="4859">
        <v>45196</v>
      </c>
      <c r="O13" s="4859">
        <v>45196</v>
      </c>
      <c r="P13" s="4843" t="s">
        <v>2223</v>
      </c>
      <c r="Q13" s="4870" t="s">
        <v>35</v>
      </c>
      <c r="R13" s="4870" t="s">
        <v>36</v>
      </c>
      <c r="S13" s="4839" t="s">
        <v>37</v>
      </c>
      <c r="T13" s="4872">
        <v>2660</v>
      </c>
      <c r="U13" s="4872">
        <v>2152</v>
      </c>
      <c r="V13" s="4873">
        <v>2</v>
      </c>
      <c r="W13" s="4874">
        <f>SEP_2023[[#This Row],[Sales Amount]]-SEP_2023[[#This Row],[Cost]]</f>
        <v>508</v>
      </c>
      <c r="X13" s="4875">
        <f>SEP_2023[[#This Row],[Profit]]/SEP_2023[[#This Row],[Cost]]</f>
        <v>0.23605947955390336</v>
      </c>
      <c r="Y13" s="4874"/>
      <c r="Z13" s="4874"/>
    </row>
    <row r="14" spans="1:26" s="26" customFormat="1">
      <c r="A14" s="4839" t="s">
        <v>1431</v>
      </c>
      <c r="B14" s="4839" t="s">
        <v>2239</v>
      </c>
      <c r="C14" s="4839" t="s">
        <v>28</v>
      </c>
      <c r="D14" s="4859">
        <v>45180</v>
      </c>
      <c r="E14" s="4867">
        <v>45190</v>
      </c>
      <c r="F14" s="4839" t="s">
        <v>285</v>
      </c>
      <c r="G14" s="4839" t="s">
        <v>46</v>
      </c>
      <c r="H14" s="4839"/>
      <c r="I14" s="4839"/>
      <c r="J14" s="4839" t="s">
        <v>32</v>
      </c>
      <c r="K14" s="4839" t="s">
        <v>2240</v>
      </c>
      <c r="L14" s="4841" t="s">
        <v>2241</v>
      </c>
      <c r="M14" s="4855">
        <v>45192</v>
      </c>
      <c r="N14" s="4855">
        <v>45190</v>
      </c>
      <c r="O14" s="4859">
        <v>45194</v>
      </c>
      <c r="P14" s="4882" t="s">
        <v>2242</v>
      </c>
      <c r="Q14" s="4870" t="s">
        <v>35</v>
      </c>
      <c r="R14" s="4841" t="s">
        <v>36</v>
      </c>
      <c r="S14" s="4839" t="s">
        <v>101</v>
      </c>
      <c r="T14" s="4872">
        <v>780</v>
      </c>
      <c r="U14" s="4872">
        <v>640</v>
      </c>
      <c r="V14" s="4873"/>
      <c r="W14" s="4874">
        <f>SEP_2023[[#This Row],[Sales Amount]]-SEP_2023[[#This Row],[Cost]]</f>
        <v>140</v>
      </c>
      <c r="X14" s="4875">
        <f>SEP_2023[[#This Row],[Profit]]/SEP_2023[[#This Row],[Cost]]</f>
        <v>0.21875</v>
      </c>
      <c r="Y14" s="4874"/>
      <c r="Z14" s="4874"/>
    </row>
    <row r="15" spans="1:26" s="26" customFormat="1">
      <c r="A15" s="4894" t="s">
        <v>1431</v>
      </c>
      <c r="B15" s="4839" t="s">
        <v>2243</v>
      </c>
      <c r="C15" s="4839" t="s">
        <v>28</v>
      </c>
      <c r="D15" s="4859">
        <v>45193</v>
      </c>
      <c r="E15" s="4867">
        <v>45203</v>
      </c>
      <c r="F15" s="4839" t="s">
        <v>285</v>
      </c>
      <c r="G15" s="4839" t="s">
        <v>46</v>
      </c>
      <c r="H15" s="4876">
        <v>45205</v>
      </c>
      <c r="I15" s="4841" t="s">
        <v>40</v>
      </c>
      <c r="J15" s="4870" t="s">
        <v>32</v>
      </c>
      <c r="K15" s="4839" t="s">
        <v>1433</v>
      </c>
      <c r="L15" s="4841" t="s">
        <v>2244</v>
      </c>
      <c r="M15" s="4855">
        <v>45206</v>
      </c>
      <c r="N15" s="4877">
        <v>45204</v>
      </c>
      <c r="O15" s="4876">
        <v>45205</v>
      </c>
      <c r="P15" s="4861" t="s">
        <v>2245</v>
      </c>
      <c r="Q15" s="4870" t="s">
        <v>35</v>
      </c>
      <c r="R15" s="4870" t="s">
        <v>36</v>
      </c>
      <c r="S15" s="4839" t="s">
        <v>37</v>
      </c>
      <c r="T15" s="4895">
        <v>1438.5</v>
      </c>
      <c r="U15" s="4874">
        <v>1296</v>
      </c>
      <c r="V15" s="4874"/>
      <c r="W15" s="4874">
        <f>SEP_2023[[#This Row],[Sales Amount]]-SEP_2023[[#This Row],[Cost]]</f>
        <v>142.5</v>
      </c>
      <c r="X15" s="4875">
        <f>SEP_2023[[#This Row],[Profit]]/SEP_2023[[#This Row],[Cost]]</f>
        <v>0.10995370370370371</v>
      </c>
      <c r="Y15" s="4874"/>
      <c r="Z15" s="4874"/>
    </row>
    <row r="16" spans="1:26" s="26" customFormat="1">
      <c r="A16" s="4870" t="s">
        <v>171</v>
      </c>
      <c r="B16" s="4870" t="s">
        <v>2246</v>
      </c>
      <c r="C16" s="4870" t="s">
        <v>451</v>
      </c>
      <c r="D16" s="4877">
        <v>45175</v>
      </c>
      <c r="E16" s="4878">
        <v>45190</v>
      </c>
      <c r="F16" s="4870" t="s">
        <v>56</v>
      </c>
      <c r="G16" s="4870" t="s">
        <v>46</v>
      </c>
      <c r="H16" s="4877">
        <v>45191</v>
      </c>
      <c r="I16" s="4870"/>
      <c r="J16" s="4880" t="s">
        <v>32</v>
      </c>
      <c r="K16" s="4870" t="s">
        <v>2247</v>
      </c>
      <c r="L16" s="4869">
        <v>158469</v>
      </c>
      <c r="M16" s="4879">
        <v>45192</v>
      </c>
      <c r="N16" s="4879">
        <v>45191</v>
      </c>
      <c r="O16" s="4879">
        <v>45192</v>
      </c>
      <c r="P16" s="4871" t="s">
        <v>2248</v>
      </c>
      <c r="Q16" s="4870" t="s">
        <v>35</v>
      </c>
      <c r="R16" s="4839" t="s">
        <v>36</v>
      </c>
      <c r="S16" s="4839" t="s">
        <v>37</v>
      </c>
      <c r="T16" s="4873">
        <v>965</v>
      </c>
      <c r="U16" s="4872">
        <v>776</v>
      </c>
      <c r="V16" s="4873"/>
      <c r="W16" s="4874">
        <f>SEP_2023[[#This Row],[Sales Amount]]-SEP_2023[[#This Row],[Cost]]</f>
        <v>189</v>
      </c>
      <c r="X16" s="4875">
        <f>SEP_2023[[#This Row],[Profit]]/SEP_2023[[#This Row],[Cost]]</f>
        <v>0.24355670103092783</v>
      </c>
      <c r="Y16" s="4874"/>
      <c r="Z16" s="4874"/>
    </row>
    <row r="17" spans="1:26" customFormat="1">
      <c r="A17" s="4839" t="s">
        <v>171</v>
      </c>
      <c r="B17" s="4896" t="s">
        <v>2249</v>
      </c>
      <c r="C17" s="4839" t="s">
        <v>28</v>
      </c>
      <c r="D17" s="4859">
        <v>45175</v>
      </c>
      <c r="E17" s="4867">
        <v>45192</v>
      </c>
      <c r="F17" s="4839" t="s">
        <v>56</v>
      </c>
      <c r="G17" s="4839" t="s">
        <v>46</v>
      </c>
      <c r="H17" s="4859">
        <v>45194</v>
      </c>
      <c r="I17" s="4870"/>
      <c r="J17" s="4870" t="s">
        <v>32</v>
      </c>
      <c r="K17" s="4839" t="s">
        <v>174</v>
      </c>
      <c r="L17" s="4841" t="s">
        <v>2250</v>
      </c>
      <c r="M17" s="4855">
        <v>45194</v>
      </c>
      <c r="N17" s="4855">
        <v>45194</v>
      </c>
      <c r="O17" s="4855">
        <v>45194</v>
      </c>
      <c r="P17" s="4871" t="s">
        <v>2251</v>
      </c>
      <c r="Q17" s="4870" t="s">
        <v>35</v>
      </c>
      <c r="R17" s="4839" t="s">
        <v>36</v>
      </c>
      <c r="S17" s="4839" t="s">
        <v>37</v>
      </c>
      <c r="T17" s="4873">
        <v>680</v>
      </c>
      <c r="U17" s="4895">
        <v>556</v>
      </c>
      <c r="V17" s="4873"/>
      <c r="W17" s="4874">
        <f>SEP_2023[[#This Row],[Sales Amount]]-SEP_2023[[#This Row],[Cost]]</f>
        <v>124</v>
      </c>
      <c r="X17" s="4875">
        <f>SEP_2023[[#This Row],[Profit]]/SEP_2023[[#This Row],[Cost]]</f>
        <v>0.22302158273381295</v>
      </c>
      <c r="Y17" s="4874"/>
      <c r="Z17" s="4874"/>
    </row>
    <row r="18" spans="1:26" customFormat="1">
      <c r="A18" s="4852" t="s">
        <v>171</v>
      </c>
      <c r="B18" s="4870" t="s">
        <v>2252</v>
      </c>
      <c r="C18" s="4839" t="s">
        <v>28</v>
      </c>
      <c r="D18" s="4859">
        <v>45175</v>
      </c>
      <c r="E18" s="4867">
        <v>45201</v>
      </c>
      <c r="F18" s="4839" t="s">
        <v>56</v>
      </c>
      <c r="G18" s="4839" t="s">
        <v>46</v>
      </c>
      <c r="H18" s="4897">
        <v>45203</v>
      </c>
      <c r="I18" s="4870"/>
      <c r="J18" s="4870" t="s">
        <v>32</v>
      </c>
      <c r="K18" s="4839" t="s">
        <v>174</v>
      </c>
      <c r="L18" s="4841" t="s">
        <v>2253</v>
      </c>
      <c r="M18" s="4855">
        <v>45204</v>
      </c>
      <c r="N18" s="4877">
        <v>45203</v>
      </c>
      <c r="O18" s="4877">
        <v>45204</v>
      </c>
      <c r="P18" s="4882" t="s">
        <v>2254</v>
      </c>
      <c r="Q18" s="4870" t="s">
        <v>35</v>
      </c>
      <c r="R18" s="4870" t="s">
        <v>36</v>
      </c>
      <c r="S18" s="4839" t="s">
        <v>37</v>
      </c>
      <c r="T18" s="4872">
        <v>940</v>
      </c>
      <c r="U18" s="4873">
        <v>751</v>
      </c>
      <c r="V18" s="4873"/>
      <c r="W18" s="4874">
        <f>SEP_2023[[#This Row],[Sales Amount]]-SEP_2023[[#This Row],[Cost]]</f>
        <v>189</v>
      </c>
      <c r="X18" s="4875">
        <f>SEP_2023[[#This Row],[Profit]]/SEP_2023[[#This Row],[Cost]]</f>
        <v>0.25166444740346205</v>
      </c>
      <c r="Y18" s="4874"/>
      <c r="Z18" s="4874"/>
    </row>
    <row r="19" spans="1:26" customFormat="1">
      <c r="A19" s="4839" t="s">
        <v>171</v>
      </c>
      <c r="B19" s="4870" t="s">
        <v>2255</v>
      </c>
      <c r="C19" s="4839" t="s">
        <v>28</v>
      </c>
      <c r="D19" s="4859">
        <v>45175</v>
      </c>
      <c r="E19" s="4867">
        <v>45199</v>
      </c>
      <c r="F19" s="4839" t="s">
        <v>56</v>
      </c>
      <c r="G19" s="4839" t="s">
        <v>46</v>
      </c>
      <c r="H19" s="4870"/>
      <c r="I19" s="4870"/>
      <c r="J19" s="4870" t="s">
        <v>32</v>
      </c>
      <c r="K19" s="4839" t="s">
        <v>174</v>
      </c>
      <c r="L19" s="4841" t="s">
        <v>2256</v>
      </c>
      <c r="M19" s="4879">
        <v>45201</v>
      </c>
      <c r="N19" s="4879">
        <v>45201</v>
      </c>
      <c r="O19" s="4879">
        <v>45201</v>
      </c>
      <c r="P19" s="4871" t="s">
        <v>2257</v>
      </c>
      <c r="Q19" s="4870" t="s">
        <v>35</v>
      </c>
      <c r="R19" s="4870" t="s">
        <v>36</v>
      </c>
      <c r="S19" s="4839" t="s">
        <v>37</v>
      </c>
      <c r="T19" s="4870">
        <v>680</v>
      </c>
      <c r="U19" s="4882">
        <v>556</v>
      </c>
      <c r="V19" s="4873"/>
      <c r="W19" s="4874">
        <f>SEP_2023[[#This Row],[Sales Amount]]-SEP_2023[[#This Row],[Cost]]</f>
        <v>124</v>
      </c>
      <c r="X19" s="4875">
        <f>SEP_2023[[#This Row],[Profit]]/SEP_2023[[#This Row],[Cost]]</f>
        <v>0.22302158273381295</v>
      </c>
      <c r="Y19" s="4874"/>
      <c r="Z19" s="4874"/>
    </row>
    <row r="20" spans="1:26" s="26" customFormat="1">
      <c r="A20" s="4870" t="s">
        <v>1431</v>
      </c>
      <c r="B20" s="4839" t="s">
        <v>2258</v>
      </c>
      <c r="C20" s="4870" t="s">
        <v>28</v>
      </c>
      <c r="D20" s="4877">
        <v>45174</v>
      </c>
      <c r="E20" s="4878">
        <v>45185</v>
      </c>
      <c r="F20" s="4870" t="s">
        <v>285</v>
      </c>
      <c r="G20" s="4870" t="s">
        <v>57</v>
      </c>
      <c r="H20" s="4879">
        <v>45188</v>
      </c>
      <c r="I20" s="4869" t="s">
        <v>115</v>
      </c>
      <c r="J20" s="4839" t="s">
        <v>154</v>
      </c>
      <c r="K20" s="4870" t="s">
        <v>2259</v>
      </c>
      <c r="L20" s="4869">
        <v>658452</v>
      </c>
      <c r="M20" s="4879">
        <v>45187</v>
      </c>
      <c r="N20" s="4879">
        <v>45187</v>
      </c>
      <c r="O20" s="4877">
        <v>45188</v>
      </c>
      <c r="P20" s="4871" t="s">
        <v>2260</v>
      </c>
      <c r="Q20" s="4870" t="s">
        <v>35</v>
      </c>
      <c r="R20" s="4839" t="s">
        <v>36</v>
      </c>
      <c r="S20" s="4839" t="s">
        <v>37</v>
      </c>
      <c r="T20" s="4873">
        <v>900</v>
      </c>
      <c r="U20" s="4872">
        <v>691.25</v>
      </c>
      <c r="V20" s="4873"/>
      <c r="W20" s="4874">
        <f>SEP_2023[[#This Row],[Sales Amount]]-SEP_2023[[#This Row],[Cost]]</f>
        <v>208.75</v>
      </c>
      <c r="X20" s="4875">
        <f>SEP_2023[[#This Row],[Profit]]/SEP_2023[[#This Row],[Cost]]</f>
        <v>0.30198915009041594</v>
      </c>
      <c r="Y20" s="4874"/>
      <c r="Z20" s="4874"/>
    </row>
    <row r="21" spans="1:26" s="26" customFormat="1">
      <c r="A21" s="4839" t="s">
        <v>171</v>
      </c>
      <c r="B21" s="4870" t="s">
        <v>2261</v>
      </c>
      <c r="C21" s="4839" t="s">
        <v>28</v>
      </c>
      <c r="D21" s="4859">
        <v>45175</v>
      </c>
      <c r="E21" s="4867">
        <v>45199</v>
      </c>
      <c r="F21" s="4839" t="s">
        <v>56</v>
      </c>
      <c r="G21" s="4839" t="s">
        <v>46</v>
      </c>
      <c r="H21" s="4870"/>
      <c r="I21" s="4870"/>
      <c r="J21" s="4870" t="s">
        <v>32</v>
      </c>
      <c r="K21" s="4839" t="s">
        <v>174</v>
      </c>
      <c r="L21" s="4869" t="s">
        <v>2262</v>
      </c>
      <c r="M21" s="4879">
        <v>45201</v>
      </c>
      <c r="N21" s="4879">
        <v>45201</v>
      </c>
      <c r="O21" s="4879">
        <v>45201</v>
      </c>
      <c r="P21" s="4871" t="s">
        <v>2263</v>
      </c>
      <c r="Q21" s="4870" t="s">
        <v>35</v>
      </c>
      <c r="R21" s="4870" t="s">
        <v>36</v>
      </c>
      <c r="S21" s="4839" t="s">
        <v>37</v>
      </c>
      <c r="T21" s="4872">
        <v>680</v>
      </c>
      <c r="U21" s="4873">
        <v>556</v>
      </c>
      <c r="V21" s="4873"/>
      <c r="W21" s="4874">
        <f>SEP_2023[[#This Row],[Sales Amount]]-SEP_2023[[#This Row],[Cost]]</f>
        <v>124</v>
      </c>
      <c r="X21" s="4875">
        <f>SEP_2023[[#This Row],[Profit]]/SEP_2023[[#This Row],[Cost]]</f>
        <v>0.22302158273381295</v>
      </c>
      <c r="Y21" s="4874"/>
      <c r="Z21" s="4874"/>
    </row>
    <row r="22" spans="1:26" s="26" customFormat="1">
      <c r="A22" s="4839" t="s">
        <v>171</v>
      </c>
      <c r="B22" s="4839" t="s">
        <v>2264</v>
      </c>
      <c r="C22" s="4839" t="s">
        <v>28</v>
      </c>
      <c r="D22" s="4859">
        <v>45175</v>
      </c>
      <c r="E22" s="4867">
        <v>45199</v>
      </c>
      <c r="F22" s="4839" t="s">
        <v>56</v>
      </c>
      <c r="G22" s="4839" t="s">
        <v>46</v>
      </c>
      <c r="H22" s="4870"/>
      <c r="I22" s="4870"/>
      <c r="J22" s="4870" t="s">
        <v>32</v>
      </c>
      <c r="K22" s="4839" t="s">
        <v>174</v>
      </c>
      <c r="L22" s="4869" t="s">
        <v>2265</v>
      </c>
      <c r="M22" s="4879">
        <v>45201</v>
      </c>
      <c r="N22" s="4879">
        <v>45201</v>
      </c>
      <c r="O22" s="4879">
        <v>45202</v>
      </c>
      <c r="P22" s="4871" t="s">
        <v>2266</v>
      </c>
      <c r="Q22" s="4870" t="s">
        <v>35</v>
      </c>
      <c r="R22" s="4870" t="s">
        <v>36</v>
      </c>
      <c r="S22" s="4839" t="s">
        <v>37</v>
      </c>
      <c r="T22" s="4872">
        <v>680</v>
      </c>
      <c r="U22" s="4873">
        <v>556</v>
      </c>
      <c r="V22" s="4873"/>
      <c r="W22" s="4874">
        <f>SEP_2023[[#This Row],[Sales Amount]]-SEP_2023[[#This Row],[Cost]]</f>
        <v>124</v>
      </c>
      <c r="X22" s="4875">
        <f>SEP_2023[[#This Row],[Profit]]/SEP_2023[[#This Row],[Cost]]</f>
        <v>0.22302158273381295</v>
      </c>
      <c r="Y22" s="4874"/>
      <c r="Z22" s="4874"/>
    </row>
    <row r="23" spans="1:26" s="26" customFormat="1">
      <c r="A23" s="4894" t="s">
        <v>1431</v>
      </c>
      <c r="B23" s="4839" t="s">
        <v>2267</v>
      </c>
      <c r="C23" s="4839" t="s">
        <v>28</v>
      </c>
      <c r="D23" s="4859">
        <v>45199</v>
      </c>
      <c r="E23" s="4867">
        <v>45203</v>
      </c>
      <c r="F23" s="4839" t="s">
        <v>29</v>
      </c>
      <c r="G23" s="4839" t="s">
        <v>57</v>
      </c>
      <c r="H23" s="4855">
        <v>45205</v>
      </c>
      <c r="I23" s="4841" t="s">
        <v>108</v>
      </c>
      <c r="J23" s="4870" t="s">
        <v>32</v>
      </c>
      <c r="K23" s="4839" t="s">
        <v>1433</v>
      </c>
      <c r="L23" s="4841">
        <v>7978994</v>
      </c>
      <c r="M23" s="4855">
        <v>45205</v>
      </c>
      <c r="N23" s="4877">
        <v>45204</v>
      </c>
      <c r="O23" s="4876">
        <v>45205</v>
      </c>
      <c r="P23" s="4861" t="s">
        <v>2268</v>
      </c>
      <c r="Q23" s="4870" t="s">
        <v>35</v>
      </c>
      <c r="R23" s="4870" t="s">
        <v>36</v>
      </c>
      <c r="S23" s="4839" t="s">
        <v>37</v>
      </c>
      <c r="T23" s="4895">
        <v>1393.5</v>
      </c>
      <c r="U23" s="4874">
        <v>1261</v>
      </c>
      <c r="V23" s="4874"/>
      <c r="W23" s="4874">
        <f>SEP_2023[[#This Row],[Sales Amount]]-SEP_2023[[#This Row],[Cost]]</f>
        <v>132.5</v>
      </c>
      <c r="X23" s="4875">
        <f>SEP_2023[[#This Row],[Profit]]/SEP_2023[[#This Row],[Cost]]</f>
        <v>0.10507533703409992</v>
      </c>
      <c r="Y23" s="4874"/>
      <c r="Z23" s="4874"/>
    </row>
    <row r="24" spans="1:26" s="26" customFormat="1">
      <c r="A24" s="4898" t="s">
        <v>1431</v>
      </c>
      <c r="B24" s="4839" t="s">
        <v>2269</v>
      </c>
      <c r="C24" s="4839" t="s">
        <v>28</v>
      </c>
      <c r="D24" s="4859">
        <v>45199</v>
      </c>
      <c r="E24" s="4867">
        <v>45203</v>
      </c>
      <c r="F24" s="4839" t="s">
        <v>29</v>
      </c>
      <c r="G24" s="4839" t="s">
        <v>57</v>
      </c>
      <c r="H24" s="4855">
        <v>45204</v>
      </c>
      <c r="I24" s="4841" t="s">
        <v>108</v>
      </c>
      <c r="J24" s="4870" t="s">
        <v>32</v>
      </c>
      <c r="K24" s="4839" t="s">
        <v>1433</v>
      </c>
      <c r="L24" s="4841">
        <v>7979350</v>
      </c>
      <c r="M24" s="4855">
        <v>45205</v>
      </c>
      <c r="N24" s="4877">
        <v>45203</v>
      </c>
      <c r="O24" s="4877">
        <v>45204</v>
      </c>
      <c r="P24" s="4861" t="s">
        <v>2270</v>
      </c>
      <c r="Q24" s="4870" t="s">
        <v>35</v>
      </c>
      <c r="R24" s="4870" t="s">
        <v>36</v>
      </c>
      <c r="S24" s="4839" t="s">
        <v>37</v>
      </c>
      <c r="T24" s="4895">
        <v>1438.5</v>
      </c>
      <c r="U24" s="4874">
        <v>1261</v>
      </c>
      <c r="V24" s="4874"/>
      <c r="W24" s="4874">
        <f>SEP_2023[[#This Row],[Sales Amount]]-SEP_2023[[#This Row],[Cost]]</f>
        <v>177.5</v>
      </c>
      <c r="X24" s="4875">
        <f>SEP_2023[[#This Row],[Profit]]/SEP_2023[[#This Row],[Cost]]</f>
        <v>0.14076130055511499</v>
      </c>
      <c r="Y24" s="4874"/>
      <c r="Z24" s="4874"/>
    </row>
    <row r="25" spans="1:26" customFormat="1">
      <c r="A25" s="4839" t="s">
        <v>171</v>
      </c>
      <c r="B25" s="4839" t="s">
        <v>2271</v>
      </c>
      <c r="C25" s="4839" t="s">
        <v>28</v>
      </c>
      <c r="D25" s="4859">
        <v>45175</v>
      </c>
      <c r="E25" s="4867">
        <v>45202</v>
      </c>
      <c r="F25" s="4839" t="s">
        <v>56</v>
      </c>
      <c r="G25" s="4839" t="s">
        <v>46</v>
      </c>
      <c r="H25" s="4897">
        <v>45203</v>
      </c>
      <c r="I25" s="4870"/>
      <c r="J25" s="4870" t="s">
        <v>32</v>
      </c>
      <c r="K25" s="4839" t="s">
        <v>174</v>
      </c>
      <c r="L25" s="4841" t="s">
        <v>2272</v>
      </c>
      <c r="M25" s="4855">
        <v>45205</v>
      </c>
      <c r="N25" s="4877">
        <v>45203</v>
      </c>
      <c r="O25" s="4877">
        <v>45203</v>
      </c>
      <c r="P25" s="4882" t="s">
        <v>2273</v>
      </c>
      <c r="Q25" s="4870" t="s">
        <v>35</v>
      </c>
      <c r="R25" s="4870" t="s">
        <v>36</v>
      </c>
      <c r="S25" s="4839" t="s">
        <v>37</v>
      </c>
      <c r="T25" s="4872">
        <v>880</v>
      </c>
      <c r="U25" s="4873">
        <v>736</v>
      </c>
      <c r="V25" s="4873"/>
      <c r="W25" s="4874">
        <f>SEP_2023[[#This Row],[Sales Amount]]-SEP_2023[[#This Row],[Cost]]</f>
        <v>144</v>
      </c>
      <c r="X25" s="4875">
        <f>SEP_2023[[#This Row],[Profit]]/SEP_2023[[#This Row],[Cost]]</f>
        <v>0.19565217391304349</v>
      </c>
      <c r="Y25" s="4874"/>
      <c r="Z25" s="4874"/>
    </row>
    <row r="26" spans="1:26" customFormat="1">
      <c r="A26" s="4839" t="s">
        <v>171</v>
      </c>
      <c r="B26" s="4839" t="s">
        <v>2274</v>
      </c>
      <c r="C26" s="4839" t="s">
        <v>28</v>
      </c>
      <c r="D26" s="4859">
        <v>45175</v>
      </c>
      <c r="E26" s="4867">
        <v>45199</v>
      </c>
      <c r="F26" s="4839" t="s">
        <v>56</v>
      </c>
      <c r="G26" s="4839" t="s">
        <v>46</v>
      </c>
      <c r="H26" s="4870"/>
      <c r="I26" s="4870"/>
      <c r="J26" s="4870" t="s">
        <v>32</v>
      </c>
      <c r="K26" s="4839" t="s">
        <v>174</v>
      </c>
      <c r="L26" s="4869">
        <v>379269</v>
      </c>
      <c r="M26" s="4879">
        <v>45201</v>
      </c>
      <c r="N26" s="4879">
        <v>45201</v>
      </c>
      <c r="O26" s="4879">
        <v>45201</v>
      </c>
      <c r="P26" s="4871" t="s">
        <v>2275</v>
      </c>
      <c r="Q26" s="4870" t="s">
        <v>35</v>
      </c>
      <c r="R26" s="4870" t="s">
        <v>36</v>
      </c>
      <c r="S26" s="4839" t="s">
        <v>37</v>
      </c>
      <c r="T26" s="4872">
        <v>680</v>
      </c>
      <c r="U26" s="4873">
        <v>556</v>
      </c>
      <c r="V26" s="4873"/>
      <c r="W26" s="4874">
        <f>SEP_2023[[#This Row],[Sales Amount]]-SEP_2023[[#This Row],[Cost]]</f>
        <v>124</v>
      </c>
      <c r="X26" s="4875">
        <f>SEP_2023[[#This Row],[Profit]]/SEP_2023[[#This Row],[Cost]]</f>
        <v>0.22302158273381295</v>
      </c>
      <c r="Y26" s="4874"/>
      <c r="Z26" s="4874"/>
    </row>
    <row r="27" spans="1:26" s="26" customFormat="1">
      <c r="A27" s="4839" t="s">
        <v>171</v>
      </c>
      <c r="B27" s="4839" t="s">
        <v>2276</v>
      </c>
      <c r="C27" s="4839" t="s">
        <v>28</v>
      </c>
      <c r="D27" s="4859">
        <v>45175</v>
      </c>
      <c r="E27" s="4867">
        <v>45192</v>
      </c>
      <c r="F27" s="4839" t="s">
        <v>56</v>
      </c>
      <c r="G27" s="4839" t="s">
        <v>46</v>
      </c>
      <c r="H27" s="4859">
        <v>45194</v>
      </c>
      <c r="I27" s="4852"/>
      <c r="J27" s="4870" t="s">
        <v>32</v>
      </c>
      <c r="K27" s="4839" t="s">
        <v>174</v>
      </c>
      <c r="L27" s="4841" t="s">
        <v>2277</v>
      </c>
      <c r="M27" s="4855">
        <v>45194</v>
      </c>
      <c r="N27" s="4859">
        <v>45194</v>
      </c>
      <c r="O27" s="4859">
        <v>45196</v>
      </c>
      <c r="P27" s="4891" t="s">
        <v>2278</v>
      </c>
      <c r="Q27" s="4870" t="s">
        <v>35</v>
      </c>
      <c r="R27" s="4839" t="s">
        <v>36</v>
      </c>
      <c r="S27" s="4839" t="s">
        <v>37</v>
      </c>
      <c r="T27" s="4873">
        <v>815</v>
      </c>
      <c r="U27" s="4872">
        <v>661</v>
      </c>
      <c r="V27" s="4873"/>
      <c r="W27" s="4874">
        <f>SEP_2023[[#This Row],[Sales Amount]]-SEP_2023[[#This Row],[Cost]]</f>
        <v>154</v>
      </c>
      <c r="X27" s="4875">
        <f>SEP_2023[[#This Row],[Profit]]/SEP_2023[[#This Row],[Cost]]</f>
        <v>0.2329803328290469</v>
      </c>
      <c r="Y27" s="4874"/>
      <c r="Z27" s="4874"/>
    </row>
    <row r="28" spans="1:26" s="26" customFormat="1">
      <c r="A28" s="4839" t="s">
        <v>171</v>
      </c>
      <c r="B28" s="4870" t="s">
        <v>2279</v>
      </c>
      <c r="C28" s="4839" t="s">
        <v>28</v>
      </c>
      <c r="D28" s="4859">
        <v>45175</v>
      </c>
      <c r="E28" s="4867">
        <v>45195</v>
      </c>
      <c r="F28" s="4839" t="s">
        <v>56</v>
      </c>
      <c r="G28" s="4839" t="s">
        <v>46</v>
      </c>
      <c r="H28" s="4855">
        <v>45197</v>
      </c>
      <c r="I28" s="4870"/>
      <c r="J28" s="4870" t="s">
        <v>32</v>
      </c>
      <c r="K28" s="4839" t="s">
        <v>174</v>
      </c>
      <c r="L28" s="4841" t="s">
        <v>2280</v>
      </c>
      <c r="M28" s="4855">
        <v>45198</v>
      </c>
      <c r="N28" s="4855">
        <v>45197</v>
      </c>
      <c r="O28" s="4859">
        <v>45197</v>
      </c>
      <c r="P28" s="4871" t="s">
        <v>2281</v>
      </c>
      <c r="Q28" s="4870" t="s">
        <v>35</v>
      </c>
      <c r="R28" s="4839" t="s">
        <v>36</v>
      </c>
      <c r="S28" s="4839" t="s">
        <v>37</v>
      </c>
      <c r="T28" s="4873">
        <v>940</v>
      </c>
      <c r="U28" s="4895">
        <v>751</v>
      </c>
      <c r="V28" s="4873"/>
      <c r="W28" s="4874">
        <f>SEP_2023[[#This Row],[Sales Amount]]-SEP_2023[[#This Row],[Cost]]</f>
        <v>189</v>
      </c>
      <c r="X28" s="4875">
        <f>SEP_2023[[#This Row],[Profit]]/SEP_2023[[#This Row],[Cost]]</f>
        <v>0.25166444740346205</v>
      </c>
      <c r="Y28" s="4874"/>
      <c r="Z28" s="4874"/>
    </row>
    <row r="29" spans="1:26" s="52" customFormat="1">
      <c r="A29" s="4839" t="s">
        <v>171</v>
      </c>
      <c r="B29" s="4870" t="s">
        <v>2282</v>
      </c>
      <c r="C29" s="4839" t="s">
        <v>28</v>
      </c>
      <c r="D29" s="4859">
        <v>45175</v>
      </c>
      <c r="E29" s="4867">
        <v>45195</v>
      </c>
      <c r="F29" s="4839" t="s">
        <v>56</v>
      </c>
      <c r="G29" s="4839" t="s">
        <v>46</v>
      </c>
      <c r="H29" s="4855">
        <v>45197</v>
      </c>
      <c r="I29" s="4870"/>
      <c r="J29" s="4870" t="s">
        <v>32</v>
      </c>
      <c r="K29" s="4839" t="s">
        <v>174</v>
      </c>
      <c r="L29" s="4841" t="s">
        <v>2283</v>
      </c>
      <c r="M29" s="4855">
        <v>45198</v>
      </c>
      <c r="N29" s="4855">
        <v>45197</v>
      </c>
      <c r="O29" s="4877">
        <v>45198</v>
      </c>
      <c r="P29" s="4871" t="s">
        <v>2284</v>
      </c>
      <c r="Q29" s="4870" t="s">
        <v>35</v>
      </c>
      <c r="R29" s="4839" t="s">
        <v>36</v>
      </c>
      <c r="S29" s="4839" t="s">
        <v>37</v>
      </c>
      <c r="T29" s="4872">
        <v>940</v>
      </c>
      <c r="U29" s="4895">
        <v>751</v>
      </c>
      <c r="V29" s="4873"/>
      <c r="W29" s="4874">
        <f>SEP_2023[[#This Row],[Sales Amount]]-SEP_2023[[#This Row],[Cost]]</f>
        <v>189</v>
      </c>
      <c r="X29" s="4875">
        <f>SEP_2023[[#This Row],[Profit]]/SEP_2023[[#This Row],[Cost]]</f>
        <v>0.25166444740346205</v>
      </c>
      <c r="Y29" s="4874"/>
      <c r="Z29" s="4874"/>
    </row>
    <row r="30" spans="1:26">
      <c r="A30" s="4839" t="s">
        <v>171</v>
      </c>
      <c r="B30" s="4839" t="s">
        <v>2285</v>
      </c>
      <c r="C30" s="4839" t="s">
        <v>28</v>
      </c>
      <c r="D30" s="4859">
        <v>45175</v>
      </c>
      <c r="E30" s="4867">
        <v>45195</v>
      </c>
      <c r="F30" s="4839" t="s">
        <v>56</v>
      </c>
      <c r="G30" s="4839" t="s">
        <v>46</v>
      </c>
      <c r="H30" s="4855">
        <v>45197</v>
      </c>
      <c r="I30" s="4870"/>
      <c r="J30" s="4870" t="s">
        <v>32</v>
      </c>
      <c r="K30" s="4839" t="s">
        <v>174</v>
      </c>
      <c r="L30" s="4841">
        <v>380755</v>
      </c>
      <c r="M30" s="4855">
        <v>45198</v>
      </c>
      <c r="N30" s="4855">
        <v>45197</v>
      </c>
      <c r="O30" s="4855">
        <v>45197</v>
      </c>
      <c r="P30" s="4871" t="s">
        <v>2286</v>
      </c>
      <c r="Q30" s="4870" t="s">
        <v>35</v>
      </c>
      <c r="R30" s="4839" t="s">
        <v>36</v>
      </c>
      <c r="S30" s="4839" t="s">
        <v>37</v>
      </c>
      <c r="T30" s="4873">
        <v>940</v>
      </c>
      <c r="U30" s="4895">
        <v>751</v>
      </c>
      <c r="V30" s="4873"/>
      <c r="W30" s="4874">
        <f>SEP_2023[[#This Row],[Sales Amount]]-SEP_2023[[#This Row],[Cost]]</f>
        <v>189</v>
      </c>
      <c r="X30" s="4875">
        <f>SEP_2023[[#This Row],[Profit]]/SEP_2023[[#This Row],[Cost]]</f>
        <v>0.25166444740346205</v>
      </c>
      <c r="Y30" s="4874"/>
      <c r="Z30" s="4874"/>
    </row>
    <row r="31" spans="1:26">
      <c r="A31" s="4839" t="s">
        <v>68</v>
      </c>
      <c r="B31" s="4899" t="s">
        <v>2287</v>
      </c>
      <c r="C31" s="4839" t="s">
        <v>85</v>
      </c>
      <c r="D31" s="4859">
        <v>45193</v>
      </c>
      <c r="E31" s="4900">
        <v>45209</v>
      </c>
      <c r="F31" s="4852" t="s">
        <v>151</v>
      </c>
      <c r="G31" s="4839" t="s">
        <v>919</v>
      </c>
      <c r="H31" s="4876">
        <v>45210</v>
      </c>
      <c r="I31" s="4841" t="s">
        <v>178</v>
      </c>
      <c r="J31" s="4852" t="s">
        <v>490</v>
      </c>
      <c r="K31" s="4901" t="s">
        <v>2288</v>
      </c>
      <c r="L31" s="4841" t="s">
        <v>2289</v>
      </c>
      <c r="M31" s="4881">
        <v>45211</v>
      </c>
      <c r="N31" s="4879">
        <v>45210</v>
      </c>
      <c r="O31" s="4881">
        <v>45210</v>
      </c>
      <c r="P31" s="4902" t="s">
        <v>2290</v>
      </c>
      <c r="Q31" s="4852" t="s">
        <v>35</v>
      </c>
      <c r="R31" s="4870" t="s">
        <v>36</v>
      </c>
      <c r="S31" s="4839" t="s">
        <v>67</v>
      </c>
      <c r="T31" s="4872">
        <v>3160</v>
      </c>
      <c r="U31" s="4873">
        <v>2523</v>
      </c>
      <c r="V31" s="4873">
        <v>4</v>
      </c>
      <c r="W31" s="4874">
        <f>SEP_2023[[#This Row],[Sales Amount]]-SEP_2023[[#This Row],[Cost]]</f>
        <v>637</v>
      </c>
      <c r="X31" s="4875">
        <f>SEP_2023[[#This Row],[Profit]]/SEP_2023[[#This Row],[Cost]]</f>
        <v>0.25247720967102655</v>
      </c>
      <c r="Y31" s="4874"/>
      <c r="Z31" s="4874"/>
    </row>
    <row r="32" spans="1:26">
      <c r="A32" s="4870" t="s">
        <v>1088</v>
      </c>
      <c r="B32" s="4882" t="s">
        <v>2291</v>
      </c>
      <c r="C32" s="4882" t="s">
        <v>44</v>
      </c>
      <c r="D32" s="4903">
        <v>45180</v>
      </c>
      <c r="E32" s="4878">
        <v>45190</v>
      </c>
      <c r="F32" s="4882" t="s">
        <v>2292</v>
      </c>
      <c r="G32" s="4882" t="s">
        <v>829</v>
      </c>
      <c r="H32" s="4882"/>
      <c r="I32" s="4882"/>
      <c r="J32" s="4886" t="s">
        <v>32</v>
      </c>
      <c r="K32" s="4882" t="s">
        <v>2226</v>
      </c>
      <c r="L32" s="4882" t="s">
        <v>2293</v>
      </c>
      <c r="M32" s="4903">
        <v>45193</v>
      </c>
      <c r="N32" s="4903">
        <v>45191</v>
      </c>
      <c r="O32" s="4904">
        <v>45210</v>
      </c>
      <c r="P32" s="4871" t="s">
        <v>2294</v>
      </c>
      <c r="Q32" s="4882" t="s">
        <v>50</v>
      </c>
      <c r="R32" s="4839" t="s">
        <v>36</v>
      </c>
      <c r="S32" s="4882"/>
      <c r="T32" s="4882"/>
      <c r="U32" s="4882"/>
      <c r="V32" s="4882"/>
      <c r="W32" s="4861">
        <f>SEP_2023[[#This Row],[Sales Amount]]-SEP_2023[[#This Row],[Cost]]</f>
        <v>0</v>
      </c>
      <c r="X32" s="4865" t="e">
        <f>SEP_2023[[#This Row],[Profit]]/SEP_2023[[#This Row],[Cost]]</f>
        <v>#DIV/0!</v>
      </c>
      <c r="Y32" s="4861"/>
      <c r="Z32" s="4861"/>
    </row>
    <row r="33" spans="1:26" s="1442" customFormat="1" ht="75">
      <c r="A33" s="4848" t="s">
        <v>1735</v>
      </c>
      <c r="B33" s="4905" t="s">
        <v>2295</v>
      </c>
      <c r="C33" s="4845" t="s">
        <v>44</v>
      </c>
      <c r="D33" s="4906">
        <v>45163</v>
      </c>
      <c r="E33" s="4907">
        <v>45178</v>
      </c>
      <c r="F33" s="4908" t="s">
        <v>135</v>
      </c>
      <c r="G33" s="4845" t="s">
        <v>2296</v>
      </c>
      <c r="H33" s="4909" t="s">
        <v>2297</v>
      </c>
      <c r="I33" s="4838" t="s">
        <v>2298</v>
      </c>
      <c r="J33" s="4845" t="s">
        <v>32</v>
      </c>
      <c r="K33" s="4845" t="s">
        <v>2226</v>
      </c>
      <c r="L33" s="4908" t="s">
        <v>2299</v>
      </c>
      <c r="M33" s="4906">
        <v>45180</v>
      </c>
      <c r="N33" s="4906">
        <v>45180</v>
      </c>
      <c r="O33" s="4906">
        <v>45182</v>
      </c>
      <c r="P33" s="4910" t="s">
        <v>2300</v>
      </c>
      <c r="Q33" s="4911" t="s">
        <v>75</v>
      </c>
      <c r="R33" s="4911" t="s">
        <v>2143</v>
      </c>
      <c r="S33" s="4874"/>
      <c r="T33" s="4874"/>
      <c r="U33" s="4874"/>
      <c r="V33" s="4874"/>
      <c r="W33" s="4874">
        <f>SEP_2023[[#This Row],[Sales Amount]]-SEP_2023[[#This Row],[Cost]]</f>
        <v>0</v>
      </c>
      <c r="X33" s="4875" t="e">
        <f>SEP_2023[[#This Row],[Profit]]/SEP_2023[[#This Row],[Cost]]</f>
        <v>#DIV/0!</v>
      </c>
      <c r="Y33" s="4874"/>
      <c r="Z33" s="4874"/>
    </row>
    <row r="34" spans="1:26" s="1442" customFormat="1">
      <c r="A34" s="4870" t="s">
        <v>497</v>
      </c>
      <c r="B34" s="4880" t="s">
        <v>2301</v>
      </c>
      <c r="C34" s="4870" t="s">
        <v>44</v>
      </c>
      <c r="D34" s="4897">
        <v>45171</v>
      </c>
      <c r="E34" s="4912">
        <v>45179</v>
      </c>
      <c r="F34" s="4861" t="s">
        <v>990</v>
      </c>
      <c r="G34" s="4839" t="s">
        <v>829</v>
      </c>
      <c r="H34" s="4882"/>
      <c r="I34" s="4913"/>
      <c r="J34" s="4882" t="s">
        <v>168</v>
      </c>
      <c r="K34" s="4882" t="s">
        <v>2226</v>
      </c>
      <c r="L34" s="4870" t="s">
        <v>2302</v>
      </c>
      <c r="M34" s="4877">
        <v>45181</v>
      </c>
      <c r="N34" s="4877">
        <v>45180</v>
      </c>
      <c r="O34" s="4914">
        <v>45181</v>
      </c>
      <c r="P34" s="4891" t="s">
        <v>2303</v>
      </c>
      <c r="Q34" s="4913" t="s">
        <v>50</v>
      </c>
      <c r="R34" s="4913" t="s">
        <v>51</v>
      </c>
      <c r="S34" s="4913"/>
      <c r="T34" s="4913"/>
      <c r="U34" s="4913"/>
      <c r="V34" s="4913"/>
      <c r="W34" s="4861">
        <f>SEP_2023[[#This Row],[Sales Amount]]-SEP_2023[[#This Row],[Cost]]</f>
        <v>0</v>
      </c>
      <c r="X34" s="4865" t="e">
        <f>SEP_2023[[#This Row],[Profit]]/SEP_2023[[#This Row],[Cost]]</f>
        <v>#DIV/0!</v>
      </c>
      <c r="Y34" s="4861"/>
      <c r="Z34" s="4861"/>
    </row>
    <row r="35" spans="1:26" customFormat="1" ht="120">
      <c r="A35" s="4848" t="s">
        <v>468</v>
      </c>
      <c r="B35" s="4908" t="s">
        <v>2304</v>
      </c>
      <c r="C35" s="4915" t="s">
        <v>200</v>
      </c>
      <c r="D35" s="4906">
        <v>45175</v>
      </c>
      <c r="E35" s="4916">
        <v>45182</v>
      </c>
      <c r="F35" s="4915" t="s">
        <v>245</v>
      </c>
      <c r="G35" s="4908" t="s">
        <v>2305</v>
      </c>
      <c r="H35" s="4917">
        <v>45183</v>
      </c>
      <c r="I35" s="4908" t="s">
        <v>790</v>
      </c>
      <c r="J35" s="4908" t="s">
        <v>2306</v>
      </c>
      <c r="K35" s="4908" t="s">
        <v>2307</v>
      </c>
      <c r="L35" s="4908" t="s">
        <v>2308</v>
      </c>
      <c r="M35" s="4918">
        <v>45184</v>
      </c>
      <c r="N35" s="4918">
        <v>45183</v>
      </c>
      <c r="O35" s="4918">
        <v>45183</v>
      </c>
      <c r="P35" s="4909" t="s">
        <v>2309</v>
      </c>
      <c r="Q35" s="4845" t="s">
        <v>75</v>
      </c>
      <c r="R35" s="4848" t="s">
        <v>2310</v>
      </c>
      <c r="S35" s="4845">
        <v>4</v>
      </c>
      <c r="T35" s="4845">
        <v>630</v>
      </c>
      <c r="U35" s="4845">
        <v>416.72</v>
      </c>
      <c r="V35" s="4845">
        <v>1</v>
      </c>
      <c r="W35" s="4845">
        <f>SEP_2023[[#This Row],[Sales Amount]]-SEP_2023[[#This Row],[Cost]]</f>
        <v>213.27999999999997</v>
      </c>
      <c r="X35" s="4919">
        <f>SEP_2023[[#This Row],[Profit]]/SEP_2023[[#This Row],[Cost]]</f>
        <v>0.51180648876943746</v>
      </c>
      <c r="Y35" s="4845"/>
      <c r="Z35" s="4845"/>
    </row>
    <row r="36" spans="1:26" s="26" customFormat="1" ht="135">
      <c r="A36" s="4848" t="s">
        <v>468</v>
      </c>
      <c r="B36" s="4920" t="s">
        <v>2311</v>
      </c>
      <c r="C36" s="4845" t="s">
        <v>1518</v>
      </c>
      <c r="D36" s="4906">
        <v>45189</v>
      </c>
      <c r="E36" s="4916">
        <v>45194</v>
      </c>
      <c r="F36" s="4908" t="s">
        <v>93</v>
      </c>
      <c r="G36" s="4908" t="s">
        <v>2305</v>
      </c>
      <c r="H36" s="4917">
        <v>45196</v>
      </c>
      <c r="I36" s="4921" t="s">
        <v>2312</v>
      </c>
      <c r="J36" s="4845" t="s">
        <v>2306</v>
      </c>
      <c r="K36" s="4908" t="s">
        <v>2313</v>
      </c>
      <c r="L36" s="4845">
        <v>7815552</v>
      </c>
      <c r="M36" s="4917">
        <v>45196</v>
      </c>
      <c r="N36" s="4917">
        <v>45196</v>
      </c>
      <c r="O36" s="4917">
        <v>45197</v>
      </c>
      <c r="P36" s="4909" t="s">
        <v>2314</v>
      </c>
      <c r="Q36" s="4845" t="s">
        <v>75</v>
      </c>
      <c r="R36" s="4909" t="s">
        <v>2315</v>
      </c>
      <c r="S36" s="4845"/>
      <c r="T36" s="4845">
        <v>695</v>
      </c>
      <c r="U36" s="4922">
        <v>452.47</v>
      </c>
      <c r="V36" s="4845">
        <v>1</v>
      </c>
      <c r="W36" s="4845">
        <f>SEP_2023[[#This Row],[Sales Amount]]-SEP_2023[[#This Row],[Cost]]</f>
        <v>242.52999999999997</v>
      </c>
      <c r="X36" s="4919">
        <f>SEP_2023[[#This Row],[Profit]]/SEP_2023[[#This Row],[Cost]]</f>
        <v>0.53601343735496265</v>
      </c>
      <c r="Y36" s="4845"/>
      <c r="Z36" s="4845"/>
    </row>
    <row r="37" spans="1:26" s="26" customFormat="1">
      <c r="A37" s="4839" t="s">
        <v>329</v>
      </c>
      <c r="B37" s="4858" t="s">
        <v>2316</v>
      </c>
      <c r="C37" s="4839" t="s">
        <v>2317</v>
      </c>
      <c r="D37" s="4859">
        <v>45210</v>
      </c>
      <c r="E37" s="4859">
        <v>45230</v>
      </c>
      <c r="F37" s="4839" t="s">
        <v>29</v>
      </c>
      <c r="G37" s="4839" t="s">
        <v>57</v>
      </c>
      <c r="H37" s="4855">
        <v>45194</v>
      </c>
      <c r="I37" s="4841" t="s">
        <v>2318</v>
      </c>
      <c r="J37" s="4870" t="s">
        <v>32</v>
      </c>
      <c r="K37" s="4839" t="s">
        <v>661</v>
      </c>
      <c r="L37" s="4841" t="s">
        <v>542</v>
      </c>
      <c r="M37" s="4855" t="s">
        <v>2319</v>
      </c>
      <c r="N37" s="4876">
        <v>45194</v>
      </c>
      <c r="O37" s="4859">
        <v>45194</v>
      </c>
      <c r="P37" s="4871" t="s">
        <v>2320</v>
      </c>
      <c r="Q37" s="4839" t="s">
        <v>35</v>
      </c>
      <c r="R37" s="4839" t="s">
        <v>36</v>
      </c>
      <c r="S37" s="4839" t="s">
        <v>664</v>
      </c>
      <c r="T37" s="4873">
        <v>660</v>
      </c>
      <c r="U37" s="4872">
        <v>526</v>
      </c>
      <c r="V37" s="4873"/>
      <c r="W37" s="4874">
        <f>SEP_2023[[#This Row],[Sales Amount]]-SEP_2023[[#This Row],[Cost]]</f>
        <v>134</v>
      </c>
      <c r="X37" s="4875">
        <f>SEP_2023[[#This Row],[Profit]]/SEP_2023[[#This Row],[Cost]]</f>
        <v>0.25475285171102663</v>
      </c>
      <c r="Y37" s="4874"/>
      <c r="Z37" s="4874"/>
    </row>
    <row r="38" spans="1:26" ht="30">
      <c r="A38" s="4839" t="s">
        <v>676</v>
      </c>
      <c r="B38" s="4849" t="s">
        <v>2321</v>
      </c>
      <c r="C38" s="4839" t="s">
        <v>2103</v>
      </c>
      <c r="D38" s="4859">
        <v>45199</v>
      </c>
      <c r="E38" s="4859">
        <v>45219</v>
      </c>
      <c r="F38" s="4839" t="s">
        <v>29</v>
      </c>
      <c r="G38" s="4839" t="s">
        <v>57</v>
      </c>
      <c r="H38" s="4923" t="s">
        <v>2322</v>
      </c>
      <c r="I38" s="4924"/>
      <c r="J38" s="4839" t="s">
        <v>32</v>
      </c>
      <c r="K38" s="4841" t="s">
        <v>2105</v>
      </c>
      <c r="L38" s="4841" t="s">
        <v>542</v>
      </c>
      <c r="M38" s="4855">
        <v>45185</v>
      </c>
      <c r="N38" s="4925" t="s">
        <v>2322</v>
      </c>
      <c r="O38" s="4925" t="s">
        <v>2322</v>
      </c>
      <c r="P38" s="4926" t="s">
        <v>2323</v>
      </c>
      <c r="Q38" s="4839" t="s">
        <v>35</v>
      </c>
      <c r="R38" s="4839" t="s">
        <v>36</v>
      </c>
      <c r="S38" s="4839" t="s">
        <v>664</v>
      </c>
      <c r="T38" s="4872"/>
      <c r="U38" s="4873"/>
      <c r="V38" s="4873"/>
      <c r="W38" s="4874">
        <f>SEP_2023[[#This Row],[Sales Amount]]-SEP_2023[[#This Row],[Cost]]</f>
        <v>0</v>
      </c>
      <c r="X38" s="4875" t="e">
        <f>SEP_2023[[#This Row],[Profit]]/SEP_2023[[#This Row],[Cost]]</f>
        <v>#DIV/0!</v>
      </c>
      <c r="Y38" s="4874"/>
      <c r="Z38" s="4874"/>
    </row>
    <row r="39" spans="1:26" customFormat="1">
      <c r="A39" s="4870" t="s">
        <v>42</v>
      </c>
      <c r="B39" s="4870" t="s">
        <v>2324</v>
      </c>
      <c r="C39" s="4870" t="s">
        <v>28</v>
      </c>
      <c r="D39" s="4897">
        <v>45181</v>
      </c>
      <c r="E39" s="4912">
        <v>45187</v>
      </c>
      <c r="F39" s="4882" t="s">
        <v>86</v>
      </c>
      <c r="G39" s="4870" t="s">
        <v>829</v>
      </c>
      <c r="H39" s="4882"/>
      <c r="I39" s="4913"/>
      <c r="J39" s="4882" t="s">
        <v>168</v>
      </c>
      <c r="K39" s="4882" t="s">
        <v>2226</v>
      </c>
      <c r="L39" s="4870" t="s">
        <v>2325</v>
      </c>
      <c r="M39" s="4877">
        <v>45189</v>
      </c>
      <c r="N39" s="4877">
        <v>45187</v>
      </c>
      <c r="O39" s="4914">
        <v>45190</v>
      </c>
      <c r="P39" s="4891" t="s">
        <v>2326</v>
      </c>
      <c r="Q39" s="4913" t="s">
        <v>50</v>
      </c>
      <c r="R39" s="4913" t="s">
        <v>2143</v>
      </c>
      <c r="S39" s="4913"/>
      <c r="T39" s="4913"/>
      <c r="U39" s="4913"/>
      <c r="V39" s="4913"/>
      <c r="W39" s="4861">
        <f>SEP_2023[[#This Row],[Sales Amount]]-SEP_2023[[#This Row],[Cost]]</f>
        <v>0</v>
      </c>
      <c r="X39" s="4865" t="e">
        <f>SEP_2023[[#This Row],[Profit]]/SEP_2023[[#This Row],[Cost]]</f>
        <v>#DIV/0!</v>
      </c>
      <c r="Y39" s="4861"/>
      <c r="Z39" s="4861"/>
    </row>
    <row r="40" spans="1:26" s="3" customFormat="1">
      <c r="A40" s="4839" t="s">
        <v>68</v>
      </c>
      <c r="B40" s="4899" t="s">
        <v>2327</v>
      </c>
      <c r="C40" s="4839" t="s">
        <v>85</v>
      </c>
      <c r="D40" s="4859">
        <v>45193</v>
      </c>
      <c r="E40" s="4900">
        <v>45204</v>
      </c>
      <c r="F40" s="4852" t="s">
        <v>151</v>
      </c>
      <c r="G40" s="4839" t="s">
        <v>919</v>
      </c>
      <c r="H40" s="4855">
        <v>45204</v>
      </c>
      <c r="I40" s="4841" t="s">
        <v>212</v>
      </c>
      <c r="J40" s="4852" t="s">
        <v>490</v>
      </c>
      <c r="K40" s="4901" t="s">
        <v>2288</v>
      </c>
      <c r="L40" s="4841" t="s">
        <v>2328</v>
      </c>
      <c r="M40" s="4876">
        <v>45206</v>
      </c>
      <c r="N40" s="4879">
        <v>45204</v>
      </c>
      <c r="O40" s="4876">
        <v>45205</v>
      </c>
      <c r="P40" s="4902" t="s">
        <v>2329</v>
      </c>
      <c r="Q40" s="4852" t="s">
        <v>35</v>
      </c>
      <c r="R40" s="4870" t="s">
        <v>36</v>
      </c>
      <c r="S40" s="4839" t="s">
        <v>67</v>
      </c>
      <c r="T40" s="4872">
        <v>3160</v>
      </c>
      <c r="U40" s="4873">
        <v>2523</v>
      </c>
      <c r="V40" s="4873">
        <v>4</v>
      </c>
      <c r="W40" s="4874">
        <f>SEP_2023[[#This Row],[Sales Amount]]-SEP_2023[[#This Row],[Cost]]</f>
        <v>637</v>
      </c>
      <c r="X40" s="4875">
        <f>SEP_2023[[#This Row],[Profit]]/SEP_2023[[#This Row],[Cost]]</f>
        <v>0.25247720967102655</v>
      </c>
      <c r="Y40" s="4874"/>
      <c r="Z40" s="4874"/>
    </row>
    <row r="41" spans="1:26" s="26" customFormat="1">
      <c r="A41" s="4839" t="s">
        <v>68</v>
      </c>
      <c r="B41" s="4899" t="s">
        <v>2330</v>
      </c>
      <c r="C41" s="4839" t="s">
        <v>85</v>
      </c>
      <c r="D41" s="4859">
        <v>45193</v>
      </c>
      <c r="E41" s="4900">
        <v>45209</v>
      </c>
      <c r="F41" s="4852" t="s">
        <v>151</v>
      </c>
      <c r="G41" s="4839" t="s">
        <v>919</v>
      </c>
      <c r="H41" s="4855">
        <v>45210</v>
      </c>
      <c r="I41" s="4841" t="s">
        <v>108</v>
      </c>
      <c r="J41" s="4852" t="s">
        <v>490</v>
      </c>
      <c r="K41" s="4901" t="s">
        <v>2288</v>
      </c>
      <c r="L41" s="4869" t="s">
        <v>2331</v>
      </c>
      <c r="M41" s="4879">
        <v>45211</v>
      </c>
      <c r="N41" s="4881">
        <v>45210</v>
      </c>
      <c r="O41" s="4881">
        <v>45210</v>
      </c>
      <c r="P41" s="4902" t="s">
        <v>2332</v>
      </c>
      <c r="Q41" s="4852" t="s">
        <v>35</v>
      </c>
      <c r="R41" s="4870" t="s">
        <v>36</v>
      </c>
      <c r="S41" s="4839" t="s">
        <v>67</v>
      </c>
      <c r="T41" s="4872">
        <v>3160</v>
      </c>
      <c r="U41" s="4873">
        <v>2523</v>
      </c>
      <c r="V41" s="4873">
        <v>4</v>
      </c>
      <c r="W41" s="4874">
        <f>SEP_2023[[#This Row],[Sales Amount]]-SEP_2023[[#This Row],[Cost]]</f>
        <v>637</v>
      </c>
      <c r="X41" s="4875">
        <f>SEP_2023[[#This Row],[Profit]]/SEP_2023[[#This Row],[Cost]]</f>
        <v>0.25247720967102655</v>
      </c>
      <c r="Y41" s="4874"/>
      <c r="Z41" s="4874"/>
    </row>
    <row r="42" spans="1:26" s="26" customFormat="1">
      <c r="A42" s="4839" t="s">
        <v>68</v>
      </c>
      <c r="B42" s="4899" t="s">
        <v>2333</v>
      </c>
      <c r="C42" s="4839" t="s">
        <v>85</v>
      </c>
      <c r="D42" s="4859">
        <v>45193</v>
      </c>
      <c r="E42" s="4900">
        <v>45209</v>
      </c>
      <c r="F42" s="4852" t="s">
        <v>151</v>
      </c>
      <c r="G42" s="4839" t="s">
        <v>919</v>
      </c>
      <c r="H42" s="4855">
        <v>45210</v>
      </c>
      <c r="I42" s="4841" t="s">
        <v>115</v>
      </c>
      <c r="J42" s="4852" t="s">
        <v>490</v>
      </c>
      <c r="K42" s="4901" t="s">
        <v>2288</v>
      </c>
      <c r="L42" s="4869" t="s">
        <v>2334</v>
      </c>
      <c r="M42" s="4879">
        <v>45211</v>
      </c>
      <c r="N42" s="4881">
        <v>45210</v>
      </c>
      <c r="O42" s="4881">
        <v>45210</v>
      </c>
      <c r="P42" s="4902" t="s">
        <v>2335</v>
      </c>
      <c r="Q42" s="4852" t="s">
        <v>35</v>
      </c>
      <c r="R42" s="4870" t="s">
        <v>36</v>
      </c>
      <c r="S42" s="4839" t="s">
        <v>67</v>
      </c>
      <c r="T42" s="4872">
        <v>3160</v>
      </c>
      <c r="U42" s="4873">
        <v>2523</v>
      </c>
      <c r="V42" s="4873">
        <v>4</v>
      </c>
      <c r="W42" s="4874">
        <f>SEP_2023[[#This Row],[Sales Amount]]-SEP_2023[[#This Row],[Cost]]</f>
        <v>637</v>
      </c>
      <c r="X42" s="4875">
        <f>SEP_2023[[#This Row],[Profit]]/SEP_2023[[#This Row],[Cost]]</f>
        <v>0.25247720967102655</v>
      </c>
      <c r="Y42" s="4874"/>
      <c r="Z42" s="4874"/>
    </row>
    <row r="43" spans="1:26" s="26" customFormat="1" ht="30">
      <c r="A43" s="4848" t="s">
        <v>165</v>
      </c>
      <c r="B43" s="4908" t="s">
        <v>2336</v>
      </c>
      <c r="C43" s="4845" t="s">
        <v>28</v>
      </c>
      <c r="D43" s="4906">
        <v>45177</v>
      </c>
      <c r="E43" s="4907">
        <v>45180</v>
      </c>
      <c r="F43" s="4845" t="s">
        <v>167</v>
      </c>
      <c r="G43" s="4845" t="s">
        <v>302</v>
      </c>
      <c r="H43" s="4918">
        <v>45182</v>
      </c>
      <c r="I43" s="4927" t="s">
        <v>445</v>
      </c>
      <c r="J43" s="4908" t="s">
        <v>32</v>
      </c>
      <c r="K43" s="4845" t="s">
        <v>2337</v>
      </c>
      <c r="L43" s="4837" t="s">
        <v>2338</v>
      </c>
      <c r="M43" s="4918">
        <v>45182</v>
      </c>
      <c r="N43" s="4918">
        <v>45182</v>
      </c>
      <c r="O43" s="4918">
        <v>45182</v>
      </c>
      <c r="P43" s="4909" t="s">
        <v>2339</v>
      </c>
      <c r="Q43" s="4845" t="s">
        <v>75</v>
      </c>
      <c r="R43" s="4837" t="s">
        <v>2340</v>
      </c>
      <c r="S43" s="4845">
        <v>4</v>
      </c>
      <c r="T43" s="4845">
        <v>670</v>
      </c>
      <c r="U43" s="4845">
        <v>556</v>
      </c>
      <c r="V43" s="4845">
        <v>1</v>
      </c>
      <c r="W43" s="4845">
        <f>SEP_2023[[#This Row],[Sales Amount]]-SEP_2023[[#This Row],[Cost]]</f>
        <v>114</v>
      </c>
      <c r="X43" s="4919">
        <f>SEP_2023[[#This Row],[Profit]]/SEP_2023[[#This Row],[Cost]]</f>
        <v>0.20503597122302158</v>
      </c>
      <c r="Y43" s="4845"/>
      <c r="Z43" s="4845"/>
    </row>
    <row r="44" spans="1:26" s="707" customFormat="1">
      <c r="A44" s="4848" t="s">
        <v>165</v>
      </c>
      <c r="B44" s="4928" t="s">
        <v>2341</v>
      </c>
      <c r="C44" s="4845" t="s">
        <v>200</v>
      </c>
      <c r="D44" s="4906">
        <v>45187</v>
      </c>
      <c r="E44" s="4907">
        <v>45193</v>
      </c>
      <c r="F44" s="4845" t="s">
        <v>167</v>
      </c>
      <c r="G44" s="4908" t="s">
        <v>2342</v>
      </c>
      <c r="H44" s="4918">
        <v>45196</v>
      </c>
      <c r="I44" s="4929" t="s">
        <v>672</v>
      </c>
      <c r="J44" s="4908" t="s">
        <v>32</v>
      </c>
      <c r="K44" s="4845" t="s">
        <v>2013</v>
      </c>
      <c r="L44" s="4930" t="s">
        <v>2343</v>
      </c>
      <c r="M44" s="4931">
        <v>45196</v>
      </c>
      <c r="N44" s="4931">
        <v>45196</v>
      </c>
      <c r="O44" s="4931">
        <v>45196</v>
      </c>
      <c r="P44" s="4932" t="s">
        <v>2344</v>
      </c>
      <c r="Q44" s="4845" t="s">
        <v>75</v>
      </c>
      <c r="R44" s="4933" t="s">
        <v>2345</v>
      </c>
      <c r="S44" s="4934">
        <v>4</v>
      </c>
      <c r="T44" s="4934">
        <v>1070</v>
      </c>
      <c r="U44" s="4934">
        <v>870</v>
      </c>
      <c r="V44" s="4934">
        <v>2</v>
      </c>
      <c r="W44" s="4845">
        <f>SEP_2023[[#This Row],[Sales Amount]]-SEP_2023[[#This Row],[Cost]]</f>
        <v>200</v>
      </c>
      <c r="X44" s="4919">
        <f>SEP_2023[[#This Row],[Profit]]/SEP_2023[[#This Row],[Cost]]</f>
        <v>0.22988505747126436</v>
      </c>
      <c r="Y44" s="4845"/>
      <c r="Z44" s="4845"/>
    </row>
    <row r="45" spans="1:26" s="26" customFormat="1">
      <c r="A45" s="4848" t="s">
        <v>165</v>
      </c>
      <c r="B45" s="4908" t="s">
        <v>2346</v>
      </c>
      <c r="C45" s="4845" t="s">
        <v>451</v>
      </c>
      <c r="D45" s="4906">
        <v>45187</v>
      </c>
      <c r="E45" s="4935">
        <v>45199</v>
      </c>
      <c r="F45" s="4845" t="s">
        <v>167</v>
      </c>
      <c r="G45" s="4908" t="s">
        <v>2342</v>
      </c>
      <c r="H45" s="4936">
        <v>45201</v>
      </c>
      <c r="I45" s="4929"/>
      <c r="J45" s="4908" t="s">
        <v>32</v>
      </c>
      <c r="K45" s="4845" t="s">
        <v>2013</v>
      </c>
      <c r="L45" s="4930" t="s">
        <v>2347</v>
      </c>
      <c r="M45" s="4931">
        <v>45201</v>
      </c>
      <c r="N45" s="4931">
        <v>45202</v>
      </c>
      <c r="O45" s="4931">
        <v>45201</v>
      </c>
      <c r="P45" s="4937" t="s">
        <v>2348</v>
      </c>
      <c r="Q45" s="4845" t="s">
        <v>75</v>
      </c>
      <c r="R45" s="4933" t="s">
        <v>2345</v>
      </c>
      <c r="S45" s="4934">
        <v>4</v>
      </c>
      <c r="T45" s="4934">
        <v>1070</v>
      </c>
      <c r="U45" s="4934">
        <v>870</v>
      </c>
      <c r="V45" s="4934">
        <v>2</v>
      </c>
      <c r="W45" s="4845">
        <f>SEP_2023[[#This Row],[Sales Amount]]-SEP_2023[[#This Row],[Cost]]</f>
        <v>200</v>
      </c>
      <c r="X45" s="4919">
        <f>SEP_2023[[#This Row],[Profit]]/SEP_2023[[#This Row],[Cost]]</f>
        <v>0.22988505747126436</v>
      </c>
      <c r="Y45" s="4845"/>
      <c r="Z45" s="4845"/>
    </row>
    <row r="46" spans="1:26" customFormat="1">
      <c r="A46" s="4870" t="s">
        <v>639</v>
      </c>
      <c r="B46" s="4880" t="s">
        <v>2349</v>
      </c>
      <c r="C46" s="4880" t="s">
        <v>28</v>
      </c>
      <c r="D46" s="4877">
        <v>45168</v>
      </c>
      <c r="E46" s="4878">
        <v>45175</v>
      </c>
      <c r="F46" s="4880" t="s">
        <v>173</v>
      </c>
      <c r="G46" s="4880" t="s">
        <v>46</v>
      </c>
      <c r="H46" s="4877">
        <v>45183</v>
      </c>
      <c r="I46" s="4870"/>
      <c r="J46" s="4880" t="s">
        <v>32</v>
      </c>
      <c r="K46" s="4880" t="s">
        <v>2350</v>
      </c>
      <c r="L46" s="4869">
        <v>579828</v>
      </c>
      <c r="M46" s="4879">
        <v>45184</v>
      </c>
      <c r="N46" s="4879">
        <v>45183</v>
      </c>
      <c r="O46" s="4879">
        <v>45183</v>
      </c>
      <c r="P46" s="4893" t="s">
        <v>2351</v>
      </c>
      <c r="Q46" s="4880" t="s">
        <v>35</v>
      </c>
      <c r="R46" s="4839" t="s">
        <v>36</v>
      </c>
      <c r="S46" s="4839" t="s">
        <v>37</v>
      </c>
      <c r="T46" s="4892">
        <v>1170</v>
      </c>
      <c r="U46" s="4872">
        <v>1001</v>
      </c>
      <c r="V46" s="4892"/>
      <c r="W46" s="4874">
        <f>SEP_2023[[#This Row],[Sales Amount]]-SEP_2023[[#This Row],[Cost]]</f>
        <v>169</v>
      </c>
      <c r="X46" s="4875">
        <f>SEP_2023[[#This Row],[Profit]]/SEP_2023[[#This Row],[Cost]]</f>
        <v>0.16883116883116883</v>
      </c>
      <c r="Y46" s="4874"/>
      <c r="Z46" s="4874"/>
    </row>
    <row r="47" spans="1:26" customFormat="1" ht="90">
      <c r="A47" s="4848" t="s">
        <v>319</v>
      </c>
      <c r="B47" s="4908" t="s">
        <v>2352</v>
      </c>
      <c r="C47" s="4845" t="s">
        <v>200</v>
      </c>
      <c r="D47" s="4906">
        <v>45172</v>
      </c>
      <c r="E47" s="4907">
        <v>45192</v>
      </c>
      <c r="F47" s="4845" t="s">
        <v>151</v>
      </c>
      <c r="G47" s="4908" t="s">
        <v>302</v>
      </c>
      <c r="H47" s="4906">
        <v>45196</v>
      </c>
      <c r="I47" s="4908" t="s">
        <v>2353</v>
      </c>
      <c r="J47" s="4908" t="s">
        <v>32</v>
      </c>
      <c r="K47" s="4909" t="s">
        <v>2354</v>
      </c>
      <c r="L47" s="4908" t="s">
        <v>2355</v>
      </c>
      <c r="M47" s="4906">
        <v>45195</v>
      </c>
      <c r="N47" s="4906">
        <v>45195</v>
      </c>
      <c r="O47" s="4844">
        <v>45197</v>
      </c>
      <c r="P47" s="4909" t="s">
        <v>2356</v>
      </c>
      <c r="Q47" s="4845" t="s">
        <v>75</v>
      </c>
      <c r="R47" s="4938" t="s">
        <v>2357</v>
      </c>
      <c r="S47" s="4845">
        <v>4</v>
      </c>
      <c r="T47" s="4874">
        <v>2735</v>
      </c>
      <c r="U47" s="4939">
        <v>2305</v>
      </c>
      <c r="V47" s="4874">
        <v>1</v>
      </c>
      <c r="W47" s="4874">
        <f>SEP_2023[[#This Row],[Sales Amount]]-SEP_2023[[#This Row],[Cost]]</f>
        <v>430</v>
      </c>
      <c r="X47" s="4875">
        <f>SEP_2023[[#This Row],[Profit]]/SEP_2023[[#This Row],[Cost]]</f>
        <v>0.18655097613882862</v>
      </c>
      <c r="Y47" s="4845"/>
      <c r="Z47" s="4845"/>
    </row>
    <row r="48" spans="1:26" s="507" customFormat="1">
      <c r="A48" s="4839" t="s">
        <v>2358</v>
      </c>
      <c r="B48" s="4839" t="s">
        <v>2359</v>
      </c>
      <c r="C48" s="4839" t="s">
        <v>451</v>
      </c>
      <c r="D48" s="4859">
        <v>45177</v>
      </c>
      <c r="E48" s="4867">
        <v>45177</v>
      </c>
      <c r="F48" s="4839" t="s">
        <v>45</v>
      </c>
      <c r="G48" s="4839" t="s">
        <v>2360</v>
      </c>
      <c r="H48" s="4839"/>
      <c r="I48" s="4839"/>
      <c r="J48" s="4839" t="s">
        <v>859</v>
      </c>
      <c r="K48" s="4839" t="s">
        <v>2361</v>
      </c>
      <c r="L48" s="4841" t="s">
        <v>542</v>
      </c>
      <c r="M48" s="4855">
        <v>45183</v>
      </c>
      <c r="N48" s="4876">
        <v>45183</v>
      </c>
      <c r="O48" s="4859">
        <v>45188</v>
      </c>
      <c r="P48" s="4861" t="s">
        <v>2362</v>
      </c>
      <c r="Q48" s="4839" t="s">
        <v>35</v>
      </c>
      <c r="R48" s="4839" t="s">
        <v>36</v>
      </c>
      <c r="S48" s="4839" t="s">
        <v>101</v>
      </c>
      <c r="T48" s="4895">
        <v>3773.42</v>
      </c>
      <c r="U48" s="4895">
        <v>2495</v>
      </c>
      <c r="V48" s="4874"/>
      <c r="W48" s="4874">
        <f>SEP_2023[[#This Row],[Sales Amount]]-SEP_2023[[#This Row],[Cost]]</f>
        <v>1278.42</v>
      </c>
      <c r="X48" s="4875">
        <f>SEP_2023[[#This Row],[Profit]]/SEP_2023[[#This Row],[Cost]]</f>
        <v>0.51239278557114232</v>
      </c>
      <c r="Y48" s="4874"/>
      <c r="Z48" s="4874"/>
    </row>
    <row r="49" spans="1:26" s="507" customFormat="1">
      <c r="A49" s="4870" t="s">
        <v>2160</v>
      </c>
      <c r="B49" s="4880" t="s">
        <v>2363</v>
      </c>
      <c r="C49" s="4870" t="s">
        <v>44</v>
      </c>
      <c r="D49" s="4859">
        <v>45171</v>
      </c>
      <c r="E49" s="4867">
        <v>45179</v>
      </c>
      <c r="F49" s="4882" t="s">
        <v>734</v>
      </c>
      <c r="G49" s="4839" t="s">
        <v>829</v>
      </c>
      <c r="H49" s="4882"/>
      <c r="I49" s="4913"/>
      <c r="J49" s="4882" t="s">
        <v>168</v>
      </c>
      <c r="K49" s="4882" t="s">
        <v>2226</v>
      </c>
      <c r="L49" s="4870" t="s">
        <v>2364</v>
      </c>
      <c r="M49" s="4877">
        <v>45183</v>
      </c>
      <c r="N49" s="4877">
        <v>45181</v>
      </c>
      <c r="O49" s="4914">
        <v>45185</v>
      </c>
      <c r="P49" s="4891" t="s">
        <v>2365</v>
      </c>
      <c r="Q49" s="4913" t="s">
        <v>50</v>
      </c>
      <c r="R49" s="4913" t="s">
        <v>51</v>
      </c>
      <c r="S49" s="4913"/>
      <c r="T49" s="4913"/>
      <c r="U49" s="4913"/>
      <c r="V49" s="4913"/>
      <c r="W49" s="4861">
        <f>SEP_2023[[#This Row],[Sales Amount]]-SEP_2023[[#This Row],[Cost]]</f>
        <v>0</v>
      </c>
      <c r="X49" s="4865" t="e">
        <f>SEP_2023[[#This Row],[Profit]]/SEP_2023[[#This Row],[Cost]]</f>
        <v>#DIV/0!</v>
      </c>
      <c r="Y49" s="4861"/>
      <c r="Z49" s="4861"/>
    </row>
    <row r="50" spans="1:26" s="26" customFormat="1">
      <c r="A50" s="4870" t="s">
        <v>2160</v>
      </c>
      <c r="B50" s="4882" t="s">
        <v>2366</v>
      </c>
      <c r="C50" s="4861" t="s">
        <v>44</v>
      </c>
      <c r="D50" s="4940">
        <v>45180</v>
      </c>
      <c r="E50" s="4912">
        <v>45187</v>
      </c>
      <c r="F50" s="4882" t="s">
        <v>734</v>
      </c>
      <c r="G50" s="4882" t="s">
        <v>829</v>
      </c>
      <c r="H50" s="4882"/>
      <c r="I50" s="4882"/>
      <c r="J50" s="4886" t="s">
        <v>32</v>
      </c>
      <c r="K50" s="4882" t="s">
        <v>2226</v>
      </c>
      <c r="L50" s="4913" t="s">
        <v>2367</v>
      </c>
      <c r="M50" s="4903">
        <v>45191</v>
      </c>
      <c r="N50" s="4903">
        <v>45188</v>
      </c>
      <c r="O50" s="4940">
        <v>45191</v>
      </c>
      <c r="P50" s="4871" t="s">
        <v>2368</v>
      </c>
      <c r="Q50" s="4913" t="s">
        <v>50</v>
      </c>
      <c r="R50" s="4913" t="s">
        <v>51</v>
      </c>
      <c r="S50" s="4913"/>
      <c r="T50" s="4913"/>
      <c r="U50" s="4913"/>
      <c r="V50" s="4913"/>
      <c r="W50" s="4861">
        <f>SEP_2023[[#This Row],[Sales Amount]]-SEP_2023[[#This Row],[Cost]]</f>
        <v>0</v>
      </c>
      <c r="X50" s="4865" t="e">
        <f>SEP_2023[[#This Row],[Profit]]/SEP_2023[[#This Row],[Cost]]</f>
        <v>#DIV/0!</v>
      </c>
      <c r="Y50" s="4861"/>
      <c r="Z50" s="4861"/>
    </row>
    <row r="51" spans="1:26" s="26" customFormat="1">
      <c r="A51" s="4870" t="s">
        <v>497</v>
      </c>
      <c r="B51" s="4870" t="s">
        <v>2369</v>
      </c>
      <c r="C51" s="4870" t="s">
        <v>44</v>
      </c>
      <c r="D51" s="4877">
        <v>45175</v>
      </c>
      <c r="E51" s="4941">
        <v>45181</v>
      </c>
      <c r="F51" s="4882" t="s">
        <v>1671</v>
      </c>
      <c r="G51" s="4870" t="s">
        <v>2206</v>
      </c>
      <c r="H51" s="4882"/>
      <c r="I51" s="4882"/>
      <c r="J51" s="4882" t="s">
        <v>168</v>
      </c>
      <c r="K51" s="4882" t="s">
        <v>310</v>
      </c>
      <c r="L51" s="4870">
        <v>6035394</v>
      </c>
      <c r="M51" s="4877">
        <v>45183</v>
      </c>
      <c r="N51" s="4877">
        <v>45182</v>
      </c>
      <c r="O51" s="4940">
        <v>45185</v>
      </c>
      <c r="P51" s="4871" t="s">
        <v>2370</v>
      </c>
      <c r="Q51" s="4882" t="s">
        <v>1281</v>
      </c>
      <c r="R51" s="4913" t="s">
        <v>51</v>
      </c>
      <c r="S51" s="4882"/>
      <c r="T51" s="4882"/>
      <c r="U51" s="4870"/>
      <c r="V51" s="4882"/>
      <c r="W51" s="4861">
        <f>SEP_2023[[#This Row],[Sales Amount]]-SEP_2023[[#This Row],[Cost]]</f>
        <v>0</v>
      </c>
      <c r="X51" s="4865" t="e">
        <f>SEP_2023[[#This Row],[Profit]]/SEP_2023[[#This Row],[Cost]]</f>
        <v>#DIV/0!</v>
      </c>
      <c r="Y51" s="4861"/>
      <c r="Z51" s="4861"/>
    </row>
    <row r="52" spans="1:26" s="26" customFormat="1">
      <c r="A52" s="4852" t="s">
        <v>1035</v>
      </c>
      <c r="B52" s="4859" t="s">
        <v>2371</v>
      </c>
      <c r="C52" s="4839" t="s">
        <v>44</v>
      </c>
      <c r="D52" s="4859">
        <v>45177</v>
      </c>
      <c r="E52" s="4900">
        <v>45203</v>
      </c>
      <c r="F52" s="4839" t="s">
        <v>151</v>
      </c>
      <c r="G52" s="4839" t="s">
        <v>46</v>
      </c>
      <c r="H52" s="4870" t="s">
        <v>1038</v>
      </c>
      <c r="I52" s="4839"/>
      <c r="J52" s="4839" t="s">
        <v>32</v>
      </c>
      <c r="K52" s="4839" t="s">
        <v>162</v>
      </c>
      <c r="L52" s="4942">
        <v>44490000000</v>
      </c>
      <c r="M52" s="4855">
        <v>45205</v>
      </c>
      <c r="N52" s="4855">
        <v>45204</v>
      </c>
      <c r="O52" s="4877">
        <v>45204</v>
      </c>
      <c r="P52" s="4882" t="s">
        <v>2372</v>
      </c>
      <c r="Q52" s="4852" t="s">
        <v>35</v>
      </c>
      <c r="R52" s="4852" t="s">
        <v>36</v>
      </c>
      <c r="S52" s="4870" t="s">
        <v>2373</v>
      </c>
      <c r="T52" s="4895"/>
      <c r="U52" s="4874"/>
      <c r="V52" s="4874"/>
      <c r="W52" s="4874">
        <f>SEP_2023[[#This Row],[Sales Amount]]-SEP_2023[[#This Row],[Cost]]</f>
        <v>0</v>
      </c>
      <c r="X52" s="4875" t="e">
        <f>SEP_2023[[#This Row],[Profit]]/SEP_2023[[#This Row],[Cost]]</f>
        <v>#DIV/0!</v>
      </c>
      <c r="Y52" s="4874"/>
      <c r="Z52" s="4874"/>
    </row>
    <row r="53" spans="1:26">
      <c r="A53" s="4839" t="s">
        <v>1035</v>
      </c>
      <c r="B53" s="4839" t="s">
        <v>2374</v>
      </c>
      <c r="C53" s="4839" t="s">
        <v>44</v>
      </c>
      <c r="D53" s="4859">
        <v>45177</v>
      </c>
      <c r="E53" s="4900">
        <v>45200</v>
      </c>
      <c r="F53" s="4839" t="s">
        <v>151</v>
      </c>
      <c r="G53" s="4839" t="s">
        <v>46</v>
      </c>
      <c r="H53" s="4839" t="s">
        <v>1038</v>
      </c>
      <c r="I53" s="4839"/>
      <c r="J53" s="4839" t="s">
        <v>32</v>
      </c>
      <c r="K53" s="4839" t="s">
        <v>162</v>
      </c>
      <c r="L53" s="4841" t="s">
        <v>2375</v>
      </c>
      <c r="M53" s="4855">
        <v>45201</v>
      </c>
      <c r="N53" s="4855">
        <v>45201</v>
      </c>
      <c r="O53" s="4859">
        <v>45202</v>
      </c>
      <c r="P53" s="4861" t="s">
        <v>2372</v>
      </c>
      <c r="Q53" s="4852" t="s">
        <v>35</v>
      </c>
      <c r="R53" s="4852" t="s">
        <v>36</v>
      </c>
      <c r="S53" s="4870" t="s">
        <v>2373</v>
      </c>
      <c r="T53" s="4895"/>
      <c r="U53" s="4874"/>
      <c r="V53" s="4874"/>
      <c r="W53" s="4874">
        <f>SEP_2023[[#This Row],[Sales Amount]]-SEP_2023[[#This Row],[Cost]]</f>
        <v>0</v>
      </c>
      <c r="X53" s="4875" t="e">
        <f>SEP_2023[[#This Row],[Profit]]/SEP_2023[[#This Row],[Cost]]</f>
        <v>#DIV/0!</v>
      </c>
      <c r="Y53" s="4874"/>
      <c r="Z53" s="4874"/>
    </row>
    <row r="54" spans="1:26">
      <c r="A54" s="4870" t="s">
        <v>732</v>
      </c>
      <c r="B54" s="4880" t="s">
        <v>2376</v>
      </c>
      <c r="C54" s="4870" t="s">
        <v>44</v>
      </c>
      <c r="D54" s="4859">
        <v>45171</v>
      </c>
      <c r="E54" s="4867">
        <v>45179</v>
      </c>
      <c r="F54" s="4861" t="s">
        <v>990</v>
      </c>
      <c r="G54" s="4839" t="s">
        <v>829</v>
      </c>
      <c r="H54" s="4882"/>
      <c r="I54" s="4913"/>
      <c r="J54" s="4882" t="s">
        <v>168</v>
      </c>
      <c r="K54" s="4882" t="s">
        <v>2226</v>
      </c>
      <c r="L54" s="4943" t="s">
        <v>2377</v>
      </c>
      <c r="M54" s="4877">
        <v>45181</v>
      </c>
      <c r="N54" s="4877">
        <v>45180</v>
      </c>
      <c r="O54" s="4914">
        <v>45182</v>
      </c>
      <c r="P54" s="4891" t="s">
        <v>2378</v>
      </c>
      <c r="Q54" s="4913" t="s">
        <v>50</v>
      </c>
      <c r="R54" s="4913" t="s">
        <v>51</v>
      </c>
      <c r="S54" s="4913"/>
      <c r="T54" s="4913"/>
      <c r="U54" s="4913"/>
      <c r="V54" s="4913"/>
      <c r="W54" s="4861">
        <f>SEP_2023[[#This Row],[Sales Amount]]-SEP_2023[[#This Row],[Cost]]</f>
        <v>0</v>
      </c>
      <c r="X54" s="4865" t="e">
        <f>SEP_2023[[#This Row],[Profit]]/SEP_2023[[#This Row],[Cost]]</f>
        <v>#DIV/0!</v>
      </c>
      <c r="Y54" s="4861"/>
      <c r="Z54" s="4861"/>
    </row>
    <row r="55" spans="1:26" ht="45">
      <c r="A55" s="4848" t="s">
        <v>732</v>
      </c>
      <c r="B55" s="4944" t="s">
        <v>2379</v>
      </c>
      <c r="C55" s="4848" t="s">
        <v>44</v>
      </c>
      <c r="D55" s="4853">
        <v>45172</v>
      </c>
      <c r="E55" s="4945">
        <v>45179</v>
      </c>
      <c r="F55" s="4845" t="s">
        <v>990</v>
      </c>
      <c r="G55" s="4848" t="s">
        <v>1724</v>
      </c>
      <c r="H55" s="4853">
        <v>45184</v>
      </c>
      <c r="I55" s="4946">
        <v>0.79166666666666663</v>
      </c>
      <c r="J55" s="4845" t="s">
        <v>168</v>
      </c>
      <c r="K55" s="4947" t="s">
        <v>310</v>
      </c>
      <c r="L55" s="4948" t="s">
        <v>2380</v>
      </c>
      <c r="M55" s="4949">
        <v>45181</v>
      </c>
      <c r="N55" s="4853">
        <v>45180</v>
      </c>
      <c r="O55" s="4906">
        <v>45187</v>
      </c>
      <c r="P55" s="4947" t="s">
        <v>2381</v>
      </c>
      <c r="Q55" s="4845" t="s">
        <v>50</v>
      </c>
      <c r="R55" s="4845" t="s">
        <v>51</v>
      </c>
      <c r="S55" s="4845"/>
      <c r="T55" s="4845"/>
      <c r="U55" s="4845"/>
      <c r="V55" s="4845"/>
      <c r="W55" s="4845">
        <f>SEP_2023[[#This Row],[Sales Amount]]-SEP_2023[[#This Row],[Cost]]</f>
        <v>0</v>
      </c>
      <c r="X55" s="4919" t="e">
        <f>SEP_2023[[#This Row],[Profit]]/SEP_2023[[#This Row],[Cost]]</f>
        <v>#DIV/0!</v>
      </c>
      <c r="Y55" s="4845"/>
      <c r="Z55" s="4845"/>
    </row>
    <row r="56" spans="1:26" customFormat="1">
      <c r="A56" s="4839" t="s">
        <v>732</v>
      </c>
      <c r="B56" s="4870" t="s">
        <v>2382</v>
      </c>
      <c r="C56" s="4839" t="s">
        <v>44</v>
      </c>
      <c r="D56" s="4877">
        <v>45172</v>
      </c>
      <c r="E56" s="4877">
        <v>45179</v>
      </c>
      <c r="F56" s="4861" t="s">
        <v>990</v>
      </c>
      <c r="G56" s="4839" t="s">
        <v>1724</v>
      </c>
      <c r="H56" s="4882"/>
      <c r="I56" s="4882"/>
      <c r="J56" s="4861" t="s">
        <v>168</v>
      </c>
      <c r="K56" s="4864" t="s">
        <v>310</v>
      </c>
      <c r="L56" s="4943" t="s">
        <v>2383</v>
      </c>
      <c r="M56" s="4877">
        <v>45181</v>
      </c>
      <c r="N56" s="4877">
        <v>45181</v>
      </c>
      <c r="O56" s="4940">
        <v>45184</v>
      </c>
      <c r="P56" s="4891" t="s">
        <v>2384</v>
      </c>
      <c r="Q56" s="4882" t="s">
        <v>50</v>
      </c>
      <c r="R56" s="4882" t="s">
        <v>51</v>
      </c>
      <c r="S56" s="4882"/>
      <c r="T56" s="4882"/>
      <c r="U56" s="4870"/>
      <c r="V56" s="4882"/>
      <c r="W56" s="4861">
        <f>SEP_2023[[#This Row],[Sales Amount]]-SEP_2023[[#This Row],[Cost]]</f>
        <v>0</v>
      </c>
      <c r="X56" s="4865" t="e">
        <f>SEP_2023[[#This Row],[Profit]]/SEP_2023[[#This Row],[Cost]]</f>
        <v>#DIV/0!</v>
      </c>
      <c r="Y56" s="4861"/>
      <c r="Z56" s="4861"/>
    </row>
    <row r="57" spans="1:26" s="650" customFormat="1">
      <c r="A57" s="4870" t="s">
        <v>1945</v>
      </c>
      <c r="B57" s="4870" t="s">
        <v>2385</v>
      </c>
      <c r="C57" s="4870" t="s">
        <v>794</v>
      </c>
      <c r="D57" s="4877">
        <v>45181</v>
      </c>
      <c r="E57" s="4878">
        <v>45187</v>
      </c>
      <c r="F57" s="4870" t="s">
        <v>56</v>
      </c>
      <c r="G57" s="4870" t="s">
        <v>46</v>
      </c>
      <c r="H57" s="4879">
        <v>45190</v>
      </c>
      <c r="I57" s="4869" t="s">
        <v>115</v>
      </c>
      <c r="J57" s="4870" t="s">
        <v>32</v>
      </c>
      <c r="K57" s="4870" t="s">
        <v>1947</v>
      </c>
      <c r="L57" s="4869" t="s">
        <v>2386</v>
      </c>
      <c r="M57" s="4879">
        <v>45189</v>
      </c>
      <c r="N57" s="4879">
        <v>45189</v>
      </c>
      <c r="O57" s="4855">
        <v>45190</v>
      </c>
      <c r="P57" s="4871" t="s">
        <v>2387</v>
      </c>
      <c r="Q57" s="4870" t="s">
        <v>35</v>
      </c>
      <c r="R57" s="4839" t="s">
        <v>36</v>
      </c>
      <c r="S57" s="4839" t="s">
        <v>67</v>
      </c>
      <c r="T57" s="4873">
        <v>1125</v>
      </c>
      <c r="U57" s="4872">
        <v>896</v>
      </c>
      <c r="V57" s="4873"/>
      <c r="W57" s="4874">
        <f>SEP_2023[[#This Row],[Sales Amount]]-SEP_2023[[#This Row],[Cost]]</f>
        <v>229</v>
      </c>
      <c r="X57" s="4875">
        <f>SEP_2023[[#This Row],[Profit]]/SEP_2023[[#This Row],[Cost]]</f>
        <v>0.25558035714285715</v>
      </c>
      <c r="Y57" s="4874"/>
      <c r="Z57" s="4874"/>
    </row>
    <row r="58" spans="1:26" s="26" customFormat="1" ht="15.75">
      <c r="A58" s="4870" t="s">
        <v>42</v>
      </c>
      <c r="B58" s="4882" t="s">
        <v>2388</v>
      </c>
      <c r="C58" s="4882" t="s">
        <v>704</v>
      </c>
      <c r="D58" s="4903">
        <v>45170</v>
      </c>
      <c r="E58" s="4941">
        <v>45188</v>
      </c>
      <c r="F58" s="4882" t="s">
        <v>2389</v>
      </c>
      <c r="G58" s="4882" t="s">
        <v>2206</v>
      </c>
      <c r="H58" s="4882"/>
      <c r="I58" s="4882"/>
      <c r="J58" s="4882" t="s">
        <v>168</v>
      </c>
      <c r="K58" s="4882" t="s">
        <v>310</v>
      </c>
      <c r="L58" s="4950">
        <v>6134989</v>
      </c>
      <c r="M58" s="4903">
        <v>45188</v>
      </c>
      <c r="N58" s="4903">
        <v>45189</v>
      </c>
      <c r="O58" s="4940">
        <v>45190</v>
      </c>
      <c r="P58" s="4871" t="s">
        <v>2390</v>
      </c>
      <c r="Q58" s="4882" t="s">
        <v>1281</v>
      </c>
      <c r="R58" s="4882" t="s">
        <v>51</v>
      </c>
      <c r="S58" s="4882"/>
      <c r="T58" s="4882"/>
      <c r="U58" s="4870"/>
      <c r="V58" s="4882"/>
      <c r="W58" s="4861">
        <f>SEP_2023[[#This Row],[Sales Amount]]-SEP_2023[[#This Row],[Cost]]</f>
        <v>0</v>
      </c>
      <c r="X58" s="4865" t="e">
        <f>SEP_2023[[#This Row],[Profit]]/SEP_2023[[#This Row],[Cost]]</f>
        <v>#DIV/0!</v>
      </c>
      <c r="Y58" s="4861"/>
      <c r="Z58" s="4861"/>
    </row>
    <row r="59" spans="1:26" customFormat="1" ht="135">
      <c r="A59" s="4850" t="s">
        <v>2391</v>
      </c>
      <c r="B59" s="4908" t="s">
        <v>2392</v>
      </c>
      <c r="C59" s="4845" t="s">
        <v>451</v>
      </c>
      <c r="D59" s="4906">
        <v>45171</v>
      </c>
      <c r="E59" s="4907">
        <v>45179</v>
      </c>
      <c r="F59" s="4845" t="s">
        <v>93</v>
      </c>
      <c r="G59" s="4908" t="s">
        <v>302</v>
      </c>
      <c r="H59" s="4906">
        <v>45181</v>
      </c>
      <c r="I59" s="4845" t="s">
        <v>926</v>
      </c>
      <c r="J59" s="4908" t="s">
        <v>32</v>
      </c>
      <c r="K59" s="4908" t="s">
        <v>635</v>
      </c>
      <c r="L59" s="4951" t="s">
        <v>2393</v>
      </c>
      <c r="M59" s="4906">
        <v>45181</v>
      </c>
      <c r="N59" s="4906">
        <v>45181</v>
      </c>
      <c r="O59" s="4906">
        <v>45181</v>
      </c>
      <c r="P59" s="4909" t="s">
        <v>2394</v>
      </c>
      <c r="Q59" s="4845" t="s">
        <v>75</v>
      </c>
      <c r="R59" s="4952" t="s">
        <v>2395</v>
      </c>
      <c r="S59" s="4908" t="s">
        <v>67</v>
      </c>
      <c r="T59" s="4845">
        <v>990</v>
      </c>
      <c r="U59" s="4845">
        <v>676</v>
      </c>
      <c r="V59" s="4845">
        <v>1</v>
      </c>
      <c r="W59" s="4845">
        <f>SEP_2023[[#This Row],[Sales Amount]]-SEP_2023[[#This Row],[Cost]]</f>
        <v>314</v>
      </c>
      <c r="X59" s="4919">
        <f>SEP_2023[[#This Row],[Profit]]/SEP_2023[[#This Row],[Cost]]</f>
        <v>0.46449704142011833</v>
      </c>
      <c r="Y59" s="4845"/>
      <c r="Z59" s="4845"/>
    </row>
    <row r="60" spans="1:26" s="26" customFormat="1">
      <c r="A60" s="4839" t="s">
        <v>2396</v>
      </c>
      <c r="B60" s="4858">
        <v>6365998980</v>
      </c>
      <c r="C60" s="4886" t="s">
        <v>44</v>
      </c>
      <c r="D60" s="4953">
        <v>45212</v>
      </c>
      <c r="E60" s="4953">
        <v>45214</v>
      </c>
      <c r="F60" s="4861" t="s">
        <v>45</v>
      </c>
      <c r="G60" s="4839" t="s">
        <v>2047</v>
      </c>
      <c r="H60" s="4839"/>
      <c r="I60" s="4839"/>
      <c r="J60" s="4839" t="s">
        <v>1958</v>
      </c>
      <c r="K60" s="4861" t="s">
        <v>2194</v>
      </c>
      <c r="L60" s="4861"/>
      <c r="M60" s="4953">
        <v>45192</v>
      </c>
      <c r="N60" s="4953"/>
      <c r="O60" s="4861"/>
      <c r="P60" s="4864" t="s">
        <v>2397</v>
      </c>
      <c r="Q60" s="4861" t="s">
        <v>128</v>
      </c>
      <c r="R60" s="4861" t="s">
        <v>36</v>
      </c>
      <c r="S60" s="4861">
        <v>635</v>
      </c>
      <c r="T60" s="4861"/>
      <c r="U60" s="4861"/>
      <c r="V60" s="4861"/>
      <c r="W60" s="4861">
        <f>SEP_2023[[#This Row],[Sales Amount]]-SEP_2023[[#This Row],[Cost]]</f>
        <v>0</v>
      </c>
      <c r="X60" s="4865" t="e">
        <f>SEP_2023[[#This Row],[Profit]]/SEP_2023[[#This Row],[Cost]]</f>
        <v>#DIV/0!</v>
      </c>
      <c r="Y60" s="4861"/>
      <c r="Z60" s="4861"/>
    </row>
    <row r="61" spans="1:26" s="26" customFormat="1">
      <c r="A61" s="4944" t="s">
        <v>1472</v>
      </c>
      <c r="B61" s="4954">
        <v>6364711290</v>
      </c>
      <c r="C61" s="4944" t="s">
        <v>2103</v>
      </c>
      <c r="D61" s="4949">
        <v>45198</v>
      </c>
      <c r="E61" s="4949">
        <v>45198</v>
      </c>
      <c r="F61" s="4944" t="s">
        <v>45</v>
      </c>
      <c r="G61" s="4944" t="s">
        <v>2398</v>
      </c>
      <c r="H61" s="4944"/>
      <c r="I61" s="4944"/>
      <c r="J61" s="4944"/>
      <c r="K61" s="4934" t="s">
        <v>1958</v>
      </c>
      <c r="L61" s="4944"/>
      <c r="M61" s="4955">
        <v>45177.083333333336</v>
      </c>
      <c r="N61" s="4944"/>
      <c r="O61" s="4944"/>
      <c r="P61" s="4937" t="s">
        <v>2103</v>
      </c>
      <c r="Q61" s="4934" t="s">
        <v>128</v>
      </c>
      <c r="R61" s="4913" t="s">
        <v>36</v>
      </c>
      <c r="S61" s="4934"/>
      <c r="T61" s="4934">
        <v>1135</v>
      </c>
      <c r="U61" s="4934">
        <v>740</v>
      </c>
      <c r="V61" s="4934">
        <v>2</v>
      </c>
      <c r="W61" s="4845">
        <f>SEP_2023[[#This Row],[Sales Amount]]-SEP_2023[[#This Row],[Cost]]</f>
        <v>395</v>
      </c>
      <c r="X61" s="4919">
        <f>SEP_2023[[#This Row],[Profit]]/SEP_2023[[#This Row],[Cost]]</f>
        <v>0.53378378378378377</v>
      </c>
      <c r="Y61" s="4845"/>
      <c r="Z61" s="4845"/>
    </row>
    <row r="62" spans="1:26" s="26" customFormat="1">
      <c r="A62" s="4870" t="s">
        <v>2399</v>
      </c>
      <c r="B62" s="4870" t="s">
        <v>2400</v>
      </c>
      <c r="C62" s="4870" t="s">
        <v>85</v>
      </c>
      <c r="D62" s="4877">
        <v>45171</v>
      </c>
      <c r="E62" s="4878">
        <v>45184</v>
      </c>
      <c r="F62" s="4870" t="s">
        <v>56</v>
      </c>
      <c r="G62" s="4870" t="s">
        <v>152</v>
      </c>
      <c r="H62" s="4881">
        <v>45184</v>
      </c>
      <c r="I62" s="4956" t="s">
        <v>104</v>
      </c>
      <c r="J62" s="4839" t="s">
        <v>203</v>
      </c>
      <c r="K62" s="4870" t="s">
        <v>2401</v>
      </c>
      <c r="L62" s="4869">
        <v>1285</v>
      </c>
      <c r="M62" s="4879">
        <v>45184</v>
      </c>
      <c r="N62" s="4879">
        <v>45183</v>
      </c>
      <c r="O62" s="4879">
        <v>45184</v>
      </c>
      <c r="P62" s="4871" t="s">
        <v>2402</v>
      </c>
      <c r="Q62" s="4870" t="s">
        <v>35</v>
      </c>
      <c r="R62" s="4870" t="s">
        <v>36</v>
      </c>
      <c r="S62" s="4839" t="s">
        <v>37</v>
      </c>
      <c r="T62" s="4873">
        <v>930</v>
      </c>
      <c r="U62" s="4872">
        <v>602.25</v>
      </c>
      <c r="V62" s="4873"/>
      <c r="W62" s="4874">
        <f>SEP_2023[[#This Row],[Sales Amount]]-SEP_2023[[#This Row],[Cost]]</f>
        <v>327.75</v>
      </c>
      <c r="X62" s="4875">
        <f>SEP_2023[[#This Row],[Profit]]/SEP_2023[[#This Row],[Cost]]</f>
        <v>0.54420921544209211</v>
      </c>
      <c r="Y62" s="4874"/>
      <c r="Z62" s="4874"/>
    </row>
    <row r="63" spans="1:26" s="709" customFormat="1">
      <c r="A63" s="4894" t="s">
        <v>1431</v>
      </c>
      <c r="B63" s="4839" t="s">
        <v>2403</v>
      </c>
      <c r="C63" s="4839" t="s">
        <v>28</v>
      </c>
      <c r="D63" s="4859">
        <v>45193</v>
      </c>
      <c r="E63" s="4867">
        <v>45203</v>
      </c>
      <c r="F63" s="4839" t="s">
        <v>285</v>
      </c>
      <c r="G63" s="4839" t="s">
        <v>46</v>
      </c>
      <c r="H63" s="4876">
        <v>45208</v>
      </c>
      <c r="I63" s="4841" t="s">
        <v>108</v>
      </c>
      <c r="J63" s="4870" t="s">
        <v>32</v>
      </c>
      <c r="K63" s="4839" t="s">
        <v>1433</v>
      </c>
      <c r="L63" s="4841" t="s">
        <v>2404</v>
      </c>
      <c r="M63" s="4855">
        <v>45206</v>
      </c>
      <c r="N63" s="4876">
        <v>45206</v>
      </c>
      <c r="O63" s="4859">
        <v>45208</v>
      </c>
      <c r="P63" s="4861" t="s">
        <v>2405</v>
      </c>
      <c r="Q63" s="4870" t="s">
        <v>35</v>
      </c>
      <c r="R63" s="4870" t="s">
        <v>36</v>
      </c>
      <c r="S63" s="4839" t="s">
        <v>37</v>
      </c>
      <c r="T63" s="4895">
        <v>1633.5</v>
      </c>
      <c r="U63" s="4874">
        <v>1449</v>
      </c>
      <c r="V63" s="4874"/>
      <c r="W63" s="4874">
        <f>SEP_2023[[#This Row],[Sales Amount]]-SEP_2023[[#This Row],[Cost]]</f>
        <v>184.5</v>
      </c>
      <c r="X63" s="4875">
        <f>SEP_2023[[#This Row],[Profit]]/SEP_2023[[#This Row],[Cost]]</f>
        <v>0.12732919254658384</v>
      </c>
      <c r="Y63" s="4874"/>
      <c r="Z63" s="4874"/>
    </row>
    <row r="64" spans="1:26">
      <c r="A64" s="4839" t="s">
        <v>263</v>
      </c>
      <c r="B64" s="4839" t="s">
        <v>2406</v>
      </c>
      <c r="C64" s="4839" t="s">
        <v>44</v>
      </c>
      <c r="D64" s="4859">
        <v>45188</v>
      </c>
      <c r="E64" s="4859">
        <v>45188</v>
      </c>
      <c r="F64" s="4839" t="s">
        <v>2039</v>
      </c>
      <c r="G64" s="4839" t="s">
        <v>2407</v>
      </c>
      <c r="H64" s="4957">
        <v>45191</v>
      </c>
      <c r="I64" s="4958">
        <v>0.45833333333333331</v>
      </c>
      <c r="J64" s="4839" t="s">
        <v>1914</v>
      </c>
      <c r="K64" s="4861" t="s">
        <v>267</v>
      </c>
      <c r="L64" s="4839" t="s">
        <v>738</v>
      </c>
      <c r="M64" s="4859">
        <v>45195</v>
      </c>
      <c r="N64" s="4957">
        <v>45191</v>
      </c>
      <c r="O64" s="4861"/>
      <c r="P64" s="4959" t="s">
        <v>2408</v>
      </c>
      <c r="Q64" s="4861" t="s">
        <v>128</v>
      </c>
      <c r="R64" s="4861" t="s">
        <v>36</v>
      </c>
      <c r="S64" s="4861"/>
      <c r="T64" s="4861">
        <v>1955.16</v>
      </c>
      <c r="U64" s="4861">
        <f>80.16+90+1350</f>
        <v>1520.16</v>
      </c>
      <c r="V64" s="4861">
        <v>1</v>
      </c>
      <c r="W64" s="4861">
        <f>SEP_2023[[#This Row],[Sales Amount]]-SEP_2023[[#This Row],[Cost]]</f>
        <v>435</v>
      </c>
      <c r="X64" s="4865">
        <f>SEP_2023[[#This Row],[Profit]]/SEP_2023[[#This Row],[Cost]]</f>
        <v>0.28615408904325856</v>
      </c>
      <c r="Y64" s="4861"/>
      <c r="Z64" s="4861"/>
    </row>
    <row r="65" spans="1:26" ht="30">
      <c r="A65" s="4839" t="s">
        <v>263</v>
      </c>
      <c r="B65" s="4839" t="s">
        <v>2409</v>
      </c>
      <c r="C65" s="4839"/>
      <c r="D65" s="4859">
        <v>45190</v>
      </c>
      <c r="E65" s="4859">
        <v>45192</v>
      </c>
      <c r="F65" s="4839"/>
      <c r="G65" s="4839" t="s">
        <v>2410</v>
      </c>
      <c r="H65" s="4859"/>
      <c r="I65" s="4834"/>
      <c r="J65" s="4839"/>
      <c r="K65" s="4861"/>
      <c r="L65" s="4839"/>
      <c r="M65" s="4859"/>
      <c r="N65" s="4859"/>
      <c r="O65" s="4953"/>
      <c r="P65" s="4864" t="s">
        <v>2411</v>
      </c>
      <c r="Q65" s="4861" t="s">
        <v>128</v>
      </c>
      <c r="R65" s="4861" t="s">
        <v>36</v>
      </c>
      <c r="S65" s="4861"/>
      <c r="T65" s="4861">
        <v>3364.8</v>
      </c>
      <c r="U65" s="4861">
        <f>1800+526+408+150</f>
        <v>2884</v>
      </c>
      <c r="V65" s="4861">
        <v>1</v>
      </c>
      <c r="W65" s="4861">
        <f>SEP_2023[[#This Row],[Sales Amount]]-SEP_2023[[#This Row],[Cost]]</f>
        <v>480.80000000000018</v>
      </c>
      <c r="X65" s="4865">
        <f>SEP_2023[[#This Row],[Profit]]/SEP_2023[[#This Row],[Cost]]</f>
        <v>0.16671289875173376</v>
      </c>
      <c r="Y65" s="4861"/>
      <c r="Z65" s="4861"/>
    </row>
    <row r="66" spans="1:26">
      <c r="A66" s="4870" t="s">
        <v>639</v>
      </c>
      <c r="B66" s="4870" t="s">
        <v>2412</v>
      </c>
      <c r="C66" s="4870" t="s">
        <v>28</v>
      </c>
      <c r="D66" s="4877">
        <v>45167</v>
      </c>
      <c r="E66" s="4878">
        <v>45175</v>
      </c>
      <c r="F66" s="4880" t="s">
        <v>151</v>
      </c>
      <c r="G66" s="4880" t="s">
        <v>361</v>
      </c>
      <c r="H66" s="4897">
        <v>45177</v>
      </c>
      <c r="I66" s="4870"/>
      <c r="J66" s="4880" t="s">
        <v>32</v>
      </c>
      <c r="K66" s="4880" t="s">
        <v>2350</v>
      </c>
      <c r="L66" s="4869">
        <v>695566</v>
      </c>
      <c r="M66" s="4879">
        <v>45177</v>
      </c>
      <c r="N66" s="4879">
        <v>45177</v>
      </c>
      <c r="O66" s="4881">
        <v>45177</v>
      </c>
      <c r="P66" s="4893" t="s">
        <v>2413</v>
      </c>
      <c r="Q66" s="4880" t="s">
        <v>35</v>
      </c>
      <c r="R66" s="4839" t="s">
        <v>36</v>
      </c>
      <c r="S66" s="4870" t="s">
        <v>37</v>
      </c>
      <c r="T66" s="4892">
        <v>1305</v>
      </c>
      <c r="U66" s="4872">
        <v>1096</v>
      </c>
      <c r="V66" s="4892"/>
      <c r="W66" s="4874">
        <f>SEP_2023[[#This Row],[Sales Amount]]-SEP_2023[[#This Row],[Cost]]</f>
        <v>209</v>
      </c>
      <c r="X66" s="4875">
        <f>SEP_2023[[#This Row],[Profit]]/SEP_2023[[#This Row],[Cost]]</f>
        <v>0.19069343065693431</v>
      </c>
      <c r="Y66" s="4874"/>
      <c r="Z66" s="4874"/>
    </row>
    <row r="67" spans="1:26" s="26" customFormat="1" ht="150">
      <c r="A67" s="4848" t="s">
        <v>2391</v>
      </c>
      <c r="B67" s="4908" t="s">
        <v>2414</v>
      </c>
      <c r="C67" s="4845" t="s">
        <v>28</v>
      </c>
      <c r="D67" s="4906">
        <v>45177</v>
      </c>
      <c r="E67" s="4907">
        <v>45192</v>
      </c>
      <c r="F67" s="4908" t="s">
        <v>93</v>
      </c>
      <c r="G67" s="4908" t="s">
        <v>302</v>
      </c>
      <c r="H67" s="4960">
        <v>45195</v>
      </c>
      <c r="I67" s="4908" t="s">
        <v>926</v>
      </c>
      <c r="J67" s="4908" t="s">
        <v>32</v>
      </c>
      <c r="K67" s="4845" t="s">
        <v>635</v>
      </c>
      <c r="L67" s="4951" t="s">
        <v>2415</v>
      </c>
      <c r="M67" s="4906">
        <v>45195</v>
      </c>
      <c r="N67" s="4906">
        <v>45195</v>
      </c>
      <c r="O67" s="4844">
        <v>45195</v>
      </c>
      <c r="P67" s="4909" t="s">
        <v>2416</v>
      </c>
      <c r="Q67" s="4845" t="s">
        <v>75</v>
      </c>
      <c r="R67" s="4938" t="s">
        <v>2417</v>
      </c>
      <c r="S67" s="4908">
        <v>4</v>
      </c>
      <c r="T67" s="4922">
        <v>710</v>
      </c>
      <c r="U67" s="4845">
        <v>576</v>
      </c>
      <c r="V67" s="4845">
        <v>1</v>
      </c>
      <c r="W67" s="4845">
        <f>SEP_2023[[#This Row],[Sales Amount]]-SEP_2023[[#This Row],[Cost]]</f>
        <v>134</v>
      </c>
      <c r="X67" s="4919">
        <f>SEP_2023[[#This Row],[Profit]]/SEP_2023[[#This Row],[Cost]]</f>
        <v>0.2326388888888889</v>
      </c>
      <c r="Y67" s="4845"/>
      <c r="Z67" s="4845"/>
    </row>
    <row r="68" spans="1:26" s="26" customFormat="1" ht="30">
      <c r="A68" s="4848" t="s">
        <v>2418</v>
      </c>
      <c r="B68" s="4845" t="s">
        <v>2419</v>
      </c>
      <c r="C68" s="4845" t="s">
        <v>28</v>
      </c>
      <c r="D68" s="4906">
        <v>45176</v>
      </c>
      <c r="E68" s="4907">
        <v>45185</v>
      </c>
      <c r="F68" s="4845" t="s">
        <v>167</v>
      </c>
      <c r="G68" s="4845" t="s">
        <v>2420</v>
      </c>
      <c r="H68" s="4961" t="s">
        <v>2421</v>
      </c>
      <c r="I68" s="4845"/>
      <c r="J68" s="4845" t="s">
        <v>2422</v>
      </c>
      <c r="K68" s="4845" t="s">
        <v>2423</v>
      </c>
      <c r="L68" s="4908" t="s">
        <v>2424</v>
      </c>
      <c r="M68" s="4906">
        <v>45188</v>
      </c>
      <c r="N68" s="4906">
        <v>45187</v>
      </c>
      <c r="O68" s="4906">
        <v>45189</v>
      </c>
      <c r="P68" s="4909" t="s">
        <v>2425</v>
      </c>
      <c r="Q68" s="4845" t="s">
        <v>75</v>
      </c>
      <c r="R68" s="4908" t="s">
        <v>2426</v>
      </c>
      <c r="S68" s="4845"/>
      <c r="T68" s="4845"/>
      <c r="U68" s="4845"/>
      <c r="V68" s="4845"/>
      <c r="W68" s="4845">
        <f>SEP_2023[[#This Row],[Sales Amount]]-SEP_2023[[#This Row],[Cost]]</f>
        <v>0</v>
      </c>
      <c r="X68" s="4919" t="e">
        <f>SEP_2023[[#This Row],[Profit]]/SEP_2023[[#This Row],[Cost]]</f>
        <v>#DIV/0!</v>
      </c>
      <c r="Y68" s="4845"/>
      <c r="Z68" s="4845"/>
    </row>
    <row r="69" spans="1:26" s="26" customFormat="1">
      <c r="A69" s="4870" t="s">
        <v>639</v>
      </c>
      <c r="B69" s="4870" t="s">
        <v>2427</v>
      </c>
      <c r="C69" s="4839" t="s">
        <v>85</v>
      </c>
      <c r="D69" s="4877">
        <v>45184</v>
      </c>
      <c r="E69" s="4878">
        <v>45200</v>
      </c>
      <c r="F69" s="4870" t="s">
        <v>245</v>
      </c>
      <c r="G69" s="4839" t="s">
        <v>57</v>
      </c>
      <c r="H69" s="4877">
        <v>45202</v>
      </c>
      <c r="I69" s="4870"/>
      <c r="J69" s="4870" t="s">
        <v>32</v>
      </c>
      <c r="K69" s="4870" t="s">
        <v>1486</v>
      </c>
      <c r="L69" s="4841">
        <v>667821</v>
      </c>
      <c r="M69" s="4855">
        <v>45202</v>
      </c>
      <c r="N69" s="4876">
        <v>45202</v>
      </c>
      <c r="O69" s="4877">
        <v>45203</v>
      </c>
      <c r="P69" s="4882" t="s">
        <v>2428</v>
      </c>
      <c r="Q69" s="4870" t="s">
        <v>35</v>
      </c>
      <c r="R69" s="4870" t="s">
        <v>36</v>
      </c>
      <c r="S69" s="4839" t="s">
        <v>37</v>
      </c>
      <c r="T69" s="4872">
        <v>860</v>
      </c>
      <c r="U69" s="4873">
        <v>756</v>
      </c>
      <c r="V69" s="4873"/>
      <c r="W69" s="4874">
        <f>SEP_2023[[#This Row],[Sales Amount]]-SEP_2023[[#This Row],[Cost]]</f>
        <v>104</v>
      </c>
      <c r="X69" s="4875">
        <f>SEP_2023[[#This Row],[Profit]]/SEP_2023[[#This Row],[Cost]]</f>
        <v>0.13756613756613756</v>
      </c>
      <c r="Y69" s="4874"/>
      <c r="Z69" s="4874"/>
    </row>
    <row r="70" spans="1:26" s="26" customFormat="1">
      <c r="A70" s="4839" t="s">
        <v>1035</v>
      </c>
      <c r="B70" s="4839" t="s">
        <v>2429</v>
      </c>
      <c r="C70" s="4839" t="s">
        <v>44</v>
      </c>
      <c r="D70" s="4859">
        <v>45193</v>
      </c>
      <c r="E70" s="4867">
        <v>45207</v>
      </c>
      <c r="F70" s="4839" t="s">
        <v>151</v>
      </c>
      <c r="G70" s="4839" t="s">
        <v>46</v>
      </c>
      <c r="H70" s="4839" t="s">
        <v>1038</v>
      </c>
      <c r="I70" s="4839"/>
      <c r="J70" s="4839" t="s">
        <v>32</v>
      </c>
      <c r="K70" s="4839" t="s">
        <v>162</v>
      </c>
      <c r="L70" s="4841" t="s">
        <v>2430</v>
      </c>
      <c r="M70" s="4881">
        <v>45210</v>
      </c>
      <c r="N70" s="4859">
        <v>45208</v>
      </c>
      <c r="O70" s="4859">
        <v>45209</v>
      </c>
      <c r="P70" s="4962" t="s">
        <v>2431</v>
      </c>
      <c r="Q70" s="4852" t="s">
        <v>35</v>
      </c>
      <c r="R70" s="4852" t="s">
        <v>36</v>
      </c>
      <c r="S70" s="4870" t="s">
        <v>2373</v>
      </c>
      <c r="T70" s="4872"/>
      <c r="U70" s="4873"/>
      <c r="V70" s="4873"/>
      <c r="W70" s="4874">
        <f>SEP_2023[[#This Row],[Sales Amount]]-SEP_2023[[#This Row],[Cost]]</f>
        <v>0</v>
      </c>
      <c r="X70" s="4875" t="e">
        <f>SEP_2023[[#This Row],[Profit]]/SEP_2023[[#This Row],[Cost]]</f>
        <v>#DIV/0!</v>
      </c>
      <c r="Y70" s="4874"/>
      <c r="Z70" s="4874"/>
    </row>
    <row r="71" spans="1:26" s="26" customFormat="1" ht="105">
      <c r="A71" s="4848" t="s">
        <v>165</v>
      </c>
      <c r="B71" s="4908" t="s">
        <v>2432</v>
      </c>
      <c r="C71" s="4845" t="s">
        <v>28</v>
      </c>
      <c r="D71" s="4906">
        <v>45172</v>
      </c>
      <c r="E71" s="4916">
        <v>45172</v>
      </c>
      <c r="F71" s="4908" t="s">
        <v>45</v>
      </c>
      <c r="G71" s="4909" t="s">
        <v>2433</v>
      </c>
      <c r="H71" s="4960">
        <v>45177</v>
      </c>
      <c r="I71" s="4963">
        <v>0.375</v>
      </c>
      <c r="J71" s="4908" t="s">
        <v>673</v>
      </c>
      <c r="K71" s="4908" t="s">
        <v>2434</v>
      </c>
      <c r="L71" s="4908" t="s">
        <v>162</v>
      </c>
      <c r="M71" s="4916">
        <v>45180</v>
      </c>
      <c r="N71" s="4916">
        <v>45177</v>
      </c>
      <c r="O71" s="4916">
        <v>45177</v>
      </c>
      <c r="P71" s="4909" t="s">
        <v>2435</v>
      </c>
      <c r="Q71" s="4845" t="s">
        <v>75</v>
      </c>
      <c r="R71" s="4908" t="s">
        <v>2436</v>
      </c>
      <c r="S71" s="4845">
        <v>4</v>
      </c>
      <c r="T71" s="4922">
        <v>653.75</v>
      </c>
      <c r="U71" s="4845">
        <v>490.5</v>
      </c>
      <c r="V71" s="4845">
        <v>1</v>
      </c>
      <c r="W71" s="4845">
        <f>SEP_2023[[#This Row],[Sales Amount]]-SEP_2023[[#This Row],[Cost]]</f>
        <v>163.25</v>
      </c>
      <c r="X71" s="4919">
        <f>SEP_2023[[#This Row],[Profit]]/SEP_2023[[#This Row],[Cost]]</f>
        <v>0.33282364933741082</v>
      </c>
      <c r="Y71" s="4845"/>
      <c r="Z71" s="4845"/>
    </row>
    <row r="72" spans="1:26" s="26" customFormat="1" ht="120">
      <c r="A72" s="4848" t="s">
        <v>165</v>
      </c>
      <c r="B72" s="4908" t="s">
        <v>2437</v>
      </c>
      <c r="C72" s="4845" t="s">
        <v>28</v>
      </c>
      <c r="D72" s="4906">
        <v>45175</v>
      </c>
      <c r="E72" s="4916">
        <v>45187</v>
      </c>
      <c r="F72" s="4845" t="s">
        <v>167</v>
      </c>
      <c r="G72" s="4908" t="s">
        <v>2438</v>
      </c>
      <c r="H72" s="4918">
        <v>45191</v>
      </c>
      <c r="I72" s="4929" t="s">
        <v>445</v>
      </c>
      <c r="J72" s="4908" t="s">
        <v>2439</v>
      </c>
      <c r="K72" s="4908" t="s">
        <v>2440</v>
      </c>
      <c r="L72" s="4921" t="s">
        <v>2441</v>
      </c>
      <c r="M72" s="4844">
        <v>45188</v>
      </c>
      <c r="N72" s="4844">
        <v>45188</v>
      </c>
      <c r="O72" s="4844">
        <v>45191</v>
      </c>
      <c r="P72" s="4932" t="s">
        <v>2442</v>
      </c>
      <c r="Q72" s="4845" t="s">
        <v>75</v>
      </c>
      <c r="R72" s="4964" t="s">
        <v>2443</v>
      </c>
      <c r="S72" s="4845">
        <v>4</v>
      </c>
      <c r="T72" s="4845">
        <v>955</v>
      </c>
      <c r="U72" s="4845">
        <v>952.05</v>
      </c>
      <c r="V72" s="4845">
        <v>1</v>
      </c>
      <c r="W72" s="4845">
        <f>SEP_2023[[#This Row],[Sales Amount]]-SEP_2023[[#This Row],[Cost]]</f>
        <v>2.9500000000000455</v>
      </c>
      <c r="X72" s="4919">
        <f>SEP_2023[[#This Row],[Profit]]/SEP_2023[[#This Row],[Cost]]</f>
        <v>3.0985767554225574E-3</v>
      </c>
      <c r="Y72" s="4845"/>
      <c r="Z72" s="4845"/>
    </row>
    <row r="73" spans="1:26" s="26" customFormat="1">
      <c r="A73" s="4839" t="s">
        <v>1035</v>
      </c>
      <c r="B73" s="4839" t="s">
        <v>2444</v>
      </c>
      <c r="C73" s="4839" t="s">
        <v>44</v>
      </c>
      <c r="D73" s="4859">
        <v>45193</v>
      </c>
      <c r="E73" s="4867">
        <v>45207</v>
      </c>
      <c r="F73" s="4839" t="s">
        <v>151</v>
      </c>
      <c r="G73" s="4839" t="s">
        <v>46</v>
      </c>
      <c r="H73" s="4839" t="s">
        <v>1038</v>
      </c>
      <c r="I73" s="4839"/>
      <c r="J73" s="4839" t="s">
        <v>32</v>
      </c>
      <c r="K73" s="4839" t="s">
        <v>162</v>
      </c>
      <c r="L73" s="4869" t="s">
        <v>2445</v>
      </c>
      <c r="M73" s="4881">
        <v>45210</v>
      </c>
      <c r="N73" s="4859">
        <v>45208</v>
      </c>
      <c r="O73" s="4859">
        <v>45209</v>
      </c>
      <c r="P73" s="4962" t="s">
        <v>2431</v>
      </c>
      <c r="Q73" s="4852" t="s">
        <v>35</v>
      </c>
      <c r="R73" s="4852" t="s">
        <v>36</v>
      </c>
      <c r="S73" s="4870" t="s">
        <v>2373</v>
      </c>
      <c r="T73" s="4872"/>
      <c r="U73" s="4873"/>
      <c r="V73" s="4873"/>
      <c r="W73" s="4874">
        <f>SEP_2023[[#This Row],[Sales Amount]]-SEP_2023[[#This Row],[Cost]]</f>
        <v>0</v>
      </c>
      <c r="X73" s="4875" t="e">
        <f>SEP_2023[[#This Row],[Profit]]/SEP_2023[[#This Row],[Cost]]</f>
        <v>#DIV/0!</v>
      </c>
      <c r="Y73" s="4874"/>
      <c r="Z73" s="4874"/>
    </row>
    <row r="74" spans="1:26" s="26" customFormat="1">
      <c r="A74" s="4870" t="s">
        <v>1477</v>
      </c>
      <c r="B74" s="4954">
        <v>6365124450</v>
      </c>
      <c r="C74" s="4870" t="s">
        <v>2446</v>
      </c>
      <c r="D74" s="4877">
        <v>45196</v>
      </c>
      <c r="E74" s="4877">
        <v>45230</v>
      </c>
      <c r="F74" s="4870" t="s">
        <v>45</v>
      </c>
      <c r="G74" s="4870" t="s">
        <v>46</v>
      </c>
      <c r="H74" s="4879">
        <v>45180</v>
      </c>
      <c r="I74" s="4869" t="s">
        <v>115</v>
      </c>
      <c r="J74" s="4870" t="s">
        <v>32</v>
      </c>
      <c r="K74" s="4839" t="s">
        <v>2124</v>
      </c>
      <c r="L74" s="4869" t="s">
        <v>542</v>
      </c>
      <c r="M74" s="4869" t="s">
        <v>2447</v>
      </c>
      <c r="N74" s="4877">
        <v>45180</v>
      </c>
      <c r="O74" s="4877">
        <v>45180</v>
      </c>
      <c r="P74" s="4882" t="s">
        <v>2448</v>
      </c>
      <c r="Q74" s="4870" t="s">
        <v>35</v>
      </c>
      <c r="R74" s="4870" t="s">
        <v>36</v>
      </c>
      <c r="S74" s="4870" t="s">
        <v>664</v>
      </c>
      <c r="T74" s="4872"/>
      <c r="U74" s="4872">
        <v>1081</v>
      </c>
      <c r="V74" s="4873"/>
      <c r="W74" s="4874">
        <f>SEP_2023[[#This Row],[Sales Amount]]-SEP_2023[[#This Row],[Cost]]</f>
        <v>-1081</v>
      </c>
      <c r="X74" s="4875">
        <f>SEP_2023[[#This Row],[Profit]]/SEP_2023[[#This Row],[Cost]]</f>
        <v>-1</v>
      </c>
      <c r="Y74" s="4874"/>
      <c r="Z74" s="4874"/>
    </row>
    <row r="75" spans="1:26" s="26" customFormat="1" ht="45">
      <c r="A75" s="4850" t="s">
        <v>2449</v>
      </c>
      <c r="B75" s="4965" t="s">
        <v>2450</v>
      </c>
      <c r="C75" s="4845" t="s">
        <v>28</v>
      </c>
      <c r="D75" s="4906">
        <v>45174</v>
      </c>
      <c r="E75" s="4916">
        <v>45178</v>
      </c>
      <c r="F75" s="4908" t="s">
        <v>135</v>
      </c>
      <c r="G75" s="4908" t="s">
        <v>2451</v>
      </c>
      <c r="H75" s="4906">
        <v>45182</v>
      </c>
      <c r="I75" s="4908" t="s">
        <v>1782</v>
      </c>
      <c r="J75" s="4932" t="s">
        <v>2452</v>
      </c>
      <c r="K75" s="4908" t="s">
        <v>2453</v>
      </c>
      <c r="L75" s="4845">
        <v>1890</v>
      </c>
      <c r="M75" s="4906">
        <v>45181</v>
      </c>
      <c r="N75" s="4906">
        <v>45181</v>
      </c>
      <c r="O75" s="4906">
        <v>45183</v>
      </c>
      <c r="P75" s="4909" t="s">
        <v>2454</v>
      </c>
      <c r="Q75" s="4845" t="s">
        <v>75</v>
      </c>
      <c r="R75" s="4966" t="s">
        <v>2455</v>
      </c>
      <c r="S75" s="4934">
        <v>4</v>
      </c>
      <c r="T75" s="4934">
        <v>1660</v>
      </c>
      <c r="U75" s="4934">
        <v>1213.75</v>
      </c>
      <c r="V75" s="4934">
        <v>1</v>
      </c>
      <c r="W75" s="4845">
        <f>SEP_2023[[#This Row],[Sales Amount]]-SEP_2023[[#This Row],[Cost]]</f>
        <v>446.25</v>
      </c>
      <c r="X75" s="4919">
        <f>SEP_2023[[#This Row],[Profit]]/SEP_2023[[#This Row],[Cost]]</f>
        <v>0.36766220391349125</v>
      </c>
      <c r="Y75" s="4845"/>
      <c r="Z75" s="4845"/>
    </row>
    <row r="76" spans="1:26" s="26" customFormat="1" ht="45">
      <c r="A76" s="4839" t="s">
        <v>676</v>
      </c>
      <c r="B76" s="4858">
        <v>6364716600</v>
      </c>
      <c r="C76" s="4839" t="s">
        <v>2103</v>
      </c>
      <c r="D76" s="4859">
        <v>45190</v>
      </c>
      <c r="E76" s="4859">
        <v>45226</v>
      </c>
      <c r="F76" s="4839" t="s">
        <v>45</v>
      </c>
      <c r="G76" s="4839" t="s">
        <v>46</v>
      </c>
      <c r="H76" s="4967" t="s">
        <v>2456</v>
      </c>
      <c r="I76" s="4924"/>
      <c r="J76" s="4839" t="s">
        <v>32</v>
      </c>
      <c r="K76" s="4839" t="s">
        <v>2105</v>
      </c>
      <c r="L76" s="4841" t="s">
        <v>542</v>
      </c>
      <c r="M76" s="4841" t="s">
        <v>2457</v>
      </c>
      <c r="N76" s="4834" t="s">
        <v>2456</v>
      </c>
      <c r="O76" s="4834" t="s">
        <v>2456</v>
      </c>
      <c r="P76" s="4968" t="s">
        <v>2458</v>
      </c>
      <c r="Q76" s="4839" t="s">
        <v>35</v>
      </c>
      <c r="R76" s="4839" t="s">
        <v>36</v>
      </c>
      <c r="S76" s="4839" t="s">
        <v>664</v>
      </c>
      <c r="T76" s="4872">
        <v>1260</v>
      </c>
      <c r="U76" s="4872">
        <v>1112</v>
      </c>
      <c r="V76" s="4873"/>
      <c r="W76" s="4874">
        <f>SEP_2023[[#This Row],[Sales Amount]]-SEP_2023[[#This Row],[Cost]]</f>
        <v>148</v>
      </c>
      <c r="X76" s="4875">
        <f>SEP_2023[[#This Row],[Profit]]/SEP_2023[[#This Row],[Cost]]</f>
        <v>0.13309352517985612</v>
      </c>
      <c r="Y76" s="4874"/>
      <c r="Z76" s="4874"/>
    </row>
    <row r="77" spans="1:26" s="26" customFormat="1">
      <c r="A77" s="4839" t="s">
        <v>1477</v>
      </c>
      <c r="B77" s="4858">
        <v>6366300590</v>
      </c>
      <c r="C77" s="4839" t="s">
        <v>2459</v>
      </c>
      <c r="D77" s="4859">
        <v>45210</v>
      </c>
      <c r="E77" s="4859">
        <v>45239</v>
      </c>
      <c r="F77" s="4839" t="s">
        <v>45</v>
      </c>
      <c r="G77" s="4839" t="s">
        <v>46</v>
      </c>
      <c r="H77" s="4855">
        <v>45194</v>
      </c>
      <c r="I77" s="4841" t="s">
        <v>178</v>
      </c>
      <c r="J77" s="4870" t="s">
        <v>32</v>
      </c>
      <c r="K77" s="4839" t="s">
        <v>2124</v>
      </c>
      <c r="L77" s="4841" t="s">
        <v>542</v>
      </c>
      <c r="M77" s="4855" t="s">
        <v>2460</v>
      </c>
      <c r="N77" s="4855">
        <v>45191</v>
      </c>
      <c r="O77" s="4859">
        <v>45194</v>
      </c>
      <c r="P77" s="4861" t="s">
        <v>2461</v>
      </c>
      <c r="Q77" s="4839" t="s">
        <v>35</v>
      </c>
      <c r="R77" s="4870" t="s">
        <v>36</v>
      </c>
      <c r="S77" s="4839" t="s">
        <v>664</v>
      </c>
      <c r="T77" s="4895"/>
      <c r="U77" s="4874">
        <v>1052</v>
      </c>
      <c r="V77" s="4874"/>
      <c r="W77" s="4874">
        <f>SEP_2023[[#This Row],[Sales Amount]]-SEP_2023[[#This Row],[Cost]]</f>
        <v>-1052</v>
      </c>
      <c r="X77" s="4875">
        <f>SEP_2023[[#This Row],[Profit]]/SEP_2023[[#This Row],[Cost]]</f>
        <v>-1</v>
      </c>
      <c r="Y77" s="4874"/>
      <c r="Z77" s="4874"/>
    </row>
    <row r="78" spans="1:26" s="26" customFormat="1">
      <c r="A78" s="4839" t="s">
        <v>1477</v>
      </c>
      <c r="B78" s="4858">
        <v>6366603690</v>
      </c>
      <c r="C78" s="4839" t="s">
        <v>2317</v>
      </c>
      <c r="D78" s="4859">
        <v>45217</v>
      </c>
      <c r="E78" s="4859">
        <v>45256</v>
      </c>
      <c r="F78" s="4839" t="s">
        <v>45</v>
      </c>
      <c r="G78" s="4839" t="s">
        <v>46</v>
      </c>
      <c r="H78" s="4855">
        <v>45198</v>
      </c>
      <c r="I78" s="4841" t="s">
        <v>115</v>
      </c>
      <c r="J78" s="4870" t="s">
        <v>32</v>
      </c>
      <c r="K78" s="4839" t="s">
        <v>2124</v>
      </c>
      <c r="L78" s="4841" t="s">
        <v>542</v>
      </c>
      <c r="M78" s="4855" t="s">
        <v>2462</v>
      </c>
      <c r="N78" s="4855">
        <v>45197</v>
      </c>
      <c r="O78" s="4877">
        <v>45198</v>
      </c>
      <c r="P78" s="4861" t="s">
        <v>2463</v>
      </c>
      <c r="Q78" s="4839" t="s">
        <v>35</v>
      </c>
      <c r="R78" s="4839" t="s">
        <v>36</v>
      </c>
      <c r="S78" s="4839" t="s">
        <v>664</v>
      </c>
      <c r="T78" s="4895"/>
      <c r="U78" s="4874"/>
      <c r="V78" s="4874"/>
      <c r="W78" s="4874">
        <f>SEP_2023[[#This Row],[Sales Amount]]-SEP_2023[[#This Row],[Cost]]</f>
        <v>0</v>
      </c>
      <c r="X78" s="4875" t="e">
        <f>SEP_2023[[#This Row],[Profit]]/SEP_2023[[#This Row],[Cost]]</f>
        <v>#DIV/0!</v>
      </c>
      <c r="Y78" s="4874"/>
      <c r="Z78" s="4874"/>
    </row>
    <row r="79" spans="1:26" s="26" customFormat="1">
      <c r="A79" s="4839" t="s">
        <v>1477</v>
      </c>
      <c r="B79" s="4858">
        <v>6366408970</v>
      </c>
      <c r="C79" s="4839" t="s">
        <v>2459</v>
      </c>
      <c r="D79" s="4859"/>
      <c r="E79" s="4859"/>
      <c r="F79" s="4839" t="s">
        <v>45</v>
      </c>
      <c r="G79" s="4852" t="s">
        <v>46</v>
      </c>
      <c r="H79" s="4855">
        <v>45196</v>
      </c>
      <c r="I79" s="4969" t="s">
        <v>40</v>
      </c>
      <c r="J79" s="4852" t="s">
        <v>32</v>
      </c>
      <c r="K79" s="4839" t="s">
        <v>2124</v>
      </c>
      <c r="L79" s="4841" t="s">
        <v>542</v>
      </c>
      <c r="M79" s="4855" t="s">
        <v>2464</v>
      </c>
      <c r="N79" s="4859">
        <v>45195</v>
      </c>
      <c r="O79" s="4859">
        <v>45196</v>
      </c>
      <c r="P79" s="4886" t="s">
        <v>2465</v>
      </c>
      <c r="Q79" s="4839" t="s">
        <v>35</v>
      </c>
      <c r="R79" s="4839" t="s">
        <v>36</v>
      </c>
      <c r="S79" s="4839" t="s">
        <v>664</v>
      </c>
      <c r="T79" s="4895"/>
      <c r="U79" s="4874"/>
      <c r="V79" s="4874"/>
      <c r="W79" s="4874">
        <f>SEP_2023[[#This Row],[Sales Amount]]-SEP_2023[[#This Row],[Cost]]</f>
        <v>0</v>
      </c>
      <c r="X79" s="4875" t="e">
        <f>SEP_2023[[#This Row],[Profit]]/SEP_2023[[#This Row],[Cost]]</f>
        <v>#DIV/0!</v>
      </c>
      <c r="Y79" s="4874"/>
      <c r="Z79" s="4874"/>
    </row>
    <row r="80" spans="1:26" s="26" customFormat="1" ht="90">
      <c r="A80" s="4848" t="s">
        <v>788</v>
      </c>
      <c r="B80" s="4970" t="s">
        <v>2466</v>
      </c>
      <c r="C80" s="4845" t="s">
        <v>794</v>
      </c>
      <c r="D80" s="4906">
        <v>45177</v>
      </c>
      <c r="E80" s="4916">
        <v>45190</v>
      </c>
      <c r="F80" s="4845" t="s">
        <v>45</v>
      </c>
      <c r="G80" s="4938" t="s">
        <v>2467</v>
      </c>
      <c r="H80" s="4918">
        <v>45194</v>
      </c>
      <c r="I80" s="4929" t="s">
        <v>445</v>
      </c>
      <c r="J80" s="4845" t="s">
        <v>695</v>
      </c>
      <c r="K80" s="4951" t="s">
        <v>2468</v>
      </c>
      <c r="L80" s="4845">
        <v>5664</v>
      </c>
      <c r="M80" s="879">
        <v>45191</v>
      </c>
      <c r="N80" s="822">
        <v>45191</v>
      </c>
      <c r="O80" s="4906">
        <v>45194</v>
      </c>
      <c r="P80" s="4909" t="s">
        <v>2469</v>
      </c>
      <c r="Q80" s="4845" t="s">
        <v>75</v>
      </c>
      <c r="R80" s="4938" t="s">
        <v>2470</v>
      </c>
      <c r="S80" s="4845">
        <v>4</v>
      </c>
      <c r="T80" s="4845">
        <v>743</v>
      </c>
      <c r="U80" s="4845">
        <v>637.38</v>
      </c>
      <c r="V80" s="4845">
        <v>3</v>
      </c>
      <c r="W80" s="4845">
        <f>SEP_2023[[#This Row],[Sales Amount]]-SEP_2023[[#This Row],[Cost]]</f>
        <v>105.62</v>
      </c>
      <c r="X80" s="4919">
        <f>SEP_2023[[#This Row],[Profit]]/SEP_2023[[#This Row],[Cost]]</f>
        <v>0.16570962377231793</v>
      </c>
      <c r="Y80" s="4845"/>
      <c r="Z80" s="4845"/>
    </row>
    <row r="81" spans="1:26" s="26" customFormat="1" ht="90">
      <c r="A81" s="4848" t="s">
        <v>788</v>
      </c>
      <c r="B81" s="4971" t="s">
        <v>2471</v>
      </c>
      <c r="C81" s="4874" t="s">
        <v>794</v>
      </c>
      <c r="D81" s="4906">
        <v>45177</v>
      </c>
      <c r="E81" s="4916">
        <v>45190</v>
      </c>
      <c r="F81" s="4845" t="s">
        <v>45</v>
      </c>
      <c r="G81" s="4874" t="s">
        <v>2467</v>
      </c>
      <c r="H81" s="4972">
        <v>45191</v>
      </c>
      <c r="I81" s="4973" t="s">
        <v>1196</v>
      </c>
      <c r="J81" s="4845" t="s">
        <v>695</v>
      </c>
      <c r="K81" s="4974" t="s">
        <v>2468</v>
      </c>
      <c r="L81" s="4845">
        <v>1937</v>
      </c>
      <c r="M81" s="4918">
        <v>45191</v>
      </c>
      <c r="N81" s="4918">
        <v>45191</v>
      </c>
      <c r="O81" s="4975">
        <v>45194</v>
      </c>
      <c r="P81" s="4909" t="s">
        <v>2472</v>
      </c>
      <c r="Q81" s="4845" t="s">
        <v>75</v>
      </c>
      <c r="R81" s="4938" t="s">
        <v>2470</v>
      </c>
      <c r="S81" s="4845">
        <v>4</v>
      </c>
      <c r="T81" s="4845">
        <v>743</v>
      </c>
      <c r="U81" s="4845">
        <v>578.38</v>
      </c>
      <c r="V81" s="4845">
        <v>3</v>
      </c>
      <c r="W81" s="4845">
        <f>SEP_2023[[#This Row],[Sales Amount]]-SEP_2023[[#This Row],[Cost]]</f>
        <v>164.62</v>
      </c>
      <c r="X81" s="4919">
        <f>SEP_2023[[#This Row],[Profit]]/SEP_2023[[#This Row],[Cost]]</f>
        <v>0.28462256647878559</v>
      </c>
      <c r="Y81" s="4845"/>
      <c r="Z81" s="4845"/>
    </row>
    <row r="82" spans="1:26" s="26" customFormat="1" ht="90">
      <c r="A82" s="4848" t="s">
        <v>788</v>
      </c>
      <c r="B82" s="4908" t="s">
        <v>2473</v>
      </c>
      <c r="C82" s="4845" t="s">
        <v>794</v>
      </c>
      <c r="D82" s="4906">
        <v>45177</v>
      </c>
      <c r="E82" s="4916">
        <v>45190</v>
      </c>
      <c r="F82" s="4845" t="s">
        <v>45</v>
      </c>
      <c r="G82" s="4845" t="s">
        <v>2467</v>
      </c>
      <c r="H82" s="4918">
        <v>45191</v>
      </c>
      <c r="I82" s="4976" t="s">
        <v>445</v>
      </c>
      <c r="J82" s="4845" t="s">
        <v>695</v>
      </c>
      <c r="K82" s="4977" t="s">
        <v>2468</v>
      </c>
      <c r="L82" s="4845">
        <v>2101</v>
      </c>
      <c r="M82" s="4918">
        <v>45191</v>
      </c>
      <c r="N82" s="4918">
        <v>45191</v>
      </c>
      <c r="O82" s="4918">
        <v>45191</v>
      </c>
      <c r="P82" s="4909" t="s">
        <v>2472</v>
      </c>
      <c r="Q82" s="4845" t="s">
        <v>75</v>
      </c>
      <c r="R82" s="4938" t="s">
        <v>2470</v>
      </c>
      <c r="S82" s="4845">
        <v>4</v>
      </c>
      <c r="T82" s="4845">
        <v>744</v>
      </c>
      <c r="U82" s="4845">
        <v>367.38</v>
      </c>
      <c r="V82" s="4845">
        <v>3</v>
      </c>
      <c r="W82" s="4845">
        <f>SEP_2023[[#This Row],[Sales Amount]]-SEP_2023[[#This Row],[Cost]]</f>
        <v>376.62</v>
      </c>
      <c r="X82" s="4919">
        <f>SEP_2023[[#This Row],[Profit]]/SEP_2023[[#This Row],[Cost]]</f>
        <v>1.0251510697370569</v>
      </c>
      <c r="Y82" s="4845"/>
      <c r="Z82" s="4845"/>
    </row>
    <row r="83" spans="1:26">
      <c r="A83" s="4839" t="s">
        <v>2396</v>
      </c>
      <c r="B83" s="4839" t="s">
        <v>2474</v>
      </c>
      <c r="C83" s="4861" t="s">
        <v>44</v>
      </c>
      <c r="D83" s="4953">
        <v>45200</v>
      </c>
      <c r="E83" s="4953">
        <v>45200</v>
      </c>
      <c r="F83" s="4861" t="s">
        <v>167</v>
      </c>
      <c r="G83" s="4839" t="s">
        <v>2475</v>
      </c>
      <c r="H83" s="4957">
        <v>45202</v>
      </c>
      <c r="I83" s="4958">
        <v>0.58333333333333337</v>
      </c>
      <c r="J83" s="4839" t="s">
        <v>948</v>
      </c>
      <c r="K83" s="4861" t="s">
        <v>2476</v>
      </c>
      <c r="L83" s="4861" t="s">
        <v>1642</v>
      </c>
      <c r="M83" s="4953">
        <v>45204</v>
      </c>
      <c r="N83" s="4953">
        <v>45202</v>
      </c>
      <c r="O83" s="4863">
        <v>45203</v>
      </c>
      <c r="P83" s="4891" t="s">
        <v>2477</v>
      </c>
      <c r="Q83" s="4861" t="s">
        <v>128</v>
      </c>
      <c r="R83" s="4861" t="s">
        <v>36</v>
      </c>
      <c r="S83" s="4861"/>
      <c r="T83" s="4861">
        <v>1460</v>
      </c>
      <c r="U83" s="4861"/>
      <c r="V83" s="4861"/>
      <c r="W83" s="4861">
        <f>SEP_2023[[#This Row],[Sales Amount]]-SEP_2023[[#This Row],[Cost]]</f>
        <v>1460</v>
      </c>
      <c r="X83" s="4865" t="e">
        <f>SEP_2023[[#This Row],[Profit]]/SEP_2023[[#This Row],[Cost]]</f>
        <v>#DIV/0!</v>
      </c>
      <c r="Y83" s="4861"/>
      <c r="Z83" s="4861"/>
    </row>
    <row r="84" spans="1:26" s="26" customFormat="1" ht="75">
      <c r="A84" s="4848" t="s">
        <v>319</v>
      </c>
      <c r="B84" s="4908" t="s">
        <v>2478</v>
      </c>
      <c r="C84" s="4845" t="s">
        <v>44</v>
      </c>
      <c r="D84" s="4906">
        <v>45166</v>
      </c>
      <c r="E84" s="4916">
        <v>45185</v>
      </c>
      <c r="F84" s="4845" t="s">
        <v>151</v>
      </c>
      <c r="G84" s="4908" t="s">
        <v>1707</v>
      </c>
      <c r="H84" s="4906">
        <v>45188</v>
      </c>
      <c r="I84" s="4845" t="s">
        <v>2479</v>
      </c>
      <c r="J84" s="4908" t="s">
        <v>435</v>
      </c>
      <c r="K84" s="4908" t="s">
        <v>2480</v>
      </c>
      <c r="L84" s="4845">
        <v>2662</v>
      </c>
      <c r="M84" s="4906">
        <v>45187</v>
      </c>
      <c r="N84" s="4906">
        <v>45187</v>
      </c>
      <c r="O84" s="4844">
        <v>45190</v>
      </c>
      <c r="P84" s="4909" t="s">
        <v>2481</v>
      </c>
      <c r="Q84" s="4845" t="s">
        <v>75</v>
      </c>
      <c r="R84" s="4978" t="s">
        <v>2482</v>
      </c>
      <c r="S84" s="4845">
        <v>4</v>
      </c>
      <c r="T84" s="4845">
        <v>2357.5</v>
      </c>
      <c r="U84" s="4845">
        <v>2030</v>
      </c>
      <c r="V84" s="4845">
        <v>1</v>
      </c>
      <c r="W84" s="4845">
        <f>SEP_2023[[#This Row],[Sales Amount]]-SEP_2023[[#This Row],[Cost]]</f>
        <v>327.5</v>
      </c>
      <c r="X84" s="4919">
        <f>SEP_2023[[#This Row],[Profit]]/SEP_2023[[#This Row],[Cost]]</f>
        <v>0.16133004926108374</v>
      </c>
      <c r="Y84" s="4845"/>
      <c r="Z84" s="4845"/>
    </row>
    <row r="85" spans="1:26" s="26" customFormat="1" ht="90">
      <c r="A85" s="4979" t="s">
        <v>319</v>
      </c>
      <c r="B85" s="4908" t="s">
        <v>2483</v>
      </c>
      <c r="C85" s="4845" t="s">
        <v>44</v>
      </c>
      <c r="D85" s="4906">
        <v>45172</v>
      </c>
      <c r="E85" s="4916">
        <v>45191</v>
      </c>
      <c r="F85" s="4845" t="s">
        <v>151</v>
      </c>
      <c r="G85" s="4921" t="s">
        <v>1707</v>
      </c>
      <c r="H85" s="4980" t="s">
        <v>2484</v>
      </c>
      <c r="I85" s="4981" t="s">
        <v>2485</v>
      </c>
      <c r="J85" s="4835" t="s">
        <v>1710</v>
      </c>
      <c r="K85" s="4909" t="s">
        <v>2486</v>
      </c>
      <c r="L85" s="766">
        <v>5329</v>
      </c>
      <c r="M85" s="4918">
        <v>45193</v>
      </c>
      <c r="N85" s="4961">
        <v>45194</v>
      </c>
      <c r="O85" s="4960">
        <v>45197</v>
      </c>
      <c r="P85" s="4909" t="s">
        <v>2487</v>
      </c>
      <c r="Q85" s="4845" t="s">
        <v>75</v>
      </c>
      <c r="R85" s="4938" t="s">
        <v>2488</v>
      </c>
      <c r="S85" s="4845">
        <v>4</v>
      </c>
      <c r="T85" s="4845">
        <v>4922.5</v>
      </c>
      <c r="U85" s="4938">
        <f>3194.75+700+110</f>
        <v>4004.75</v>
      </c>
      <c r="V85" s="4845">
        <v>1</v>
      </c>
      <c r="W85" s="4845">
        <f>SEP_2023[[#This Row],[Sales Amount]]-SEP_2023[[#This Row],[Cost]]</f>
        <v>917.75</v>
      </c>
      <c r="X85" s="4919">
        <f>SEP_2023[[#This Row],[Profit]]/SEP_2023[[#This Row],[Cost]]</f>
        <v>0.22916536612772334</v>
      </c>
      <c r="Y85" s="4845"/>
      <c r="Z85" s="4845"/>
    </row>
    <row r="86" spans="1:26" s="26" customFormat="1" ht="30">
      <c r="A86" s="4944" t="s">
        <v>2489</v>
      </c>
      <c r="B86" s="4930" t="s">
        <v>2490</v>
      </c>
      <c r="C86" s="4934" t="s">
        <v>794</v>
      </c>
      <c r="D86" s="4982">
        <v>45170</v>
      </c>
      <c r="E86" s="4983">
        <v>45184</v>
      </c>
      <c r="F86" s="4845" t="s">
        <v>93</v>
      </c>
      <c r="G86" s="4837" t="s">
        <v>2491</v>
      </c>
      <c r="H86" s="4984">
        <v>45184</v>
      </c>
      <c r="I86" s="4930" t="s">
        <v>40</v>
      </c>
      <c r="J86" s="4930" t="s">
        <v>2492</v>
      </c>
      <c r="K86" s="4934" t="s">
        <v>2493</v>
      </c>
      <c r="L86" s="4934">
        <v>2923</v>
      </c>
      <c r="M86" s="4985">
        <v>45184</v>
      </c>
      <c r="N86" s="4985">
        <v>45183</v>
      </c>
      <c r="O86" s="4985">
        <v>45184</v>
      </c>
      <c r="P86" s="4986" t="s">
        <v>2494</v>
      </c>
      <c r="Q86" s="4845" t="s">
        <v>75</v>
      </c>
      <c r="R86" s="4987" t="s">
        <v>2495</v>
      </c>
      <c r="S86" s="4934">
        <v>4</v>
      </c>
      <c r="T86" s="4845">
        <v>1882.5</v>
      </c>
      <c r="U86" s="4845">
        <v>1735</v>
      </c>
      <c r="V86" s="4934">
        <v>2</v>
      </c>
      <c r="W86" s="4845">
        <f>SEP_2023[[#This Row],[Sales Amount]]-SEP_2023[[#This Row],[Cost]]</f>
        <v>147.5</v>
      </c>
      <c r="X86" s="4919">
        <f>SEP_2023[[#This Row],[Profit]]/SEP_2023[[#This Row],[Cost]]</f>
        <v>8.5014409221902024E-2</v>
      </c>
      <c r="Y86" s="4845"/>
      <c r="Z86" s="4845"/>
    </row>
    <row r="87" spans="1:26" s="507" customFormat="1" ht="135">
      <c r="A87" s="4848" t="s">
        <v>1134</v>
      </c>
      <c r="B87" s="4971" t="s">
        <v>2496</v>
      </c>
      <c r="C87" s="4845" t="s">
        <v>44</v>
      </c>
      <c r="D87" s="4906">
        <v>45182</v>
      </c>
      <c r="E87" s="4916">
        <v>45182</v>
      </c>
      <c r="F87" s="4908" t="s">
        <v>135</v>
      </c>
      <c r="G87" s="4929" t="s">
        <v>1519</v>
      </c>
      <c r="H87" s="4977" t="s">
        <v>2497</v>
      </c>
      <c r="I87" s="4974" t="s">
        <v>2498</v>
      </c>
      <c r="J87" s="4150" t="s">
        <v>125</v>
      </c>
      <c r="K87" s="4845" t="s">
        <v>1641</v>
      </c>
      <c r="L87" s="4909" t="s">
        <v>162</v>
      </c>
      <c r="M87" s="4936">
        <v>45189</v>
      </c>
      <c r="N87" s="4988">
        <v>45188</v>
      </c>
      <c r="O87" s="4960">
        <v>45189</v>
      </c>
      <c r="P87" s="4909" t="s">
        <v>2499</v>
      </c>
      <c r="Q87" s="4908" t="s">
        <v>75</v>
      </c>
      <c r="R87" s="4908" t="s">
        <v>2500</v>
      </c>
      <c r="S87" s="4845">
        <v>4</v>
      </c>
      <c r="T87" s="4845">
        <v>3343.42</v>
      </c>
      <c r="U87" s="4845">
        <f>2640+402+68.42+20</f>
        <v>3130.42</v>
      </c>
      <c r="V87" s="4845">
        <v>1</v>
      </c>
      <c r="W87" s="4845">
        <f>SEP_2023[[#This Row],[Sales Amount]]-SEP_2023[[#This Row],[Cost]]</f>
        <v>213</v>
      </c>
      <c r="X87" s="4919">
        <f>SEP_2023[[#This Row],[Profit]]/SEP_2023[[#This Row],[Cost]]</f>
        <v>6.8041987976054333E-2</v>
      </c>
      <c r="Y87" s="4845"/>
      <c r="Z87" s="4845"/>
    </row>
    <row r="88" spans="1:26" s="507" customFormat="1" ht="165">
      <c r="A88" s="4848" t="s">
        <v>165</v>
      </c>
      <c r="B88" s="4908" t="s">
        <v>2501</v>
      </c>
      <c r="C88" s="4845" t="s">
        <v>28</v>
      </c>
      <c r="D88" s="4906">
        <v>45175</v>
      </c>
      <c r="E88" s="4916">
        <v>45193</v>
      </c>
      <c r="F88" s="4845" t="s">
        <v>167</v>
      </c>
      <c r="G88" s="4908" t="s">
        <v>2438</v>
      </c>
      <c r="H88" s="4918">
        <v>45201</v>
      </c>
      <c r="I88" s="4929" t="s">
        <v>445</v>
      </c>
      <c r="J88" s="4908" t="s">
        <v>2439</v>
      </c>
      <c r="K88" s="4908" t="s">
        <v>2440</v>
      </c>
      <c r="L88" s="4929" t="s">
        <v>2502</v>
      </c>
      <c r="M88" s="4918">
        <v>45194</v>
      </c>
      <c r="N88" s="4918">
        <v>45195</v>
      </c>
      <c r="O88" s="4918">
        <v>45202</v>
      </c>
      <c r="P88" s="4909" t="s">
        <v>2503</v>
      </c>
      <c r="Q88" s="4845" t="s">
        <v>75</v>
      </c>
      <c r="R88" s="4938" t="s">
        <v>2504</v>
      </c>
      <c r="S88" s="4934">
        <v>4</v>
      </c>
      <c r="T88" s="660">
        <v>1500</v>
      </c>
      <c r="U88" s="660">
        <f>902.05+50+165+75</f>
        <v>1192.05</v>
      </c>
      <c r="V88" s="4845">
        <v>1</v>
      </c>
      <c r="W88" s="4845">
        <f>SEP_2023[[#This Row],[Sales Amount]]-SEP_2023[[#This Row],[Cost]]</f>
        <v>307.95000000000005</v>
      </c>
      <c r="X88" s="4919">
        <f>SEP_2023[[#This Row],[Profit]]/SEP_2023[[#This Row],[Cost]]</f>
        <v>0.25833647917453134</v>
      </c>
      <c r="Y88" s="4845"/>
      <c r="Z88" s="4845"/>
    </row>
    <row r="89" spans="1:26" s="507" customFormat="1" ht="60">
      <c r="A89" s="4848" t="s">
        <v>2505</v>
      </c>
      <c r="B89" s="4908" t="s">
        <v>2506</v>
      </c>
      <c r="C89" s="4845" t="s">
        <v>200</v>
      </c>
      <c r="D89" s="4906">
        <v>45181</v>
      </c>
      <c r="E89" s="4916">
        <v>45198</v>
      </c>
      <c r="F89" s="4845" t="s">
        <v>245</v>
      </c>
      <c r="G89" s="4845" t="s">
        <v>2507</v>
      </c>
      <c r="H89" s="4916">
        <v>45204</v>
      </c>
      <c r="I89" s="4908" t="s">
        <v>618</v>
      </c>
      <c r="J89" s="4921" t="s">
        <v>435</v>
      </c>
      <c r="K89" s="4964" t="s">
        <v>2508</v>
      </c>
      <c r="L89" s="4929">
        <v>7166477</v>
      </c>
      <c r="M89" s="4918">
        <v>45201</v>
      </c>
      <c r="N89" s="4918">
        <v>45202</v>
      </c>
      <c r="O89" s="4960">
        <v>45204</v>
      </c>
      <c r="P89" s="4909" t="s">
        <v>2509</v>
      </c>
      <c r="Q89" s="4845" t="s">
        <v>75</v>
      </c>
      <c r="R89" s="4938" t="s">
        <v>2510</v>
      </c>
      <c r="S89" s="4845">
        <v>4</v>
      </c>
      <c r="T89" s="4845">
        <v>1635</v>
      </c>
      <c r="U89" s="4845">
        <f>1038+100</f>
        <v>1138</v>
      </c>
      <c r="V89" s="4845">
        <v>1</v>
      </c>
      <c r="W89" s="4845">
        <f>SEP_2023[[#This Row],[Sales Amount]]-SEP_2023[[#This Row],[Cost]]</f>
        <v>497</v>
      </c>
      <c r="X89" s="4919">
        <f>SEP_2023[[#This Row],[Profit]]/SEP_2023[[#This Row],[Cost]]</f>
        <v>0.43673110720562391</v>
      </c>
      <c r="Y89" s="4845"/>
      <c r="Z89" s="4845"/>
    </row>
    <row r="90" spans="1:26" s="507" customFormat="1">
      <c r="A90" s="4848" t="s">
        <v>2391</v>
      </c>
      <c r="B90" s="4837" t="s">
        <v>2511</v>
      </c>
      <c r="C90" s="4845" t="s">
        <v>28</v>
      </c>
      <c r="D90" s="4906">
        <v>45198</v>
      </c>
      <c r="E90" s="4916">
        <v>45198</v>
      </c>
      <c r="F90" s="4845" t="s">
        <v>167</v>
      </c>
      <c r="G90" s="4938" t="s">
        <v>2512</v>
      </c>
      <c r="H90" s="4845" t="s">
        <v>162</v>
      </c>
      <c r="I90" s="4845" t="s">
        <v>162</v>
      </c>
      <c r="J90" s="4845" t="s">
        <v>162</v>
      </c>
      <c r="K90" s="4845" t="s">
        <v>162</v>
      </c>
      <c r="L90" s="4837" t="s">
        <v>1038</v>
      </c>
      <c r="M90" s="4916">
        <v>45204</v>
      </c>
      <c r="N90" s="4906">
        <v>45203</v>
      </c>
      <c r="O90" s="4906">
        <v>45204</v>
      </c>
      <c r="P90" s="4989" t="s">
        <v>2513</v>
      </c>
      <c r="Q90" s="4845" t="s">
        <v>75</v>
      </c>
      <c r="R90" s="4837" t="s">
        <v>2514</v>
      </c>
      <c r="S90" s="4845"/>
      <c r="T90" s="4845"/>
      <c r="U90" s="4845"/>
      <c r="V90" s="4845"/>
      <c r="W90" s="4845">
        <f>SEP_2023[[#This Row],[Sales Amount]]-SEP_2023[[#This Row],[Cost]]</f>
        <v>0</v>
      </c>
      <c r="X90" s="4919" t="e">
        <f>SEP_2023[[#This Row],[Profit]]/SEP_2023[[#This Row],[Cost]]</f>
        <v>#DIV/0!</v>
      </c>
      <c r="Y90" s="4845"/>
      <c r="Z90" s="4845"/>
    </row>
    <row r="91" spans="1:26" s="26" customFormat="1">
      <c r="A91" s="4848" t="s">
        <v>2391</v>
      </c>
      <c r="B91" s="4845" t="s">
        <v>2515</v>
      </c>
      <c r="C91" s="4845" t="s">
        <v>28</v>
      </c>
      <c r="D91" s="4906">
        <v>45198</v>
      </c>
      <c r="E91" s="4916">
        <v>45198</v>
      </c>
      <c r="F91" s="4845" t="s">
        <v>167</v>
      </c>
      <c r="G91" s="4845" t="s">
        <v>2516</v>
      </c>
      <c r="H91" s="4845" t="s">
        <v>162</v>
      </c>
      <c r="I91" s="4845" t="s">
        <v>162</v>
      </c>
      <c r="J91" s="4845" t="s">
        <v>162</v>
      </c>
      <c r="K91" s="4845" t="s">
        <v>162</v>
      </c>
      <c r="L91" s="4845" t="s">
        <v>1038</v>
      </c>
      <c r="M91" s="4916">
        <v>45204</v>
      </c>
      <c r="N91" s="4906">
        <v>45203</v>
      </c>
      <c r="O91" s="4906">
        <v>45204</v>
      </c>
      <c r="P91" s="4932" t="s">
        <v>2513</v>
      </c>
      <c r="Q91" s="4845" t="s">
        <v>75</v>
      </c>
      <c r="R91" s="4845" t="s">
        <v>2514</v>
      </c>
      <c r="S91" s="4845"/>
      <c r="T91" s="4845"/>
      <c r="U91" s="4845"/>
      <c r="V91" s="4845"/>
      <c r="W91" s="4845">
        <f>SEP_2023[[#This Row],[Sales Amount]]-SEP_2023[[#This Row],[Cost]]</f>
        <v>0</v>
      </c>
      <c r="X91" s="4919" t="e">
        <f>SEP_2023[[#This Row],[Profit]]/SEP_2023[[#This Row],[Cost]]</f>
        <v>#DIV/0!</v>
      </c>
      <c r="Y91" s="4845"/>
      <c r="Z91" s="4845"/>
    </row>
    <row r="92" spans="1:26" s="26" customFormat="1">
      <c r="A92" s="4848" t="s">
        <v>2391</v>
      </c>
      <c r="B92" s="4845" t="s">
        <v>2517</v>
      </c>
      <c r="C92" s="4845" t="s">
        <v>28</v>
      </c>
      <c r="D92" s="4906">
        <v>45198</v>
      </c>
      <c r="E92" s="4916">
        <v>45198</v>
      </c>
      <c r="F92" s="4845" t="s">
        <v>167</v>
      </c>
      <c r="G92" s="4845" t="s">
        <v>2516</v>
      </c>
      <c r="H92" s="4845" t="s">
        <v>162</v>
      </c>
      <c r="I92" s="4845" t="s">
        <v>162</v>
      </c>
      <c r="J92" s="4845" t="s">
        <v>162</v>
      </c>
      <c r="K92" s="4845" t="s">
        <v>162</v>
      </c>
      <c r="L92" s="4845" t="s">
        <v>1038</v>
      </c>
      <c r="M92" s="4916">
        <v>45204</v>
      </c>
      <c r="N92" s="4906">
        <v>45202</v>
      </c>
      <c r="O92" s="4906">
        <v>45203</v>
      </c>
      <c r="P92" s="4909" t="s">
        <v>2513</v>
      </c>
      <c r="Q92" s="4845" t="s">
        <v>75</v>
      </c>
      <c r="R92" s="4845" t="s">
        <v>2514</v>
      </c>
      <c r="S92" s="4845"/>
      <c r="T92" s="4845"/>
      <c r="U92" s="4845"/>
      <c r="V92" s="4845"/>
      <c r="W92" s="4845">
        <f>SEP_2023[[#This Row],[Sales Amount]]-SEP_2023[[#This Row],[Cost]]</f>
        <v>0</v>
      </c>
      <c r="X92" s="4919" t="e">
        <f>SEP_2023[[#This Row],[Profit]]/SEP_2023[[#This Row],[Cost]]</f>
        <v>#DIV/0!</v>
      </c>
      <c r="Y92" s="4845"/>
      <c r="Z92" s="4845"/>
    </row>
    <row r="93" spans="1:26" s="26" customFormat="1">
      <c r="A93" s="4848" t="s">
        <v>2391</v>
      </c>
      <c r="B93" s="4908" t="s">
        <v>2518</v>
      </c>
      <c r="C93" s="4845" t="s">
        <v>28</v>
      </c>
      <c r="D93" s="4906">
        <v>45198</v>
      </c>
      <c r="E93" s="4916">
        <v>45198</v>
      </c>
      <c r="F93" s="4845" t="s">
        <v>167</v>
      </c>
      <c r="G93" s="4908" t="s">
        <v>2516</v>
      </c>
      <c r="H93" s="4845" t="s">
        <v>162</v>
      </c>
      <c r="I93" s="4845" t="s">
        <v>162</v>
      </c>
      <c r="J93" s="4845" t="s">
        <v>162</v>
      </c>
      <c r="K93" s="4845" t="s">
        <v>162</v>
      </c>
      <c r="L93" s="4845" t="s">
        <v>1038</v>
      </c>
      <c r="M93" s="4916">
        <v>45204</v>
      </c>
      <c r="N93" s="4916">
        <v>45204</v>
      </c>
      <c r="O93" s="4916">
        <v>45205</v>
      </c>
      <c r="P93" s="4909" t="s">
        <v>2519</v>
      </c>
      <c r="Q93" s="4845" t="s">
        <v>75</v>
      </c>
      <c r="R93" s="4837" t="s">
        <v>2520</v>
      </c>
      <c r="S93" s="4845"/>
      <c r="T93" s="4845"/>
      <c r="U93" s="4845"/>
      <c r="V93" s="4845"/>
      <c r="W93" s="4845">
        <f>SEP_2023[[#This Row],[Sales Amount]]-SEP_2023[[#This Row],[Cost]]</f>
        <v>0</v>
      </c>
      <c r="X93" s="4919" t="e">
        <f>SEP_2023[[#This Row],[Profit]]/SEP_2023[[#This Row],[Cost]]</f>
        <v>#DIV/0!</v>
      </c>
      <c r="Y93" s="4845"/>
      <c r="Z93" s="4845"/>
    </row>
    <row r="94" spans="1:26" s="26" customFormat="1">
      <c r="A94" s="4848" t="s">
        <v>2391</v>
      </c>
      <c r="B94" s="4908" t="s">
        <v>2521</v>
      </c>
      <c r="C94" s="4845" t="s">
        <v>28</v>
      </c>
      <c r="D94" s="4906">
        <v>45198</v>
      </c>
      <c r="E94" s="4916">
        <v>45198</v>
      </c>
      <c r="F94" s="4845" t="s">
        <v>167</v>
      </c>
      <c r="G94" s="4908" t="s">
        <v>2516</v>
      </c>
      <c r="H94" s="4845" t="s">
        <v>162</v>
      </c>
      <c r="I94" s="4845" t="s">
        <v>162</v>
      </c>
      <c r="J94" s="4845" t="s">
        <v>162</v>
      </c>
      <c r="K94" s="4845" t="s">
        <v>162</v>
      </c>
      <c r="L94" s="4845" t="s">
        <v>1038</v>
      </c>
      <c r="M94" s="4916">
        <v>45204</v>
      </c>
      <c r="N94" s="4916">
        <v>45204</v>
      </c>
      <c r="O94" s="4916">
        <v>45205</v>
      </c>
      <c r="P94" s="4909" t="s">
        <v>2519</v>
      </c>
      <c r="Q94" s="4845" t="s">
        <v>75</v>
      </c>
      <c r="R94" s="4845" t="s">
        <v>2520</v>
      </c>
      <c r="S94" s="4845"/>
      <c r="T94" s="4845"/>
      <c r="U94" s="4845"/>
      <c r="V94" s="4845"/>
      <c r="W94" s="4845">
        <f>SEP_2023[[#This Row],[Sales Amount]]-SEP_2023[[#This Row],[Cost]]</f>
        <v>0</v>
      </c>
      <c r="X94" s="4919" t="e">
        <f>SEP_2023[[#This Row],[Profit]]/SEP_2023[[#This Row],[Cost]]</f>
        <v>#DIV/0!</v>
      </c>
      <c r="Y94" s="4845"/>
      <c r="Z94" s="4845"/>
    </row>
    <row r="95" spans="1:26" s="26" customFormat="1">
      <c r="A95" s="4839" t="s">
        <v>2396</v>
      </c>
      <c r="B95" s="4839" t="s">
        <v>2522</v>
      </c>
      <c r="C95" s="4861" t="s">
        <v>44</v>
      </c>
      <c r="D95" s="4953">
        <v>45202</v>
      </c>
      <c r="E95" s="4953">
        <v>45202</v>
      </c>
      <c r="F95" s="4861" t="s">
        <v>167</v>
      </c>
      <c r="G95" s="4839" t="s">
        <v>2475</v>
      </c>
      <c r="H95" s="4957">
        <v>45208</v>
      </c>
      <c r="I95" s="4958">
        <v>0.375</v>
      </c>
      <c r="J95" s="4839" t="s">
        <v>322</v>
      </c>
      <c r="K95" s="4861" t="s">
        <v>2523</v>
      </c>
      <c r="L95" s="4861"/>
      <c r="M95" s="4953"/>
      <c r="N95" s="4953">
        <v>45205</v>
      </c>
      <c r="O95" s="4863">
        <v>45208</v>
      </c>
      <c r="P95" s="4864" t="s">
        <v>2524</v>
      </c>
      <c r="Q95" s="4861" t="s">
        <v>128</v>
      </c>
      <c r="R95" s="4861" t="s">
        <v>2143</v>
      </c>
      <c r="S95" s="4861"/>
      <c r="T95" s="4861">
        <v>1230</v>
      </c>
      <c r="U95" s="4861">
        <v>735</v>
      </c>
      <c r="V95" s="4861">
        <v>1</v>
      </c>
      <c r="W95" s="4861">
        <f>SEP_2023[[#This Row],[Sales Amount]]-SEP_2023[[#This Row],[Cost]]</f>
        <v>495</v>
      </c>
      <c r="X95" s="4865">
        <f>SEP_2023[[#This Row],[Profit]]/SEP_2023[[#This Row],[Cost]]</f>
        <v>0.67346938775510201</v>
      </c>
      <c r="Y95" s="4861"/>
      <c r="Z95" s="4861"/>
    </row>
    <row r="96" spans="1:26" s="26" customFormat="1">
      <c r="A96" s="4841" t="s">
        <v>2525</v>
      </c>
      <c r="B96" s="4841" t="s">
        <v>2526</v>
      </c>
      <c r="C96" s="4839" t="s">
        <v>85</v>
      </c>
      <c r="D96" s="4859">
        <v>45192</v>
      </c>
      <c r="E96" s="4867">
        <v>45207</v>
      </c>
      <c r="F96" s="4839" t="s">
        <v>151</v>
      </c>
      <c r="G96" s="4839" t="s">
        <v>46</v>
      </c>
      <c r="H96" s="4855">
        <v>45211</v>
      </c>
      <c r="I96" s="4841" t="s">
        <v>115</v>
      </c>
      <c r="J96" s="4839" t="s">
        <v>32</v>
      </c>
      <c r="K96" s="4839" t="s">
        <v>213</v>
      </c>
      <c r="L96" s="4869" t="s">
        <v>2527</v>
      </c>
      <c r="M96" s="4855">
        <v>45210</v>
      </c>
      <c r="N96" s="4876">
        <v>45210</v>
      </c>
      <c r="O96" s="4897">
        <v>45211</v>
      </c>
      <c r="P96" s="4926" t="s">
        <v>2528</v>
      </c>
      <c r="Q96" s="4839" t="s">
        <v>35</v>
      </c>
      <c r="R96" s="4870" t="s">
        <v>36</v>
      </c>
      <c r="S96" s="4839" t="s">
        <v>37</v>
      </c>
      <c r="T96" s="4872">
        <v>1035</v>
      </c>
      <c r="U96" s="4872">
        <v>800</v>
      </c>
      <c r="V96" s="4892"/>
      <c r="W96" s="4874">
        <f>SEP_2023[[#This Row],[Sales Amount]]-SEP_2023[[#This Row],[Cost]]</f>
        <v>235</v>
      </c>
      <c r="X96" s="4875">
        <f>SEP_2023[[#This Row],[Profit]]/SEP_2023[[#This Row],[Cost]]</f>
        <v>0.29375000000000001</v>
      </c>
      <c r="Y96" s="4874"/>
      <c r="Z96" s="4874"/>
    </row>
    <row r="97" spans="1:26" s="26" customFormat="1" ht="30">
      <c r="A97" s="4839" t="s">
        <v>263</v>
      </c>
      <c r="B97" s="4839" t="s">
        <v>2209</v>
      </c>
      <c r="C97" s="4839" t="s">
        <v>44</v>
      </c>
      <c r="D97" s="4859">
        <v>45202</v>
      </c>
      <c r="E97" s="4859">
        <v>45202</v>
      </c>
      <c r="F97" s="4839" t="s">
        <v>63</v>
      </c>
      <c r="G97" s="4839" t="s">
        <v>265</v>
      </c>
      <c r="H97" s="4859">
        <v>45212</v>
      </c>
      <c r="I97" s="4958">
        <v>0.45833333333333331</v>
      </c>
      <c r="J97" s="4839" t="s">
        <v>1914</v>
      </c>
      <c r="K97" s="4861" t="s">
        <v>267</v>
      </c>
      <c r="L97" s="4839"/>
      <c r="M97" s="4859">
        <v>45212</v>
      </c>
      <c r="N97" s="4859">
        <v>45212</v>
      </c>
      <c r="O97" s="4953">
        <v>45215</v>
      </c>
      <c r="P97" s="4864" t="s">
        <v>2529</v>
      </c>
      <c r="Q97" s="4861" t="s">
        <v>128</v>
      </c>
      <c r="R97" s="4861" t="s">
        <v>36</v>
      </c>
      <c r="S97" s="4861"/>
      <c r="T97" s="4861">
        <v>1985.16</v>
      </c>
      <c r="U97" s="4861">
        <f>170.16+1380</f>
        <v>1550.16</v>
      </c>
      <c r="V97" s="4861">
        <v>1</v>
      </c>
      <c r="W97" s="4861">
        <f>SEP_2023[[#This Row],[Sales Amount]]-SEP_2023[[#This Row],[Cost]]</f>
        <v>435</v>
      </c>
      <c r="X97" s="4865">
        <f>SEP_2023[[#This Row],[Profit]]/SEP_2023[[#This Row],[Cost]]</f>
        <v>0.28061619445734631</v>
      </c>
      <c r="Y97" s="4861"/>
      <c r="Z97" s="4861"/>
    </row>
    <row r="98" spans="1:26" ht="30">
      <c r="A98" s="4841" t="s">
        <v>263</v>
      </c>
      <c r="B98" s="4841" t="s">
        <v>2530</v>
      </c>
      <c r="C98" s="4841" t="s">
        <v>44</v>
      </c>
      <c r="D98" s="4855">
        <v>45202</v>
      </c>
      <c r="E98" s="4855">
        <v>45202</v>
      </c>
      <c r="F98" s="4841" t="s">
        <v>2039</v>
      </c>
      <c r="G98" s="4841" t="s">
        <v>265</v>
      </c>
      <c r="H98" s="4990">
        <v>45210</v>
      </c>
      <c r="I98" s="4969">
        <v>0.45833333333333331</v>
      </c>
      <c r="J98" s="4841" t="s">
        <v>1914</v>
      </c>
      <c r="K98" s="4902" t="s">
        <v>267</v>
      </c>
      <c r="L98" s="4841"/>
      <c r="M98" s="4855">
        <v>45211</v>
      </c>
      <c r="N98" s="4990">
        <v>45210</v>
      </c>
      <c r="O98" s="4991">
        <v>45211</v>
      </c>
      <c r="P98" s="4992" t="s">
        <v>2531</v>
      </c>
      <c r="Q98" s="4902" t="s">
        <v>128</v>
      </c>
      <c r="R98" s="4902" t="s">
        <v>36</v>
      </c>
      <c r="S98" s="4902"/>
      <c r="T98" s="4902">
        <v>1918.91</v>
      </c>
      <c r="U98" s="4902">
        <f>1322.5+80.16+90</f>
        <v>1492.66</v>
      </c>
      <c r="V98" s="4902">
        <v>1</v>
      </c>
      <c r="W98" s="4902">
        <f>SEP_2023[[#This Row],[Sales Amount]]-SEP_2023[[#This Row],[Cost]]</f>
        <v>426.25</v>
      </c>
      <c r="X98" s="4993">
        <f>SEP_2023[[#This Row],[Profit]]/SEP_2023[[#This Row],[Cost]]</f>
        <v>0.28556402663701042</v>
      </c>
      <c r="Y98" s="4902"/>
      <c r="Z98" s="4902"/>
    </row>
    <row r="99" spans="1:26" s="507" customFormat="1" ht="30">
      <c r="A99" s="4839" t="s">
        <v>122</v>
      </c>
      <c r="B99" s="4839" t="s">
        <v>2532</v>
      </c>
      <c r="C99" s="4839" t="s">
        <v>44</v>
      </c>
      <c r="D99" s="4859">
        <v>45203</v>
      </c>
      <c r="E99" s="4859">
        <v>45203</v>
      </c>
      <c r="F99" s="4839" t="s">
        <v>93</v>
      </c>
      <c r="G99" s="4839" t="s">
        <v>124</v>
      </c>
      <c r="H99" s="4957">
        <v>45212</v>
      </c>
      <c r="I99" s="4958">
        <v>0.95833333333333337</v>
      </c>
      <c r="J99" s="4839" t="s">
        <v>859</v>
      </c>
      <c r="K99" s="4861" t="s">
        <v>2533</v>
      </c>
      <c r="L99" s="4861"/>
      <c r="M99" s="4863">
        <v>45211</v>
      </c>
      <c r="N99" s="4863">
        <v>45211</v>
      </c>
      <c r="O99" s="4863">
        <v>45215</v>
      </c>
      <c r="P99" s="4864" t="s">
        <v>2534</v>
      </c>
      <c r="Q99" s="4861" t="s">
        <v>128</v>
      </c>
      <c r="R99" s="4861" t="s">
        <v>36</v>
      </c>
      <c r="S99" s="4861"/>
      <c r="T99" s="4861">
        <v>3699.67</v>
      </c>
      <c r="U99" s="4839">
        <f>2596.25+80+88.42</f>
        <v>2764.67</v>
      </c>
      <c r="V99" s="4861">
        <v>1</v>
      </c>
      <c r="W99" s="4861">
        <f>SEP_2023[[#This Row],[Sales Amount]]-SEP_2023[[#This Row],[Cost]]</f>
        <v>935</v>
      </c>
      <c r="X99" s="4865">
        <f>SEP_2023[[#This Row],[Profit]]/SEP_2023[[#This Row],[Cost]]</f>
        <v>0.33819587871246837</v>
      </c>
      <c r="Y99" s="4861"/>
      <c r="Z99" s="4861"/>
    </row>
    <row r="100" spans="1:26" s="117" customFormat="1" ht="75">
      <c r="A100" s="4848" t="s">
        <v>1134</v>
      </c>
      <c r="B100" s="4994" t="s">
        <v>2535</v>
      </c>
      <c r="C100" s="4845" t="s">
        <v>44</v>
      </c>
      <c r="D100" s="4906">
        <v>45190</v>
      </c>
      <c r="E100" s="4916">
        <v>45190</v>
      </c>
      <c r="F100" s="4845" t="s">
        <v>135</v>
      </c>
      <c r="G100" s="4929" t="s">
        <v>2536</v>
      </c>
      <c r="H100" s="4909" t="s">
        <v>2537</v>
      </c>
      <c r="I100" s="4995" t="s">
        <v>2538</v>
      </c>
      <c r="J100" s="4908" t="s">
        <v>125</v>
      </c>
      <c r="K100" s="4845" t="s">
        <v>1641</v>
      </c>
      <c r="L100" s="4909" t="s">
        <v>162</v>
      </c>
      <c r="M100" s="4918">
        <v>45197</v>
      </c>
      <c r="N100" s="4936">
        <v>45196</v>
      </c>
      <c r="O100" s="4918">
        <v>45197</v>
      </c>
      <c r="P100" s="4909" t="s">
        <v>2539</v>
      </c>
      <c r="Q100" s="4845" t="s">
        <v>75</v>
      </c>
      <c r="R100" s="4938" t="s">
        <v>2540</v>
      </c>
      <c r="S100" s="4845">
        <v>4</v>
      </c>
      <c r="T100" s="4845">
        <v>3063.92</v>
      </c>
      <c r="U100" s="4845">
        <f>216+1780+424+68.42+20</f>
        <v>2508.42</v>
      </c>
      <c r="V100" s="4845">
        <v>1</v>
      </c>
      <c r="W100" s="4845">
        <f>SEP_2023[[#This Row],[Sales Amount]]-SEP_2023[[#This Row],[Cost]]</f>
        <v>555.5</v>
      </c>
      <c r="X100" s="4919">
        <f>SEP_2023[[#This Row],[Profit]]/SEP_2023[[#This Row],[Cost]]</f>
        <v>0.22145414244823433</v>
      </c>
      <c r="Y100" s="4845"/>
      <c r="Z100" s="4845"/>
    </row>
    <row r="101" spans="1:26" s="507" customFormat="1" ht="90">
      <c r="A101" s="4848" t="s">
        <v>1134</v>
      </c>
      <c r="B101" s="4994" t="s">
        <v>2541</v>
      </c>
      <c r="C101" s="4845" t="s">
        <v>44</v>
      </c>
      <c r="D101" s="4906">
        <v>45190</v>
      </c>
      <c r="E101" s="4916">
        <v>45190</v>
      </c>
      <c r="F101" s="4845" t="s">
        <v>135</v>
      </c>
      <c r="G101" s="4929" t="s">
        <v>2536</v>
      </c>
      <c r="H101" s="4977" t="s">
        <v>2542</v>
      </c>
      <c r="I101" s="4995" t="s">
        <v>2543</v>
      </c>
      <c r="J101" s="4908" t="s">
        <v>125</v>
      </c>
      <c r="K101" s="4845" t="s">
        <v>1641</v>
      </c>
      <c r="L101" s="4947" t="s">
        <v>162</v>
      </c>
      <c r="M101" s="4918">
        <v>45197</v>
      </c>
      <c r="N101" s="4936">
        <v>45196</v>
      </c>
      <c r="O101" s="4918">
        <v>45197</v>
      </c>
      <c r="P101" s="4909" t="s">
        <v>2544</v>
      </c>
      <c r="Q101" s="4845" t="s">
        <v>75</v>
      </c>
      <c r="R101" s="4938" t="s">
        <v>2545</v>
      </c>
      <c r="S101" s="4845">
        <v>4</v>
      </c>
      <c r="T101" s="4845">
        <f>3255.17-212.5</f>
        <v>3042.67</v>
      </c>
      <c r="U101" s="4845">
        <f>217+783.33+2040+68.42+20</f>
        <v>3128.75</v>
      </c>
      <c r="V101" s="4845">
        <v>1</v>
      </c>
      <c r="W101" s="4845">
        <f>SEP_2023[[#This Row],[Sales Amount]]-SEP_2023[[#This Row],[Cost]]</f>
        <v>-86.079999999999927</v>
      </c>
      <c r="X101" s="4919">
        <f>SEP_2023[[#This Row],[Profit]]/SEP_2023[[#This Row],[Cost]]</f>
        <v>-2.7512584898122229E-2</v>
      </c>
      <c r="Y101" s="4845"/>
      <c r="Z101" s="4845"/>
    </row>
    <row r="102" spans="1:26" s="507" customFormat="1" ht="90">
      <c r="A102" s="4848" t="s">
        <v>1134</v>
      </c>
      <c r="B102" s="4994" t="s">
        <v>2546</v>
      </c>
      <c r="C102" s="4845" t="s">
        <v>44</v>
      </c>
      <c r="D102" s="4906">
        <v>45190</v>
      </c>
      <c r="E102" s="4916">
        <v>45190</v>
      </c>
      <c r="F102" s="4845" t="s">
        <v>135</v>
      </c>
      <c r="G102" s="4929" t="s">
        <v>2536</v>
      </c>
      <c r="H102" s="4977" t="s">
        <v>2547</v>
      </c>
      <c r="I102" s="4995" t="s">
        <v>2548</v>
      </c>
      <c r="J102" s="4908" t="s">
        <v>125</v>
      </c>
      <c r="K102" s="4845" t="s">
        <v>1641</v>
      </c>
      <c r="L102" s="4947" t="s">
        <v>162</v>
      </c>
      <c r="M102" s="4918">
        <v>45197</v>
      </c>
      <c r="N102" s="4936">
        <v>45196</v>
      </c>
      <c r="O102" s="4918">
        <v>45197</v>
      </c>
      <c r="P102" s="4909" t="s">
        <v>2549</v>
      </c>
      <c r="Q102" s="4845" t="s">
        <v>75</v>
      </c>
      <c r="R102" s="4938" t="s">
        <v>2550</v>
      </c>
      <c r="S102" s="4845">
        <v>4</v>
      </c>
      <c r="T102" s="4845">
        <f>3127.67-212.5</f>
        <v>2915.17</v>
      </c>
      <c r="U102" s="4845">
        <f>1780+455.17+217+68.42+20</f>
        <v>2540.59</v>
      </c>
      <c r="V102" s="4845">
        <v>1</v>
      </c>
      <c r="W102" s="4845">
        <f>SEP_2023[[#This Row],[Sales Amount]]-SEP_2023[[#This Row],[Cost]]</f>
        <v>374.57999999999993</v>
      </c>
      <c r="X102" s="4919">
        <f>SEP_2023[[#This Row],[Profit]]/SEP_2023[[#This Row],[Cost]]</f>
        <v>0.1474381934904884</v>
      </c>
      <c r="Y102" s="4845"/>
      <c r="Z102" s="4845"/>
    </row>
    <row r="103" spans="1:26" s="1569" customFormat="1" ht="75">
      <c r="A103" s="4996" t="s">
        <v>96</v>
      </c>
      <c r="B103" s="4905" t="s">
        <v>2551</v>
      </c>
      <c r="C103" s="4911" t="s">
        <v>28</v>
      </c>
      <c r="D103" s="4997">
        <v>45180</v>
      </c>
      <c r="E103" s="4998">
        <v>45186</v>
      </c>
      <c r="F103" s="4911" t="s">
        <v>98</v>
      </c>
      <c r="G103" s="4905" t="s">
        <v>302</v>
      </c>
      <c r="H103" s="4997">
        <v>45192</v>
      </c>
      <c r="I103" s="4905" t="s">
        <v>2552</v>
      </c>
      <c r="J103" s="4905" t="s">
        <v>32</v>
      </c>
      <c r="K103" s="4905" t="s">
        <v>558</v>
      </c>
      <c r="L103" s="4905" t="s">
        <v>2553</v>
      </c>
      <c r="M103" s="4997">
        <v>45190</v>
      </c>
      <c r="N103" s="4997">
        <v>45190</v>
      </c>
      <c r="O103" s="4999">
        <v>45210</v>
      </c>
      <c r="P103" s="5000" t="s">
        <v>2554</v>
      </c>
      <c r="Q103" s="4911" t="s">
        <v>75</v>
      </c>
      <c r="R103" s="5001" t="s">
        <v>2555</v>
      </c>
      <c r="S103" s="4911">
        <v>4</v>
      </c>
      <c r="T103" s="4911">
        <v>2670</v>
      </c>
      <c r="U103" s="4911">
        <v>1614</v>
      </c>
      <c r="V103" s="4911">
        <v>1</v>
      </c>
      <c r="W103" s="4911">
        <f>SEP_2023[[#This Row],[Sales Amount]]-SEP_2023[[#This Row],[Cost]]</f>
        <v>1056</v>
      </c>
      <c r="X103" s="5002">
        <f>SEP_2023[[#This Row],[Profit]]/SEP_2023[[#This Row],[Cost]]</f>
        <v>0.65427509293680297</v>
      </c>
      <c r="Y103" s="4911"/>
      <c r="Z103" s="4911"/>
    </row>
    <row r="104" spans="1:26" s="26" customFormat="1" ht="45">
      <c r="A104" s="4996" t="s">
        <v>96</v>
      </c>
      <c r="B104" s="4905" t="s">
        <v>2556</v>
      </c>
      <c r="C104" s="4911" t="s">
        <v>28</v>
      </c>
      <c r="D104" s="4997">
        <v>45187</v>
      </c>
      <c r="E104" s="4998">
        <v>45193</v>
      </c>
      <c r="F104" s="4911" t="s">
        <v>98</v>
      </c>
      <c r="G104" s="4911" t="s">
        <v>302</v>
      </c>
      <c r="H104" s="4997">
        <v>45196</v>
      </c>
      <c r="I104" s="5003" t="s">
        <v>2557</v>
      </c>
      <c r="J104" s="4905" t="s">
        <v>32</v>
      </c>
      <c r="K104" s="4905" t="s">
        <v>1622</v>
      </c>
      <c r="L104" s="4905" t="s">
        <v>2558</v>
      </c>
      <c r="M104" s="4997">
        <v>45196</v>
      </c>
      <c r="N104" s="4997">
        <v>45196</v>
      </c>
      <c r="O104" s="5004">
        <v>45197</v>
      </c>
      <c r="P104" s="4910" t="s">
        <v>2559</v>
      </c>
      <c r="Q104" s="4911" t="s">
        <v>75</v>
      </c>
      <c r="R104" s="5001" t="s">
        <v>2560</v>
      </c>
      <c r="S104" s="4911">
        <v>4</v>
      </c>
      <c r="T104" s="4911">
        <v>2002.5</v>
      </c>
      <c r="U104" s="4911">
        <v>1710</v>
      </c>
      <c r="V104" s="4911">
        <v>1</v>
      </c>
      <c r="W104" s="4911">
        <f>SEP_2023[[#This Row],[Sales Amount]]-SEP_2023[[#This Row],[Cost]]</f>
        <v>292.5</v>
      </c>
      <c r="X104" s="5002">
        <f>SEP_2023[[#This Row],[Profit]]/SEP_2023[[#This Row],[Cost]]</f>
        <v>0.17105263157894737</v>
      </c>
      <c r="Y104" s="4911"/>
      <c r="Z104" s="4911"/>
    </row>
    <row r="105" spans="1:26" s="707" customFormat="1">
      <c r="A105" s="4839" t="s">
        <v>2561</v>
      </c>
      <c r="B105" s="4861" t="s">
        <v>2562</v>
      </c>
      <c r="C105" s="4861" t="s">
        <v>1508</v>
      </c>
      <c r="D105" s="4953">
        <v>45197</v>
      </c>
      <c r="E105" s="4885">
        <v>45199</v>
      </c>
      <c r="F105" s="4861" t="s">
        <v>738</v>
      </c>
      <c r="G105" s="4861" t="s">
        <v>738</v>
      </c>
      <c r="H105" s="4861"/>
      <c r="I105" s="4861"/>
      <c r="J105" s="4861" t="s">
        <v>738</v>
      </c>
      <c r="K105" s="4861" t="s">
        <v>310</v>
      </c>
      <c r="L105" s="4861"/>
      <c r="M105" s="4953"/>
      <c r="N105" s="4953">
        <v>45199</v>
      </c>
      <c r="O105" s="4863">
        <v>45199</v>
      </c>
      <c r="P105" s="4864" t="s">
        <v>2563</v>
      </c>
      <c r="Q105" s="4839" t="s">
        <v>50</v>
      </c>
      <c r="R105" s="4839" t="s">
        <v>51</v>
      </c>
      <c r="S105" s="4839"/>
      <c r="T105" s="4839"/>
      <c r="U105" s="4861"/>
      <c r="V105" s="4861"/>
      <c r="W105" s="4861">
        <f>SEP_2023[[#This Row],[Sales Amount]]-SEP_2023[[#This Row],[Cost]]</f>
        <v>0</v>
      </c>
      <c r="X105" s="4865" t="e">
        <f>SEP_2023[[#This Row],[Profit]]/SEP_2023[[#This Row],[Cost]]</f>
        <v>#DIV/0!</v>
      </c>
      <c r="Y105" s="4861"/>
      <c r="Z105" s="4861"/>
    </row>
    <row r="106" spans="1:26" s="709" customFormat="1" ht="16.5">
      <c r="A106" s="4870" t="s">
        <v>2204</v>
      </c>
      <c r="B106" s="4882" t="s">
        <v>2564</v>
      </c>
      <c r="C106" s="4861" t="s">
        <v>28</v>
      </c>
      <c r="D106" s="4903">
        <v>45184</v>
      </c>
      <c r="E106" s="4941">
        <v>45201</v>
      </c>
      <c r="F106" s="4861" t="s">
        <v>1671</v>
      </c>
      <c r="G106" s="4861" t="s">
        <v>2206</v>
      </c>
      <c r="H106" s="4882"/>
      <c r="I106" s="4882"/>
      <c r="J106" s="4861" t="s">
        <v>168</v>
      </c>
      <c r="K106" s="4861" t="s">
        <v>310</v>
      </c>
      <c r="L106" s="5005">
        <v>7250114</v>
      </c>
      <c r="M106" s="4903">
        <v>45202</v>
      </c>
      <c r="N106" s="4903">
        <v>45201</v>
      </c>
      <c r="O106" s="4940">
        <v>45203</v>
      </c>
      <c r="P106" s="4871" t="s">
        <v>2565</v>
      </c>
      <c r="Q106" s="4882" t="s">
        <v>1281</v>
      </c>
      <c r="R106" s="4882" t="s">
        <v>51</v>
      </c>
      <c r="S106" s="4882"/>
      <c r="T106" s="4882"/>
      <c r="U106" s="4870"/>
      <c r="V106" s="4882"/>
      <c r="W106" s="4861">
        <f>SEP_2023[[#This Row],[Sales Amount]]-SEP_2023[[#This Row],[Cost]]</f>
        <v>0</v>
      </c>
      <c r="X106" s="4865" t="e">
        <f>SEP_2023[[#This Row],[Profit]]/SEP_2023[[#This Row],[Cost]]</f>
        <v>#DIV/0!</v>
      </c>
      <c r="Y106" s="4861"/>
      <c r="Z106" s="4861"/>
    </row>
    <row r="107" spans="1:26" s="707" customFormat="1">
      <c r="A107" s="4870" t="s">
        <v>2566</v>
      </c>
      <c r="B107" s="4882" t="s">
        <v>2567</v>
      </c>
      <c r="C107" s="4861" t="s">
        <v>28</v>
      </c>
      <c r="D107" s="4903">
        <v>45186</v>
      </c>
      <c r="E107" s="4878">
        <v>45205</v>
      </c>
      <c r="F107" s="4882" t="s">
        <v>86</v>
      </c>
      <c r="G107" s="4882" t="s">
        <v>829</v>
      </c>
      <c r="H107" s="4882"/>
      <c r="I107" s="4882"/>
      <c r="J107" s="4861" t="s">
        <v>168</v>
      </c>
      <c r="K107" s="4861" t="s">
        <v>310</v>
      </c>
      <c r="L107" s="4913" t="s">
        <v>2568</v>
      </c>
      <c r="M107" s="4903">
        <v>45207</v>
      </c>
      <c r="N107" s="4903">
        <v>45206</v>
      </c>
      <c r="O107" s="4881">
        <v>45210</v>
      </c>
      <c r="P107" s="4871" t="s">
        <v>2569</v>
      </c>
      <c r="Q107" s="4882" t="s">
        <v>1281</v>
      </c>
      <c r="R107" s="4882" t="s">
        <v>51</v>
      </c>
      <c r="S107" s="4882"/>
      <c r="T107" s="4882"/>
      <c r="U107" s="4882"/>
      <c r="V107" s="4882"/>
      <c r="W107" s="4861">
        <f>SEP_2023[[#This Row],[Sales Amount]]-SEP_2023[[#This Row],[Cost]]</f>
        <v>0</v>
      </c>
      <c r="X107" s="4865" t="e">
        <f>SEP_2023[[#This Row],[Profit]]/SEP_2023[[#This Row],[Cost]]</f>
        <v>#DIV/0!</v>
      </c>
      <c r="Y107" s="4861"/>
      <c r="Z107" s="4861"/>
    </row>
    <row r="108" spans="1:26" s="707" customFormat="1">
      <c r="A108" s="4870" t="s">
        <v>409</v>
      </c>
      <c r="B108" s="4882" t="s">
        <v>2570</v>
      </c>
      <c r="C108" s="4882" t="s">
        <v>28</v>
      </c>
      <c r="D108" s="4903">
        <v>45195</v>
      </c>
      <c r="E108" s="4878">
        <v>45205</v>
      </c>
      <c r="F108" s="4882" t="s">
        <v>45</v>
      </c>
      <c r="G108" s="4882" t="s">
        <v>829</v>
      </c>
      <c r="H108" s="4882"/>
      <c r="I108" s="4882"/>
      <c r="J108" s="4882" t="s">
        <v>32</v>
      </c>
      <c r="K108" s="4882" t="s">
        <v>47</v>
      </c>
      <c r="L108" s="4882" t="s">
        <v>2571</v>
      </c>
      <c r="M108" s="4903">
        <v>45207</v>
      </c>
      <c r="N108" s="4903">
        <v>45206</v>
      </c>
      <c r="O108" s="4881">
        <v>45210</v>
      </c>
      <c r="P108" s="4871" t="s">
        <v>2572</v>
      </c>
      <c r="Q108" s="4882" t="s">
        <v>1281</v>
      </c>
      <c r="R108" s="4882" t="s">
        <v>51</v>
      </c>
      <c r="S108" s="4882"/>
      <c r="T108" s="4882"/>
      <c r="U108" s="4882"/>
      <c r="V108" s="4882"/>
      <c r="W108" s="4861">
        <f>SEP_2023[[#This Row],[Sales Amount]]-SEP_2023[[#This Row],[Cost]]</f>
        <v>0</v>
      </c>
      <c r="X108" s="4865" t="e">
        <f>SEP_2023[[#This Row],[Profit]]/SEP_2023[[#This Row],[Cost]]</f>
        <v>#DIV/0!</v>
      </c>
      <c r="Y108" s="4861"/>
      <c r="Z108" s="4861"/>
    </row>
    <row r="109" spans="1:26" s="707" customFormat="1">
      <c r="A109" s="4839" t="s">
        <v>2573</v>
      </c>
      <c r="B109" s="4861" t="s">
        <v>2574</v>
      </c>
      <c r="C109" s="4861" t="s">
        <v>44</v>
      </c>
      <c r="D109" s="4953">
        <v>45193</v>
      </c>
      <c r="E109" s="4885">
        <v>45198</v>
      </c>
      <c r="F109" s="4861" t="s">
        <v>151</v>
      </c>
      <c r="G109" s="4861" t="s">
        <v>361</v>
      </c>
      <c r="H109" s="4861"/>
      <c r="I109" s="4861"/>
      <c r="J109" s="4861" t="s">
        <v>168</v>
      </c>
      <c r="K109" s="4861" t="s">
        <v>47</v>
      </c>
      <c r="L109" s="4861">
        <v>571022</v>
      </c>
      <c r="M109" s="4953">
        <v>45200</v>
      </c>
      <c r="N109" s="4953">
        <v>45199</v>
      </c>
      <c r="O109" s="4863">
        <v>45202</v>
      </c>
      <c r="P109" s="4864" t="s">
        <v>2575</v>
      </c>
      <c r="Q109" s="4861" t="s">
        <v>89</v>
      </c>
      <c r="R109" s="4861" t="s">
        <v>51</v>
      </c>
      <c r="S109" s="4861"/>
      <c r="T109" s="4861"/>
      <c r="U109" s="4861"/>
      <c r="V109" s="4861"/>
      <c r="W109" s="4861">
        <f>SEP_2023[[#This Row],[Sales Amount]]-SEP_2023[[#This Row],[Cost]]</f>
        <v>0</v>
      </c>
      <c r="X109" s="4865" t="e">
        <f>SEP_2023[[#This Row],[Profit]]/SEP_2023[[#This Row],[Cost]]</f>
        <v>#DIV/0!</v>
      </c>
      <c r="Y109" s="4861"/>
      <c r="Z109" s="4861"/>
    </row>
    <row r="110" spans="1:26" s="26" customFormat="1">
      <c r="A110" s="4996" t="s">
        <v>2566</v>
      </c>
      <c r="B110" s="4996" t="s">
        <v>2576</v>
      </c>
      <c r="C110" s="4996" t="s">
        <v>28</v>
      </c>
      <c r="D110" s="5006">
        <v>45166</v>
      </c>
      <c r="E110" s="4998">
        <v>45182</v>
      </c>
      <c r="F110" s="4911" t="s">
        <v>990</v>
      </c>
      <c r="G110" s="4996" t="s">
        <v>829</v>
      </c>
      <c r="H110" s="4997"/>
      <c r="I110" s="4996"/>
      <c r="J110" s="5007" t="s">
        <v>168</v>
      </c>
      <c r="K110" s="5007" t="s">
        <v>2226</v>
      </c>
      <c r="L110" s="4996" t="s">
        <v>2577</v>
      </c>
      <c r="M110" s="5006">
        <v>45185</v>
      </c>
      <c r="N110" s="5006">
        <v>45183</v>
      </c>
      <c r="O110" s="5006">
        <v>45187</v>
      </c>
      <c r="P110" s="5008" t="s">
        <v>2578</v>
      </c>
      <c r="Q110" s="5003" t="s">
        <v>50</v>
      </c>
      <c r="R110" s="4996" t="s">
        <v>36</v>
      </c>
      <c r="S110" s="5003"/>
      <c r="T110" s="5003"/>
      <c r="U110" s="5003"/>
      <c r="V110" s="5003"/>
      <c r="W110" s="4911">
        <f>SEP_2023[[#This Row],[Sales Amount]]-SEP_2023[[#This Row],[Cost]]</f>
        <v>0</v>
      </c>
      <c r="X110" s="5002" t="e">
        <f>SEP_2023[[#This Row],[Profit]]/SEP_2023[[#This Row],[Cost]]</f>
        <v>#DIV/0!</v>
      </c>
      <c r="Y110" s="4911"/>
      <c r="Z110" s="4911"/>
    </row>
    <row r="111" spans="1:26" s="1442" customFormat="1">
      <c r="A111" s="4996" t="s">
        <v>2566</v>
      </c>
      <c r="B111" s="5007" t="s">
        <v>2579</v>
      </c>
      <c r="C111" s="5007" t="s">
        <v>44</v>
      </c>
      <c r="D111" s="5009">
        <v>45170</v>
      </c>
      <c r="E111" s="5010">
        <v>45185</v>
      </c>
      <c r="F111" s="5007" t="s">
        <v>86</v>
      </c>
      <c r="G111" s="5007" t="s">
        <v>829</v>
      </c>
      <c r="H111" s="5007"/>
      <c r="I111" s="5007"/>
      <c r="J111" s="5007" t="s">
        <v>168</v>
      </c>
      <c r="K111" s="5007" t="s">
        <v>2226</v>
      </c>
      <c r="L111" s="5011" t="s">
        <v>2580</v>
      </c>
      <c r="M111" s="5012">
        <v>45188</v>
      </c>
      <c r="N111" s="5012">
        <v>45187</v>
      </c>
      <c r="O111" s="5007"/>
      <c r="P111" s="5013" t="s">
        <v>2581</v>
      </c>
      <c r="Q111" s="5014" t="s">
        <v>50</v>
      </c>
      <c r="R111" s="4996" t="s">
        <v>36</v>
      </c>
      <c r="S111" s="5014"/>
      <c r="T111" s="5014"/>
      <c r="U111" s="5014"/>
      <c r="V111" s="5014"/>
      <c r="W111" s="4911">
        <f>SEP_2023[[#This Row],[Sales Amount]]-SEP_2023[[#This Row],[Cost]]</f>
        <v>0</v>
      </c>
      <c r="X111" s="5002" t="e">
        <f>SEP_2023[[#This Row],[Profit]]/SEP_2023[[#This Row],[Cost]]</f>
        <v>#DIV/0!</v>
      </c>
      <c r="Y111" s="4911"/>
      <c r="Z111" s="4911"/>
    </row>
    <row r="112" spans="1:26" s="707" customFormat="1" ht="15.75">
      <c r="A112" s="4870" t="s">
        <v>2566</v>
      </c>
      <c r="B112" s="4882" t="s">
        <v>2582</v>
      </c>
      <c r="C112" s="4861" t="s">
        <v>28</v>
      </c>
      <c r="D112" s="4903">
        <v>45186</v>
      </c>
      <c r="E112" s="4878">
        <v>45202</v>
      </c>
      <c r="F112" s="4882" t="s">
        <v>1017</v>
      </c>
      <c r="G112" s="4882" t="s">
        <v>829</v>
      </c>
      <c r="H112" s="4882"/>
      <c r="I112" s="4882"/>
      <c r="J112" s="4861" t="s">
        <v>168</v>
      </c>
      <c r="K112" s="4861" t="s">
        <v>310</v>
      </c>
      <c r="L112" s="5015" t="s">
        <v>2583</v>
      </c>
      <c r="M112" s="4903">
        <v>45204</v>
      </c>
      <c r="N112" s="4903">
        <v>45202</v>
      </c>
      <c r="O112" s="4940">
        <v>45204</v>
      </c>
      <c r="P112" s="4871" t="s">
        <v>2584</v>
      </c>
      <c r="Q112" s="4882" t="s">
        <v>1281</v>
      </c>
      <c r="R112" s="4882" t="s">
        <v>51</v>
      </c>
      <c r="S112" s="4882"/>
      <c r="T112" s="4882"/>
      <c r="U112" s="4882"/>
      <c r="V112" s="4882"/>
      <c r="W112" s="4861">
        <f>SEP_2023[[#This Row],[Sales Amount]]-SEP_2023[[#This Row],[Cost]]</f>
        <v>0</v>
      </c>
      <c r="X112" s="4865" t="e">
        <f>SEP_2023[[#This Row],[Profit]]/SEP_2023[[#This Row],[Cost]]</f>
        <v>#DIV/0!</v>
      </c>
      <c r="Y112" s="4861"/>
      <c r="Z112" s="4861"/>
    </row>
    <row r="113" spans="1:26" s="1569" customFormat="1">
      <c r="A113" s="4996" t="s">
        <v>2566</v>
      </c>
      <c r="B113" s="5014" t="s">
        <v>2585</v>
      </c>
      <c r="C113" s="4911" t="s">
        <v>755</v>
      </c>
      <c r="D113" s="4997">
        <v>45194</v>
      </c>
      <c r="E113" s="1458">
        <v>45207</v>
      </c>
      <c r="F113" s="4911" t="s">
        <v>1017</v>
      </c>
      <c r="G113" s="4911" t="s">
        <v>829</v>
      </c>
      <c r="H113" s="4911"/>
      <c r="I113" s="4911"/>
      <c r="J113" s="4911" t="s">
        <v>168</v>
      </c>
      <c r="K113" s="4911" t="s">
        <v>310</v>
      </c>
      <c r="L113" s="5007" t="s">
        <v>2586</v>
      </c>
      <c r="M113" s="4997">
        <v>45210</v>
      </c>
      <c r="N113" s="4997">
        <v>45209</v>
      </c>
      <c r="O113" s="5004">
        <v>45211</v>
      </c>
      <c r="P113" s="5016" t="s">
        <v>2587</v>
      </c>
      <c r="Q113" s="4911" t="s">
        <v>50</v>
      </c>
      <c r="R113" s="4911" t="s">
        <v>51</v>
      </c>
      <c r="S113" s="4996"/>
      <c r="T113" s="4911"/>
      <c r="U113" s="4911"/>
      <c r="V113" s="4911"/>
      <c r="W113" s="4911">
        <f>SEP_2023[[#This Row],[Sales Amount]]-SEP_2023[[#This Row],[Cost]]</f>
        <v>0</v>
      </c>
      <c r="X113" s="5002" t="e">
        <f>SEP_2023[[#This Row],[Profit]]/SEP_2023[[#This Row],[Cost]]</f>
        <v>#DIV/0!</v>
      </c>
      <c r="Y113" s="4911"/>
      <c r="Z113" s="4911"/>
    </row>
    <row r="114" spans="1:26" s="26" customFormat="1" ht="75">
      <c r="A114" s="5017" t="s">
        <v>367</v>
      </c>
      <c r="B114" s="4905" t="s">
        <v>2588</v>
      </c>
      <c r="C114" s="4911" t="s">
        <v>28</v>
      </c>
      <c r="D114" s="4997">
        <v>45174</v>
      </c>
      <c r="E114" s="4998">
        <v>45183</v>
      </c>
      <c r="F114" s="4911" t="s">
        <v>1357</v>
      </c>
      <c r="G114" s="4905" t="s">
        <v>302</v>
      </c>
      <c r="H114" s="4910" t="s">
        <v>2589</v>
      </c>
      <c r="I114" s="5018" t="s">
        <v>2590</v>
      </c>
      <c r="J114" s="4905" t="s">
        <v>32</v>
      </c>
      <c r="K114" s="4905" t="s">
        <v>2226</v>
      </c>
      <c r="L114" s="1442" t="s">
        <v>2591</v>
      </c>
      <c r="M114" s="4997">
        <v>45185</v>
      </c>
      <c r="N114" s="4997">
        <v>45185</v>
      </c>
      <c r="O114" s="4997">
        <v>45188</v>
      </c>
      <c r="P114" s="4910" t="s">
        <v>2592</v>
      </c>
      <c r="Q114" s="4911" t="s">
        <v>75</v>
      </c>
      <c r="R114" s="4911" t="s">
        <v>51</v>
      </c>
      <c r="S114" s="4911"/>
      <c r="T114" s="4911"/>
      <c r="U114" s="4911"/>
      <c r="V114" s="4911"/>
      <c r="W114" s="4911">
        <f>SEP_2023[[#This Row],[Sales Amount]]-SEP_2023[[#This Row],[Cost]]</f>
        <v>0</v>
      </c>
      <c r="X114" s="5002" t="e">
        <f>SEP_2023[[#This Row],[Profit]]/SEP_2023[[#This Row],[Cost]]</f>
        <v>#DIV/0!</v>
      </c>
      <c r="Y114" s="4911"/>
      <c r="Z114" s="4911"/>
    </row>
    <row r="115" spans="1:26" s="26" customFormat="1" ht="60">
      <c r="A115" s="5017" t="s">
        <v>210</v>
      </c>
      <c r="B115" s="5019" t="s">
        <v>2593</v>
      </c>
      <c r="C115" s="4911" t="s">
        <v>28</v>
      </c>
      <c r="D115" s="4997">
        <v>45168</v>
      </c>
      <c r="E115" s="4998">
        <v>45191</v>
      </c>
      <c r="F115" s="4905" t="s">
        <v>45</v>
      </c>
      <c r="G115" s="4911" t="s">
        <v>302</v>
      </c>
      <c r="H115" s="4910" t="s">
        <v>2594</v>
      </c>
      <c r="I115" s="5020" t="s">
        <v>2595</v>
      </c>
      <c r="J115" s="4905" t="s">
        <v>32</v>
      </c>
      <c r="K115" s="4905" t="s">
        <v>2226</v>
      </c>
      <c r="L115" s="4911" t="s">
        <v>2596</v>
      </c>
      <c r="M115" s="4997">
        <v>45193</v>
      </c>
      <c r="N115" s="4997">
        <v>45192</v>
      </c>
      <c r="O115" s="5021">
        <v>45195</v>
      </c>
      <c r="P115" s="4910" t="s">
        <v>2597</v>
      </c>
      <c r="Q115" s="4911" t="s">
        <v>75</v>
      </c>
      <c r="R115" s="4911" t="s">
        <v>51</v>
      </c>
      <c r="S115" s="4911"/>
      <c r="T115" s="4911"/>
      <c r="U115" s="4911"/>
      <c r="V115" s="4911"/>
      <c r="W115" s="4911">
        <f>SEP_2023[[#This Row],[Sales Amount]]-SEP_2023[[#This Row],[Cost]]</f>
        <v>0</v>
      </c>
      <c r="X115" s="5002" t="e">
        <f>SEP_2023[[#This Row],[Profit]]/SEP_2023[[#This Row],[Cost]]</f>
        <v>#DIV/0!</v>
      </c>
      <c r="Y115" s="4911"/>
      <c r="Z115" s="4911"/>
    </row>
    <row r="116" spans="1:26" s="26" customFormat="1" ht="75">
      <c r="A116" s="5017" t="s">
        <v>210</v>
      </c>
      <c r="B116" s="4905" t="s">
        <v>2598</v>
      </c>
      <c r="C116" s="4911" t="s">
        <v>28</v>
      </c>
      <c r="D116" s="4997">
        <v>45168</v>
      </c>
      <c r="E116" s="4998">
        <v>45185</v>
      </c>
      <c r="F116" s="4905" t="s">
        <v>45</v>
      </c>
      <c r="G116" s="4905" t="s">
        <v>302</v>
      </c>
      <c r="H116" s="5022" t="s">
        <v>2599</v>
      </c>
      <c r="I116" s="4910" t="s">
        <v>2600</v>
      </c>
      <c r="J116" s="4905" t="s">
        <v>32</v>
      </c>
      <c r="K116" s="4910" t="s">
        <v>310</v>
      </c>
      <c r="L116" s="4905" t="s">
        <v>2601</v>
      </c>
      <c r="M116" s="4997">
        <v>45188</v>
      </c>
      <c r="N116" s="4997">
        <v>45187</v>
      </c>
      <c r="O116" s="4997">
        <v>45189</v>
      </c>
      <c r="P116" s="5023" t="s">
        <v>2602</v>
      </c>
      <c r="Q116" s="4911" t="s">
        <v>75</v>
      </c>
      <c r="R116" s="5007" t="s">
        <v>51</v>
      </c>
      <c r="S116" s="5007"/>
      <c r="T116" s="5007"/>
      <c r="U116" s="5007"/>
      <c r="V116" s="5007"/>
      <c r="W116" s="4911">
        <f>SEP_2023[[#This Row],[Sales Amount]]-SEP_2023[[#This Row],[Cost]]</f>
        <v>0</v>
      </c>
      <c r="X116" s="5002" t="e">
        <f>SEP_2023[[#This Row],[Profit]]/SEP_2023[[#This Row],[Cost]]</f>
        <v>#DIV/0!</v>
      </c>
      <c r="Y116" s="4911"/>
      <c r="Z116" s="4911"/>
    </row>
    <row r="117" spans="1:26" s="707" customFormat="1">
      <c r="A117" s="4870" t="s">
        <v>2160</v>
      </c>
      <c r="B117" s="4882" t="s">
        <v>2603</v>
      </c>
      <c r="C117" s="4861" t="s">
        <v>85</v>
      </c>
      <c r="D117" s="4903">
        <v>45195</v>
      </c>
      <c r="E117" s="4878">
        <v>45208</v>
      </c>
      <c r="F117" s="4882" t="s">
        <v>2604</v>
      </c>
      <c r="G117" s="4882" t="s">
        <v>829</v>
      </c>
      <c r="H117" s="4882"/>
      <c r="I117" s="4882"/>
      <c r="J117" s="4861" t="s">
        <v>168</v>
      </c>
      <c r="K117" s="4861" t="s">
        <v>310</v>
      </c>
      <c r="L117" s="4882">
        <v>154819</v>
      </c>
      <c r="M117" s="4903">
        <v>45210</v>
      </c>
      <c r="N117" s="4903">
        <v>45209</v>
      </c>
      <c r="O117" s="4940">
        <v>45211</v>
      </c>
      <c r="P117" s="4871" t="s">
        <v>2605</v>
      </c>
      <c r="Q117" s="4882" t="s">
        <v>1281</v>
      </c>
      <c r="R117" s="4882" t="s">
        <v>51</v>
      </c>
      <c r="S117" s="4882"/>
      <c r="T117" s="4882"/>
      <c r="U117" s="4882"/>
      <c r="V117" s="4882"/>
      <c r="W117" s="4861">
        <f>SEP_2023[[#This Row],[Sales Amount]]-SEP_2023[[#This Row],[Cost]]</f>
        <v>0</v>
      </c>
      <c r="X117" s="4865" t="e">
        <f>SEP_2023[[#This Row],[Profit]]/SEP_2023[[#This Row],[Cost]]</f>
        <v>#DIV/0!</v>
      </c>
      <c r="Y117" s="4861"/>
      <c r="Z117" s="4861"/>
    </row>
    <row r="118" spans="1:26" s="26" customFormat="1" ht="30">
      <c r="A118" s="4895" t="s">
        <v>1735</v>
      </c>
      <c r="B118" s="4218" t="s">
        <v>2606</v>
      </c>
      <c r="C118" s="4874" t="s">
        <v>44</v>
      </c>
      <c r="D118" s="5024">
        <v>45176</v>
      </c>
      <c r="E118" s="5025">
        <v>45190</v>
      </c>
      <c r="F118" s="4873" t="s">
        <v>93</v>
      </c>
      <c r="G118" s="4874" t="s">
        <v>302</v>
      </c>
      <c r="H118" s="5026" t="s">
        <v>2607</v>
      </c>
      <c r="I118" s="4873"/>
      <c r="J118" s="4971" t="s">
        <v>32</v>
      </c>
      <c r="K118" s="4873" t="s">
        <v>2226</v>
      </c>
      <c r="L118" s="4927" t="s">
        <v>2608</v>
      </c>
      <c r="M118" s="4982">
        <v>45193</v>
      </c>
      <c r="N118" s="4982">
        <v>45191</v>
      </c>
      <c r="O118" s="4906">
        <v>45196</v>
      </c>
      <c r="P118" s="4219" t="s">
        <v>2609</v>
      </c>
      <c r="Q118" s="4874" t="s">
        <v>75</v>
      </c>
      <c r="R118" s="4873"/>
      <c r="S118" s="4873"/>
      <c r="T118" s="4873"/>
      <c r="U118" s="4873"/>
      <c r="V118" s="4873"/>
      <c r="W118" s="4874">
        <f>SEP_2023[[#This Row],[Sales Amount]]-SEP_2023[[#This Row],[Cost]]</f>
        <v>0</v>
      </c>
      <c r="X118" s="4875" t="e">
        <f>SEP_2023[[#This Row],[Profit]]/SEP_2023[[#This Row],[Cost]]</f>
        <v>#DIV/0!</v>
      </c>
      <c r="Y118" s="4874"/>
      <c r="Z118" s="4874"/>
    </row>
    <row r="119" spans="1:26">
      <c r="A119" s="4895" t="s">
        <v>1735</v>
      </c>
      <c r="B119" s="4220" t="s">
        <v>2610</v>
      </c>
      <c r="C119" s="4874" t="s">
        <v>44</v>
      </c>
      <c r="D119" s="5024">
        <v>45184</v>
      </c>
      <c r="E119" s="5025">
        <v>45193</v>
      </c>
      <c r="F119" s="5026" t="s">
        <v>45</v>
      </c>
      <c r="G119" s="4874" t="s">
        <v>302</v>
      </c>
      <c r="H119" s="5026" t="s">
        <v>2611</v>
      </c>
      <c r="I119" s="4873"/>
      <c r="J119" s="4971" t="s">
        <v>32</v>
      </c>
      <c r="K119" s="4873" t="s">
        <v>2226</v>
      </c>
      <c r="L119" s="4930" t="s">
        <v>2612</v>
      </c>
      <c r="M119" s="4982">
        <v>45196</v>
      </c>
      <c r="N119" s="4982">
        <v>45194</v>
      </c>
      <c r="O119" s="4906">
        <v>45197</v>
      </c>
      <c r="P119" s="5027" t="s">
        <v>2613</v>
      </c>
      <c r="Q119" s="4874" t="s">
        <v>75</v>
      </c>
      <c r="R119" s="4873"/>
      <c r="S119" s="4873"/>
      <c r="T119" s="4873"/>
      <c r="U119" s="4873"/>
      <c r="V119" s="4873"/>
      <c r="W119" s="4874">
        <f>SEP_2023[[#This Row],[Sales Amount]]-SEP_2023[[#This Row],[Cost]]</f>
        <v>0</v>
      </c>
      <c r="X119" s="4875" t="e">
        <f>SEP_2023[[#This Row],[Profit]]/SEP_2023[[#This Row],[Cost]]</f>
        <v>#DIV/0!</v>
      </c>
      <c r="Y119" s="4874"/>
      <c r="Z119" s="4874"/>
    </row>
    <row r="120" spans="1:26" s="707" customFormat="1">
      <c r="A120" s="4870" t="s">
        <v>2614</v>
      </c>
      <c r="B120" s="4882" t="s">
        <v>2615</v>
      </c>
      <c r="C120" s="4882" t="s">
        <v>28</v>
      </c>
      <c r="D120" s="4903">
        <v>45178</v>
      </c>
      <c r="E120" s="4878">
        <v>45203</v>
      </c>
      <c r="F120" s="4882" t="s">
        <v>45</v>
      </c>
      <c r="G120" s="4882" t="s">
        <v>829</v>
      </c>
      <c r="H120" s="4882"/>
      <c r="I120" s="4882"/>
      <c r="J120" s="4886" t="s">
        <v>32</v>
      </c>
      <c r="K120" s="4882" t="s">
        <v>47</v>
      </c>
      <c r="L120" s="4913" t="s">
        <v>2616</v>
      </c>
      <c r="M120" s="4903">
        <v>45205</v>
      </c>
      <c r="N120" s="4903">
        <v>45203</v>
      </c>
      <c r="O120" s="4940">
        <v>45205</v>
      </c>
      <c r="P120" s="4871" t="s">
        <v>2617</v>
      </c>
      <c r="Q120" s="4882" t="s">
        <v>89</v>
      </c>
      <c r="R120" s="4882" t="s">
        <v>51</v>
      </c>
      <c r="S120" s="4882"/>
      <c r="T120" s="4882"/>
      <c r="U120" s="4882"/>
      <c r="V120" s="4882"/>
      <c r="W120" s="4861">
        <f>SEP_2023[[#This Row],[Sales Amount]]-SEP_2023[[#This Row],[Cost]]</f>
        <v>0</v>
      </c>
      <c r="X120" s="4865" t="e">
        <f>SEP_2023[[#This Row],[Profit]]/SEP_2023[[#This Row],[Cost]]</f>
        <v>#DIV/0!</v>
      </c>
      <c r="Y120" s="4861"/>
      <c r="Z120" s="4861"/>
    </row>
    <row r="121" spans="1:26" s="26" customFormat="1">
      <c r="A121" s="4870" t="s">
        <v>2618</v>
      </c>
      <c r="B121" s="4870" t="s">
        <v>2619</v>
      </c>
      <c r="C121" s="4870" t="s">
        <v>28</v>
      </c>
      <c r="D121" s="4877">
        <v>45219</v>
      </c>
      <c r="E121" s="4877">
        <v>45225</v>
      </c>
      <c r="F121" s="4870" t="s">
        <v>285</v>
      </c>
      <c r="G121" s="4870" t="s">
        <v>2620</v>
      </c>
      <c r="H121" s="4870"/>
      <c r="I121" s="4870"/>
      <c r="J121" s="4839" t="s">
        <v>382</v>
      </c>
      <c r="K121" s="4839" t="s">
        <v>382</v>
      </c>
      <c r="L121" s="4869" t="s">
        <v>542</v>
      </c>
      <c r="M121" s="5028">
        <v>45231</v>
      </c>
      <c r="N121" s="1607">
        <v>45229</v>
      </c>
      <c r="O121" s="4897">
        <v>45232</v>
      </c>
      <c r="P121" s="4882" t="s">
        <v>2621</v>
      </c>
      <c r="Q121" s="4839" t="s">
        <v>35</v>
      </c>
      <c r="R121" s="4870" t="s">
        <v>36</v>
      </c>
      <c r="S121" s="4870" t="s">
        <v>2622</v>
      </c>
      <c r="T121" s="4872">
        <v>50</v>
      </c>
      <c r="U121" s="4872"/>
      <c r="V121" s="4873"/>
      <c r="W121" s="4874">
        <f>SEP_2023[[#This Row],[Sales Amount]]-SEP_2023[[#This Row],[Cost]]</f>
        <v>50</v>
      </c>
      <c r="X121" s="4875" t="e">
        <f>SEP_2023[[#This Row],[Profit]]/SEP_2023[[#This Row],[Cost]]</f>
        <v>#DIV/0!</v>
      </c>
      <c r="Y121" s="4874"/>
      <c r="Z121" s="4874"/>
    </row>
    <row r="122" spans="1:26" s="26" customFormat="1">
      <c r="A122" s="4870" t="s">
        <v>2618</v>
      </c>
      <c r="B122" s="4839" t="s">
        <v>2623</v>
      </c>
      <c r="C122" s="4839" t="s">
        <v>85</v>
      </c>
      <c r="D122" s="4859">
        <v>45226</v>
      </c>
      <c r="E122" s="4859">
        <v>45234</v>
      </c>
      <c r="F122" s="4839" t="s">
        <v>285</v>
      </c>
      <c r="G122" s="4870" t="s">
        <v>2620</v>
      </c>
      <c r="H122" s="4870"/>
      <c r="I122" s="4870"/>
      <c r="J122" s="4839" t="s">
        <v>382</v>
      </c>
      <c r="K122" s="4839" t="s">
        <v>382</v>
      </c>
      <c r="L122" s="4956" t="s">
        <v>1038</v>
      </c>
      <c r="M122" s="4879">
        <v>45239</v>
      </c>
      <c r="N122" s="4879">
        <v>45238</v>
      </c>
      <c r="O122" s="4879">
        <v>45239</v>
      </c>
      <c r="P122" s="4882" t="s">
        <v>2624</v>
      </c>
      <c r="Q122" s="4870" t="s">
        <v>35</v>
      </c>
      <c r="R122" s="4870" t="s">
        <v>36</v>
      </c>
      <c r="S122" s="4870" t="s">
        <v>2622</v>
      </c>
      <c r="T122" s="4872">
        <v>50</v>
      </c>
      <c r="U122" s="4873"/>
      <c r="V122" s="4873"/>
      <c r="W122" s="4874">
        <f>SEP_2023[[#This Row],[Sales Amount]]-SEP_2023[[#This Row],[Cost]]</f>
        <v>50</v>
      </c>
      <c r="X122" s="4875" t="e">
        <f>SEP_2023[[#This Row],[Profit]]/SEP_2023[[#This Row],[Cost]]</f>
        <v>#DIV/0!</v>
      </c>
      <c r="Y122" s="4874"/>
      <c r="Z122" s="4874"/>
    </row>
    <row r="123" spans="1:26" s="707" customFormat="1">
      <c r="A123" s="4870" t="s">
        <v>497</v>
      </c>
      <c r="B123" s="4882" t="s">
        <v>2625</v>
      </c>
      <c r="C123" s="4882" t="s">
        <v>44</v>
      </c>
      <c r="D123" s="4903">
        <v>45180</v>
      </c>
      <c r="E123" s="4878">
        <v>45199</v>
      </c>
      <c r="F123" s="4882" t="s">
        <v>990</v>
      </c>
      <c r="G123" s="4882" t="s">
        <v>829</v>
      </c>
      <c r="H123" s="4882"/>
      <c r="I123" s="4882"/>
      <c r="J123" s="4886" t="s">
        <v>32</v>
      </c>
      <c r="K123" s="4864" t="s">
        <v>2226</v>
      </c>
      <c r="L123" s="4913" t="s">
        <v>2626</v>
      </c>
      <c r="M123" s="4903">
        <v>45200</v>
      </c>
      <c r="N123" s="4903">
        <v>45199</v>
      </c>
      <c r="O123" s="4940">
        <v>45203</v>
      </c>
      <c r="P123" s="4871" t="s">
        <v>2627</v>
      </c>
      <c r="Q123" s="4882" t="s">
        <v>50</v>
      </c>
      <c r="R123" s="4882" t="s">
        <v>51</v>
      </c>
      <c r="S123" s="4882"/>
      <c r="T123" s="4882"/>
      <c r="U123" s="4882"/>
      <c r="V123" s="4882"/>
      <c r="W123" s="4861">
        <f>SEP_2023[[#This Row],[Sales Amount]]-SEP_2023[[#This Row],[Cost]]</f>
        <v>0</v>
      </c>
      <c r="X123" s="4865" t="e">
        <f>SEP_2023[[#This Row],[Profit]]/SEP_2023[[#This Row],[Cost]]</f>
        <v>#DIV/0!</v>
      </c>
      <c r="Y123" s="4861"/>
      <c r="Z123" s="4861"/>
    </row>
    <row r="124" spans="1:26" s="1569" customFormat="1">
      <c r="A124" s="4996" t="s">
        <v>497</v>
      </c>
      <c r="B124" s="4996" t="s">
        <v>2628</v>
      </c>
      <c r="C124" s="4996" t="s">
        <v>28</v>
      </c>
      <c r="D124" s="5006">
        <v>45175</v>
      </c>
      <c r="E124" s="5029">
        <v>45181</v>
      </c>
      <c r="F124" s="4996" t="s">
        <v>56</v>
      </c>
      <c r="G124" s="4996" t="s">
        <v>1724</v>
      </c>
      <c r="H124" s="5006"/>
      <c r="I124" s="4911"/>
      <c r="J124" s="4911" t="s">
        <v>168</v>
      </c>
      <c r="K124" s="5018" t="s">
        <v>310</v>
      </c>
      <c r="L124" s="5030" t="s">
        <v>2629</v>
      </c>
      <c r="M124" s="5006">
        <v>45183</v>
      </c>
      <c r="N124" s="5006">
        <v>45182</v>
      </c>
      <c r="O124" s="4997">
        <v>45187</v>
      </c>
      <c r="P124" s="5018" t="s">
        <v>2630</v>
      </c>
      <c r="Q124" s="4911" t="s">
        <v>1281</v>
      </c>
      <c r="R124" s="4911" t="s">
        <v>51</v>
      </c>
      <c r="S124" s="4911"/>
      <c r="T124" s="4911"/>
      <c r="U124" s="4911"/>
      <c r="V124" s="4911"/>
      <c r="W124" s="4911">
        <f>SEP_2023[[#This Row],[Sales Amount]]-SEP_2023[[#This Row],[Cost]]</f>
        <v>0</v>
      </c>
      <c r="X124" s="5002" t="e">
        <f>SEP_2023[[#This Row],[Profit]]/SEP_2023[[#This Row],[Cost]]</f>
        <v>#DIV/0!</v>
      </c>
      <c r="Y124" s="4911"/>
      <c r="Z124" s="4911"/>
    </row>
    <row r="125" spans="1:26" s="1569" customFormat="1">
      <c r="A125" s="5031" t="s">
        <v>497</v>
      </c>
      <c r="B125" s="5007" t="s">
        <v>2631</v>
      </c>
      <c r="C125" s="5007" t="s">
        <v>44</v>
      </c>
      <c r="D125" s="5012">
        <v>45183</v>
      </c>
      <c r="E125" s="5032">
        <v>45189</v>
      </c>
      <c r="F125" s="5007" t="s">
        <v>990</v>
      </c>
      <c r="G125" s="5007" t="s">
        <v>829</v>
      </c>
      <c r="H125" s="5007"/>
      <c r="I125" s="5007"/>
      <c r="J125" s="5007" t="s">
        <v>168</v>
      </c>
      <c r="K125" s="5007" t="s">
        <v>2226</v>
      </c>
      <c r="L125" s="5007" t="s">
        <v>2632</v>
      </c>
      <c r="M125" s="5012">
        <v>45191</v>
      </c>
      <c r="N125" s="5012">
        <v>45189</v>
      </c>
      <c r="O125" s="5009">
        <v>45191</v>
      </c>
      <c r="P125" s="5033" t="s">
        <v>2633</v>
      </c>
      <c r="Q125" s="5007" t="s">
        <v>50</v>
      </c>
      <c r="R125" s="5007" t="s">
        <v>51</v>
      </c>
      <c r="S125" s="5007"/>
      <c r="T125" s="5007"/>
      <c r="U125" s="5007"/>
      <c r="V125" s="5007"/>
      <c r="W125" s="4911">
        <f>SEP_2023[[#This Row],[Sales Amount]]-SEP_2023[[#This Row],[Cost]]</f>
        <v>0</v>
      </c>
      <c r="X125" s="5002" t="e">
        <f>SEP_2023[[#This Row],[Profit]]/SEP_2023[[#This Row],[Cost]]</f>
        <v>#DIV/0!</v>
      </c>
      <c r="Y125" s="4911"/>
      <c r="Z125" s="4911"/>
    </row>
    <row r="126" spans="1:26" s="1442" customFormat="1">
      <c r="A126" s="5031" t="s">
        <v>497</v>
      </c>
      <c r="B126" s="5007" t="s">
        <v>2634</v>
      </c>
      <c r="C126" s="5007" t="s">
        <v>44</v>
      </c>
      <c r="D126" s="5012">
        <v>45174</v>
      </c>
      <c r="E126" s="5032">
        <v>45190</v>
      </c>
      <c r="F126" s="5007" t="s">
        <v>990</v>
      </c>
      <c r="G126" s="5007" t="s">
        <v>829</v>
      </c>
      <c r="H126" s="5007"/>
      <c r="I126" s="5007"/>
      <c r="J126" s="5007" t="s">
        <v>168</v>
      </c>
      <c r="K126" s="5007" t="s">
        <v>2226</v>
      </c>
      <c r="L126" s="5007" t="s">
        <v>2635</v>
      </c>
      <c r="M126" s="5012">
        <v>45190</v>
      </c>
      <c r="N126" s="5012">
        <v>45189</v>
      </c>
      <c r="O126" s="5009">
        <v>45192</v>
      </c>
      <c r="P126" s="5033" t="s">
        <v>2636</v>
      </c>
      <c r="Q126" s="5007" t="s">
        <v>50</v>
      </c>
      <c r="R126" s="5007" t="s">
        <v>51</v>
      </c>
      <c r="S126" s="5007"/>
      <c r="T126" s="5007"/>
      <c r="U126" s="5007"/>
      <c r="V126" s="5007"/>
      <c r="W126" s="4911">
        <f>SEP_2023[[#This Row],[Sales Amount]]-SEP_2023[[#This Row],[Cost]]</f>
        <v>0</v>
      </c>
      <c r="X126" s="5002" t="e">
        <f>SEP_2023[[#This Row],[Profit]]/SEP_2023[[#This Row],[Cost]]</f>
        <v>#DIV/0!</v>
      </c>
      <c r="Y126" s="4911"/>
      <c r="Z126" s="4911"/>
    </row>
    <row r="127" spans="1:26">
      <c r="A127" s="5031" t="s">
        <v>42</v>
      </c>
      <c r="B127" s="5007" t="s">
        <v>2637</v>
      </c>
      <c r="C127" s="5007" t="s">
        <v>44</v>
      </c>
      <c r="D127" s="5012">
        <v>45177</v>
      </c>
      <c r="E127" s="5032">
        <v>45198</v>
      </c>
      <c r="F127" s="5007" t="s">
        <v>86</v>
      </c>
      <c r="G127" s="5007" t="s">
        <v>829</v>
      </c>
      <c r="H127" s="5007"/>
      <c r="I127" s="5007"/>
      <c r="J127" s="4905" t="s">
        <v>32</v>
      </c>
      <c r="K127" s="5007" t="s">
        <v>2226</v>
      </c>
      <c r="L127" s="5034" t="s">
        <v>2638</v>
      </c>
      <c r="M127" s="5012">
        <v>45200</v>
      </c>
      <c r="N127" s="5012">
        <v>45199</v>
      </c>
      <c r="O127" s="5009">
        <v>45201</v>
      </c>
      <c r="P127" s="5013" t="s">
        <v>2639</v>
      </c>
      <c r="Q127" s="5007" t="s">
        <v>50</v>
      </c>
      <c r="R127" s="5007" t="s">
        <v>2143</v>
      </c>
      <c r="S127" s="5007"/>
      <c r="T127" s="5007"/>
      <c r="U127" s="5007"/>
      <c r="V127" s="5007"/>
      <c r="W127" s="4911">
        <f>SEP_2023[[#This Row],[Sales Amount]]-SEP_2023[[#This Row],[Cost]]</f>
        <v>0</v>
      </c>
      <c r="X127" s="5002" t="e">
        <f>SEP_2023[[#This Row],[Profit]]/SEP_2023[[#This Row],[Cost]]</f>
        <v>#DIV/0!</v>
      </c>
      <c r="Y127" s="4911"/>
      <c r="Z127" s="4911"/>
    </row>
    <row r="128" spans="1:26" s="709" customFormat="1">
      <c r="A128" s="4870" t="s">
        <v>2160</v>
      </c>
      <c r="B128" s="1729" t="s">
        <v>2640</v>
      </c>
      <c r="C128" s="4882" t="s">
        <v>44</v>
      </c>
      <c r="D128" s="4903">
        <v>45200</v>
      </c>
      <c r="E128" s="4878">
        <v>45210</v>
      </c>
      <c r="F128" s="4882" t="s">
        <v>86</v>
      </c>
      <c r="G128" s="4882" t="s">
        <v>829</v>
      </c>
      <c r="H128" s="4882"/>
      <c r="I128" s="4882"/>
      <c r="J128" s="4864" t="s">
        <v>32</v>
      </c>
      <c r="K128" s="4864" t="s">
        <v>2226</v>
      </c>
      <c r="L128" s="4903" t="s">
        <v>2641</v>
      </c>
      <c r="M128" s="5035">
        <v>45211</v>
      </c>
      <c r="N128" s="4953">
        <v>45211</v>
      </c>
      <c r="O128" s="4940">
        <v>45214</v>
      </c>
      <c r="P128" s="4871" t="s">
        <v>2642</v>
      </c>
      <c r="Q128" s="4882" t="s">
        <v>50</v>
      </c>
      <c r="R128" s="4839" t="s">
        <v>36</v>
      </c>
      <c r="S128" s="4882"/>
      <c r="T128" s="4882"/>
      <c r="U128" s="4882"/>
      <c r="V128" s="4882"/>
      <c r="W128" s="4861">
        <f>SEP_2023[[#This Row],[Sales Amount]]-SEP_2023[[#This Row],[Cost]]</f>
        <v>0</v>
      </c>
      <c r="X128" s="4865" t="e">
        <f>SEP_2023[[#This Row],[Profit]]/SEP_2023[[#This Row],[Cost]]</f>
        <v>#DIV/0!</v>
      </c>
      <c r="Y128" s="4861"/>
      <c r="Z128" s="4861"/>
    </row>
    <row r="129" spans="1:26">
      <c r="A129" s="4839" t="s">
        <v>622</v>
      </c>
      <c r="B129" s="1" t="s">
        <v>2643</v>
      </c>
      <c r="C129" s="4870" t="s">
        <v>85</v>
      </c>
      <c r="D129" s="4877">
        <v>45187</v>
      </c>
      <c r="E129" s="4878">
        <v>45210</v>
      </c>
      <c r="F129" s="4870" t="s">
        <v>135</v>
      </c>
      <c r="G129" s="4839" t="s">
        <v>57</v>
      </c>
      <c r="H129" s="4897">
        <v>45219</v>
      </c>
      <c r="I129" s="4870" t="s">
        <v>899</v>
      </c>
      <c r="J129" s="4839" t="s">
        <v>32</v>
      </c>
      <c r="K129" s="5036" t="s">
        <v>1445</v>
      </c>
      <c r="L129" s="4869">
        <v>8255759</v>
      </c>
      <c r="M129" s="4879">
        <v>45212</v>
      </c>
      <c r="N129" s="4879">
        <v>45219</v>
      </c>
      <c r="O129" s="4877">
        <v>45222</v>
      </c>
      <c r="P129" s="4913" t="s">
        <v>2644</v>
      </c>
      <c r="Q129" s="4839" t="s">
        <v>35</v>
      </c>
      <c r="R129" s="4839" t="s">
        <v>36</v>
      </c>
      <c r="S129" s="4839" t="s">
        <v>67</v>
      </c>
      <c r="T129" s="4872">
        <v>730</v>
      </c>
      <c r="U129" s="4872">
        <v>626</v>
      </c>
      <c r="V129" s="4892"/>
      <c r="W129" s="4874">
        <f>SEP_2023[[#This Row],[Sales Amount]]-SEP_2023[[#This Row],[Cost]]</f>
        <v>104</v>
      </c>
      <c r="X129" s="4875">
        <f>SEP_2023[[#This Row],[Profit]]/SEP_2023[[#This Row],[Cost]]</f>
        <v>0.16613418530351437</v>
      </c>
      <c r="Y129" s="4874"/>
      <c r="Z129" s="4874"/>
    </row>
    <row r="130" spans="1:26">
      <c r="A130" s="4839" t="s">
        <v>622</v>
      </c>
      <c r="B130" s="4870" t="s">
        <v>2645</v>
      </c>
      <c r="C130" s="4870" t="s">
        <v>85</v>
      </c>
      <c r="D130" s="4877">
        <v>45202</v>
      </c>
      <c r="E130" s="4878">
        <v>45214</v>
      </c>
      <c r="F130" s="4870" t="s">
        <v>135</v>
      </c>
      <c r="G130" s="4839" t="s">
        <v>57</v>
      </c>
      <c r="H130" s="4897">
        <v>45222</v>
      </c>
      <c r="I130" s="4870"/>
      <c r="J130" s="4839" t="s">
        <v>32</v>
      </c>
      <c r="K130" s="5036" t="s">
        <v>1445</v>
      </c>
      <c r="L130" s="4869">
        <v>9078169</v>
      </c>
      <c r="M130" s="4879">
        <v>45216</v>
      </c>
      <c r="N130" s="4879">
        <v>45219</v>
      </c>
      <c r="O130" s="4877">
        <v>45222</v>
      </c>
      <c r="P130" s="4882" t="s">
        <v>2646</v>
      </c>
      <c r="Q130" s="4870" t="s">
        <v>35</v>
      </c>
      <c r="R130" s="4839" t="s">
        <v>36</v>
      </c>
      <c r="S130" s="4839" t="s">
        <v>67</v>
      </c>
      <c r="T130" s="4872">
        <v>830</v>
      </c>
      <c r="U130" s="4872">
        <v>686</v>
      </c>
      <c r="V130" s="4873"/>
      <c r="W130" s="4874">
        <f>SEP_2023[[#This Row],[Sales Amount]]-SEP_2023[[#This Row],[Cost]]</f>
        <v>144</v>
      </c>
      <c r="X130" s="4875">
        <f>SEP_2023[[#This Row],[Profit]]/SEP_2023[[#This Row],[Cost]]</f>
        <v>0.2099125364431487</v>
      </c>
      <c r="Y130" s="4874"/>
      <c r="Z130" s="4874"/>
    </row>
    <row r="131" spans="1:26">
      <c r="A131" s="4839" t="s">
        <v>263</v>
      </c>
      <c r="B131" s="4870" t="s">
        <v>2647</v>
      </c>
      <c r="C131" s="4839" t="s">
        <v>44</v>
      </c>
      <c r="D131" s="4859">
        <v>45209</v>
      </c>
      <c r="E131" s="4859">
        <v>45209</v>
      </c>
      <c r="F131" s="4839" t="s">
        <v>2039</v>
      </c>
      <c r="G131" s="4839" t="s">
        <v>265</v>
      </c>
      <c r="H131" s="4859">
        <v>45215</v>
      </c>
      <c r="I131" s="4839"/>
      <c r="J131" s="4839" t="s">
        <v>377</v>
      </c>
      <c r="K131" s="4861" t="s">
        <v>2648</v>
      </c>
      <c r="L131" s="4839"/>
      <c r="M131" s="4859">
        <v>45216</v>
      </c>
      <c r="N131" s="4859">
        <v>45211</v>
      </c>
      <c r="O131" s="4953">
        <v>45219</v>
      </c>
      <c r="P131" s="4913" t="s">
        <v>2649</v>
      </c>
      <c r="Q131" s="4861" t="s">
        <v>128</v>
      </c>
      <c r="R131" s="4861" t="s">
        <v>36</v>
      </c>
      <c r="S131" s="4861"/>
      <c r="T131" s="4861">
        <v>5138.91</v>
      </c>
      <c r="U131" s="4861">
        <f>80.16+80+4416.5</f>
        <v>4576.66</v>
      </c>
      <c r="V131" s="4861">
        <v>1</v>
      </c>
      <c r="W131" s="4861">
        <f>SEP_2023[[#This Row],[Sales Amount]]-SEP_2023[[#This Row],[Cost]]</f>
        <v>562.25</v>
      </c>
      <c r="X131" s="4865">
        <f>SEP_2023[[#This Row],[Profit]]/SEP_2023[[#This Row],[Cost]]</f>
        <v>0.12285159920116417</v>
      </c>
      <c r="Y131" s="4861"/>
      <c r="Z131" s="4861"/>
    </row>
    <row r="132" spans="1:26" s="117" customFormat="1" ht="120">
      <c r="A132" s="4848" t="s">
        <v>1539</v>
      </c>
      <c r="B132" s="4908" t="s">
        <v>2650</v>
      </c>
      <c r="C132" s="4908" t="s">
        <v>28</v>
      </c>
      <c r="D132" s="4906">
        <v>45176</v>
      </c>
      <c r="E132" s="4916">
        <v>45188</v>
      </c>
      <c r="F132" s="4908" t="s">
        <v>93</v>
      </c>
      <c r="G132" s="4908" t="s">
        <v>2651</v>
      </c>
      <c r="H132" s="5037">
        <v>45190</v>
      </c>
      <c r="I132" s="5038" t="s">
        <v>445</v>
      </c>
      <c r="J132" s="4908" t="s">
        <v>322</v>
      </c>
      <c r="K132" s="4908" t="s">
        <v>2652</v>
      </c>
      <c r="L132" s="4929">
        <v>6766755</v>
      </c>
      <c r="M132" s="4918">
        <v>45190</v>
      </c>
      <c r="N132" s="4918">
        <v>45189</v>
      </c>
      <c r="O132" s="4844">
        <v>45191</v>
      </c>
      <c r="P132" s="4932" t="s">
        <v>2653</v>
      </c>
      <c r="Q132" s="4845" t="s">
        <v>75</v>
      </c>
      <c r="R132" s="4909" t="s">
        <v>2654</v>
      </c>
      <c r="S132" s="4934"/>
      <c r="T132" s="4845">
        <v>1518.75</v>
      </c>
      <c r="U132" s="4934">
        <v>971.5</v>
      </c>
      <c r="V132" s="4934">
        <f>SEP_2023[[#This Row],[Sales Amount]]-SEP_2023[[#This Row],[Cost]]</f>
        <v>547.25</v>
      </c>
      <c r="W132" s="4845">
        <f>SEP_2023[[#This Row],[Sales Amount]]-SEP_2023[[#This Row],[Cost]]</f>
        <v>547.25</v>
      </c>
      <c r="X132" s="4919">
        <f>SEP_2023[[#This Row],[Profit]]/SEP_2023[[#This Row],[Cost]]</f>
        <v>0.56330416881111678</v>
      </c>
      <c r="Y132" s="4845"/>
      <c r="Z132" s="4845"/>
    </row>
    <row r="133" spans="1:26" ht="90">
      <c r="A133" s="4895" t="s">
        <v>1539</v>
      </c>
      <c r="B133" s="5039" t="s">
        <v>2655</v>
      </c>
      <c r="C133" s="4874" t="s">
        <v>28</v>
      </c>
      <c r="D133" s="4975">
        <v>45176</v>
      </c>
      <c r="E133" s="5040">
        <v>45188</v>
      </c>
      <c r="F133" s="4971" t="s">
        <v>93</v>
      </c>
      <c r="G133" s="4971" t="s">
        <v>2651</v>
      </c>
      <c r="H133" s="5041">
        <v>45190</v>
      </c>
      <c r="I133" s="5042" t="s">
        <v>270</v>
      </c>
      <c r="J133" s="4971" t="s">
        <v>322</v>
      </c>
      <c r="K133" s="4971" t="s">
        <v>2652</v>
      </c>
      <c r="L133" s="5043">
        <v>6766753</v>
      </c>
      <c r="M133" s="4972">
        <v>45190</v>
      </c>
      <c r="N133" s="4972">
        <v>45190</v>
      </c>
      <c r="O133" s="5044">
        <v>45194</v>
      </c>
      <c r="P133" s="5027" t="s">
        <v>2656</v>
      </c>
      <c r="Q133" s="4874" t="s">
        <v>75</v>
      </c>
      <c r="R133" s="5045" t="s">
        <v>2657</v>
      </c>
      <c r="S133" s="4873"/>
      <c r="T133" s="4874">
        <v>1518.75</v>
      </c>
      <c r="U133" s="5046">
        <v>1179.5</v>
      </c>
      <c r="V133" s="4873"/>
      <c r="W133" s="4874">
        <f>SEP_2023[[#This Row],[Sales Amount]]-SEP_2023[[#This Row],[Cost]]</f>
        <v>339.25</v>
      </c>
      <c r="X133" s="4875">
        <f>SEP_2023[[#This Row],[Profit]]/SEP_2023[[#This Row],[Cost]]</f>
        <v>0.28762187367528613</v>
      </c>
      <c r="Y133" s="4874"/>
      <c r="Z133" s="4874"/>
    </row>
    <row r="134" spans="1:26" ht="105">
      <c r="A134" s="4895" t="s">
        <v>1539</v>
      </c>
      <c r="B134" s="1609" t="s">
        <v>2658</v>
      </c>
      <c r="C134" s="4874" t="s">
        <v>28</v>
      </c>
      <c r="D134" s="4975">
        <v>45176</v>
      </c>
      <c r="E134" s="5040">
        <v>45188</v>
      </c>
      <c r="F134" s="4971" t="s">
        <v>93</v>
      </c>
      <c r="G134" s="4971" t="s">
        <v>2651</v>
      </c>
      <c r="H134" s="5041">
        <v>45191</v>
      </c>
      <c r="I134" s="5042" t="s">
        <v>445</v>
      </c>
      <c r="J134" s="4971" t="s">
        <v>322</v>
      </c>
      <c r="K134" s="4971" t="s">
        <v>2652</v>
      </c>
      <c r="L134" s="5043">
        <v>6766765</v>
      </c>
      <c r="M134" s="4972">
        <v>45190</v>
      </c>
      <c r="N134" s="4972">
        <v>45190</v>
      </c>
      <c r="O134" s="5044">
        <v>45191</v>
      </c>
      <c r="P134" s="5027" t="s">
        <v>2659</v>
      </c>
      <c r="Q134" s="4874" t="s">
        <v>75</v>
      </c>
      <c r="R134" s="5045" t="s">
        <v>2657</v>
      </c>
      <c r="S134" s="4873"/>
      <c r="T134" s="4874">
        <v>1518.75</v>
      </c>
      <c r="U134" s="4873"/>
      <c r="V134" s="4873"/>
      <c r="W134" s="4874">
        <f>SEP_2023[[#This Row],[Sales Amount]]-SEP_2023[[#This Row],[Cost]]</f>
        <v>1518.75</v>
      </c>
      <c r="X134" s="4875" t="e">
        <f>SEP_2023[[#This Row],[Profit]]/SEP_2023[[#This Row],[Cost]]</f>
        <v>#DIV/0!</v>
      </c>
      <c r="Y134" s="4874"/>
      <c r="Z134" s="4874"/>
    </row>
    <row r="135" spans="1:26" ht="105">
      <c r="A135" s="4895" t="s">
        <v>1539</v>
      </c>
      <c r="B135" s="1609" t="s">
        <v>2660</v>
      </c>
      <c r="C135" s="4874" t="s">
        <v>28</v>
      </c>
      <c r="D135" s="4975">
        <v>45176</v>
      </c>
      <c r="E135" s="5040">
        <v>45188</v>
      </c>
      <c r="F135" s="4971" t="s">
        <v>93</v>
      </c>
      <c r="G135" s="4971" t="s">
        <v>2651</v>
      </c>
      <c r="H135" s="5041">
        <v>45191</v>
      </c>
      <c r="I135" s="5042" t="s">
        <v>1196</v>
      </c>
      <c r="J135" s="4971" t="s">
        <v>322</v>
      </c>
      <c r="K135" s="4971" t="s">
        <v>2652</v>
      </c>
      <c r="L135" s="5043">
        <v>6766761</v>
      </c>
      <c r="M135" s="4972">
        <v>45190</v>
      </c>
      <c r="N135" s="4972">
        <v>45190</v>
      </c>
      <c r="O135" s="5044">
        <v>45194</v>
      </c>
      <c r="P135" s="5027" t="s">
        <v>2661</v>
      </c>
      <c r="Q135" s="4874" t="s">
        <v>75</v>
      </c>
      <c r="R135" s="5045" t="s">
        <v>2657</v>
      </c>
      <c r="S135" s="4873"/>
      <c r="T135" s="4874">
        <v>1518.75</v>
      </c>
      <c r="U135" s="4873"/>
      <c r="V135" s="4873"/>
      <c r="W135" s="4874">
        <f>SEP_2023[[#This Row],[Sales Amount]]-SEP_2023[[#This Row],[Cost]]</f>
        <v>1518.75</v>
      </c>
      <c r="X135" s="4875" t="e">
        <f>SEP_2023[[#This Row],[Profit]]/SEP_2023[[#This Row],[Cost]]</f>
        <v>#DIV/0!</v>
      </c>
      <c r="Y135" s="4874"/>
      <c r="Z135" s="4874"/>
    </row>
    <row r="136" spans="1:26" s="709" customFormat="1">
      <c r="A136" s="4839" t="s">
        <v>2160</v>
      </c>
      <c r="B136" s="4839" t="s">
        <v>2662</v>
      </c>
      <c r="C136" s="4839" t="s">
        <v>28</v>
      </c>
      <c r="D136" s="4859">
        <v>45166</v>
      </c>
      <c r="E136" s="4860">
        <v>45180</v>
      </c>
      <c r="F136" s="4839" t="s">
        <v>734</v>
      </c>
      <c r="G136" s="4839" t="s">
        <v>1724</v>
      </c>
      <c r="H136" s="4859"/>
      <c r="I136" s="4861"/>
      <c r="J136" s="4861" t="s">
        <v>168</v>
      </c>
      <c r="K136" s="4861" t="s">
        <v>310</v>
      </c>
      <c r="L136" s="5047" t="s">
        <v>2663</v>
      </c>
      <c r="M136" s="4859">
        <v>45183</v>
      </c>
      <c r="N136" s="4859">
        <v>45182</v>
      </c>
      <c r="O136" s="4953">
        <v>45184</v>
      </c>
      <c r="P136" s="4864"/>
      <c r="Q136" s="4861" t="s">
        <v>1281</v>
      </c>
      <c r="R136" s="4861" t="s">
        <v>51</v>
      </c>
      <c r="S136" s="4861"/>
      <c r="T136" s="4861"/>
      <c r="U136" s="4861"/>
      <c r="V136" s="4861"/>
      <c r="W136" s="4861">
        <f>SEP_2023[[#This Row],[Sales Amount]]-SEP_2023[[#This Row],[Cost]]</f>
        <v>0</v>
      </c>
      <c r="X136" s="4865" t="e">
        <f>SEP_2023[[#This Row],[Profit]]/SEP_2023[[#This Row],[Cost]]</f>
        <v>#DIV/0!</v>
      </c>
      <c r="Y136" s="4861"/>
      <c r="Z136" s="4861"/>
    </row>
    <row r="137" spans="1:26">
      <c r="A137" s="4870" t="s">
        <v>2160</v>
      </c>
      <c r="B137" s="4882" t="s">
        <v>2664</v>
      </c>
      <c r="C137" s="4882" t="s">
        <v>44</v>
      </c>
      <c r="D137" s="4903">
        <v>45186</v>
      </c>
      <c r="E137" s="4878">
        <v>45193</v>
      </c>
      <c r="F137" s="4882" t="s">
        <v>734</v>
      </c>
      <c r="G137" s="4882" t="s">
        <v>829</v>
      </c>
      <c r="H137" s="4882"/>
      <c r="I137" s="4882"/>
      <c r="J137" s="4864" t="s">
        <v>32</v>
      </c>
      <c r="K137" s="4864" t="s">
        <v>2226</v>
      </c>
      <c r="L137" s="5048" t="s">
        <v>2665</v>
      </c>
      <c r="M137" s="4903">
        <v>45196</v>
      </c>
      <c r="N137" s="4903">
        <v>45194</v>
      </c>
      <c r="O137" s="4940">
        <v>45197</v>
      </c>
      <c r="P137" s="4871" t="s">
        <v>2666</v>
      </c>
      <c r="Q137" s="4882" t="s">
        <v>50</v>
      </c>
      <c r="R137" s="4882" t="s">
        <v>36</v>
      </c>
      <c r="S137" s="4882"/>
      <c r="T137" s="4882"/>
      <c r="U137" s="4882"/>
      <c r="V137" s="4882"/>
      <c r="W137" s="4861">
        <f>SEP_2023[[#This Row],[Sales Amount]]-SEP_2023[[#This Row],[Cost]]</f>
        <v>0</v>
      </c>
      <c r="X137" s="4865" t="e">
        <f>SEP_2023[[#This Row],[Profit]]/SEP_2023[[#This Row],[Cost]]</f>
        <v>#DIV/0!</v>
      </c>
      <c r="Y137" s="4861"/>
      <c r="Z137" s="4861"/>
    </row>
    <row r="138" spans="1:26" s="709" customFormat="1">
      <c r="A138" s="1" t="s">
        <v>2160</v>
      </c>
      <c r="B138" s="707" t="s">
        <v>2667</v>
      </c>
      <c r="C138" s="709" t="s">
        <v>28</v>
      </c>
      <c r="D138" s="1612">
        <v>45189</v>
      </c>
      <c r="E138" s="1608">
        <v>45204</v>
      </c>
      <c r="F138" s="707" t="s">
        <v>56</v>
      </c>
      <c r="G138" s="707" t="s">
        <v>829</v>
      </c>
      <c r="H138" s="707"/>
      <c r="I138" s="707"/>
      <c r="J138" s="709" t="s">
        <v>168</v>
      </c>
      <c r="K138" s="707" t="s">
        <v>2226</v>
      </c>
      <c r="L138" s="707" t="s">
        <v>2668</v>
      </c>
      <c r="M138" s="1635">
        <v>45207</v>
      </c>
      <c r="N138" s="1635">
        <v>45205</v>
      </c>
      <c r="O138" s="1612">
        <v>45209</v>
      </c>
      <c r="P138" s="1019" t="s">
        <v>2669</v>
      </c>
      <c r="Q138" s="4870" t="s">
        <v>50</v>
      </c>
      <c r="R138" s="4861" t="s">
        <v>51</v>
      </c>
      <c r="S138" s="1"/>
      <c r="T138" s="1"/>
      <c r="U138" s="1"/>
      <c r="V138" s="1"/>
      <c r="W138" s="3246">
        <f>SEP_2023[[#This Row],[Sales Amount]]-SEP_2023[[#This Row],[Cost]]</f>
        <v>0</v>
      </c>
      <c r="X138" s="3247" t="e">
        <f>SEP_2023[[#This Row],[Profit]]/SEP_2023[[#This Row],[Cost]]</f>
        <v>#DIV/0!</v>
      </c>
      <c r="Y138" s="3246"/>
      <c r="Z138" s="3248"/>
    </row>
    <row r="139" spans="1:26">
      <c r="A139" s="58" t="s">
        <v>68</v>
      </c>
      <c r="B139" s="1" t="s">
        <v>2670</v>
      </c>
      <c r="C139" s="58" t="s">
        <v>85</v>
      </c>
      <c r="D139" s="844">
        <v>45210</v>
      </c>
      <c r="E139" s="1112">
        <v>45221</v>
      </c>
      <c r="F139" s="1" t="s">
        <v>45</v>
      </c>
      <c r="G139" s="58" t="s">
        <v>46</v>
      </c>
      <c r="H139" s="1414">
        <v>45224</v>
      </c>
      <c r="I139" s="915" t="s">
        <v>178</v>
      </c>
      <c r="J139" s="58" t="s">
        <v>490</v>
      </c>
      <c r="K139" s="4624" t="s">
        <v>2671</v>
      </c>
      <c r="L139" s="915" t="s">
        <v>2672</v>
      </c>
      <c r="M139" s="1115">
        <v>45223</v>
      </c>
      <c r="N139" s="1115">
        <v>45223</v>
      </c>
      <c r="O139" s="844">
        <v>45225</v>
      </c>
      <c r="P139" s="1616" t="s">
        <v>2673</v>
      </c>
      <c r="Q139" s="4149" t="s">
        <v>35</v>
      </c>
      <c r="R139" s="58" t="s">
        <v>36</v>
      </c>
      <c r="S139" s="58" t="s">
        <v>67</v>
      </c>
      <c r="T139" s="7">
        <v>3875</v>
      </c>
      <c r="U139" s="106">
        <v>2720</v>
      </c>
      <c r="V139" s="106">
        <v>4</v>
      </c>
      <c r="W139" s="3075">
        <f>SEP_2023[[#This Row],[Sales Amount]]-SEP_2023[[#This Row],[Cost]]</f>
        <v>1155</v>
      </c>
      <c r="X139" s="3249">
        <f>SEP_2023[[#This Row],[Profit]]/SEP_2023[[#This Row],[Cost]]</f>
        <v>0.42463235294117646</v>
      </c>
      <c r="Y139" s="3075"/>
      <c r="Z139" s="3250"/>
    </row>
    <row r="140" spans="1:26" s="117" customFormat="1">
      <c r="A140" s="58" t="s">
        <v>68</v>
      </c>
      <c r="B140" s="1" t="s">
        <v>2674</v>
      </c>
      <c r="C140" s="58" t="s">
        <v>85</v>
      </c>
      <c r="D140" s="844">
        <v>45210</v>
      </c>
      <c r="E140" s="1112">
        <v>45221</v>
      </c>
      <c r="F140" s="58" t="s">
        <v>45</v>
      </c>
      <c r="G140" s="58" t="s">
        <v>46</v>
      </c>
      <c r="H140" s="1414">
        <v>45223</v>
      </c>
      <c r="I140" s="915" t="s">
        <v>31</v>
      </c>
      <c r="J140" s="58" t="s">
        <v>490</v>
      </c>
      <c r="K140" s="913" t="s">
        <v>2671</v>
      </c>
      <c r="L140" s="915" t="s">
        <v>2675</v>
      </c>
      <c r="M140" s="1115">
        <v>45223</v>
      </c>
      <c r="N140" s="1115">
        <v>45223</v>
      </c>
      <c r="O140" s="1115">
        <v>45223</v>
      </c>
      <c r="P140" s="1616" t="s">
        <v>2676</v>
      </c>
      <c r="Q140" s="4852" t="s">
        <v>35</v>
      </c>
      <c r="R140" s="58" t="s">
        <v>36</v>
      </c>
      <c r="S140" s="58" t="s">
        <v>67</v>
      </c>
      <c r="T140" s="7">
        <v>3875</v>
      </c>
      <c r="U140" s="106">
        <v>2720</v>
      </c>
      <c r="V140" s="106">
        <v>4</v>
      </c>
      <c r="W140" s="3075">
        <f>SEP_2023[[#This Row],[Sales Amount]]-SEP_2023[[#This Row],[Cost]]</f>
        <v>1155</v>
      </c>
      <c r="X140" s="3249">
        <f>SEP_2023[[#This Row],[Profit]]/SEP_2023[[#This Row],[Cost]]</f>
        <v>0.42463235294117646</v>
      </c>
      <c r="Y140" s="3075"/>
      <c r="Z140" s="3250"/>
    </row>
    <row r="141" spans="1:26" s="117" customFormat="1">
      <c r="A141" s="18" t="s">
        <v>68</v>
      </c>
      <c r="B141" s="1" t="s">
        <v>2677</v>
      </c>
      <c r="C141" s="4839" t="s">
        <v>85</v>
      </c>
      <c r="D141" s="844">
        <v>45210</v>
      </c>
      <c r="E141" s="4867">
        <v>45223</v>
      </c>
      <c r="F141" s="58" t="s">
        <v>45</v>
      </c>
      <c r="G141" s="4839" t="s">
        <v>46</v>
      </c>
      <c r="H141" s="1414">
        <v>45225</v>
      </c>
      <c r="I141" s="915" t="s">
        <v>212</v>
      </c>
      <c r="J141" s="18" t="s">
        <v>490</v>
      </c>
      <c r="K141" s="4901" t="s">
        <v>2671</v>
      </c>
      <c r="L141" s="915">
        <v>378409</v>
      </c>
      <c r="M141" s="1115">
        <v>45225</v>
      </c>
      <c r="N141" s="1119">
        <v>45225</v>
      </c>
      <c r="O141" s="1119">
        <v>45225</v>
      </c>
      <c r="P141" s="1616" t="s">
        <v>2678</v>
      </c>
      <c r="Q141" s="4221" t="s">
        <v>35</v>
      </c>
      <c r="R141" s="58" t="s">
        <v>36</v>
      </c>
      <c r="S141" s="58" t="s">
        <v>67</v>
      </c>
      <c r="T141" s="7">
        <v>3875</v>
      </c>
      <c r="U141" s="106">
        <v>2720</v>
      </c>
      <c r="V141" s="106">
        <v>4</v>
      </c>
      <c r="W141" s="3075">
        <f>SEP_2023[[#This Row],[Sales Amount]]-SEP_2023[[#This Row],[Cost]]</f>
        <v>1155</v>
      </c>
      <c r="X141" s="3249">
        <f>SEP_2023[[#This Row],[Profit]]/SEP_2023[[#This Row],[Cost]]</f>
        <v>0.42463235294117646</v>
      </c>
      <c r="Y141" s="3075"/>
      <c r="Z141" s="3250"/>
    </row>
    <row r="142" spans="1:26" s="507" customFormat="1">
      <c r="A142" s="18" t="s">
        <v>68</v>
      </c>
      <c r="B142" s="1" t="s">
        <v>2679</v>
      </c>
      <c r="C142" s="58" t="s">
        <v>85</v>
      </c>
      <c r="D142" s="844">
        <v>45210</v>
      </c>
      <c r="E142" s="1112">
        <v>45221</v>
      </c>
      <c r="F142" s="58" t="s">
        <v>45</v>
      </c>
      <c r="G142" s="4839" t="s">
        <v>46</v>
      </c>
      <c r="H142" s="1414">
        <v>45223</v>
      </c>
      <c r="I142" s="915" t="s">
        <v>212</v>
      </c>
      <c r="J142" s="18" t="s">
        <v>490</v>
      </c>
      <c r="K142" s="4901" t="s">
        <v>2671</v>
      </c>
      <c r="L142" s="915" t="s">
        <v>2680</v>
      </c>
      <c r="M142" s="1115">
        <v>45224</v>
      </c>
      <c r="N142" s="1115">
        <v>45223</v>
      </c>
      <c r="O142" s="844">
        <v>45224</v>
      </c>
      <c r="P142" s="4222" t="s">
        <v>2681</v>
      </c>
      <c r="Q142" s="4221" t="s">
        <v>35</v>
      </c>
      <c r="R142" s="58" t="s">
        <v>36</v>
      </c>
      <c r="S142" s="58" t="s">
        <v>67</v>
      </c>
      <c r="T142" s="7">
        <v>3875</v>
      </c>
      <c r="U142" s="106">
        <v>2720</v>
      </c>
      <c r="V142" s="106">
        <v>4</v>
      </c>
      <c r="W142" s="3075">
        <f>SEP_2023[[#This Row],[Sales Amount]]-SEP_2023[[#This Row],[Cost]]</f>
        <v>1155</v>
      </c>
      <c r="X142" s="3249">
        <f>SEP_2023[[#This Row],[Profit]]/SEP_2023[[#This Row],[Cost]]</f>
        <v>0.42463235294117646</v>
      </c>
      <c r="Y142" s="3075"/>
      <c r="Z142" s="3250"/>
    </row>
    <row r="143" spans="1:26" s="1569" customFormat="1">
      <c r="A143" s="1593" t="s">
        <v>732</v>
      </c>
      <c r="B143" s="4223" t="s">
        <v>2682</v>
      </c>
      <c r="C143" s="5031" t="s">
        <v>44</v>
      </c>
      <c r="D143" s="1459">
        <v>45171</v>
      </c>
      <c r="E143" s="1458">
        <v>45179</v>
      </c>
      <c r="F143" s="1442" t="s">
        <v>990</v>
      </c>
      <c r="G143" s="1456" t="s">
        <v>829</v>
      </c>
      <c r="I143" s="1594"/>
      <c r="J143" s="1595" t="s">
        <v>168</v>
      </c>
      <c r="K143" s="1569" t="s">
        <v>2226</v>
      </c>
      <c r="L143" s="1596" t="s">
        <v>2683</v>
      </c>
      <c r="M143" s="1597">
        <v>45181</v>
      </c>
      <c r="N143" s="1597">
        <v>45180</v>
      </c>
      <c r="O143" s="1598">
        <v>45182</v>
      </c>
      <c r="P143" s="1599" t="s">
        <v>2684</v>
      </c>
      <c r="Q143" s="3251" t="s">
        <v>50</v>
      </c>
      <c r="R143" s="1594" t="s">
        <v>51</v>
      </c>
      <c r="S143" s="1594"/>
      <c r="T143" s="1594"/>
      <c r="U143" s="1594"/>
      <c r="V143" s="1594"/>
      <c r="W143" s="3252">
        <f>SEP_2023[[#This Row],[Sales Amount]]-SEP_2023[[#This Row],[Cost]]</f>
        <v>0</v>
      </c>
      <c r="X143" s="3253" t="e">
        <f>SEP_2023[[#This Row],[Profit]]/SEP_2023[[#This Row],[Cost]]</f>
        <v>#DIV/0!</v>
      </c>
      <c r="Y143" s="3252"/>
      <c r="Z143" s="3254"/>
    </row>
    <row r="144" spans="1:26" s="707" customFormat="1">
      <c r="A144" s="1" t="s">
        <v>732</v>
      </c>
      <c r="B144" s="707" t="s">
        <v>2685</v>
      </c>
      <c r="C144" s="709" t="s">
        <v>28</v>
      </c>
      <c r="D144" s="1635">
        <v>45187</v>
      </c>
      <c r="E144" s="1608">
        <v>45195</v>
      </c>
      <c r="F144" s="707" t="s">
        <v>2686</v>
      </c>
      <c r="G144" s="707" t="s">
        <v>829</v>
      </c>
      <c r="J144" s="709" t="s">
        <v>168</v>
      </c>
      <c r="K144" s="709" t="s">
        <v>310</v>
      </c>
      <c r="L144" s="707" t="s">
        <v>2687</v>
      </c>
      <c r="M144" s="1635">
        <v>45197</v>
      </c>
      <c r="N144" s="1635">
        <v>45196</v>
      </c>
      <c r="O144" s="1612">
        <v>45199</v>
      </c>
      <c r="P144" s="1019" t="s">
        <v>2688</v>
      </c>
      <c r="Q144" s="707" t="s">
        <v>1281</v>
      </c>
      <c r="R144" s="707" t="s">
        <v>2143</v>
      </c>
      <c r="W144" s="3246">
        <f>SEP_2023[[#This Row],[Sales Amount]]-SEP_2023[[#This Row],[Cost]]</f>
        <v>0</v>
      </c>
      <c r="X144" s="3247" t="e">
        <f>SEP_2023[[#This Row],[Profit]]/SEP_2023[[#This Row],[Cost]]</f>
        <v>#DIV/0!</v>
      </c>
      <c r="Y144" s="3246"/>
      <c r="Z144" s="3248"/>
    </row>
    <row r="145" spans="1:32" s="3" customFormat="1" ht="90">
      <c r="A145" s="19" t="s">
        <v>1134</v>
      </c>
      <c r="B145" s="5049" t="s">
        <v>2689</v>
      </c>
      <c r="C145" s="4845" t="s">
        <v>44</v>
      </c>
      <c r="D145" s="4906">
        <v>45198</v>
      </c>
      <c r="E145" s="4916">
        <v>45198</v>
      </c>
      <c r="F145" s="4845" t="s">
        <v>135</v>
      </c>
      <c r="G145" s="4929" t="s">
        <v>2536</v>
      </c>
      <c r="H145" s="5050" t="s">
        <v>2690</v>
      </c>
      <c r="I145" s="5050" t="s">
        <v>2691</v>
      </c>
      <c r="J145" s="4193" t="s">
        <v>125</v>
      </c>
      <c r="K145" s="4845" t="s">
        <v>1641</v>
      </c>
      <c r="L145" s="4845" t="s">
        <v>162</v>
      </c>
      <c r="M145" s="4918">
        <v>45204</v>
      </c>
      <c r="N145" s="4918">
        <v>45203</v>
      </c>
      <c r="O145" s="4906">
        <v>45206</v>
      </c>
      <c r="P145" s="4909" t="s">
        <v>2692</v>
      </c>
      <c r="Q145" s="4845" t="s">
        <v>75</v>
      </c>
      <c r="R145" s="1617" t="s">
        <v>2693</v>
      </c>
      <c r="S145" s="117">
        <v>4</v>
      </c>
      <c r="T145" s="117">
        <v>3288.67</v>
      </c>
      <c r="U145" s="117">
        <f>1898.42+650+193+68.42+20</f>
        <v>2829.84</v>
      </c>
      <c r="V145" s="117"/>
      <c r="W145" s="857">
        <f>SEP_2023[[#This Row],[Sales Amount]]-SEP_2023[[#This Row],[Cost]]</f>
        <v>458.82999999999993</v>
      </c>
      <c r="X145" s="1627">
        <f>SEP_2023[[#This Row],[Profit]]/SEP_2023[[#This Row],[Cost]]</f>
        <v>0.16213990897011843</v>
      </c>
      <c r="Y145" s="857"/>
      <c r="Z145" s="901"/>
    </row>
    <row r="148" spans="1:32">
      <c r="M148" s="106"/>
    </row>
    <row r="152" spans="1:32">
      <c r="AC152" s="7"/>
      <c r="AD152" s="7"/>
      <c r="AE152" s="7"/>
      <c r="AF152" s="7"/>
    </row>
    <row r="153" spans="1:32">
      <c r="AC153" s="7"/>
      <c r="AD153" s="7"/>
      <c r="AE153" s="7"/>
      <c r="AF153" s="7"/>
    </row>
    <row r="155" spans="1:32">
      <c r="E155" s="144"/>
    </row>
    <row r="157" spans="1:32">
      <c r="V157" s="7"/>
    </row>
  </sheetData>
  <conditionalFormatting sqref="B1">
    <cfRule type="duplicateValues" dxfId="449" priority="1"/>
  </conditionalFormatting>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9FB1-FD67-49F0-9AC6-C50903BEBCF7}">
  <dimension ref="A1"/>
  <sheetViews>
    <sheetView workbookViewId="0"/>
  </sheetViews>
  <sheetFormatPr defaultRowHeight="1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AA8B3-B290-454B-BA36-2A344A75747B}">
  <dimension ref="A1:AC220"/>
  <sheetViews>
    <sheetView zoomScaleNormal="100" workbookViewId="0">
      <pane xSplit="3" ySplit="1" topLeftCell="R2" activePane="bottomRight" state="frozen"/>
      <selection pane="bottomRight" activeCell="T9" sqref="T9"/>
      <selection pane="bottomLeft" activeCell="A2" sqref="A2"/>
      <selection pane="topRight" activeCell="D1" sqref="D1"/>
    </sheetView>
  </sheetViews>
  <sheetFormatPr defaultColWidth="9.125" defaultRowHeight="15"/>
  <cols>
    <col min="1" max="1" width="18" style="106" customWidth="1"/>
    <col min="2" max="2" width="17.25" style="106" customWidth="1"/>
    <col min="3" max="3" width="11" style="106" customWidth="1"/>
    <col min="4" max="5" width="11" style="144" customWidth="1"/>
    <col min="6" max="6" width="16" style="106" customWidth="1"/>
    <col min="7" max="7" width="25.25" style="147" customWidth="1"/>
    <col min="8" max="8" width="26.875" style="761" customWidth="1"/>
    <col min="9" max="9" width="29" style="106" customWidth="1"/>
    <col min="10" max="10" width="17.25" style="106" customWidth="1"/>
    <col min="11" max="11" width="31.125" style="147" customWidth="1"/>
    <col min="12" max="12" width="18.25" style="106" customWidth="1"/>
    <col min="13" max="13" width="22" style="144" customWidth="1"/>
    <col min="14" max="14" width="13.5" style="144" customWidth="1"/>
    <col min="15" max="15" width="16.25" style="144" customWidth="1"/>
    <col min="16" max="16" width="52.25" style="147" customWidth="1"/>
    <col min="17" max="17" width="9" style="106"/>
    <col min="18" max="18" width="16.25" style="106" bestFit="1" customWidth="1"/>
    <col min="19" max="19" width="10.25" style="106" customWidth="1"/>
    <col min="20" max="20" width="15.25" style="1754" customWidth="1"/>
    <col min="21" max="21" width="19.125" style="1754" customWidth="1"/>
    <col min="22" max="22" width="15.375" style="106" bestFit="1" customWidth="1"/>
    <col min="23" max="23" width="9.125" style="1754"/>
    <col min="24" max="24" width="13.125" style="1659" customWidth="1"/>
    <col min="25" max="25" width="9.125" style="106"/>
    <col min="26" max="26" width="11.875" style="106" customWidth="1"/>
    <col min="27" max="16384" width="9.125" style="106"/>
  </cols>
  <sheetData>
    <row r="1" spans="1:26" ht="16.5" customHeight="1">
      <c r="A1" s="1618" t="s">
        <v>2694</v>
      </c>
      <c r="B1" s="1618" t="s">
        <v>1</v>
      </c>
      <c r="C1" s="1618" t="s">
        <v>2</v>
      </c>
      <c r="D1" s="1618" t="s">
        <v>3</v>
      </c>
      <c r="E1" s="1619" t="s">
        <v>4</v>
      </c>
      <c r="F1" s="1618" t="s">
        <v>5</v>
      </c>
      <c r="G1" s="1618" t="s">
        <v>6</v>
      </c>
      <c r="H1" s="1618" t="s">
        <v>7</v>
      </c>
      <c r="I1" s="1618" t="s">
        <v>8</v>
      </c>
      <c r="J1" s="1618" t="s">
        <v>9</v>
      </c>
      <c r="K1" s="1620" t="s">
        <v>10</v>
      </c>
      <c r="L1" s="1621" t="s">
        <v>11</v>
      </c>
      <c r="M1" s="1619" t="s">
        <v>12</v>
      </c>
      <c r="N1" s="1618" t="s">
        <v>13</v>
      </c>
      <c r="O1" s="1618" t="s">
        <v>14</v>
      </c>
      <c r="P1" s="1622" t="s">
        <v>15</v>
      </c>
      <c r="Q1" s="1623" t="s">
        <v>16</v>
      </c>
      <c r="R1" s="1623" t="s">
        <v>17</v>
      </c>
      <c r="S1" s="1623" t="s">
        <v>18</v>
      </c>
      <c r="T1" s="1753" t="s">
        <v>19</v>
      </c>
      <c r="U1" s="1753" t="s">
        <v>20</v>
      </c>
      <c r="V1" s="1623" t="s">
        <v>21</v>
      </c>
      <c r="W1" s="1753" t="s">
        <v>22</v>
      </c>
      <c r="X1" s="1658" t="s">
        <v>23</v>
      </c>
      <c r="Y1" s="1624" t="s">
        <v>24</v>
      </c>
      <c r="Z1" s="1624" t="s">
        <v>25</v>
      </c>
    </row>
    <row r="2" spans="1:26">
      <c r="A2" s="4163" t="s">
        <v>468</v>
      </c>
      <c r="B2" s="4163" t="s">
        <v>2695</v>
      </c>
      <c r="C2" s="660" t="s">
        <v>1518</v>
      </c>
      <c r="D2" s="822">
        <v>45177</v>
      </c>
      <c r="E2" s="879">
        <v>45194</v>
      </c>
      <c r="F2" s="4163" t="s">
        <v>167</v>
      </c>
      <c r="G2" s="4224" t="s">
        <v>2696</v>
      </c>
      <c r="H2" s="1671">
        <v>45197</v>
      </c>
      <c r="I2" s="823" t="s">
        <v>2697</v>
      </c>
      <c r="J2" s="4163" t="s">
        <v>322</v>
      </c>
      <c r="K2" s="4163" t="s">
        <v>1455</v>
      </c>
      <c r="L2" s="4163" t="s">
        <v>2698</v>
      </c>
      <c r="M2" s="4918">
        <v>45196</v>
      </c>
      <c r="N2" s="840">
        <v>45196</v>
      </c>
      <c r="O2" s="1649">
        <v>45203</v>
      </c>
      <c r="P2" s="4096" t="s">
        <v>2699</v>
      </c>
      <c r="Q2" s="4193" t="s">
        <v>75</v>
      </c>
      <c r="R2" s="4163" t="s">
        <v>2700</v>
      </c>
      <c r="S2" s="120">
        <v>4</v>
      </c>
      <c r="T2" s="660">
        <v>2005</v>
      </c>
      <c r="U2" s="660">
        <v>1754.5</v>
      </c>
      <c r="V2" s="660">
        <v>1</v>
      </c>
      <c r="W2" s="660">
        <f>IFERROR((OCT_2023[[#This Row],[Sales Amount]]-OCT_2023[[#This Row],[Cost]])/OCT_2023[[#This Row],[CNTR AMOUNT]],OCT_2023[[#This Row],[Sales Amount]]-OCT_2023[[#This Row],[Cost]])</f>
        <v>250.5</v>
      </c>
      <c r="X2" s="885">
        <f>IFERROR(OCT_2023[[#This Row],[Profit]]/OCT_2023[[#This Row],[Cost]]," ")</f>
        <v>0.14277571957822741</v>
      </c>
      <c r="Y2" s="660"/>
      <c r="Z2" s="660"/>
    </row>
    <row r="3" spans="1:26" s="26" customFormat="1">
      <c r="A3" s="656" t="s">
        <v>2701</v>
      </c>
      <c r="B3" s="4225" t="s">
        <v>2702</v>
      </c>
      <c r="C3" s="656" t="s">
        <v>833</v>
      </c>
      <c r="D3" s="1665">
        <v>45193</v>
      </c>
      <c r="E3" s="1669">
        <v>45199</v>
      </c>
      <c r="F3" s="656" t="s">
        <v>98</v>
      </c>
      <c r="G3" s="656" t="s">
        <v>46</v>
      </c>
      <c r="H3" s="1021">
        <v>45202</v>
      </c>
      <c r="I3" s="1674" t="s">
        <v>104</v>
      </c>
      <c r="J3" s="656" t="s">
        <v>322</v>
      </c>
      <c r="K3" s="1677" t="s">
        <v>2703</v>
      </c>
      <c r="L3" s="1674" t="s">
        <v>2704</v>
      </c>
      <c r="M3" s="5051">
        <v>45202</v>
      </c>
      <c r="N3" s="4903">
        <v>45201</v>
      </c>
      <c r="O3" s="1018">
        <v>45202</v>
      </c>
      <c r="P3" s="1151" t="s">
        <v>2705</v>
      </c>
      <c r="Q3" s="18" t="s">
        <v>35</v>
      </c>
      <c r="R3" s="1062" t="s">
        <v>36</v>
      </c>
      <c r="S3" s="718" t="s">
        <v>37</v>
      </c>
      <c r="T3" s="508">
        <v>1445</v>
      </c>
      <c r="U3" s="508">
        <v>1175</v>
      </c>
      <c r="V3" s="508"/>
      <c r="W3" s="508">
        <f>IFERROR((OCT_2023[[#This Row],[Sales Amount]]-OCT_2023[[#This Row],[Cost]])/OCT_2023[[#This Row],[CNTR AMOUNT]],OCT_2023[[#This Row],[Sales Amount]]-OCT_2023[[#This Row],[Cost]])</f>
        <v>270</v>
      </c>
      <c r="X3" s="508">
        <f>IFERROR(OCT_2023[[#This Row],[Profit]]/OCT_2023[[#This Row],[Cost]]," ")</f>
        <v>0.22978723404255319</v>
      </c>
      <c r="Y3" s="508"/>
      <c r="Z3" s="508"/>
    </row>
    <row r="4" spans="1:26" s="26" customFormat="1">
      <c r="A4" s="1662" t="s">
        <v>639</v>
      </c>
      <c r="B4" s="1662" t="s">
        <v>2706</v>
      </c>
      <c r="C4" s="726" t="s">
        <v>85</v>
      </c>
      <c r="D4" s="1666">
        <v>45195</v>
      </c>
      <c r="E4" s="1670">
        <v>45199</v>
      </c>
      <c r="F4" s="1662" t="s">
        <v>173</v>
      </c>
      <c r="G4" s="1662" t="s">
        <v>30</v>
      </c>
      <c r="H4" s="1673">
        <v>45202</v>
      </c>
      <c r="I4" s="1662"/>
      <c r="J4" s="1662" t="s">
        <v>32</v>
      </c>
      <c r="K4" s="1662" t="s">
        <v>1486</v>
      </c>
      <c r="L4" s="1679">
        <v>642434</v>
      </c>
      <c r="M4" s="1681">
        <v>45202</v>
      </c>
      <c r="N4" s="1681">
        <v>45202</v>
      </c>
      <c r="O4" s="1682">
        <v>45203</v>
      </c>
      <c r="P4" s="1684" t="s">
        <v>2707</v>
      </c>
      <c r="Q4" s="1430" t="s">
        <v>35</v>
      </c>
      <c r="R4" s="1775" t="s">
        <v>36</v>
      </c>
      <c r="S4" s="726" t="s">
        <v>37</v>
      </c>
      <c r="T4" s="1685">
        <v>1255</v>
      </c>
      <c r="U4" s="1685">
        <v>1046</v>
      </c>
      <c r="V4" s="1685"/>
      <c r="W4" s="1685">
        <f>IFERROR((OCT_2023[[#This Row],[Sales Amount]]-OCT_2023[[#This Row],[Cost]])/OCT_2023[[#This Row],[CNTR AMOUNT]],OCT_2023[[#This Row],[Sales Amount]]-OCT_2023[[#This Row],[Cost]])</f>
        <v>209</v>
      </c>
      <c r="X4" s="1685">
        <f>IFERROR(OCT_2023[[#This Row],[Profit]]/OCT_2023[[#This Row],[Cost]]," ")</f>
        <v>0.19980879541108987</v>
      </c>
      <c r="Y4" s="1685"/>
      <c r="Z4" s="1685"/>
    </row>
    <row r="5" spans="1:26" s="707" customFormat="1">
      <c r="A5" s="713" t="s">
        <v>171</v>
      </c>
      <c r="B5" s="713" t="s">
        <v>2708</v>
      </c>
      <c r="C5" s="713" t="s">
        <v>28</v>
      </c>
      <c r="D5" s="1581">
        <v>45195</v>
      </c>
      <c r="E5" s="1583">
        <v>45201</v>
      </c>
      <c r="F5" s="713" t="s">
        <v>173</v>
      </c>
      <c r="G5" s="1584" t="s">
        <v>46</v>
      </c>
      <c r="H5" s="1585">
        <v>45203</v>
      </c>
      <c r="I5" s="713"/>
      <c r="J5" s="713" t="s">
        <v>32</v>
      </c>
      <c r="K5" s="713" t="s">
        <v>174</v>
      </c>
      <c r="L5" s="1586" t="s">
        <v>2709</v>
      </c>
      <c r="M5" s="1587">
        <v>45203</v>
      </c>
      <c r="N5" s="1582">
        <v>45203</v>
      </c>
      <c r="O5" s="1582">
        <v>45204</v>
      </c>
      <c r="P5" s="1683" t="s">
        <v>2710</v>
      </c>
      <c r="Q5" s="1376" t="s">
        <v>35</v>
      </c>
      <c r="R5" s="1376" t="s">
        <v>36</v>
      </c>
      <c r="S5" s="727" t="s">
        <v>37</v>
      </c>
      <c r="T5" s="152">
        <v>985</v>
      </c>
      <c r="U5" s="641">
        <v>751</v>
      </c>
      <c r="V5" s="641"/>
      <c r="W5" s="641">
        <f>IFERROR((OCT_2023[[#This Row],[Sales Amount]]-OCT_2023[[#This Row],[Cost]])/OCT_2023[[#This Row],[CNTR AMOUNT]],OCT_2023[[#This Row],[Sales Amount]]-OCT_2023[[#This Row],[Cost]])</f>
        <v>234</v>
      </c>
      <c r="X5" s="641">
        <f>IFERROR(OCT_2023[[#This Row],[Profit]]/OCT_2023[[#This Row],[Cost]]," ")</f>
        <v>0.31158455392809586</v>
      </c>
      <c r="Y5" s="641"/>
      <c r="Z5" s="641"/>
    </row>
    <row r="6" spans="1:26" s="507" customFormat="1" ht="30">
      <c r="A6" s="660" t="s">
        <v>2489</v>
      </c>
      <c r="B6" s="4163" t="s">
        <v>2711</v>
      </c>
      <c r="C6" s="660" t="s">
        <v>794</v>
      </c>
      <c r="D6" s="728">
        <v>45170</v>
      </c>
      <c r="E6" s="835">
        <v>45201</v>
      </c>
      <c r="F6" s="660" t="s">
        <v>93</v>
      </c>
      <c r="G6" s="660" t="s">
        <v>2491</v>
      </c>
      <c r="H6" s="728">
        <v>45209</v>
      </c>
      <c r="I6" s="4163" t="s">
        <v>926</v>
      </c>
      <c r="J6" s="4163" t="s">
        <v>2492</v>
      </c>
      <c r="K6" s="715" t="s">
        <v>2493</v>
      </c>
      <c r="L6" s="117">
        <v>2929</v>
      </c>
      <c r="M6" s="4226">
        <v>45209</v>
      </c>
      <c r="N6" s="728">
        <v>45208</v>
      </c>
      <c r="O6" s="728">
        <v>45209</v>
      </c>
      <c r="P6" s="4096" t="s">
        <v>2712</v>
      </c>
      <c r="Q6" s="660" t="s">
        <v>75</v>
      </c>
      <c r="R6" s="4096" t="s">
        <v>2713</v>
      </c>
      <c r="S6" s="660">
        <v>4</v>
      </c>
      <c r="T6" s="660">
        <v>1882.5</v>
      </c>
      <c r="U6" s="660">
        <v>1735</v>
      </c>
      <c r="V6" s="660">
        <v>2</v>
      </c>
      <c r="W6" s="660">
        <f>IFERROR((OCT_2023[[#This Row],[Sales Amount]]-OCT_2023[[#This Row],[Cost]])/OCT_2023[[#This Row],[CNTR AMOUNT]],OCT_2023[[#This Row],[Sales Amount]]-OCT_2023[[#This Row],[Cost]])</f>
        <v>73.75</v>
      </c>
      <c r="X6" s="885">
        <f>IFERROR(OCT_2023[[#This Row],[Profit]]/OCT_2023[[#This Row],[Cost]]," ")</f>
        <v>4.2507204610951012E-2</v>
      </c>
      <c r="Y6" s="660"/>
      <c r="Z6" s="660"/>
    </row>
    <row r="7" spans="1:26" s="707" customFormat="1" ht="75">
      <c r="A7" s="120" t="s">
        <v>2714</v>
      </c>
      <c r="B7" s="4193" t="s">
        <v>2715</v>
      </c>
      <c r="C7" s="120" t="s">
        <v>794</v>
      </c>
      <c r="D7" s="653">
        <v>45197</v>
      </c>
      <c r="E7" s="830">
        <v>45202</v>
      </c>
      <c r="F7" s="120" t="s">
        <v>1357</v>
      </c>
      <c r="G7" s="897" t="s">
        <v>2716</v>
      </c>
      <c r="H7" s="4227">
        <v>45207</v>
      </c>
      <c r="I7" s="4193" t="s">
        <v>2717</v>
      </c>
      <c r="J7" s="117" t="s">
        <v>2452</v>
      </c>
      <c r="K7" s="4128" t="s">
        <v>2718</v>
      </c>
      <c r="L7" s="683">
        <v>76044108</v>
      </c>
      <c r="M7" s="893">
        <v>45205</v>
      </c>
      <c r="N7" s="893">
        <v>45205</v>
      </c>
      <c r="O7" s="653">
        <v>45209</v>
      </c>
      <c r="P7" s="4128" t="s">
        <v>2719</v>
      </c>
      <c r="Q7" s="120" t="s">
        <v>75</v>
      </c>
      <c r="R7" s="4193" t="s">
        <v>2720</v>
      </c>
      <c r="S7" s="120">
        <v>4</v>
      </c>
      <c r="T7" s="120">
        <v>4965</v>
      </c>
      <c r="U7" s="120">
        <v>3612</v>
      </c>
      <c r="V7" s="120">
        <v>1</v>
      </c>
      <c r="W7" s="120">
        <f>IFERROR((OCT_2023[[#This Row],[Sales Amount]]-OCT_2023[[#This Row],[Cost]])/OCT_2023[[#This Row],[CNTR AMOUNT]],OCT_2023[[#This Row],[Sales Amount]]-OCT_2023[[#This Row],[Cost]])</f>
        <v>1353</v>
      </c>
      <c r="X7" s="1041">
        <f>IFERROR(OCT_2023[[#This Row],[Profit]]/OCT_2023[[#This Row],[Cost]]," ")</f>
        <v>0.37458471760797341</v>
      </c>
      <c r="Y7" s="120"/>
      <c r="Z7" s="120"/>
    </row>
    <row r="8" spans="1:26" s="707" customFormat="1" ht="135">
      <c r="A8" s="718" t="s">
        <v>788</v>
      </c>
      <c r="B8" s="4194" t="s">
        <v>2721</v>
      </c>
      <c r="C8" s="718" t="s">
        <v>794</v>
      </c>
      <c r="D8" s="1016">
        <v>45189</v>
      </c>
      <c r="E8" s="1667">
        <v>45202</v>
      </c>
      <c r="F8" s="718" t="s">
        <v>45</v>
      </c>
      <c r="G8" s="718" t="s">
        <v>2722</v>
      </c>
      <c r="H8" s="4228">
        <v>45204</v>
      </c>
      <c r="I8" s="718" t="s">
        <v>445</v>
      </c>
      <c r="J8" s="709" t="s">
        <v>695</v>
      </c>
      <c r="K8" s="4112" t="s">
        <v>2468</v>
      </c>
      <c r="L8" s="718">
        <v>1860</v>
      </c>
      <c r="M8" s="1680">
        <v>45203</v>
      </c>
      <c r="N8" s="1680">
        <v>45203</v>
      </c>
      <c r="O8" s="4229">
        <v>45204</v>
      </c>
      <c r="P8" s="4112" t="s">
        <v>2723</v>
      </c>
      <c r="Q8" s="718" t="s">
        <v>75</v>
      </c>
      <c r="R8" s="4112" t="s">
        <v>2724</v>
      </c>
      <c r="S8" s="718">
        <v>4</v>
      </c>
      <c r="T8" s="718">
        <v>1017.5</v>
      </c>
      <c r="U8" s="718">
        <v>557.38</v>
      </c>
      <c r="V8" s="718">
        <v>2</v>
      </c>
      <c r="W8" s="718">
        <f>IFERROR((OCT_2023[[#This Row],[Sales Amount]]-OCT_2023[[#This Row],[Cost]])/OCT_2023[[#This Row],[CNTR AMOUNT]],OCT_2023[[#This Row],[Sales Amount]]-OCT_2023[[#This Row],[Cost]])</f>
        <v>230.06</v>
      </c>
      <c r="X8" s="1687">
        <f>IFERROR(OCT_2023[[#This Row],[Profit]]/OCT_2023[[#This Row],[Cost]]," ")</f>
        <v>0.41275252072194912</v>
      </c>
      <c r="Y8" s="718"/>
      <c r="Z8" s="718"/>
    </row>
    <row r="9" spans="1:26" s="507" customFormat="1" ht="150">
      <c r="A9" s="709" t="s">
        <v>788</v>
      </c>
      <c r="B9" s="4122" t="s">
        <v>2725</v>
      </c>
      <c r="C9" s="709" t="s">
        <v>794</v>
      </c>
      <c r="D9" s="912">
        <v>45189</v>
      </c>
      <c r="E9" s="1341">
        <v>45202</v>
      </c>
      <c r="F9" s="709" t="s">
        <v>45</v>
      </c>
      <c r="G9" s="709" t="s">
        <v>2722</v>
      </c>
      <c r="H9" s="912">
        <v>45204</v>
      </c>
      <c r="I9" s="4122" t="s">
        <v>1196</v>
      </c>
      <c r="J9" s="709" t="s">
        <v>695</v>
      </c>
      <c r="K9" s="723" t="s">
        <v>2468</v>
      </c>
      <c r="L9" s="709">
        <v>1847</v>
      </c>
      <c r="M9" s="1642">
        <v>45203</v>
      </c>
      <c r="N9" s="1642">
        <v>45203</v>
      </c>
      <c r="O9" s="4230">
        <v>45204</v>
      </c>
      <c r="P9" s="4092" t="s">
        <v>2726</v>
      </c>
      <c r="Q9" s="709" t="s">
        <v>75</v>
      </c>
      <c r="R9" s="4092" t="s">
        <v>2724</v>
      </c>
      <c r="S9" s="709">
        <v>4</v>
      </c>
      <c r="T9" s="709">
        <v>1017.5</v>
      </c>
      <c r="U9" s="709">
        <v>557.38</v>
      </c>
      <c r="V9" s="709">
        <v>2</v>
      </c>
      <c r="W9" s="709">
        <f>IFERROR((OCT_2023[[#This Row],[Sales Amount]]-OCT_2023[[#This Row],[Cost]])/OCT_2023[[#This Row],[CNTR AMOUNT]],OCT_2023[[#This Row],[Sales Amount]]-OCT_2023[[#This Row],[Cost]])</f>
        <v>230.06</v>
      </c>
      <c r="X9" s="1645">
        <f>IFERROR(OCT_2023[[#This Row],[Profit]]/OCT_2023[[#This Row],[Cost]]," ")</f>
        <v>0.41275252072194912</v>
      </c>
      <c r="Y9" s="709"/>
      <c r="Z9" s="709"/>
    </row>
    <row r="10" spans="1:26" s="26" customFormat="1" ht="30">
      <c r="A10" s="117" t="s">
        <v>468</v>
      </c>
      <c r="B10" s="117" t="s">
        <v>2727</v>
      </c>
      <c r="C10" s="117" t="s">
        <v>200</v>
      </c>
      <c r="D10" s="822">
        <v>45192</v>
      </c>
      <c r="E10" s="856">
        <v>45203</v>
      </c>
      <c r="F10" s="117" t="s">
        <v>29</v>
      </c>
      <c r="G10" s="117" t="s">
        <v>57</v>
      </c>
      <c r="H10" s="4173">
        <v>45208</v>
      </c>
      <c r="I10" s="4104" t="s">
        <v>445</v>
      </c>
      <c r="J10" s="117" t="s">
        <v>32</v>
      </c>
      <c r="K10" s="806" t="s">
        <v>2728</v>
      </c>
      <c r="L10" s="766">
        <v>7981881</v>
      </c>
      <c r="M10" s="839">
        <v>45207</v>
      </c>
      <c r="N10" s="839">
        <v>45206</v>
      </c>
      <c r="O10" s="822">
        <v>45208</v>
      </c>
      <c r="P10" s="4104" t="s">
        <v>2729</v>
      </c>
      <c r="Q10" s="117" t="s">
        <v>75</v>
      </c>
      <c r="R10" s="4150" t="s">
        <v>2730</v>
      </c>
      <c r="S10" s="117">
        <v>4</v>
      </c>
      <c r="T10" s="117">
        <v>970</v>
      </c>
      <c r="U10" s="117">
        <v>744</v>
      </c>
      <c r="V10" s="117">
        <v>1</v>
      </c>
      <c r="W10" s="117">
        <f>IFERROR((OCT_2023[[#This Row],[Sales Amount]]-OCT_2023[[#This Row],[Cost]])/OCT_2023[[#This Row],[CNTR AMOUNT]],OCT_2023[[#This Row],[Sales Amount]]-OCT_2023[[#This Row],[Cost]])</f>
        <v>226</v>
      </c>
      <c r="X10" s="905">
        <f>IFERROR(OCT_2023[[#This Row],[Profit]]/OCT_2023[[#This Row],[Cost]]," ")</f>
        <v>0.30376344086021506</v>
      </c>
      <c r="Y10" s="117"/>
      <c r="Z10" s="117"/>
    </row>
    <row r="11" spans="1:26" s="26" customFormat="1" ht="60">
      <c r="A11" s="120" t="s">
        <v>1051</v>
      </c>
      <c r="B11" s="1663" t="s">
        <v>2731</v>
      </c>
      <c r="C11" s="120" t="s">
        <v>200</v>
      </c>
      <c r="D11" s="653">
        <v>45191</v>
      </c>
      <c r="E11" s="654">
        <v>45203</v>
      </c>
      <c r="F11" s="120" t="s">
        <v>29</v>
      </c>
      <c r="G11" s="120" t="s">
        <v>57</v>
      </c>
      <c r="H11" s="4227">
        <v>45209</v>
      </c>
      <c r="I11" s="4193" t="s">
        <v>2026</v>
      </c>
      <c r="J11" s="4150" t="s">
        <v>32</v>
      </c>
      <c r="K11" s="120" t="s">
        <v>2732</v>
      </c>
      <c r="L11" s="120">
        <v>7981809</v>
      </c>
      <c r="M11" s="653">
        <v>45206</v>
      </c>
      <c r="N11" s="653">
        <v>45206</v>
      </c>
      <c r="O11" s="653">
        <v>45210</v>
      </c>
      <c r="P11" s="4128" t="s">
        <v>2733</v>
      </c>
      <c r="Q11" s="120" t="s">
        <v>75</v>
      </c>
      <c r="R11" s="4193" t="s">
        <v>2734</v>
      </c>
      <c r="S11" s="120">
        <v>4</v>
      </c>
      <c r="T11" s="120">
        <v>1825</v>
      </c>
      <c r="U11" s="120">
        <v>1365</v>
      </c>
      <c r="V11" s="120">
        <v>1</v>
      </c>
      <c r="W11" s="120">
        <f>IFERROR((OCT_2023[[#This Row],[Sales Amount]]-OCT_2023[[#This Row],[Cost]])/OCT_2023[[#This Row],[CNTR AMOUNT]],OCT_2023[[#This Row],[Sales Amount]]-OCT_2023[[#This Row],[Cost]])</f>
        <v>460</v>
      </c>
      <c r="X11" s="120">
        <f>IFERROR(OCT_2023[[#This Row],[Profit]]/OCT_2023[[#This Row],[Cost]]," ")</f>
        <v>0.33699633699633702</v>
      </c>
      <c r="Y11" s="120"/>
      <c r="Z11" s="120"/>
    </row>
    <row r="12" spans="1:26" s="507" customFormat="1" ht="105">
      <c r="A12" s="120" t="s">
        <v>379</v>
      </c>
      <c r="B12" s="4150" t="s">
        <v>2735</v>
      </c>
      <c r="C12" s="4193" t="s">
        <v>200</v>
      </c>
      <c r="D12" s="653">
        <v>45203</v>
      </c>
      <c r="E12" s="830">
        <v>45203</v>
      </c>
      <c r="F12" s="4193" t="s">
        <v>45</v>
      </c>
      <c r="G12" s="4128" t="s">
        <v>2736</v>
      </c>
      <c r="H12" s="4231">
        <v>45225</v>
      </c>
      <c r="I12" s="4231" t="s">
        <v>445</v>
      </c>
      <c r="J12" s="4193" t="s">
        <v>859</v>
      </c>
      <c r="K12" s="120" t="s">
        <v>2737</v>
      </c>
      <c r="L12" s="696" t="s">
        <v>2738</v>
      </c>
      <c r="M12" s="4231" t="s">
        <v>2739</v>
      </c>
      <c r="N12" s="696" t="s">
        <v>2740</v>
      </c>
      <c r="O12" s="653">
        <v>45225</v>
      </c>
      <c r="P12" s="4104" t="s">
        <v>2741</v>
      </c>
      <c r="Q12" s="120" t="s">
        <v>75</v>
      </c>
      <c r="R12" s="4193" t="s">
        <v>2742</v>
      </c>
      <c r="S12" s="120" t="s">
        <v>67</v>
      </c>
      <c r="T12" s="120">
        <v>6016.41</v>
      </c>
      <c r="U12" s="120">
        <f>75+35+309+34.21+10+870+4008.2</f>
        <v>5341.41</v>
      </c>
      <c r="V12" s="120">
        <v>1</v>
      </c>
      <c r="W12" s="120">
        <f>IFERROR((OCT_2023[[#This Row],[Sales Amount]]-OCT_2023[[#This Row],[Cost]])/OCT_2023[[#This Row],[CNTR AMOUNT]],OCT_2023[[#This Row],[Sales Amount]]-OCT_2023[[#This Row],[Cost]])</f>
        <v>675</v>
      </c>
      <c r="X12" s="1041">
        <f>IFERROR(OCT_2023[[#This Row],[Profit]]/OCT_2023[[#This Row],[Cost]]," ")</f>
        <v>0.12637112672496589</v>
      </c>
      <c r="Y12" s="120"/>
      <c r="Z12" s="120"/>
    </row>
    <row r="13" spans="1:26" s="26" customFormat="1" ht="90">
      <c r="A13" s="4150" t="s">
        <v>2743</v>
      </c>
      <c r="B13" s="4150" t="s">
        <v>2744</v>
      </c>
      <c r="C13" s="4150" t="s">
        <v>794</v>
      </c>
      <c r="D13" s="822">
        <v>45203</v>
      </c>
      <c r="E13" s="879">
        <v>45203</v>
      </c>
      <c r="F13" s="4232" t="s">
        <v>151</v>
      </c>
      <c r="G13" s="4104" t="s">
        <v>2745</v>
      </c>
      <c r="H13" s="822">
        <v>45210</v>
      </c>
      <c r="I13" s="4150" t="s">
        <v>2746</v>
      </c>
      <c r="J13" s="4150" t="s">
        <v>1914</v>
      </c>
      <c r="K13" s="4150" t="s">
        <v>2747</v>
      </c>
      <c r="L13" s="117" t="s">
        <v>162</v>
      </c>
      <c r="M13" s="822">
        <v>45210</v>
      </c>
      <c r="N13" s="822">
        <v>45210</v>
      </c>
      <c r="O13" s="4173">
        <v>45212</v>
      </c>
      <c r="P13" s="4128" t="s">
        <v>2748</v>
      </c>
      <c r="Q13" s="4150" t="s">
        <v>75</v>
      </c>
      <c r="R13" s="117" t="s">
        <v>2749</v>
      </c>
      <c r="S13" s="117">
        <v>4</v>
      </c>
      <c r="T13" s="117">
        <v>2460</v>
      </c>
      <c r="U13" s="117">
        <v>2300</v>
      </c>
      <c r="V13" s="117">
        <v>1</v>
      </c>
      <c r="W13" s="117">
        <f>OCT_2023[[#This Row],[Sales Amount]]-OCT_2023[[#This Row],[Cost]]</f>
        <v>160</v>
      </c>
      <c r="X13" s="117" t="e">
        <v>#DIV/0!</v>
      </c>
      <c r="Y13" s="117"/>
      <c r="Z13" s="117"/>
    </row>
    <row r="14" spans="1:26" s="707" customFormat="1" ht="45">
      <c r="A14" s="117" t="s">
        <v>1134</v>
      </c>
      <c r="B14" s="4150" t="s">
        <v>2750</v>
      </c>
      <c r="C14" s="117" t="s">
        <v>44</v>
      </c>
      <c r="D14" s="822">
        <v>45203</v>
      </c>
      <c r="E14" s="879">
        <v>45203</v>
      </c>
      <c r="F14" s="117" t="s">
        <v>135</v>
      </c>
      <c r="G14" s="794" t="s">
        <v>1519</v>
      </c>
      <c r="H14" s="4233" t="s">
        <v>2751</v>
      </c>
      <c r="I14" s="1646" t="s">
        <v>2752</v>
      </c>
      <c r="J14" s="4150" t="s">
        <v>125</v>
      </c>
      <c r="K14" s="117" t="s">
        <v>1641</v>
      </c>
      <c r="L14" s="117" t="s">
        <v>162</v>
      </c>
      <c r="M14" s="839">
        <v>45209</v>
      </c>
      <c r="N14" s="822">
        <v>45206</v>
      </c>
      <c r="O14" s="822">
        <v>45208</v>
      </c>
      <c r="P14" s="4128" t="s">
        <v>2753</v>
      </c>
      <c r="Q14" s="117" t="s">
        <v>75</v>
      </c>
      <c r="R14" s="4150" t="s">
        <v>2754</v>
      </c>
      <c r="S14" s="117">
        <v>4</v>
      </c>
      <c r="T14" s="1756">
        <v>3317.67</v>
      </c>
      <c r="U14" s="4234">
        <f>264+1855+650</f>
        <v>2769</v>
      </c>
      <c r="V14" s="117">
        <f>OCT_2023[[#This Row],[Sales Amount]]-OCT_2023[[#This Row],[Cost]]</f>
        <v>548.67000000000007</v>
      </c>
      <c r="W14" s="1756">
        <f>IFERROR((OCT_2023[[#This Row],[Sales Amount]]-OCT_2023[[#This Row],[Cost]])/OCT_2023[[#This Row],[CNTR AMOUNT]],OCT_2023[[#This Row],[Sales Amount]]-OCT_2023[[#This Row],[Cost]])</f>
        <v>1</v>
      </c>
      <c r="X14" s="905">
        <f>OCT_2023[[#This Row],[CNTR AMOUNT]]/OCT_2023[[#This Row],[Cost]]</f>
        <v>0.19814734561213437</v>
      </c>
      <c r="Y14" s="117"/>
      <c r="Z14" s="117"/>
    </row>
    <row r="15" spans="1:26" s="507" customFormat="1" ht="75">
      <c r="A15" s="58" t="s">
        <v>254</v>
      </c>
      <c r="B15" s="58" t="s">
        <v>2755</v>
      </c>
      <c r="C15" s="58" t="s">
        <v>28</v>
      </c>
      <c r="D15" s="1139">
        <v>45202</v>
      </c>
      <c r="E15" s="1139">
        <v>45204</v>
      </c>
      <c r="F15" s="58" t="s">
        <v>167</v>
      </c>
      <c r="G15" s="58" t="s">
        <v>2756</v>
      </c>
      <c r="H15" s="1316" t="s">
        <v>2757</v>
      </c>
      <c r="I15" s="915" t="s">
        <v>178</v>
      </c>
      <c r="J15" s="58" t="s">
        <v>2758</v>
      </c>
      <c r="K15" s="58" t="s">
        <v>2759</v>
      </c>
      <c r="L15" s="1"/>
      <c r="M15" s="1380"/>
      <c r="N15" s="1380"/>
      <c r="O15" s="1380"/>
      <c r="P15" s="1643" t="s">
        <v>2760</v>
      </c>
      <c r="Q15" s="58" t="s">
        <v>35</v>
      </c>
      <c r="R15" s="58" t="s">
        <v>36</v>
      </c>
      <c r="S15" s="58" t="s">
        <v>101</v>
      </c>
      <c r="T15" s="106">
        <v>1180</v>
      </c>
      <c r="U15" s="106">
        <v>1142.6300000000001</v>
      </c>
      <c r="V15" s="106"/>
      <c r="W15" s="106">
        <f>IFERROR((OCT_2023[[#This Row],[Sales Amount]]-OCT_2023[[#This Row],[Cost]])/OCT_2023[[#This Row],[CNTR AMOUNT]],OCT_2023[[#This Row],[Sales Amount]]-OCT_2023[[#This Row],[Cost]])</f>
        <v>37.369999999999891</v>
      </c>
      <c r="X15" s="106">
        <f>IFERROR(OCT_2023[[#This Row],[Profit]]/OCT_2023[[#This Row],[Cost]]," ")</f>
        <v>3.2705250168470888E-2</v>
      </c>
      <c r="Y15" s="106"/>
      <c r="Z15" s="106"/>
    </row>
    <row r="16" spans="1:26" s="707" customFormat="1" ht="90">
      <c r="A16" s="117" t="s">
        <v>313</v>
      </c>
      <c r="B16" s="4150" t="s">
        <v>2761</v>
      </c>
      <c r="C16" s="117" t="s">
        <v>1518</v>
      </c>
      <c r="D16" s="822">
        <v>45192</v>
      </c>
      <c r="E16" s="879">
        <v>45206</v>
      </c>
      <c r="F16" s="117" t="s">
        <v>151</v>
      </c>
      <c r="G16" s="120" t="s">
        <v>302</v>
      </c>
      <c r="H16" s="822">
        <v>45209</v>
      </c>
      <c r="I16" s="4150" t="s">
        <v>2697</v>
      </c>
      <c r="J16" s="117" t="s">
        <v>32</v>
      </c>
      <c r="K16" s="4104" t="s">
        <v>2762</v>
      </c>
      <c r="L16" s="766" t="s">
        <v>2763</v>
      </c>
      <c r="M16" s="839">
        <v>45209</v>
      </c>
      <c r="N16" s="839">
        <v>45209</v>
      </c>
      <c r="O16" s="4173">
        <v>45214</v>
      </c>
      <c r="P16" s="4128" t="s">
        <v>2764</v>
      </c>
      <c r="Q16" s="117" t="s">
        <v>75</v>
      </c>
      <c r="R16" s="117" t="s">
        <v>2765</v>
      </c>
      <c r="S16" s="117">
        <v>4</v>
      </c>
      <c r="T16" s="117">
        <v>1385</v>
      </c>
      <c r="U16" s="117">
        <v>1011</v>
      </c>
      <c r="V16" s="117">
        <v>1</v>
      </c>
      <c r="W16" s="117">
        <f>IFERROR((OCT_2023[[#This Row],[Sales Amount]]-OCT_2023[[#This Row],[Cost]])/OCT_2023[[#This Row],[CNTR AMOUNT]],OCT_2023[[#This Row],[Sales Amount]]-OCT_2023[[#This Row],[Cost]])</f>
        <v>374</v>
      </c>
      <c r="X16" s="117">
        <f>IFERROR(OCT_2023[[#This Row],[Profit]]/OCT_2023[[#This Row],[Cost]]," ")</f>
        <v>0.36993076162215627</v>
      </c>
      <c r="Y16" s="117"/>
      <c r="Z16" s="117"/>
    </row>
    <row r="17" spans="1:26" s="707" customFormat="1" ht="150">
      <c r="A17" s="120" t="s">
        <v>788</v>
      </c>
      <c r="B17" s="4150" t="s">
        <v>2766</v>
      </c>
      <c r="C17" s="120" t="s">
        <v>794</v>
      </c>
      <c r="D17" s="653">
        <v>45192</v>
      </c>
      <c r="E17" s="830">
        <v>45206</v>
      </c>
      <c r="F17" s="120" t="s">
        <v>45</v>
      </c>
      <c r="G17" s="120" t="s">
        <v>2722</v>
      </c>
      <c r="H17" s="4227" t="s">
        <v>2767</v>
      </c>
      <c r="I17" s="4193" t="s">
        <v>790</v>
      </c>
      <c r="J17" s="120" t="s">
        <v>695</v>
      </c>
      <c r="K17" s="694" t="s">
        <v>2468</v>
      </c>
      <c r="L17" s="120">
        <v>4175</v>
      </c>
      <c r="M17" s="653">
        <v>45208</v>
      </c>
      <c r="N17" s="653">
        <v>45208</v>
      </c>
      <c r="O17" s="4231">
        <v>45210</v>
      </c>
      <c r="P17" s="4128" t="s">
        <v>2768</v>
      </c>
      <c r="Q17" s="120" t="s">
        <v>75</v>
      </c>
      <c r="R17" s="4150" t="s">
        <v>2769</v>
      </c>
      <c r="S17" s="120">
        <v>4</v>
      </c>
      <c r="T17" s="117">
        <v>925</v>
      </c>
      <c r="U17" s="120">
        <v>596.25</v>
      </c>
      <c r="V17" s="120">
        <v>2</v>
      </c>
      <c r="W17" s="120">
        <f>IFERROR((OCT_2023[[#This Row],[Sales Amount]]-OCT_2023[[#This Row],[Cost]])/OCT_2023[[#This Row],[CNTR AMOUNT]],OCT_2023[[#This Row],[Sales Amount]]-OCT_2023[[#This Row],[Cost]])</f>
        <v>164.375</v>
      </c>
      <c r="X17" s="1041">
        <f>IFERROR(OCT_2023[[#This Row],[Profit]]/OCT_2023[[#This Row],[Cost]]," ")</f>
        <v>0.27568134171907754</v>
      </c>
      <c r="Y17" s="120"/>
      <c r="Z17" s="120"/>
    </row>
    <row r="18" spans="1:26" s="26" customFormat="1" ht="150">
      <c r="A18" s="727" t="s">
        <v>788</v>
      </c>
      <c r="B18" s="4122" t="s">
        <v>2770</v>
      </c>
      <c r="C18" s="727" t="s">
        <v>794</v>
      </c>
      <c r="D18" s="1018">
        <v>45192</v>
      </c>
      <c r="E18" s="1701">
        <v>45206</v>
      </c>
      <c r="F18" s="727" t="s">
        <v>45</v>
      </c>
      <c r="G18" s="727" t="s">
        <v>2722</v>
      </c>
      <c r="H18" s="4235" t="s">
        <v>2767</v>
      </c>
      <c r="I18" s="4124" t="s">
        <v>445</v>
      </c>
      <c r="J18" s="727" t="s">
        <v>695</v>
      </c>
      <c r="K18" s="1102" t="s">
        <v>2468</v>
      </c>
      <c r="L18" s="727">
        <v>1279</v>
      </c>
      <c r="M18" s="1018">
        <v>45208</v>
      </c>
      <c r="N18" s="1018">
        <v>45208</v>
      </c>
      <c r="O18" s="4236">
        <v>45210</v>
      </c>
      <c r="P18" s="4112" t="s">
        <v>2771</v>
      </c>
      <c r="Q18" s="727" t="s">
        <v>75</v>
      </c>
      <c r="R18" s="4124" t="s">
        <v>2772</v>
      </c>
      <c r="S18" s="727">
        <v>4</v>
      </c>
      <c r="T18" s="727">
        <v>1133.75</v>
      </c>
      <c r="U18" s="727">
        <v>596.25</v>
      </c>
      <c r="V18" s="727">
        <v>4</v>
      </c>
      <c r="W18" s="727">
        <f>IFERROR((OCT_2023[[#This Row],[Sales Amount]]-OCT_2023[[#This Row],[Cost]])/OCT_2023[[#This Row],[CNTR AMOUNT]],OCT_2023[[#This Row],[Sales Amount]]-OCT_2023[[#This Row],[Cost]])</f>
        <v>134.375</v>
      </c>
      <c r="X18" s="1179">
        <f>IFERROR(OCT_2023[[#This Row],[Profit]]/OCT_2023[[#This Row],[Cost]]," ")</f>
        <v>0.22536687631027252</v>
      </c>
      <c r="Y18" s="727"/>
      <c r="Z18" s="727"/>
    </row>
    <row r="19" spans="1:26" s="507" customFormat="1" ht="30">
      <c r="A19" s="709" t="s">
        <v>788</v>
      </c>
      <c r="B19" s="4122" t="s">
        <v>2773</v>
      </c>
      <c r="C19" s="727" t="s">
        <v>794</v>
      </c>
      <c r="D19" s="912">
        <v>45192</v>
      </c>
      <c r="E19" s="1341">
        <v>45206</v>
      </c>
      <c r="F19" s="709" t="s">
        <v>45</v>
      </c>
      <c r="G19" s="709" t="s">
        <v>2722</v>
      </c>
      <c r="H19" s="4162" t="s">
        <v>2774</v>
      </c>
      <c r="I19" s="4122" t="s">
        <v>445</v>
      </c>
      <c r="J19" s="709" t="s">
        <v>695</v>
      </c>
      <c r="K19" s="723" t="s">
        <v>2468</v>
      </c>
      <c r="L19" s="709">
        <v>5840</v>
      </c>
      <c r="M19" s="912">
        <v>45208</v>
      </c>
      <c r="N19" s="912">
        <v>45208</v>
      </c>
      <c r="O19" s="4230">
        <v>45211</v>
      </c>
      <c r="P19" s="4112" t="s">
        <v>2775</v>
      </c>
      <c r="Q19" s="709" t="s">
        <v>75</v>
      </c>
      <c r="R19" s="4122" t="s">
        <v>2772</v>
      </c>
      <c r="S19" s="709">
        <v>4</v>
      </c>
      <c r="T19" s="709">
        <v>1133.75</v>
      </c>
      <c r="U19" s="709">
        <v>596.25</v>
      </c>
      <c r="V19" s="709">
        <v>4</v>
      </c>
      <c r="W19" s="709">
        <f>IFERROR((OCT_2023[[#This Row],[Sales Amount]]-OCT_2023[[#This Row],[Cost]])/OCT_2023[[#This Row],[CNTR AMOUNT]],OCT_2023[[#This Row],[Sales Amount]]-OCT_2023[[#This Row],[Cost]])</f>
        <v>134.375</v>
      </c>
      <c r="X19" s="1384">
        <f>IFERROR(OCT_2023[[#This Row],[Profit]]/OCT_2023[[#This Row],[Cost]]," ")</f>
        <v>0.22536687631027252</v>
      </c>
      <c r="Y19" s="709"/>
      <c r="Z19" s="709"/>
    </row>
    <row r="20" spans="1:26" s="26" customFormat="1" ht="150">
      <c r="A20" s="709" t="s">
        <v>788</v>
      </c>
      <c r="B20" s="4122" t="s">
        <v>2776</v>
      </c>
      <c r="C20" s="727" t="s">
        <v>794</v>
      </c>
      <c r="D20" s="912">
        <v>45192</v>
      </c>
      <c r="E20" s="1341">
        <v>45206</v>
      </c>
      <c r="F20" s="709" t="s">
        <v>45</v>
      </c>
      <c r="G20" s="709" t="s">
        <v>2722</v>
      </c>
      <c r="H20" s="4162" t="s">
        <v>2777</v>
      </c>
      <c r="I20" s="4122" t="s">
        <v>445</v>
      </c>
      <c r="J20" s="709" t="s">
        <v>695</v>
      </c>
      <c r="K20" s="723" t="s">
        <v>2468</v>
      </c>
      <c r="L20" s="709">
        <v>4164</v>
      </c>
      <c r="M20" s="912">
        <v>45208</v>
      </c>
      <c r="N20" s="912">
        <v>45208</v>
      </c>
      <c r="O20" s="4230">
        <v>45212</v>
      </c>
      <c r="P20" s="4112" t="s">
        <v>2778</v>
      </c>
      <c r="Q20" s="709" t="s">
        <v>75</v>
      </c>
      <c r="R20" s="4122" t="s">
        <v>2772</v>
      </c>
      <c r="S20" s="709">
        <v>4</v>
      </c>
      <c r="T20" s="709">
        <v>1133.75</v>
      </c>
      <c r="U20" s="709">
        <v>676.25</v>
      </c>
      <c r="V20" s="709">
        <v>4</v>
      </c>
      <c r="W20" s="709">
        <f>IFERROR((OCT_2023[[#This Row],[Sales Amount]]-OCT_2023[[#This Row],[Cost]])/OCT_2023[[#This Row],[CNTR AMOUNT]],OCT_2023[[#This Row],[Sales Amount]]-OCT_2023[[#This Row],[Cost]])</f>
        <v>114.375</v>
      </c>
      <c r="X20" s="1384">
        <f>IFERROR(OCT_2023[[#This Row],[Profit]]/OCT_2023[[#This Row],[Cost]]," ")</f>
        <v>0.16913123844731978</v>
      </c>
      <c r="Y20" s="709"/>
      <c r="Z20" s="709"/>
    </row>
    <row r="21" spans="1:26" s="26" customFormat="1" ht="150">
      <c r="A21" s="709" t="s">
        <v>788</v>
      </c>
      <c r="B21" s="4122" t="s">
        <v>2779</v>
      </c>
      <c r="C21" s="709" t="s">
        <v>794</v>
      </c>
      <c r="D21" s="912">
        <v>45192</v>
      </c>
      <c r="E21" s="1341">
        <v>45206</v>
      </c>
      <c r="F21" s="709" t="s">
        <v>45</v>
      </c>
      <c r="G21" s="709" t="s">
        <v>2722</v>
      </c>
      <c r="H21" s="4162" t="s">
        <v>2777</v>
      </c>
      <c r="I21" s="4122" t="s">
        <v>790</v>
      </c>
      <c r="J21" s="709" t="s">
        <v>695</v>
      </c>
      <c r="K21" s="723" t="s">
        <v>2468</v>
      </c>
      <c r="L21" s="709">
        <v>4156</v>
      </c>
      <c r="M21" s="912">
        <v>45208</v>
      </c>
      <c r="N21" s="912">
        <v>45208</v>
      </c>
      <c r="O21" s="4230">
        <v>45212</v>
      </c>
      <c r="P21" s="4092" t="s">
        <v>2778</v>
      </c>
      <c r="Q21" s="709" t="s">
        <v>75</v>
      </c>
      <c r="R21" s="4122" t="s">
        <v>2772</v>
      </c>
      <c r="S21" s="718">
        <v>4</v>
      </c>
      <c r="T21" s="709">
        <v>1133.75</v>
      </c>
      <c r="U21" s="709">
        <v>676.25</v>
      </c>
      <c r="V21" s="709">
        <v>4</v>
      </c>
      <c r="W21" s="709">
        <f>IFERROR((OCT_2023[[#This Row],[Sales Amount]]-OCT_2023[[#This Row],[Cost]])/OCT_2023[[#This Row],[CNTR AMOUNT]],OCT_2023[[#This Row],[Sales Amount]]-OCT_2023[[#This Row],[Cost]])</f>
        <v>114.375</v>
      </c>
      <c r="X21" s="1384">
        <f>IFERROR(OCT_2023[[#This Row],[Profit]]/OCT_2023[[#This Row],[Cost]]," ")</f>
        <v>0.16913123844731978</v>
      </c>
      <c r="Y21" s="709"/>
      <c r="Z21" s="709"/>
    </row>
    <row r="22" spans="1:26" s="26" customFormat="1" ht="150">
      <c r="A22" s="117" t="s">
        <v>788</v>
      </c>
      <c r="B22" s="4150" t="s">
        <v>2780</v>
      </c>
      <c r="C22" s="660" t="s">
        <v>794</v>
      </c>
      <c r="D22" s="822">
        <v>45192</v>
      </c>
      <c r="E22" s="856">
        <v>45206</v>
      </c>
      <c r="F22" s="117" t="s">
        <v>45</v>
      </c>
      <c r="G22" s="117" t="s">
        <v>2722</v>
      </c>
      <c r="H22" s="4173" t="s">
        <v>2774</v>
      </c>
      <c r="I22" s="4150" t="s">
        <v>790</v>
      </c>
      <c r="J22" s="117" t="s">
        <v>695</v>
      </c>
      <c r="K22" s="4104" t="s">
        <v>2468</v>
      </c>
      <c r="L22" s="117">
        <v>4170</v>
      </c>
      <c r="M22" s="822">
        <v>45208</v>
      </c>
      <c r="N22" s="822">
        <v>45208</v>
      </c>
      <c r="O22" s="4233">
        <v>45211</v>
      </c>
      <c r="P22" s="4104" t="s">
        <v>2781</v>
      </c>
      <c r="Q22" s="117" t="s">
        <v>75</v>
      </c>
      <c r="R22" s="4150" t="s">
        <v>2769</v>
      </c>
      <c r="S22" s="117">
        <v>4</v>
      </c>
      <c r="T22" s="117">
        <v>925</v>
      </c>
      <c r="U22" s="117">
        <v>636.25</v>
      </c>
      <c r="V22" s="117">
        <v>2</v>
      </c>
      <c r="W22" s="117">
        <f>IFERROR((OCT_2023[[#This Row],[Sales Amount]]-OCT_2023[[#This Row],[Cost]])/OCT_2023[[#This Row],[CNTR AMOUNT]],OCT_2023[[#This Row],[Sales Amount]]-OCT_2023[[#This Row],[Cost]])</f>
        <v>144.375</v>
      </c>
      <c r="X22" s="905">
        <f>IFERROR(OCT_2023[[#This Row],[Profit]]/OCT_2023[[#This Row],[Cost]]," ")</f>
        <v>0.2269155206286837</v>
      </c>
      <c r="Y22" s="117"/>
      <c r="Z22" s="117"/>
    </row>
    <row r="23" spans="1:26" s="26" customFormat="1" ht="60">
      <c r="A23" s="117" t="s">
        <v>1134</v>
      </c>
      <c r="B23" s="4167" t="s">
        <v>2782</v>
      </c>
      <c r="C23" s="660" t="s">
        <v>44</v>
      </c>
      <c r="D23" s="822">
        <v>45207</v>
      </c>
      <c r="E23" s="879">
        <v>45207</v>
      </c>
      <c r="F23" s="117" t="s">
        <v>135</v>
      </c>
      <c r="G23" s="794" t="s">
        <v>2536</v>
      </c>
      <c r="H23" s="925" t="s">
        <v>2783</v>
      </c>
      <c r="I23" s="4977" t="s">
        <v>2784</v>
      </c>
      <c r="J23" s="4150" t="s">
        <v>125</v>
      </c>
      <c r="K23" s="806" t="s">
        <v>1641</v>
      </c>
      <c r="L23" s="117" t="s">
        <v>162</v>
      </c>
      <c r="M23" s="925">
        <v>45212</v>
      </c>
      <c r="N23" s="4906">
        <v>45209</v>
      </c>
      <c r="O23" s="822">
        <v>45209</v>
      </c>
      <c r="P23" s="4141" t="s">
        <v>2785</v>
      </c>
      <c r="Q23" s="106" t="s">
        <v>75</v>
      </c>
      <c r="R23" s="4152" t="s">
        <v>2786</v>
      </c>
      <c r="S23" s="106">
        <v>4</v>
      </c>
      <c r="T23" s="1754">
        <v>2948.67</v>
      </c>
      <c r="U23" s="1754">
        <f>68.42+20+1810+193+80</f>
        <v>2171.42</v>
      </c>
      <c r="V23" s="106">
        <v>1</v>
      </c>
      <c r="W23" s="1754">
        <f>IFERROR((OCT_2023[[#This Row],[Sales Amount]]-OCT_2023[[#This Row],[Cost]])/OCT_2023[[#This Row],[CNTR AMOUNT]],OCT_2023[[#This Row],[Sales Amount]]-OCT_2023[[#This Row],[Cost]])</f>
        <v>777.25</v>
      </c>
      <c r="X23" s="886">
        <f>IFERROR(OCT_2023[[#This Row],[Profit]]/OCT_2023[[#This Row],[Cost]]," ")</f>
        <v>0.35794549189009955</v>
      </c>
      <c r="Y23" s="106"/>
      <c r="Z23" s="106"/>
    </row>
    <row r="24" spans="1:26" s="507" customFormat="1">
      <c r="A24" s="58" t="s">
        <v>2787</v>
      </c>
      <c r="B24" s="4149" t="s">
        <v>2788</v>
      </c>
      <c r="C24" s="710" t="s">
        <v>44</v>
      </c>
      <c r="D24" s="844">
        <v>45184</v>
      </c>
      <c r="E24" s="1112">
        <v>45208</v>
      </c>
      <c r="F24" s="58" t="s">
        <v>1357</v>
      </c>
      <c r="G24" s="915" t="s">
        <v>57</v>
      </c>
      <c r="H24" s="1316">
        <v>45210</v>
      </c>
      <c r="I24" s="58" t="s">
        <v>899</v>
      </c>
      <c r="J24" s="58" t="s">
        <v>247</v>
      </c>
      <c r="K24" s="1114" t="s">
        <v>2789</v>
      </c>
      <c r="L24" s="915">
        <v>7407946</v>
      </c>
      <c r="M24" s="1115">
        <v>45210</v>
      </c>
      <c r="N24" s="1119">
        <v>45210</v>
      </c>
      <c r="O24" s="1119">
        <v>45210</v>
      </c>
      <c r="P24" s="1632" t="s">
        <v>2790</v>
      </c>
      <c r="Q24" s="4161" t="s">
        <v>35</v>
      </c>
      <c r="R24" s="58" t="s">
        <v>36</v>
      </c>
      <c r="S24" s="58" t="s">
        <v>37</v>
      </c>
      <c r="T24" s="106">
        <v>2010</v>
      </c>
      <c r="U24" s="106">
        <v>1406.8</v>
      </c>
      <c r="V24" s="106">
        <v>3</v>
      </c>
      <c r="W24" s="106">
        <f>IFERROR((OCT_2023[[#This Row],[Sales Amount]]-OCT_2023[[#This Row],[Cost]])/OCT_2023[[#This Row],[CNTR AMOUNT]],OCT_2023[[#This Row],[Sales Amount]]-OCT_2023[[#This Row],[Cost]])</f>
        <v>201.06666666666669</v>
      </c>
      <c r="X24" s="106">
        <f>IFERROR(OCT_2023[[#This Row],[Profit]]/OCT_2023[[#This Row],[Cost]]," ")</f>
        <v>0.14292484124727517</v>
      </c>
      <c r="Y24" s="106"/>
      <c r="Z24" s="106"/>
    </row>
    <row r="25" spans="1:26" s="1568" customFormat="1">
      <c r="A25" s="58" t="s">
        <v>2787</v>
      </c>
      <c r="B25" s="4149" t="s">
        <v>2791</v>
      </c>
      <c r="C25" s="58" t="s">
        <v>44</v>
      </c>
      <c r="D25" s="844">
        <v>45184</v>
      </c>
      <c r="E25" s="1112">
        <v>45208</v>
      </c>
      <c r="F25" s="18" t="s">
        <v>1357</v>
      </c>
      <c r="G25" s="1030" t="s">
        <v>57</v>
      </c>
      <c r="H25" s="844">
        <v>45209</v>
      </c>
      <c r="I25" s="4149" t="s">
        <v>899</v>
      </c>
      <c r="J25" s="58" t="s">
        <v>247</v>
      </c>
      <c r="K25" s="1114" t="s">
        <v>2789</v>
      </c>
      <c r="L25" s="58">
        <v>7407955</v>
      </c>
      <c r="M25" s="844">
        <v>45210</v>
      </c>
      <c r="N25" s="844">
        <v>45209</v>
      </c>
      <c r="O25" s="844">
        <v>45210</v>
      </c>
      <c r="P25" s="1632" t="s">
        <v>2792</v>
      </c>
      <c r="Q25" s="4161" t="s">
        <v>35</v>
      </c>
      <c r="R25" s="58" t="s">
        <v>36</v>
      </c>
      <c r="S25" s="58" t="s">
        <v>37</v>
      </c>
      <c r="T25" s="106">
        <v>2010</v>
      </c>
      <c r="U25" s="106">
        <v>1406.8</v>
      </c>
      <c r="V25" s="106">
        <v>3</v>
      </c>
      <c r="W25" s="106">
        <f>IFERROR((OCT_2023[[#This Row],[Sales Amount]]-OCT_2023[[#This Row],[Cost]])/OCT_2023[[#This Row],[CNTR AMOUNT]],OCT_2023[[#This Row],[Sales Amount]]-OCT_2023[[#This Row],[Cost]])</f>
        <v>201.06666666666669</v>
      </c>
      <c r="X25" s="106">
        <f>IFERROR(OCT_2023[[#This Row],[Profit]]/OCT_2023[[#This Row],[Cost]]," ")</f>
        <v>0.14292484124727517</v>
      </c>
      <c r="Y25" s="106"/>
      <c r="Z25" s="106"/>
    </row>
    <row r="26" spans="1:26" s="26" customFormat="1">
      <c r="A26" s="58" t="s">
        <v>2787</v>
      </c>
      <c r="B26" s="4149" t="s">
        <v>2793</v>
      </c>
      <c r="C26" s="58" t="s">
        <v>44</v>
      </c>
      <c r="D26" s="844">
        <v>45184</v>
      </c>
      <c r="E26" s="1112">
        <v>45208</v>
      </c>
      <c r="F26" s="18" t="s">
        <v>1357</v>
      </c>
      <c r="G26" s="1030" t="s">
        <v>57</v>
      </c>
      <c r="H26" s="844">
        <v>45209</v>
      </c>
      <c r="I26" s="4149" t="s">
        <v>899</v>
      </c>
      <c r="J26" s="58" t="s">
        <v>247</v>
      </c>
      <c r="K26" s="1114" t="s">
        <v>2789</v>
      </c>
      <c r="L26" s="58">
        <v>7407952</v>
      </c>
      <c r="M26" s="844">
        <v>45210</v>
      </c>
      <c r="N26" s="844">
        <v>45209</v>
      </c>
      <c r="O26" s="844">
        <v>45210</v>
      </c>
      <c r="P26" s="1632" t="s">
        <v>2790</v>
      </c>
      <c r="Q26" s="4161" t="s">
        <v>35</v>
      </c>
      <c r="R26" s="58" t="s">
        <v>36</v>
      </c>
      <c r="S26" s="58" t="s">
        <v>37</v>
      </c>
      <c r="T26" s="106">
        <v>2010</v>
      </c>
      <c r="U26" s="106">
        <v>1406.8</v>
      </c>
      <c r="V26" s="106">
        <v>3</v>
      </c>
      <c r="W26" s="106">
        <f>IFERROR((OCT_2023[[#This Row],[Sales Amount]]-OCT_2023[[#This Row],[Cost]])/OCT_2023[[#This Row],[CNTR AMOUNT]],OCT_2023[[#This Row],[Sales Amount]]-OCT_2023[[#This Row],[Cost]])</f>
        <v>201.06666666666669</v>
      </c>
      <c r="X26" s="106">
        <f>IFERROR(OCT_2023[[#This Row],[Profit]]/OCT_2023[[#This Row],[Cost]]," ")</f>
        <v>0.14292484124727517</v>
      </c>
      <c r="Y26" s="106"/>
      <c r="Z26" s="106"/>
    </row>
    <row r="27" spans="1:26" s="26" customFormat="1">
      <c r="A27" s="117" t="s">
        <v>468</v>
      </c>
      <c r="B27" s="4150" t="s">
        <v>2794</v>
      </c>
      <c r="C27" s="908" t="s">
        <v>200</v>
      </c>
      <c r="D27" s="822">
        <v>45178</v>
      </c>
      <c r="E27" s="879">
        <v>45209</v>
      </c>
      <c r="F27" s="906" t="s">
        <v>245</v>
      </c>
      <c r="G27" s="120" t="s">
        <v>57</v>
      </c>
      <c r="H27" s="822">
        <v>45210</v>
      </c>
      <c r="I27" s="117" t="s">
        <v>2795</v>
      </c>
      <c r="J27" s="117" t="s">
        <v>322</v>
      </c>
      <c r="K27" s="806" t="s">
        <v>2796</v>
      </c>
      <c r="L27" s="4150">
        <v>6580957</v>
      </c>
      <c r="M27" s="839">
        <v>45211</v>
      </c>
      <c r="N27" s="4906">
        <v>45210</v>
      </c>
      <c r="O27" s="4906">
        <v>45211</v>
      </c>
      <c r="P27" s="4104" t="s">
        <v>2797</v>
      </c>
      <c r="Q27" s="117" t="s">
        <v>75</v>
      </c>
      <c r="R27" s="4150" t="s">
        <v>2798</v>
      </c>
      <c r="S27" s="120">
        <v>4</v>
      </c>
      <c r="T27" s="117">
        <v>1401</v>
      </c>
      <c r="U27" s="117">
        <v>1092.5</v>
      </c>
      <c r="V27" s="117">
        <v>3</v>
      </c>
      <c r="W27" s="849">
        <f>IFERROR((OCT_2023[[#This Row],[Sales Amount]]-OCT_2023[[#This Row],[Cost]])/OCT_2023[[#This Row],[CNTR AMOUNT]],OCT_2023[[#This Row],[Sales Amount]]-OCT_2023[[#This Row],[Cost]])</f>
        <v>102.83333333333333</v>
      </c>
      <c r="X27" s="905">
        <f>IFERROR(OCT_2023[[#This Row],[Profit]]/OCT_2023[[#This Row],[Cost]]," ")</f>
        <v>9.4126620900076272E-2</v>
      </c>
      <c r="Y27" s="117"/>
      <c r="Z27" s="117"/>
    </row>
    <row r="28" spans="1:26" s="507" customFormat="1" ht="30">
      <c r="A28" s="117" t="s">
        <v>468</v>
      </c>
      <c r="B28" s="4150" t="s">
        <v>2799</v>
      </c>
      <c r="C28" s="908" t="s">
        <v>200</v>
      </c>
      <c r="D28" s="822">
        <v>45178</v>
      </c>
      <c r="E28" s="879">
        <v>45209</v>
      </c>
      <c r="F28" s="906" t="s">
        <v>245</v>
      </c>
      <c r="G28" s="120" t="s">
        <v>57</v>
      </c>
      <c r="H28" s="822">
        <v>45211</v>
      </c>
      <c r="I28" s="117" t="s">
        <v>583</v>
      </c>
      <c r="J28" s="117" t="s">
        <v>322</v>
      </c>
      <c r="K28" s="806" t="s">
        <v>2796</v>
      </c>
      <c r="L28" s="4150">
        <v>6580949</v>
      </c>
      <c r="M28" s="839">
        <v>45211</v>
      </c>
      <c r="N28" s="822">
        <v>45211</v>
      </c>
      <c r="O28" s="822">
        <v>45211</v>
      </c>
      <c r="P28" s="4104" t="s">
        <v>2800</v>
      </c>
      <c r="Q28" s="117" t="s">
        <v>75</v>
      </c>
      <c r="R28" s="4150" t="s">
        <v>2798</v>
      </c>
      <c r="S28" s="117">
        <v>4</v>
      </c>
      <c r="T28" s="117">
        <v>1402</v>
      </c>
      <c r="U28" s="117">
        <v>1052.5</v>
      </c>
      <c r="V28" s="117">
        <v>3</v>
      </c>
      <c r="W28" s="849">
        <f>IFERROR((OCT_2023[[#This Row],[Sales Amount]]-OCT_2023[[#This Row],[Cost]])/OCT_2023[[#This Row],[CNTR AMOUNT]],OCT_2023[[#This Row],[Sales Amount]]-OCT_2023[[#This Row],[Cost]])</f>
        <v>116.5</v>
      </c>
      <c r="X28" s="905">
        <f>IFERROR(OCT_2023[[#This Row],[Profit]]/OCT_2023[[#This Row],[Cost]]," ")</f>
        <v>0.11068883610451306</v>
      </c>
      <c r="Y28" s="117"/>
      <c r="Z28" s="117"/>
    </row>
    <row r="29" spans="1:26" s="117" customFormat="1" ht="47.25">
      <c r="A29" s="4150" t="s">
        <v>367</v>
      </c>
      <c r="B29" s="4150" t="s">
        <v>2801</v>
      </c>
      <c r="C29" s="117" t="s">
        <v>28</v>
      </c>
      <c r="D29" s="822">
        <v>45198</v>
      </c>
      <c r="E29" s="879">
        <v>45209</v>
      </c>
      <c r="F29" s="4150" t="s">
        <v>151</v>
      </c>
      <c r="G29" s="4150" t="s">
        <v>302</v>
      </c>
      <c r="H29" s="822">
        <v>45219</v>
      </c>
      <c r="I29" s="4150" t="s">
        <v>618</v>
      </c>
      <c r="J29" s="117" t="s">
        <v>322</v>
      </c>
      <c r="K29" s="117" t="s">
        <v>2802</v>
      </c>
      <c r="L29" s="4150" t="s">
        <v>2803</v>
      </c>
      <c r="M29" s="839">
        <v>45212</v>
      </c>
      <c r="N29" s="822">
        <v>45211</v>
      </c>
      <c r="O29" s="822">
        <v>45219</v>
      </c>
      <c r="P29" s="4237" t="s">
        <v>2804</v>
      </c>
      <c r="Q29" s="507" t="s">
        <v>75</v>
      </c>
      <c r="R29" s="4150" t="s">
        <v>2805</v>
      </c>
      <c r="S29" s="660">
        <v>4</v>
      </c>
      <c r="T29" s="117">
        <v>2547.5</v>
      </c>
      <c r="U29" s="117">
        <v>1825</v>
      </c>
      <c r="V29" s="117">
        <v>1</v>
      </c>
      <c r="W29" s="117">
        <f>OCT_2023[[#This Row],[Sales Amount]]-OCT_2023[[#This Row],[Cost]]</f>
        <v>722.5</v>
      </c>
      <c r="X29" s="905">
        <f>OCT_2023[[#This Row],[CNTR AMOUNT]]/OCT_2023[[#This Row],[Cost]]</f>
        <v>5.4794520547945202E-4</v>
      </c>
    </row>
    <row r="30" spans="1:26" s="117" customFormat="1" ht="30.75">
      <c r="A30" s="4122" t="s">
        <v>386</v>
      </c>
      <c r="B30" s="4122" t="s">
        <v>2806</v>
      </c>
      <c r="C30" s="709" t="s">
        <v>28</v>
      </c>
      <c r="D30" s="912">
        <v>45198</v>
      </c>
      <c r="E30" s="877">
        <v>45209</v>
      </c>
      <c r="F30" s="4122" t="s">
        <v>135</v>
      </c>
      <c r="G30" s="1185" t="s">
        <v>302</v>
      </c>
      <c r="H30" s="4122" t="s">
        <v>2807</v>
      </c>
      <c r="I30" s="4122"/>
      <c r="J30" s="4122" t="s">
        <v>32</v>
      </c>
      <c r="K30" s="1185" t="s">
        <v>47</v>
      </c>
      <c r="L30" s="4238" t="s">
        <v>2808</v>
      </c>
      <c r="M30" s="1635">
        <v>45212</v>
      </c>
      <c r="N30" s="1635">
        <v>45210</v>
      </c>
      <c r="O30" s="1635">
        <v>45214</v>
      </c>
      <c r="P30" s="4239" t="s">
        <v>2809</v>
      </c>
      <c r="Q30" s="707" t="s">
        <v>75</v>
      </c>
      <c r="R30" s="707" t="s">
        <v>51</v>
      </c>
      <c r="S30" s="707"/>
      <c r="T30" s="707"/>
      <c r="U30" s="707"/>
      <c r="W30" s="709">
        <f>IFERROR((OCT_2023[[#This Row],[Sales Amount]]-OCT_2023[[#This Row],[Cost]])/OCT_2023[[#This Row],[CNTR AMOUNT]],OCT_2023[[#This Row],[Sales Amount]]-OCT_2023[[#This Row],[Cost]])</f>
        <v>0</v>
      </c>
      <c r="X30" s="709" t="str">
        <f>IFERROR(OCT_2023[[#This Row],[Profit]]/OCT_2023[[#This Row],[Cost]]," ")</f>
        <v xml:space="preserve"> </v>
      </c>
      <c r="Y30" s="709"/>
      <c r="Z30" s="709"/>
    </row>
    <row r="31" spans="1:26" s="26" customFormat="1" ht="15.75">
      <c r="A31" s="707" t="s">
        <v>732</v>
      </c>
      <c r="B31" s="707" t="s">
        <v>2810</v>
      </c>
      <c r="C31" s="707" t="s">
        <v>28</v>
      </c>
      <c r="D31" s="1612">
        <v>45196</v>
      </c>
      <c r="E31" s="1614">
        <v>45209</v>
      </c>
      <c r="F31" s="707" t="s">
        <v>990</v>
      </c>
      <c r="G31" s="707" t="s">
        <v>829</v>
      </c>
      <c r="H31" s="707"/>
      <c r="I31" s="707"/>
      <c r="J31" s="707" t="s">
        <v>168</v>
      </c>
      <c r="K31" s="707" t="s">
        <v>310</v>
      </c>
      <c r="L31" s="1713" t="s">
        <v>2811</v>
      </c>
      <c r="M31" s="1612">
        <v>45211</v>
      </c>
      <c r="N31" s="1612">
        <v>45210</v>
      </c>
      <c r="O31" s="1612">
        <v>45212</v>
      </c>
      <c r="P31" s="1019" t="s">
        <v>2812</v>
      </c>
      <c r="Q31" s="707" t="s">
        <v>50</v>
      </c>
      <c r="R31" s="707" t="s">
        <v>51</v>
      </c>
      <c r="S31" s="707"/>
      <c r="T31" s="707"/>
      <c r="U31" s="707"/>
      <c r="V31" s="707"/>
      <c r="W31" s="707">
        <f>IFERROR((OCT_2023[[#This Row],[Sales Amount]]-OCT_2023[[#This Row],[Cost]])/OCT_2023[[#This Row],[CNTR AMOUNT]],OCT_2023[[#This Row],[Sales Amount]]-OCT_2023[[#This Row],[Cost]])</f>
        <v>0</v>
      </c>
      <c r="X31" s="707" t="str">
        <f>IFERROR(OCT_2023[[#This Row],[Profit]]/OCT_2023[[#This Row],[Cost]]," ")</f>
        <v xml:space="preserve"> </v>
      </c>
      <c r="Y31" s="707"/>
      <c r="Z31" s="707"/>
    </row>
    <row r="32" spans="1:26" s="26" customFormat="1">
      <c r="A32" s="707" t="s">
        <v>2566</v>
      </c>
      <c r="B32" s="707" t="s">
        <v>2813</v>
      </c>
      <c r="C32" s="707" t="s">
        <v>28</v>
      </c>
      <c r="D32" s="1612">
        <v>45200</v>
      </c>
      <c r="E32" s="5052">
        <v>45210</v>
      </c>
      <c r="F32" s="709" t="s">
        <v>45</v>
      </c>
      <c r="G32" s="707" t="s">
        <v>829</v>
      </c>
      <c r="H32" s="707"/>
      <c r="I32" s="707"/>
      <c r="J32" s="707" t="s">
        <v>32</v>
      </c>
      <c r="K32" s="707" t="s">
        <v>310</v>
      </c>
      <c r="L32" s="707" t="s">
        <v>2814</v>
      </c>
      <c r="M32" s="1612">
        <v>45213</v>
      </c>
      <c r="N32" s="1612">
        <v>45210</v>
      </c>
      <c r="O32" s="1612">
        <v>45212</v>
      </c>
      <c r="P32" s="1019" t="s">
        <v>2815</v>
      </c>
      <c r="Q32" s="707" t="s">
        <v>50</v>
      </c>
      <c r="R32" s="707" t="s">
        <v>51</v>
      </c>
      <c r="S32" s="707"/>
      <c r="T32" s="707"/>
      <c r="U32" s="707"/>
      <c r="V32" s="707"/>
      <c r="W32" s="707">
        <f>IFERROR((OCT_2023[[#This Row],[Sales Amount]]-OCT_2023[[#This Row],[Cost]])/OCT_2023[[#This Row],[CNTR AMOUNT]],OCT_2023[[#This Row],[Sales Amount]]-OCT_2023[[#This Row],[Cost]])</f>
        <v>0</v>
      </c>
      <c r="X32" s="707" t="str">
        <f>IFERROR(OCT_2023[[#This Row],[Profit]]/OCT_2023[[#This Row],[Cost]]," ")</f>
        <v xml:space="preserve"> </v>
      </c>
      <c r="Y32" s="707"/>
      <c r="Z32" s="707"/>
    </row>
    <row r="33" spans="1:26" s="26" customFormat="1" ht="30">
      <c r="A33" s="117" t="s">
        <v>468</v>
      </c>
      <c r="B33" s="4150" t="s">
        <v>2816</v>
      </c>
      <c r="C33" s="117" t="s">
        <v>1518</v>
      </c>
      <c r="D33" s="822">
        <v>45178</v>
      </c>
      <c r="E33" s="879">
        <v>45210</v>
      </c>
      <c r="F33" s="908" t="s">
        <v>245</v>
      </c>
      <c r="G33" s="117" t="s">
        <v>57</v>
      </c>
      <c r="H33" s="4173">
        <v>45215</v>
      </c>
      <c r="I33" s="4150" t="s">
        <v>583</v>
      </c>
      <c r="J33" s="117" t="s">
        <v>322</v>
      </c>
      <c r="K33" s="4104" t="s">
        <v>2796</v>
      </c>
      <c r="L33" s="4150">
        <v>6581274</v>
      </c>
      <c r="M33" s="839">
        <v>45212</v>
      </c>
      <c r="N33" s="839">
        <v>45212</v>
      </c>
      <c r="O33" s="822">
        <v>45215</v>
      </c>
      <c r="P33" s="4104" t="s">
        <v>2817</v>
      </c>
      <c r="Q33" s="117" t="s">
        <v>75</v>
      </c>
      <c r="R33" s="4150" t="s">
        <v>2798</v>
      </c>
      <c r="S33" s="117">
        <v>4</v>
      </c>
      <c r="T33" s="117">
        <v>1402</v>
      </c>
      <c r="U33" s="117">
        <v>1522.5</v>
      </c>
      <c r="V33" s="117">
        <v>3</v>
      </c>
      <c r="W33" s="849">
        <f>IFERROR((OCT_2023[[#This Row],[Sales Amount]]-OCT_2023[[#This Row],[Cost]])/OCT_2023[[#This Row],[CNTR AMOUNT]],OCT_2023[[#This Row],[Sales Amount]]-OCT_2023[[#This Row],[Cost]])</f>
        <v>-40.166666666666664</v>
      </c>
      <c r="X33" s="905">
        <f>IFERROR(OCT_2023[[#This Row],[Profit]]/OCT_2023[[#This Row],[Cost]]," ")</f>
        <v>-2.6382047071702244E-2</v>
      </c>
      <c r="Y33" s="117"/>
      <c r="Z33" s="117"/>
    </row>
    <row r="34" spans="1:26" s="26" customFormat="1" ht="60">
      <c r="A34" s="117" t="s">
        <v>313</v>
      </c>
      <c r="B34" s="4150" t="s">
        <v>2818</v>
      </c>
      <c r="C34" s="660" t="s">
        <v>1518</v>
      </c>
      <c r="D34" s="822">
        <v>45192</v>
      </c>
      <c r="E34" s="879">
        <v>45211</v>
      </c>
      <c r="F34" s="117" t="s">
        <v>151</v>
      </c>
      <c r="G34" s="117" t="s">
        <v>302</v>
      </c>
      <c r="H34" s="4918">
        <v>45215</v>
      </c>
      <c r="I34" s="794" t="s">
        <v>2819</v>
      </c>
      <c r="J34" s="120" t="s">
        <v>32</v>
      </c>
      <c r="K34" s="4104" t="s">
        <v>2820</v>
      </c>
      <c r="L34" s="4845" t="s">
        <v>2821</v>
      </c>
      <c r="M34" s="839">
        <v>45215</v>
      </c>
      <c r="N34" s="839">
        <v>45215</v>
      </c>
      <c r="O34" s="4233">
        <v>45217</v>
      </c>
      <c r="P34" s="4104" t="s">
        <v>2822</v>
      </c>
      <c r="Q34" s="117" t="s">
        <v>75</v>
      </c>
      <c r="R34" s="117" t="s">
        <v>2765</v>
      </c>
      <c r="S34" s="117">
        <v>4</v>
      </c>
      <c r="T34" s="117">
        <v>1385</v>
      </c>
      <c r="U34" s="117">
        <v>1011</v>
      </c>
      <c r="V34" s="117">
        <v>1</v>
      </c>
      <c r="W34" s="117">
        <f>IFERROR((OCT_2023[[#This Row],[Sales Amount]]-OCT_2023[[#This Row],[Cost]])/OCT_2023[[#This Row],[CNTR AMOUNT]],OCT_2023[[#This Row],[Sales Amount]]-OCT_2023[[#This Row],[Cost]])</f>
        <v>374</v>
      </c>
      <c r="X34" s="117">
        <f>IFERROR(OCT_2023[[#This Row],[Profit]]/OCT_2023[[#This Row],[Cost]]," ")</f>
        <v>0.36993076162215627</v>
      </c>
      <c r="Y34" s="117"/>
      <c r="Z34" s="117"/>
    </row>
    <row r="35" spans="1:26" s="26" customFormat="1" ht="30">
      <c r="A35" s="709" t="s">
        <v>210</v>
      </c>
      <c r="B35" s="709" t="s">
        <v>2823</v>
      </c>
      <c r="C35" s="727" t="s">
        <v>28</v>
      </c>
      <c r="D35" s="912">
        <v>45193</v>
      </c>
      <c r="E35" s="877">
        <v>45211</v>
      </c>
      <c r="F35" s="718" t="s">
        <v>45</v>
      </c>
      <c r="G35" s="4122" t="s">
        <v>302</v>
      </c>
      <c r="H35" s="5053" t="s">
        <v>2824</v>
      </c>
      <c r="I35" s="709"/>
      <c r="J35" s="727" t="s">
        <v>32</v>
      </c>
      <c r="K35" s="709" t="s">
        <v>47</v>
      </c>
      <c r="L35" s="5054" t="s">
        <v>2825</v>
      </c>
      <c r="M35" s="1642">
        <v>45213</v>
      </c>
      <c r="N35" s="1642">
        <v>45212</v>
      </c>
      <c r="O35" s="4162">
        <v>45215</v>
      </c>
      <c r="P35" s="4092" t="s">
        <v>2826</v>
      </c>
      <c r="Q35" s="709" t="s">
        <v>75</v>
      </c>
      <c r="R35" s="707" t="s">
        <v>36</v>
      </c>
      <c r="S35" s="709"/>
      <c r="T35" s="709"/>
      <c r="U35" s="709"/>
      <c r="V35" s="709"/>
      <c r="W35" s="709">
        <f>IFERROR((OCT_2023[[#This Row],[Sales Amount]]-OCT_2023[[#This Row],[Cost]])/OCT_2023[[#This Row],[CNTR AMOUNT]],OCT_2023[[#This Row],[Sales Amount]]-OCT_2023[[#This Row],[Cost]])</f>
        <v>0</v>
      </c>
      <c r="X35" s="709" t="str">
        <f>IFERROR(OCT_2023[[#This Row],[Profit]]/OCT_2023[[#This Row],[Cost]]," ")</f>
        <v xml:space="preserve"> </v>
      </c>
      <c r="Y35" s="709"/>
      <c r="Z35" s="709"/>
    </row>
    <row r="36" spans="1:26" s="26" customFormat="1">
      <c r="A36" s="58" t="s">
        <v>2787</v>
      </c>
      <c r="B36" s="4149" t="s">
        <v>2827</v>
      </c>
      <c r="C36" s="710" t="s">
        <v>44</v>
      </c>
      <c r="D36" s="844">
        <v>45193</v>
      </c>
      <c r="E36" s="1112">
        <v>45211</v>
      </c>
      <c r="F36" s="844" t="s">
        <v>151</v>
      </c>
      <c r="G36" s="58" t="s">
        <v>46</v>
      </c>
      <c r="H36" s="4855">
        <v>45217</v>
      </c>
      <c r="I36" s="915" t="s">
        <v>2828</v>
      </c>
      <c r="J36" s="1062" t="s">
        <v>1478</v>
      </c>
      <c r="K36" s="58" t="s">
        <v>2829</v>
      </c>
      <c r="L36" s="4841" t="s">
        <v>2830</v>
      </c>
      <c r="M36" s="1588">
        <v>45214</v>
      </c>
      <c r="N36" s="1588">
        <v>45213</v>
      </c>
      <c r="O36" s="1380">
        <v>45217</v>
      </c>
      <c r="P36" s="1633" t="s">
        <v>2831</v>
      </c>
      <c r="Q36" s="4161" t="s">
        <v>35</v>
      </c>
      <c r="R36" s="1132" t="s">
        <v>36</v>
      </c>
      <c r="S36" s="58" t="s">
        <v>37</v>
      </c>
      <c r="T36" s="762">
        <v>1230</v>
      </c>
      <c r="U36" s="762">
        <v>905.05</v>
      </c>
      <c r="V36" s="762"/>
      <c r="W36" s="147">
        <f>IFERROR((OCT_2023[[#This Row],[Sales Amount]]-OCT_2023[[#This Row],[Cost]])/OCT_2023[[#This Row],[CNTR AMOUNT]],OCT_2023[[#This Row],[Sales Amount]]-OCT_2023[[#This Row],[Cost]])</f>
        <v>324.95000000000005</v>
      </c>
      <c r="X36" s="147">
        <f>IFERROR(OCT_2023[[#This Row],[Profit]]/OCT_2023[[#This Row],[Cost]]," ")</f>
        <v>0.35904093696480865</v>
      </c>
      <c r="Y36" s="147"/>
      <c r="Z36" s="147"/>
    </row>
    <row r="37" spans="1:26" s="26" customFormat="1">
      <c r="A37" s="707" t="s">
        <v>42</v>
      </c>
      <c r="B37" s="707" t="s">
        <v>2832</v>
      </c>
      <c r="C37" s="713" t="s">
        <v>44</v>
      </c>
      <c r="D37" s="1612">
        <v>45208</v>
      </c>
      <c r="E37" s="1614">
        <v>45211</v>
      </c>
      <c r="F37" s="709" t="s">
        <v>45</v>
      </c>
      <c r="G37" s="707" t="s">
        <v>829</v>
      </c>
      <c r="H37" s="4882"/>
      <c r="I37" s="707"/>
      <c r="J37" s="713" t="s">
        <v>32</v>
      </c>
      <c r="K37" s="707" t="s">
        <v>310</v>
      </c>
      <c r="L37" s="707" t="s">
        <v>2833</v>
      </c>
      <c r="M37" s="1612">
        <v>45214</v>
      </c>
      <c r="N37" s="1612">
        <v>45212</v>
      </c>
      <c r="O37" s="1612">
        <v>45215</v>
      </c>
      <c r="P37" s="1019" t="s">
        <v>2834</v>
      </c>
      <c r="Q37" s="707" t="s">
        <v>50</v>
      </c>
      <c r="R37" s="707" t="s">
        <v>51</v>
      </c>
      <c r="S37" s="707"/>
      <c r="T37" s="707"/>
      <c r="U37" s="707"/>
      <c r="V37" s="707"/>
      <c r="W37" s="707">
        <f>IFERROR((OCT_2023[[#This Row],[Sales Amount]]-OCT_2023[[#This Row],[Cost]])/OCT_2023[[#This Row],[CNTR AMOUNT]],OCT_2023[[#This Row],[Sales Amount]]-OCT_2023[[#This Row],[Cost]])</f>
        <v>0</v>
      </c>
      <c r="X37" s="707" t="str">
        <f>IFERROR(OCT_2023[[#This Row],[Profit]]/OCT_2023[[#This Row],[Cost]]," ")</f>
        <v xml:space="preserve"> </v>
      </c>
      <c r="Y37" s="707"/>
      <c r="Z37" s="707"/>
    </row>
    <row r="38" spans="1:26" s="26" customFormat="1">
      <c r="A38" s="58" t="s">
        <v>171</v>
      </c>
      <c r="B38" s="1" t="s">
        <v>2835</v>
      </c>
      <c r="C38" s="710" t="s">
        <v>28</v>
      </c>
      <c r="D38" s="1139">
        <v>45206</v>
      </c>
      <c r="E38" s="1112">
        <v>45212</v>
      </c>
      <c r="F38" s="1641" t="s">
        <v>173</v>
      </c>
      <c r="G38" s="58" t="s">
        <v>46</v>
      </c>
      <c r="H38" s="4877">
        <v>45216</v>
      </c>
      <c r="I38" s="1"/>
      <c r="J38" s="1376" t="s">
        <v>32</v>
      </c>
      <c r="K38" s="58" t="s">
        <v>174</v>
      </c>
      <c r="L38" s="4869" t="s">
        <v>2836</v>
      </c>
      <c r="M38" s="1588">
        <v>45215</v>
      </c>
      <c r="N38" s="1588">
        <v>45215</v>
      </c>
      <c r="O38" s="1380">
        <v>45216</v>
      </c>
      <c r="P38" s="1019" t="s">
        <v>2837</v>
      </c>
      <c r="Q38" s="1" t="s">
        <v>35</v>
      </c>
      <c r="R38" s="1" t="s">
        <v>36</v>
      </c>
      <c r="S38" s="58" t="s">
        <v>37</v>
      </c>
      <c r="T38" s="106">
        <v>790</v>
      </c>
      <c r="U38" s="106">
        <v>656</v>
      </c>
      <c r="V38" s="106"/>
      <c r="W38" s="106">
        <f>IFERROR((OCT_2023[[#This Row],[Sales Amount]]-OCT_2023[[#This Row],[Cost]])/OCT_2023[[#This Row],[CNTR AMOUNT]],OCT_2023[[#This Row],[Sales Amount]]-OCT_2023[[#This Row],[Cost]])</f>
        <v>134</v>
      </c>
      <c r="X38" s="106">
        <f>IFERROR(OCT_2023[[#This Row],[Profit]]/OCT_2023[[#This Row],[Cost]]," ")</f>
        <v>0.20426829268292682</v>
      </c>
      <c r="Y38" s="106"/>
      <c r="Z38" s="106"/>
    </row>
    <row r="39" spans="1:26" s="26" customFormat="1" ht="30">
      <c r="A39" s="117" t="s">
        <v>165</v>
      </c>
      <c r="B39" s="4150" t="s">
        <v>2838</v>
      </c>
      <c r="C39" s="660" t="s">
        <v>28</v>
      </c>
      <c r="D39" s="839">
        <v>45212</v>
      </c>
      <c r="E39" s="879">
        <v>45212</v>
      </c>
      <c r="F39" s="4150" t="s">
        <v>245</v>
      </c>
      <c r="G39" s="4104" t="s">
        <v>2839</v>
      </c>
      <c r="H39" s="4240">
        <v>45217</v>
      </c>
      <c r="I39" s="4168" t="s">
        <v>672</v>
      </c>
      <c r="J39" s="4168" t="s">
        <v>322</v>
      </c>
      <c r="K39" s="4168" t="s">
        <v>2840</v>
      </c>
      <c r="L39" s="4168" t="s">
        <v>162</v>
      </c>
      <c r="M39" s="1611">
        <v>45219</v>
      </c>
      <c r="N39" s="839">
        <v>45216</v>
      </c>
      <c r="O39" s="822">
        <v>45217</v>
      </c>
      <c r="P39" s="4237" t="s">
        <v>2841</v>
      </c>
      <c r="Q39" s="117" t="s">
        <v>75</v>
      </c>
      <c r="R39" s="4150" t="s">
        <v>2842</v>
      </c>
      <c r="S39" s="117">
        <v>4</v>
      </c>
      <c r="T39" s="117">
        <v>1650</v>
      </c>
      <c r="U39" s="117">
        <v>1357.3</v>
      </c>
      <c r="V39" s="117">
        <v>1</v>
      </c>
      <c r="W39" s="117">
        <f>IFERROR((OCT_2023[[#This Row],[Sales Amount]]-OCT_2023[[#This Row],[Cost]])/OCT_2023[[#This Row],[CNTR AMOUNT]],OCT_2023[[#This Row],[Sales Amount]]-OCT_2023[[#This Row],[Cost]])</f>
        <v>292.70000000000005</v>
      </c>
      <c r="X39" s="905">
        <f>IFERROR(OCT_2023[[#This Row],[Profit]]/OCT_2023[[#This Row],[Cost]]," ")</f>
        <v>0.21564871435939001</v>
      </c>
      <c r="Y39" s="117"/>
      <c r="Z39" s="117"/>
    </row>
    <row r="40" spans="1:26" s="26" customFormat="1" ht="30">
      <c r="A40" s="117" t="s">
        <v>165</v>
      </c>
      <c r="B40" s="4150" t="s">
        <v>2843</v>
      </c>
      <c r="C40" s="117" t="s">
        <v>28</v>
      </c>
      <c r="D40" s="839">
        <v>45212</v>
      </c>
      <c r="E40" s="879">
        <v>45212</v>
      </c>
      <c r="F40" s="4150" t="s">
        <v>245</v>
      </c>
      <c r="G40" s="4104" t="s">
        <v>2839</v>
      </c>
      <c r="H40" s="822">
        <v>45219</v>
      </c>
      <c r="I40" s="4150" t="s">
        <v>618</v>
      </c>
      <c r="J40" s="4163" t="s">
        <v>322</v>
      </c>
      <c r="K40" s="4104" t="s">
        <v>2844</v>
      </c>
      <c r="L40" s="4150" t="s">
        <v>162</v>
      </c>
      <c r="M40" s="839">
        <v>45219</v>
      </c>
      <c r="N40" s="839">
        <v>45218</v>
      </c>
      <c r="O40" s="4906">
        <v>45219</v>
      </c>
      <c r="P40" s="4104" t="s">
        <v>2845</v>
      </c>
      <c r="Q40" s="117" t="s">
        <v>75</v>
      </c>
      <c r="R40" s="4150" t="s">
        <v>2846</v>
      </c>
      <c r="S40" s="117">
        <v>4</v>
      </c>
      <c r="T40" s="117">
        <v>1580</v>
      </c>
      <c r="U40" s="117">
        <v>1279.3</v>
      </c>
      <c r="V40" s="117">
        <v>1</v>
      </c>
      <c r="W40" s="117">
        <f>IFERROR((OCT_2023[[#This Row],[Sales Amount]]-OCT_2023[[#This Row],[Cost]])/OCT_2023[[#This Row],[CNTR AMOUNT]],OCT_2023[[#This Row],[Sales Amount]]-OCT_2023[[#This Row],[Cost]])</f>
        <v>300.70000000000005</v>
      </c>
      <c r="X40" s="905">
        <f>IFERROR(OCT_2023[[#This Row],[Profit]]/OCT_2023[[#This Row],[Cost]]," ")</f>
        <v>0.23505041819745179</v>
      </c>
      <c r="Y40" s="117"/>
      <c r="Z40" s="117"/>
    </row>
    <row r="41" spans="1:26" s="26" customFormat="1" ht="75">
      <c r="A41" s="908" t="s">
        <v>2847</v>
      </c>
      <c r="B41" s="1628" t="s">
        <v>2848</v>
      </c>
      <c r="C41" s="1028" t="s">
        <v>28</v>
      </c>
      <c r="D41" s="1388">
        <v>45203</v>
      </c>
      <c r="E41" s="1604">
        <v>45212</v>
      </c>
      <c r="F41" s="908" t="s">
        <v>93</v>
      </c>
      <c r="G41" s="908" t="s">
        <v>2849</v>
      </c>
      <c r="H41" s="839">
        <v>45216</v>
      </c>
      <c r="I41" s="1628" t="s">
        <v>790</v>
      </c>
      <c r="J41" s="4150" t="s">
        <v>322</v>
      </c>
      <c r="K41" s="908" t="s">
        <v>2850</v>
      </c>
      <c r="L41" s="766">
        <v>8932290</v>
      </c>
      <c r="M41" s="839">
        <v>45214</v>
      </c>
      <c r="N41" s="839">
        <v>45215</v>
      </c>
      <c r="O41" s="822">
        <v>45217</v>
      </c>
      <c r="P41" s="924" t="s">
        <v>2851</v>
      </c>
      <c r="Q41" s="117" t="s">
        <v>75</v>
      </c>
      <c r="R41" s="4104" t="s">
        <v>2852</v>
      </c>
      <c r="S41" s="117">
        <v>4</v>
      </c>
      <c r="T41" s="117">
        <v>1583.75</v>
      </c>
      <c r="U41" s="117">
        <v>1271.25</v>
      </c>
      <c r="V41" s="117">
        <v>6</v>
      </c>
      <c r="W41" s="117">
        <f>OCT_2023[[#This Row],[Sales Amount]]-OCT_2023[[#This Row],[Cost]]</f>
        <v>312.5</v>
      </c>
      <c r="X41" s="905">
        <f>IFERROR(OCT_2023[[#This Row],[Profit]]/OCT_2023[[#This Row],[Cost]]," ")</f>
        <v>0.24582104228121926</v>
      </c>
      <c r="Y41" s="117"/>
      <c r="Z41" s="117"/>
    </row>
    <row r="42" spans="1:26" s="26" customFormat="1" ht="75">
      <c r="A42" s="908" t="s">
        <v>2847</v>
      </c>
      <c r="B42" s="1628" t="s">
        <v>2853</v>
      </c>
      <c r="C42" s="1028" t="s">
        <v>28</v>
      </c>
      <c r="D42" s="1388">
        <v>45203</v>
      </c>
      <c r="E42" s="1604">
        <v>45212</v>
      </c>
      <c r="F42" s="908" t="s">
        <v>93</v>
      </c>
      <c r="G42" s="908" t="s">
        <v>2849</v>
      </c>
      <c r="H42" s="839">
        <v>45217</v>
      </c>
      <c r="I42" s="1628" t="s">
        <v>790</v>
      </c>
      <c r="J42" s="4150" t="s">
        <v>322</v>
      </c>
      <c r="K42" s="908" t="s">
        <v>2850</v>
      </c>
      <c r="L42" s="766">
        <v>8932290</v>
      </c>
      <c r="M42" s="839">
        <v>45214</v>
      </c>
      <c r="N42" s="839">
        <v>45215</v>
      </c>
      <c r="O42" s="822">
        <v>45218</v>
      </c>
      <c r="P42" s="924" t="s">
        <v>2854</v>
      </c>
      <c r="Q42" s="117" t="s">
        <v>75</v>
      </c>
      <c r="R42" s="4104" t="s">
        <v>2855</v>
      </c>
      <c r="S42" s="117">
        <v>4</v>
      </c>
      <c r="T42" s="117">
        <v>1550</v>
      </c>
      <c r="U42" s="117">
        <v>1160</v>
      </c>
      <c r="V42" s="117">
        <v>6</v>
      </c>
      <c r="W42" s="117">
        <f>OCT_2023[[#This Row],[Sales Amount]]-OCT_2023[[#This Row],[Cost]]</f>
        <v>390</v>
      </c>
      <c r="X42" s="905">
        <f>IFERROR(OCT_2023[[#This Row],[Profit]]/OCT_2023[[#This Row],[Cost]]," ")</f>
        <v>0.33620689655172414</v>
      </c>
      <c r="Y42" s="117"/>
      <c r="Z42" s="117"/>
    </row>
    <row r="43" spans="1:26" s="26" customFormat="1" ht="45">
      <c r="A43" s="1028" t="s">
        <v>2847</v>
      </c>
      <c r="B43" s="1628" t="s">
        <v>2856</v>
      </c>
      <c r="C43" s="1028" t="s">
        <v>28</v>
      </c>
      <c r="D43" s="1388">
        <v>45203</v>
      </c>
      <c r="E43" s="1604">
        <v>45212</v>
      </c>
      <c r="F43" s="908" t="s">
        <v>93</v>
      </c>
      <c r="G43" s="908" t="s">
        <v>2849</v>
      </c>
      <c r="H43" s="839">
        <v>45217</v>
      </c>
      <c r="I43" s="1628" t="s">
        <v>445</v>
      </c>
      <c r="J43" s="4163" t="s">
        <v>322</v>
      </c>
      <c r="K43" s="1028" t="s">
        <v>2850</v>
      </c>
      <c r="L43" s="766">
        <v>8932287</v>
      </c>
      <c r="M43" s="839">
        <v>45214</v>
      </c>
      <c r="N43" s="4918">
        <v>45215</v>
      </c>
      <c r="O43" s="4906">
        <v>45217</v>
      </c>
      <c r="P43" s="924" t="s">
        <v>2857</v>
      </c>
      <c r="Q43" s="660" t="s">
        <v>75</v>
      </c>
      <c r="R43" s="4104" t="s">
        <v>2858</v>
      </c>
      <c r="S43" s="660">
        <v>4</v>
      </c>
      <c r="T43" s="117">
        <v>1250</v>
      </c>
      <c r="U43" s="117">
        <v>990</v>
      </c>
      <c r="V43" s="117">
        <v>6</v>
      </c>
      <c r="W43" s="117">
        <f>OCT_2023[[#This Row],[Sales Amount]]-OCT_2023[[#This Row],[Cost]]</f>
        <v>260</v>
      </c>
      <c r="X43" s="905">
        <f>IFERROR(OCT_2023[[#This Row],[Profit]]/OCT_2023[[#This Row],[Cost]]," ")</f>
        <v>0.26262626262626265</v>
      </c>
      <c r="Y43" s="117"/>
      <c r="Z43" s="117"/>
    </row>
    <row r="44" spans="1:26" s="117" customFormat="1" ht="45">
      <c r="A44" s="908" t="s">
        <v>2847</v>
      </c>
      <c r="B44" s="1628" t="s">
        <v>2859</v>
      </c>
      <c r="C44" s="908" t="s">
        <v>28</v>
      </c>
      <c r="D44" s="1388">
        <v>45203</v>
      </c>
      <c r="E44" s="1604">
        <v>45212</v>
      </c>
      <c r="F44" s="908" t="s">
        <v>93</v>
      </c>
      <c r="G44" s="908" t="s">
        <v>2849</v>
      </c>
      <c r="H44" s="839">
        <v>45216</v>
      </c>
      <c r="I44" s="1708" t="s">
        <v>445</v>
      </c>
      <c r="J44" s="4163" t="s">
        <v>322</v>
      </c>
      <c r="K44" s="908" t="s">
        <v>2850</v>
      </c>
      <c r="L44" s="766">
        <v>8932331</v>
      </c>
      <c r="M44" s="839">
        <v>45214</v>
      </c>
      <c r="N44" s="839">
        <v>45215</v>
      </c>
      <c r="O44" s="822">
        <v>45216</v>
      </c>
      <c r="P44" s="924" t="s">
        <v>2860</v>
      </c>
      <c r="Q44" s="117" t="s">
        <v>75</v>
      </c>
      <c r="R44" s="4104" t="s">
        <v>2861</v>
      </c>
      <c r="S44" s="117">
        <v>4</v>
      </c>
      <c r="T44" s="117">
        <v>1135</v>
      </c>
      <c r="U44" s="117">
        <v>1045</v>
      </c>
      <c r="V44" s="117">
        <v>6</v>
      </c>
      <c r="W44" s="117">
        <f>OCT_2023[[#This Row],[Sales Amount]]-OCT_2023[[#This Row],[Cost]]</f>
        <v>90</v>
      </c>
      <c r="X44" s="905">
        <f>IFERROR(OCT_2023[[#This Row],[Profit]]/OCT_2023[[#This Row],[Cost]]," ")</f>
        <v>8.6124401913875603E-2</v>
      </c>
    </row>
    <row r="45" spans="1:26" s="507" customFormat="1">
      <c r="A45" s="58" t="s">
        <v>2787</v>
      </c>
      <c r="B45" s="58" t="s">
        <v>2862</v>
      </c>
      <c r="C45" s="710" t="s">
        <v>44</v>
      </c>
      <c r="D45" s="844">
        <v>45213</v>
      </c>
      <c r="E45" s="1112">
        <v>45213</v>
      </c>
      <c r="F45" s="58" t="s">
        <v>260</v>
      </c>
      <c r="G45" s="800" t="s">
        <v>2863</v>
      </c>
      <c r="H45" s="1115">
        <v>45219</v>
      </c>
      <c r="I45" s="915" t="s">
        <v>115</v>
      </c>
      <c r="J45" s="58" t="s">
        <v>600</v>
      </c>
      <c r="K45" s="4149" t="s">
        <v>2864</v>
      </c>
      <c r="L45" s="915" t="s">
        <v>542</v>
      </c>
      <c r="M45" s="1115">
        <v>45223</v>
      </c>
      <c r="N45" s="844">
        <v>45218</v>
      </c>
      <c r="O45" s="844">
        <v>45219</v>
      </c>
      <c r="P45" s="4092" t="s">
        <v>2865</v>
      </c>
      <c r="Q45" s="4161" t="s">
        <v>35</v>
      </c>
      <c r="R45" s="58" t="s">
        <v>36</v>
      </c>
      <c r="S45" s="58" t="s">
        <v>37</v>
      </c>
      <c r="T45" s="106">
        <v>1170.5</v>
      </c>
      <c r="U45" s="106">
        <v>865</v>
      </c>
      <c r="V45" s="106"/>
      <c r="W45" s="106">
        <f>IFERROR((OCT_2023[[#This Row],[Sales Amount]]-OCT_2023[[#This Row],[Cost]])/OCT_2023[[#This Row],[CNTR AMOUNT]],OCT_2023[[#This Row],[Sales Amount]]-OCT_2023[[#This Row],[Cost]])</f>
        <v>305.5</v>
      </c>
      <c r="X45" s="106">
        <f>IFERROR(OCT_2023[[#This Row],[Profit]]/OCT_2023[[#This Row],[Cost]]," ")</f>
        <v>0.3531791907514451</v>
      </c>
      <c r="Y45" s="106"/>
      <c r="Z45" s="106"/>
    </row>
    <row r="46" spans="1:26" s="26" customFormat="1">
      <c r="A46" s="4882" t="s">
        <v>42</v>
      </c>
      <c r="B46" s="4882" t="s">
        <v>2866</v>
      </c>
      <c r="C46" s="4882" t="s">
        <v>28</v>
      </c>
      <c r="D46" s="1612">
        <v>45208</v>
      </c>
      <c r="E46" s="1614">
        <v>45213</v>
      </c>
      <c r="F46" s="4861" t="s">
        <v>45</v>
      </c>
      <c r="G46" s="707" t="s">
        <v>829</v>
      </c>
      <c r="H46" s="4882"/>
      <c r="I46" s="4882"/>
      <c r="J46" s="707" t="s">
        <v>168</v>
      </c>
      <c r="K46" s="4882" t="s">
        <v>310</v>
      </c>
      <c r="L46" s="707" t="s">
        <v>2867</v>
      </c>
      <c r="M46" s="1612">
        <v>45215</v>
      </c>
      <c r="N46" s="4940">
        <v>45213</v>
      </c>
      <c r="O46" s="4940">
        <v>45215</v>
      </c>
      <c r="P46" s="4871" t="s">
        <v>2868</v>
      </c>
      <c r="Q46" s="4882" t="s">
        <v>50</v>
      </c>
      <c r="R46" s="707" t="s">
        <v>51</v>
      </c>
      <c r="S46" s="707"/>
      <c r="T46" s="707"/>
      <c r="U46" s="707"/>
      <c r="V46" s="707"/>
      <c r="W46" s="4882">
        <f>IFERROR((OCT_2023[[#This Row],[Sales Amount]]-OCT_2023[[#This Row],[Cost]])/OCT_2023[[#This Row],[CNTR AMOUNT]],OCT_2023[[#This Row],[Sales Amount]]-OCT_2023[[#This Row],[Cost]])</f>
        <v>0</v>
      </c>
      <c r="X46" s="4882" t="str">
        <f>IFERROR(OCT_2023[[#This Row],[Profit]]/OCT_2023[[#This Row],[Cost]]," ")</f>
        <v xml:space="preserve"> </v>
      </c>
      <c r="Y46" s="4882"/>
      <c r="Z46" s="5055"/>
    </row>
    <row r="47" spans="1:26" s="117" customFormat="1" ht="59.25" customHeight="1">
      <c r="A47" s="4845" t="s">
        <v>2489</v>
      </c>
      <c r="B47" s="4150" t="s">
        <v>2869</v>
      </c>
      <c r="C47" s="4845" t="s">
        <v>28</v>
      </c>
      <c r="D47" s="4906">
        <v>45195</v>
      </c>
      <c r="E47" s="4916">
        <v>45213</v>
      </c>
      <c r="F47" s="4845" t="s">
        <v>167</v>
      </c>
      <c r="G47" s="4150" t="s">
        <v>2870</v>
      </c>
      <c r="H47" s="4906">
        <v>45216</v>
      </c>
      <c r="I47" s="4150" t="s">
        <v>2871</v>
      </c>
      <c r="J47" s="806" t="s">
        <v>2872</v>
      </c>
      <c r="K47" s="806" t="s">
        <v>2873</v>
      </c>
      <c r="L47" s="4908" t="s">
        <v>2874</v>
      </c>
      <c r="M47" s="822">
        <v>45217</v>
      </c>
      <c r="N47" s="822">
        <v>45216</v>
      </c>
      <c r="O47" s="4906">
        <v>45216</v>
      </c>
      <c r="P47" s="4909" t="s">
        <v>2875</v>
      </c>
      <c r="Q47" s="4845" t="s">
        <v>75</v>
      </c>
      <c r="R47" s="4104" t="s">
        <v>2876</v>
      </c>
      <c r="S47" s="117">
        <v>4</v>
      </c>
      <c r="T47" s="117">
        <v>925</v>
      </c>
      <c r="U47" s="117">
        <v>735</v>
      </c>
      <c r="V47" s="117">
        <v>1</v>
      </c>
      <c r="W47" s="660">
        <f>IFERROR((OCT_2023[[#This Row],[Sales Amount]]-OCT_2023[[#This Row],[Cost]])/OCT_2023[[#This Row],[CNTR AMOUNT]],OCT_2023[[#This Row],[Sales Amount]]-OCT_2023[[#This Row],[Cost]])</f>
        <v>190</v>
      </c>
      <c r="X47" s="885">
        <f>IFERROR(OCT_2023[[#This Row],[Profit]]/OCT_2023[[#This Row],[Cost]]," ")</f>
        <v>0.25850340136054423</v>
      </c>
      <c r="Y47" s="4845"/>
      <c r="Z47" s="5056"/>
    </row>
    <row r="48" spans="1:26" s="117" customFormat="1">
      <c r="A48" s="5057" t="s">
        <v>171</v>
      </c>
      <c r="B48" s="4869" t="s">
        <v>2877</v>
      </c>
      <c r="C48" s="4841" t="s">
        <v>28</v>
      </c>
      <c r="D48" s="1603">
        <v>45206</v>
      </c>
      <c r="E48" s="1668">
        <v>45214</v>
      </c>
      <c r="F48" s="4869" t="s">
        <v>56</v>
      </c>
      <c r="G48" s="4869" t="s">
        <v>57</v>
      </c>
      <c r="H48" s="4877">
        <v>45216</v>
      </c>
      <c r="I48" s="4870"/>
      <c r="J48" s="4870" t="s">
        <v>32</v>
      </c>
      <c r="K48" s="4839" t="s">
        <v>174</v>
      </c>
      <c r="L48" s="4869">
        <v>9211882</v>
      </c>
      <c r="M48" s="4879">
        <v>45217</v>
      </c>
      <c r="N48" s="4877">
        <v>45216</v>
      </c>
      <c r="O48" s="4877">
        <v>45217</v>
      </c>
      <c r="P48" s="4871" t="s">
        <v>2878</v>
      </c>
      <c r="Q48" s="4870" t="s">
        <v>35</v>
      </c>
      <c r="R48" s="4870" t="s">
        <v>36</v>
      </c>
      <c r="S48" s="4839" t="s">
        <v>37</v>
      </c>
      <c r="T48" s="4874">
        <v>1165</v>
      </c>
      <c r="U48" s="4874">
        <v>901</v>
      </c>
      <c r="V48" s="4874"/>
      <c r="W48" s="4874">
        <f>IFERROR((OCT_2023[[#This Row],[Sales Amount]]-OCT_2023[[#This Row],[Cost]])/OCT_2023[[#This Row],[CNTR AMOUNT]],OCT_2023[[#This Row],[Sales Amount]]-OCT_2023[[#This Row],[Cost]])</f>
        <v>264</v>
      </c>
      <c r="X48" s="4874">
        <f>IFERROR(OCT_2023[[#This Row],[Profit]]/OCT_2023[[#This Row],[Cost]]," ")</f>
        <v>0.293007769145394</v>
      </c>
      <c r="Y48" s="4874"/>
      <c r="Z48" s="4874"/>
    </row>
    <row r="49" spans="1:26">
      <c r="A49" s="1605" t="s">
        <v>171</v>
      </c>
      <c r="B49" s="1" t="s">
        <v>2879</v>
      </c>
      <c r="C49" s="913" t="s">
        <v>28</v>
      </c>
      <c r="D49" s="1607">
        <v>45207</v>
      </c>
      <c r="E49" s="1704">
        <v>45214</v>
      </c>
      <c r="F49" s="1" t="s">
        <v>56</v>
      </c>
      <c r="G49" s="1" t="s">
        <v>57</v>
      </c>
      <c r="H49" s="1380">
        <v>45216</v>
      </c>
      <c r="I49" s="1"/>
      <c r="J49" s="1" t="s">
        <v>32</v>
      </c>
      <c r="K49" s="58" t="s">
        <v>174</v>
      </c>
      <c r="L49" s="1589">
        <v>9211717</v>
      </c>
      <c r="M49" s="1588">
        <v>45217</v>
      </c>
      <c r="N49" s="1380">
        <v>45216</v>
      </c>
      <c r="O49" s="1380">
        <v>45217</v>
      </c>
      <c r="P49" s="707" t="s">
        <v>2880</v>
      </c>
      <c r="Q49" s="1" t="s">
        <v>35</v>
      </c>
      <c r="R49" s="1" t="s">
        <v>36</v>
      </c>
      <c r="S49" s="58" t="s">
        <v>37</v>
      </c>
      <c r="T49" s="106">
        <v>1480</v>
      </c>
      <c r="U49" s="106">
        <v>1146</v>
      </c>
      <c r="W49" s="3075">
        <f>IFERROR((OCT_2023[[#This Row],[Sales Amount]]-OCT_2023[[#This Row],[Cost]])/OCT_2023[[#This Row],[CNTR AMOUNT]],OCT_2023[[#This Row],[Sales Amount]]-OCT_2023[[#This Row],[Cost]])</f>
        <v>334</v>
      </c>
      <c r="X49" s="3075">
        <f>IFERROR(OCT_2023[[#This Row],[Profit]]/OCT_2023[[#This Row],[Cost]]," ")</f>
        <v>0.29144851657940662</v>
      </c>
      <c r="Y49" s="3075"/>
      <c r="Z49" s="3250"/>
    </row>
    <row r="50" spans="1:26" s="117" customFormat="1">
      <c r="A50" s="4161" t="s">
        <v>329</v>
      </c>
      <c r="B50" s="1" t="s">
        <v>2881</v>
      </c>
      <c r="C50" s="4161" t="s">
        <v>200</v>
      </c>
      <c r="D50" s="1380">
        <v>45203</v>
      </c>
      <c r="E50" s="1702">
        <v>45214</v>
      </c>
      <c r="F50" s="4161" t="s">
        <v>93</v>
      </c>
      <c r="G50" s="4161" t="s">
        <v>46</v>
      </c>
      <c r="H50" s="1588">
        <v>45217</v>
      </c>
      <c r="I50" s="1589" t="s">
        <v>108</v>
      </c>
      <c r="J50" s="1" t="s">
        <v>1353</v>
      </c>
      <c r="K50" s="4161" t="s">
        <v>331</v>
      </c>
      <c r="L50" s="1589" t="s">
        <v>2882</v>
      </c>
      <c r="M50" s="1606">
        <v>45217</v>
      </c>
      <c r="N50" s="1380">
        <v>45216</v>
      </c>
      <c r="O50" s="1380">
        <v>45217</v>
      </c>
      <c r="P50" s="4239" t="s">
        <v>2883</v>
      </c>
      <c r="Q50" s="4161" t="s">
        <v>35</v>
      </c>
      <c r="R50" s="1" t="s">
        <v>36</v>
      </c>
      <c r="S50" s="58" t="s">
        <v>37</v>
      </c>
      <c r="T50" s="26">
        <v>1090</v>
      </c>
      <c r="U50" s="26">
        <v>810</v>
      </c>
      <c r="V50" s="26"/>
      <c r="W50" s="3255">
        <f>IFERROR((OCT_2023[[#This Row],[Sales Amount]]-OCT_2023[[#This Row],[Cost]])/OCT_2023[[#This Row],[CNTR AMOUNT]],OCT_2023[[#This Row],[Sales Amount]]-OCT_2023[[#This Row],[Cost]])</f>
        <v>280</v>
      </c>
      <c r="X50" s="3255">
        <f>IFERROR(OCT_2023[[#This Row],[Profit]]/OCT_2023[[#This Row],[Cost]]," ")</f>
        <v>0.34567901234567899</v>
      </c>
      <c r="Y50" s="3255"/>
      <c r="Z50" s="3256"/>
    </row>
    <row r="51" spans="1:26" s="117" customFormat="1" ht="75">
      <c r="A51" s="709" t="s">
        <v>165</v>
      </c>
      <c r="B51" s="4122" t="s">
        <v>2884</v>
      </c>
      <c r="C51" s="709" t="s">
        <v>28</v>
      </c>
      <c r="D51" s="912">
        <v>45203</v>
      </c>
      <c r="E51" s="1014">
        <v>45214</v>
      </c>
      <c r="F51" s="4122" t="s">
        <v>151</v>
      </c>
      <c r="G51" s="4092" t="s">
        <v>801</v>
      </c>
      <c r="H51" s="1672">
        <v>45217</v>
      </c>
      <c r="I51" s="4886" t="s">
        <v>445</v>
      </c>
      <c r="J51" s="4122" t="s">
        <v>32</v>
      </c>
      <c r="K51" s="4122" t="s">
        <v>2885</v>
      </c>
      <c r="L51" s="1648">
        <v>716062</v>
      </c>
      <c r="M51" s="1642">
        <v>45216</v>
      </c>
      <c r="N51" s="1642">
        <v>45216</v>
      </c>
      <c r="O51" s="912">
        <v>45217</v>
      </c>
      <c r="P51" s="4092" t="s">
        <v>2886</v>
      </c>
      <c r="Q51" s="709" t="s">
        <v>75</v>
      </c>
      <c r="R51" s="4122" t="s">
        <v>2887</v>
      </c>
      <c r="S51" s="709">
        <v>4</v>
      </c>
      <c r="T51" s="709">
        <v>1545</v>
      </c>
      <c r="U51" s="709">
        <v>1166</v>
      </c>
      <c r="V51" s="709">
        <v>1</v>
      </c>
      <c r="W51" s="709">
        <f>OCT_2023[[#This Row],[Sales Amount]]-OCT_2023[[#This Row],[Cost]]</f>
        <v>379</v>
      </c>
      <c r="X51" s="3257">
        <f>OCT_2023[[#This Row],[Profit]]/OCT_2023[[#This Row],[Cost]]</f>
        <v>0.32504288164665524</v>
      </c>
      <c r="Y51" s="3246"/>
      <c r="Z51" s="3248"/>
    </row>
    <row r="52" spans="1:26" ht="17.25">
      <c r="A52" s="713" t="s">
        <v>2204</v>
      </c>
      <c r="B52" s="707" t="s">
        <v>2888</v>
      </c>
      <c r="C52" s="707" t="s">
        <v>28</v>
      </c>
      <c r="D52" s="1612">
        <v>45209</v>
      </c>
      <c r="E52" s="1614">
        <v>45215</v>
      </c>
      <c r="F52" s="656" t="s">
        <v>2604</v>
      </c>
      <c r="G52" s="707" t="s">
        <v>829</v>
      </c>
      <c r="H52" s="707"/>
      <c r="I52" s="4882"/>
      <c r="J52" s="1710" t="s">
        <v>168</v>
      </c>
      <c r="K52" s="707" t="s">
        <v>310</v>
      </c>
      <c r="L52" s="1715" t="s">
        <v>2889</v>
      </c>
      <c r="M52" s="1612">
        <v>45218</v>
      </c>
      <c r="N52" s="1612">
        <v>45217</v>
      </c>
      <c r="O52" s="1612">
        <v>45219</v>
      </c>
      <c r="P52" s="1019" t="s">
        <v>2890</v>
      </c>
      <c r="Q52" s="1644" t="s">
        <v>50</v>
      </c>
      <c r="R52" s="707"/>
      <c r="S52" s="713"/>
      <c r="T52" s="707"/>
      <c r="U52" s="707"/>
      <c r="V52" s="707"/>
      <c r="W52" s="707">
        <f>IFERROR((OCT_2023[[#This Row],[Sales Amount]]-OCT_2023[[#This Row],[Cost]])/OCT_2023[[#This Row],[CNTR AMOUNT]],OCT_2023[[#This Row],[Sales Amount]]-OCT_2023[[#This Row],[Cost]])</f>
        <v>0</v>
      </c>
      <c r="X52" s="3258" t="str">
        <f>IFERROR(OCT_2023[[#This Row],[Profit]]/OCT_2023[[#This Row],[Cost]]," ")</f>
        <v xml:space="preserve"> </v>
      </c>
      <c r="Y52" s="3258"/>
      <c r="Z52" s="3259"/>
    </row>
    <row r="53" spans="1:26">
      <c r="A53" s="1605" t="s">
        <v>171</v>
      </c>
      <c r="B53" s="1589" t="s">
        <v>2891</v>
      </c>
      <c r="C53" s="915" t="s">
        <v>28</v>
      </c>
      <c r="D53" s="1603">
        <v>45208</v>
      </c>
      <c r="E53" s="1668">
        <v>45215</v>
      </c>
      <c r="F53" s="1589" t="s">
        <v>173</v>
      </c>
      <c r="G53" s="1589" t="s">
        <v>46</v>
      </c>
      <c r="H53" s="1606">
        <v>45217</v>
      </c>
      <c r="I53" s="4870"/>
      <c r="J53" s="1" t="s">
        <v>32</v>
      </c>
      <c r="K53" s="58" t="s">
        <v>174</v>
      </c>
      <c r="L53" s="1589" t="s">
        <v>2892</v>
      </c>
      <c r="M53" s="1588">
        <v>45217</v>
      </c>
      <c r="N53" s="1606">
        <v>45217</v>
      </c>
      <c r="O53" s="1380">
        <v>45217</v>
      </c>
      <c r="P53" s="1019" t="s">
        <v>2893</v>
      </c>
      <c r="Q53" s="1" t="s">
        <v>35</v>
      </c>
      <c r="R53" s="1" t="s">
        <v>36</v>
      </c>
      <c r="S53" s="58" t="s">
        <v>37</v>
      </c>
      <c r="T53" s="106">
        <v>900</v>
      </c>
      <c r="U53" s="106">
        <v>713</v>
      </c>
      <c r="W53" s="3075">
        <f>IFERROR((OCT_2023[[#This Row],[Sales Amount]]-OCT_2023[[#This Row],[Cost]])/OCT_2023[[#This Row],[CNTR AMOUNT]],OCT_2023[[#This Row],[Sales Amount]]-OCT_2023[[#This Row],[Cost]])</f>
        <v>187</v>
      </c>
      <c r="X53" s="3075">
        <f>IFERROR(OCT_2023[[#This Row],[Profit]]/OCT_2023[[#This Row],[Cost]]," ")</f>
        <v>0.26227208976157085</v>
      </c>
      <c r="Y53" s="3075"/>
      <c r="Z53" s="3250"/>
    </row>
    <row r="54" spans="1:26">
      <c r="A54" s="1605" t="s">
        <v>171</v>
      </c>
      <c r="B54" s="1589" t="s">
        <v>2894</v>
      </c>
      <c r="C54" s="915" t="s">
        <v>28</v>
      </c>
      <c r="D54" s="1603">
        <v>45208</v>
      </c>
      <c r="E54" s="1705">
        <v>45215</v>
      </c>
      <c r="F54" s="1589" t="s">
        <v>173</v>
      </c>
      <c r="G54" s="1589" t="s">
        <v>46</v>
      </c>
      <c r="H54" s="1606">
        <v>45217</v>
      </c>
      <c r="I54" s="4870"/>
      <c r="J54" s="1" t="s">
        <v>32</v>
      </c>
      <c r="K54" s="58" t="s">
        <v>174</v>
      </c>
      <c r="L54" s="1589" t="s">
        <v>2895</v>
      </c>
      <c r="M54" s="1588">
        <v>45217</v>
      </c>
      <c r="N54" s="1588">
        <v>45217</v>
      </c>
      <c r="O54" s="1606">
        <v>45217</v>
      </c>
      <c r="P54" s="1019" t="s">
        <v>2896</v>
      </c>
      <c r="Q54" s="1" t="s">
        <v>35</v>
      </c>
      <c r="R54" s="1" t="s">
        <v>36</v>
      </c>
      <c r="S54" s="58" t="s">
        <v>37</v>
      </c>
      <c r="T54" s="106">
        <v>900</v>
      </c>
      <c r="U54" s="106">
        <v>713</v>
      </c>
      <c r="W54" s="3075">
        <f>IFERROR((OCT_2023[[#This Row],[Sales Amount]]-OCT_2023[[#This Row],[Cost]])/OCT_2023[[#This Row],[CNTR AMOUNT]],OCT_2023[[#This Row],[Sales Amount]]-OCT_2023[[#This Row],[Cost]])</f>
        <v>187</v>
      </c>
      <c r="X54" s="3075">
        <f>IFERROR(OCT_2023[[#This Row],[Profit]]/OCT_2023[[#This Row],[Cost]]," ")</f>
        <v>0.26227208976157085</v>
      </c>
      <c r="Y54" s="3075"/>
      <c r="Z54" s="3250"/>
    </row>
    <row r="55" spans="1:26">
      <c r="A55" s="1605" t="s">
        <v>171</v>
      </c>
      <c r="B55" s="1589" t="s">
        <v>2897</v>
      </c>
      <c r="C55" s="1116" t="s">
        <v>28</v>
      </c>
      <c r="D55" s="1603">
        <v>45208</v>
      </c>
      <c r="E55" s="1668">
        <v>45215</v>
      </c>
      <c r="F55" s="1589" t="s">
        <v>173</v>
      </c>
      <c r="G55" s="1589" t="s">
        <v>46</v>
      </c>
      <c r="H55" s="1380">
        <v>45216</v>
      </c>
      <c r="I55" s="4870"/>
      <c r="J55" s="1" t="s">
        <v>32</v>
      </c>
      <c r="K55" s="58" t="s">
        <v>174</v>
      </c>
      <c r="L55" s="1589" t="s">
        <v>2898</v>
      </c>
      <c r="M55" s="1588">
        <v>45217</v>
      </c>
      <c r="N55" s="1380">
        <v>45216</v>
      </c>
      <c r="O55" s="1380">
        <v>45216</v>
      </c>
      <c r="P55" s="707" t="s">
        <v>2899</v>
      </c>
      <c r="Q55" s="1" t="s">
        <v>35</v>
      </c>
      <c r="R55" s="1" t="s">
        <v>36</v>
      </c>
      <c r="S55" s="58" t="s">
        <v>37</v>
      </c>
      <c r="T55" s="106">
        <v>900</v>
      </c>
      <c r="U55" s="106">
        <v>713</v>
      </c>
      <c r="W55" s="3075">
        <f>IFERROR((OCT_2023[[#This Row],[Sales Amount]]-OCT_2023[[#This Row],[Cost]])/OCT_2023[[#This Row],[CNTR AMOUNT]],OCT_2023[[#This Row],[Sales Amount]]-OCT_2023[[#This Row],[Cost]])</f>
        <v>187</v>
      </c>
      <c r="X55" s="3075">
        <f>IFERROR(OCT_2023[[#This Row],[Profit]]/OCT_2023[[#This Row],[Cost]]," ")</f>
        <v>0.26227208976157085</v>
      </c>
      <c r="Y55" s="4874"/>
      <c r="Z55" s="5058"/>
    </row>
    <row r="56" spans="1:26">
      <c r="A56" s="58" t="s">
        <v>171</v>
      </c>
      <c r="B56" s="1" t="s">
        <v>2900</v>
      </c>
      <c r="C56" s="58" t="s">
        <v>28</v>
      </c>
      <c r="D56" s="1139">
        <v>45206</v>
      </c>
      <c r="E56" s="1631">
        <v>45215</v>
      </c>
      <c r="F56" s="1641" t="s">
        <v>173</v>
      </c>
      <c r="G56" s="58" t="s">
        <v>46</v>
      </c>
      <c r="H56" s="1380">
        <v>45216</v>
      </c>
      <c r="I56" s="4870"/>
      <c r="J56" s="1" t="s">
        <v>32</v>
      </c>
      <c r="K56" s="58" t="s">
        <v>174</v>
      </c>
      <c r="L56" s="1714" t="s">
        <v>2901</v>
      </c>
      <c r="M56" s="1606">
        <v>45217</v>
      </c>
      <c r="N56" s="1380">
        <v>45216</v>
      </c>
      <c r="O56" s="1380">
        <v>45216</v>
      </c>
      <c r="P56" s="1019" t="s">
        <v>2902</v>
      </c>
      <c r="Q56" s="1" t="s">
        <v>35</v>
      </c>
      <c r="R56" s="1" t="s">
        <v>36</v>
      </c>
      <c r="S56" s="58" t="s">
        <v>37</v>
      </c>
      <c r="T56" s="106">
        <v>900</v>
      </c>
      <c r="U56" s="106">
        <v>713</v>
      </c>
      <c r="W56" s="3075">
        <f>IFERROR((OCT_2023[[#This Row],[Sales Amount]]-OCT_2023[[#This Row],[Cost]])/OCT_2023[[#This Row],[CNTR AMOUNT]],OCT_2023[[#This Row],[Sales Amount]]-OCT_2023[[#This Row],[Cost]])</f>
        <v>187</v>
      </c>
      <c r="X56" s="3075">
        <f>IFERROR(OCT_2023[[#This Row],[Profit]]/OCT_2023[[#This Row],[Cost]]," ")</f>
        <v>0.26227208976157085</v>
      </c>
      <c r="Y56" s="3075"/>
      <c r="Z56" s="3250"/>
    </row>
    <row r="57" spans="1:26" s="709" customFormat="1" ht="30">
      <c r="A57" s="4150" t="s">
        <v>468</v>
      </c>
      <c r="B57" s="4928" t="s">
        <v>2903</v>
      </c>
      <c r="C57" s="4908" t="s">
        <v>200</v>
      </c>
      <c r="D57" s="4906">
        <v>45195</v>
      </c>
      <c r="E57" s="4916">
        <v>45215</v>
      </c>
      <c r="F57" s="4908" t="s">
        <v>167</v>
      </c>
      <c r="G57" s="5059" t="s">
        <v>302</v>
      </c>
      <c r="H57" s="4906">
        <v>45217</v>
      </c>
      <c r="I57" s="4908" t="s">
        <v>445</v>
      </c>
      <c r="J57" s="4845" t="s">
        <v>32</v>
      </c>
      <c r="K57" s="4908" t="s">
        <v>504</v>
      </c>
      <c r="L57" s="4150" t="s">
        <v>2904</v>
      </c>
      <c r="M57" s="4961">
        <v>45217</v>
      </c>
      <c r="N57" s="4906">
        <v>45216</v>
      </c>
      <c r="O57" s="4906">
        <v>45217</v>
      </c>
      <c r="P57" s="4909" t="s">
        <v>2905</v>
      </c>
      <c r="Q57" s="117" t="s">
        <v>75</v>
      </c>
      <c r="R57" s="4908" t="s">
        <v>2906</v>
      </c>
      <c r="S57" s="120">
        <v>4</v>
      </c>
      <c r="T57" s="4845">
        <v>1040</v>
      </c>
      <c r="U57" s="4845">
        <v>656</v>
      </c>
      <c r="V57" s="4845"/>
      <c r="W57" s="4845">
        <f>IFERROR((OCT_2023[[#This Row],[Sales Amount]]-OCT_2023[[#This Row],[Cost]])/OCT_2023[[#This Row],[CNTR AMOUNT]],OCT_2023[[#This Row],[Sales Amount]]-OCT_2023[[#This Row],[Cost]])</f>
        <v>384</v>
      </c>
      <c r="X57" s="5060">
        <f>IFERROR(OCT_2023[[#This Row],[Profit]]/OCT_2023[[#This Row],[Cost]]," ")</f>
        <v>0.58536585365853655</v>
      </c>
      <c r="Y57" s="4845"/>
      <c r="Z57" s="4845"/>
    </row>
    <row r="58" spans="1:26">
      <c r="A58" s="4882" t="s">
        <v>2907</v>
      </c>
      <c r="B58" s="4882" t="s">
        <v>2908</v>
      </c>
      <c r="C58" s="4882" t="s">
        <v>28</v>
      </c>
      <c r="D58" s="4940">
        <v>45201</v>
      </c>
      <c r="E58" s="5052">
        <v>45215</v>
      </c>
      <c r="F58" s="4882" t="s">
        <v>93</v>
      </c>
      <c r="G58" s="4882" t="s">
        <v>46</v>
      </c>
      <c r="H58" s="5061"/>
      <c r="I58" s="5061"/>
      <c r="J58" s="4882" t="s">
        <v>32</v>
      </c>
      <c r="K58" s="4882" t="s">
        <v>310</v>
      </c>
      <c r="L58" s="4882" t="s">
        <v>2909</v>
      </c>
      <c r="M58" s="4940">
        <v>45218</v>
      </c>
      <c r="N58" s="4940">
        <v>45217</v>
      </c>
      <c r="O58" s="4940">
        <v>45222</v>
      </c>
      <c r="P58" s="4871" t="s">
        <v>2910</v>
      </c>
      <c r="Q58" s="707" t="s">
        <v>50</v>
      </c>
      <c r="R58" s="4882" t="s">
        <v>51</v>
      </c>
      <c r="S58" s="656"/>
      <c r="T58" s="4882"/>
      <c r="U58" s="4882"/>
      <c r="V58" s="4882"/>
      <c r="W58" s="707">
        <f>IFERROR((OCT_2023[[#This Row],[Sales Amount]]-OCT_2023[[#This Row],[Cost]])/OCT_2023[[#This Row],[CNTR AMOUNT]],OCT_2023[[#This Row],[Sales Amount]]-OCT_2023[[#This Row],[Cost]])</f>
        <v>0</v>
      </c>
      <c r="X58" s="4882" t="str">
        <f>IFERROR(OCT_2023[[#This Row],[Profit]]/OCT_2023[[#This Row],[Cost]]," ")</f>
        <v xml:space="preserve"> </v>
      </c>
      <c r="Y58" s="4882"/>
      <c r="Z58" s="4882"/>
    </row>
    <row r="59" spans="1:26" ht="30">
      <c r="A59" s="4915" t="s">
        <v>2847</v>
      </c>
      <c r="B59" s="5062" t="s">
        <v>2911</v>
      </c>
      <c r="C59" s="4915" t="s">
        <v>28</v>
      </c>
      <c r="D59" s="5063">
        <v>45203</v>
      </c>
      <c r="E59" s="5064">
        <v>45215</v>
      </c>
      <c r="F59" s="4915" t="s">
        <v>93</v>
      </c>
      <c r="G59" s="4915" t="s">
        <v>2849</v>
      </c>
      <c r="H59" s="4961">
        <v>45218</v>
      </c>
      <c r="I59" s="4908" t="s">
        <v>108</v>
      </c>
      <c r="J59" s="4908" t="s">
        <v>322</v>
      </c>
      <c r="K59" s="4915" t="s">
        <v>2850</v>
      </c>
      <c r="L59" s="4929">
        <v>8932297</v>
      </c>
      <c r="M59" s="4918">
        <v>45217</v>
      </c>
      <c r="N59" s="4918">
        <v>45217</v>
      </c>
      <c r="O59" s="4918">
        <v>45218</v>
      </c>
      <c r="P59" s="5065" t="s">
        <v>2912</v>
      </c>
      <c r="Q59" s="117" t="s">
        <v>75</v>
      </c>
      <c r="R59" s="4908" t="s">
        <v>2913</v>
      </c>
      <c r="S59" s="120">
        <v>4</v>
      </c>
      <c r="T59" s="4845">
        <v>1135</v>
      </c>
      <c r="U59" s="4845">
        <v>1007</v>
      </c>
      <c r="V59" s="4845">
        <v>6</v>
      </c>
      <c r="W59" s="4845">
        <f>IFERROR((OCT_2023[[#This Row],[Sales Amount]]-OCT_2023[[#This Row],[Cost]])/OCT_2023[[#This Row],[CNTR AMOUNT]],OCT_2023[[#This Row],[Sales Amount]]-OCT_2023[[#This Row],[Cost]])</f>
        <v>21.333333333333332</v>
      </c>
      <c r="X59" s="5060">
        <f>IFERROR(OCT_2023[[#This Row],[Profit]]/OCT_2023[[#This Row],[Cost]]," ")</f>
        <v>2.1185038066865274E-2</v>
      </c>
      <c r="Y59" s="4845"/>
      <c r="Z59" s="4845"/>
    </row>
    <row r="60" spans="1:26" ht="30">
      <c r="A60" s="4845" t="s">
        <v>2566</v>
      </c>
      <c r="B60" s="4908" t="s">
        <v>2914</v>
      </c>
      <c r="C60" s="4845" t="s">
        <v>28</v>
      </c>
      <c r="D60" s="4906">
        <v>45209</v>
      </c>
      <c r="E60" s="4916">
        <v>45216</v>
      </c>
      <c r="F60" s="4845" t="s">
        <v>151</v>
      </c>
      <c r="G60" s="4908" t="s">
        <v>801</v>
      </c>
      <c r="H60" s="4241">
        <v>45219</v>
      </c>
      <c r="I60" s="3260" t="s">
        <v>2915</v>
      </c>
      <c r="J60" s="4845" t="s">
        <v>32</v>
      </c>
      <c r="K60" s="4908" t="s">
        <v>558</v>
      </c>
      <c r="L60" s="4845">
        <v>851168</v>
      </c>
      <c r="M60" s="4906">
        <v>45218</v>
      </c>
      <c r="N60" s="4906">
        <v>45217</v>
      </c>
      <c r="O60" s="4906">
        <v>45220</v>
      </c>
      <c r="P60" s="4909" t="s">
        <v>2916</v>
      </c>
      <c r="Q60" s="4908" t="s">
        <v>75</v>
      </c>
      <c r="R60" s="4908" t="s">
        <v>2917</v>
      </c>
      <c r="S60" s="4845">
        <v>4</v>
      </c>
      <c r="T60" s="4845">
        <v>2452.5</v>
      </c>
      <c r="U60" s="4845">
        <v>1751</v>
      </c>
      <c r="V60" s="4845">
        <v>1</v>
      </c>
      <c r="W60" s="4845">
        <f>IFERROR((OCT_2023[[#This Row],[Sales Amount]]-OCT_2023[[#This Row],[Cost]])/OCT_2023[[#This Row],[CNTR AMOUNT]],OCT_2023[[#This Row],[Sales Amount]]-OCT_2023[[#This Row],[Cost]])</f>
        <v>701.5</v>
      </c>
      <c r="X60" s="5060">
        <f>IFERROR(OCT_2023[[#This Row],[Profit]]/OCT_2023[[#This Row],[Cost]]," ")</f>
        <v>0.40062821245002855</v>
      </c>
      <c r="Y60" s="4845"/>
      <c r="Z60" s="4845"/>
    </row>
    <row r="61" spans="1:26">
      <c r="A61" s="4894" t="s">
        <v>171</v>
      </c>
      <c r="B61" s="4839" t="s">
        <v>2918</v>
      </c>
      <c r="C61" s="4870" t="s">
        <v>200</v>
      </c>
      <c r="D61" s="4897">
        <v>45208</v>
      </c>
      <c r="E61" s="4897">
        <v>45216</v>
      </c>
      <c r="F61" s="4870" t="s">
        <v>285</v>
      </c>
      <c r="G61" s="4870" t="s">
        <v>46</v>
      </c>
      <c r="H61" s="1588">
        <v>45223</v>
      </c>
      <c r="I61" s="3261"/>
      <c r="J61" s="4870" t="s">
        <v>32</v>
      </c>
      <c r="K61" s="4839" t="s">
        <v>174</v>
      </c>
      <c r="L61" s="1589" t="s">
        <v>2919</v>
      </c>
      <c r="M61" s="4879">
        <v>45224</v>
      </c>
      <c r="N61" s="4877">
        <v>45223</v>
      </c>
      <c r="O61" s="4877">
        <v>45223</v>
      </c>
      <c r="P61" s="4871" t="s">
        <v>2920</v>
      </c>
      <c r="Q61" s="4870" t="s">
        <v>35</v>
      </c>
      <c r="R61" s="1" t="s">
        <v>36</v>
      </c>
      <c r="S61" s="4839" t="s">
        <v>37</v>
      </c>
      <c r="T61" s="4874">
        <v>640</v>
      </c>
      <c r="U61" s="4874">
        <v>518</v>
      </c>
      <c r="V61" s="4874"/>
      <c r="W61" s="4874">
        <f>IFERROR((OCT_2023[[#This Row],[Sales Amount]]-OCT_2023[[#This Row],[Cost]])/OCT_2023[[#This Row],[CNTR AMOUNT]],OCT_2023[[#This Row],[Sales Amount]]-OCT_2023[[#This Row],[Cost]])</f>
        <v>122</v>
      </c>
      <c r="X61" s="4874">
        <f>IFERROR(OCT_2023[[#This Row],[Profit]]/OCT_2023[[#This Row],[Cost]]," ")</f>
        <v>0.23552123552123552</v>
      </c>
      <c r="Y61" s="4874"/>
      <c r="Z61" s="4874"/>
    </row>
    <row r="62" spans="1:26" ht="60">
      <c r="A62" s="4845" t="s">
        <v>468</v>
      </c>
      <c r="B62" s="4908" t="s">
        <v>2921</v>
      </c>
      <c r="C62" s="117" t="s">
        <v>200</v>
      </c>
      <c r="D62" s="4906">
        <v>45198</v>
      </c>
      <c r="E62" s="856">
        <v>45216</v>
      </c>
      <c r="F62" s="4845" t="s">
        <v>245</v>
      </c>
      <c r="G62" s="4961" t="s">
        <v>2922</v>
      </c>
      <c r="H62" s="3262">
        <v>45218</v>
      </c>
      <c r="I62" s="4242" t="s">
        <v>618</v>
      </c>
      <c r="J62" s="4845" t="s">
        <v>297</v>
      </c>
      <c r="K62" s="4909" t="s">
        <v>2923</v>
      </c>
      <c r="L62" s="4908">
        <v>2609</v>
      </c>
      <c r="M62" s="4918">
        <v>45218</v>
      </c>
      <c r="N62" s="4918">
        <v>45218</v>
      </c>
      <c r="O62" s="4918">
        <v>45218</v>
      </c>
      <c r="P62" s="4909" t="s">
        <v>2924</v>
      </c>
      <c r="Q62" s="4845" t="s">
        <v>75</v>
      </c>
      <c r="R62" s="4908" t="s">
        <v>2925</v>
      </c>
      <c r="S62" s="4845">
        <v>4</v>
      </c>
      <c r="T62" s="4845">
        <v>830</v>
      </c>
      <c r="U62" s="4845">
        <v>571.35</v>
      </c>
      <c r="V62" s="4845">
        <v>1</v>
      </c>
      <c r="W62" s="4845">
        <f>IFERROR((OCT_2023[[#This Row],[Sales Amount]]-OCT_2023[[#This Row],[Cost]])/OCT_2023[[#This Row],[CNTR AMOUNT]],OCT_2023[[#This Row],[Sales Amount]]-OCT_2023[[#This Row],[Cost]])</f>
        <v>258.64999999999998</v>
      </c>
      <c r="X62" s="5060">
        <f>IFERROR(OCT_2023[[#This Row],[Profit]]/OCT_2023[[#This Row],[Cost]]," ")</f>
        <v>0.4526997462151045</v>
      </c>
      <c r="Y62" s="4845"/>
      <c r="Z62" s="4845"/>
    </row>
    <row r="63" spans="1:26" s="117" customFormat="1" ht="105">
      <c r="A63" s="4845" t="s">
        <v>2489</v>
      </c>
      <c r="B63" s="4938" t="s">
        <v>2926</v>
      </c>
      <c r="C63" s="4845" t="s">
        <v>28</v>
      </c>
      <c r="D63" s="4906">
        <v>45201</v>
      </c>
      <c r="E63" s="4916">
        <v>45216</v>
      </c>
      <c r="F63" s="4845" t="s">
        <v>93</v>
      </c>
      <c r="G63" s="4908" t="s">
        <v>2491</v>
      </c>
      <c r="H63" s="3262">
        <v>45236</v>
      </c>
      <c r="I63" s="3263"/>
      <c r="J63" s="4908" t="s">
        <v>297</v>
      </c>
      <c r="K63" s="4908" t="s">
        <v>2493</v>
      </c>
      <c r="L63" s="5066" t="s">
        <v>2927</v>
      </c>
      <c r="M63" s="4916" t="s">
        <v>2928</v>
      </c>
      <c r="N63" s="4961" t="s">
        <v>2929</v>
      </c>
      <c r="O63" s="4906">
        <v>45236</v>
      </c>
      <c r="P63" s="4909" t="s">
        <v>2930</v>
      </c>
      <c r="Q63" s="4845" t="s">
        <v>75</v>
      </c>
      <c r="R63" s="4947" t="s">
        <v>2931</v>
      </c>
      <c r="S63" s="4845">
        <v>4</v>
      </c>
      <c r="T63" s="4845">
        <v>3653.5</v>
      </c>
      <c r="U63" s="4845">
        <v>2878.4</v>
      </c>
      <c r="V63" s="4845">
        <v>1</v>
      </c>
      <c r="W63" s="4845">
        <f>OCT_2023[[#This Row],[Sales Amount]]-OCT_2023[[#This Row],[Cost]]</f>
        <v>775.09999999999991</v>
      </c>
      <c r="X63" s="5060">
        <f>OCT_2023[[#This Row],[Profit]]/OCT_2023[[#This Row],[Cost]]</f>
        <v>0.26928154530294607</v>
      </c>
      <c r="Y63" s="4845"/>
      <c r="Z63" s="4845"/>
    </row>
    <row r="64" spans="1:26" s="117" customFormat="1" ht="75">
      <c r="A64" s="4908" t="s">
        <v>468</v>
      </c>
      <c r="B64" s="4908" t="s">
        <v>2932</v>
      </c>
      <c r="C64" s="4908" t="s">
        <v>200</v>
      </c>
      <c r="D64" s="4906">
        <v>45229</v>
      </c>
      <c r="E64" s="4916">
        <v>45229</v>
      </c>
      <c r="F64" s="5062" t="s">
        <v>245</v>
      </c>
      <c r="G64" s="4909" t="s">
        <v>2933</v>
      </c>
      <c r="H64" s="3264">
        <v>45237</v>
      </c>
      <c r="I64" s="3265"/>
      <c r="J64" s="4908" t="s">
        <v>297</v>
      </c>
      <c r="K64" s="4908" t="s">
        <v>2934</v>
      </c>
      <c r="L64" s="4918" t="s">
        <v>2935</v>
      </c>
      <c r="M64" s="4918">
        <v>45238</v>
      </c>
      <c r="N64" s="4918">
        <v>45233</v>
      </c>
      <c r="O64" s="4906">
        <v>45237</v>
      </c>
      <c r="P64" s="4909" t="s">
        <v>2936</v>
      </c>
      <c r="Q64" s="4845" t="s">
        <v>75</v>
      </c>
      <c r="R64" s="4909" t="s">
        <v>2937</v>
      </c>
      <c r="S64" s="4845">
        <v>4</v>
      </c>
      <c r="T64" s="4845">
        <v>1835</v>
      </c>
      <c r="U64" s="4845">
        <v>1541</v>
      </c>
      <c r="V64" s="4845">
        <v>1</v>
      </c>
      <c r="W64" s="4845">
        <f>IFERROR((OCT_2023[[#This Row],[Sales Amount]]-OCT_2023[[#This Row],[Cost]])/OCT_2023[[#This Row],[CNTR AMOUNT]],OCT_2023[[#This Row],[Sales Amount]]-OCT_2023[[#This Row],[Cost]])</f>
        <v>294</v>
      </c>
      <c r="X64" s="5060">
        <f>IFERROR(OCT_2023[[#This Row],[Profit]]/OCT_2023[[#This Row],[Cost]]," ")</f>
        <v>0.19078520441271901</v>
      </c>
      <c r="Y64" s="4845"/>
      <c r="Z64" s="4845"/>
    </row>
    <row r="65" spans="1:26" s="709" customFormat="1">
      <c r="A65" s="3258" t="s">
        <v>2566</v>
      </c>
      <c r="B65" s="3258" t="s">
        <v>2938</v>
      </c>
      <c r="C65" s="3246" t="s">
        <v>994</v>
      </c>
      <c r="D65" s="3266">
        <v>45210</v>
      </c>
      <c r="E65" s="5052">
        <v>45217</v>
      </c>
      <c r="F65" s="3258" t="s">
        <v>1017</v>
      </c>
      <c r="G65" s="3258" t="s">
        <v>2939</v>
      </c>
      <c r="H65" s="3267"/>
      <c r="I65" s="3258"/>
      <c r="J65" s="3258" t="s">
        <v>2940</v>
      </c>
      <c r="K65" s="3258" t="s">
        <v>310</v>
      </c>
      <c r="L65" s="4882">
        <v>419842</v>
      </c>
      <c r="M65" s="4903">
        <v>45219</v>
      </c>
      <c r="N65" s="4903">
        <v>45219</v>
      </c>
      <c r="O65" s="4903">
        <v>45222</v>
      </c>
      <c r="P65" s="4882" t="s">
        <v>2941</v>
      </c>
      <c r="Q65" s="3258" t="s">
        <v>50</v>
      </c>
      <c r="R65" s="3246" t="s">
        <v>51</v>
      </c>
      <c r="S65" s="3246"/>
      <c r="T65" s="3246"/>
      <c r="U65" s="3246"/>
      <c r="V65" s="3246"/>
      <c r="W65" s="3246">
        <f>IFERROR((OCT_2023[[#This Row],[Sales Amount]]-OCT_2023[[#This Row],[Cost]])/OCT_2023[[#This Row],[CNTR AMOUNT]],OCT_2023[[#This Row],[Sales Amount]]-OCT_2023[[#This Row],[Cost]])</f>
        <v>0</v>
      </c>
      <c r="X65" s="3246" t="str">
        <f>IFERROR(OCT_2023[[#This Row],[Profit]]/OCT_2023[[#This Row],[Cost]]," ")</f>
        <v xml:space="preserve"> </v>
      </c>
      <c r="Y65" s="3246"/>
      <c r="Z65" s="3246"/>
    </row>
    <row r="66" spans="1:26" s="117" customFormat="1" ht="45">
      <c r="A66" s="4845" t="s">
        <v>313</v>
      </c>
      <c r="B66" s="5067" t="s">
        <v>2942</v>
      </c>
      <c r="C66" s="4845" t="s">
        <v>28</v>
      </c>
      <c r="D66" s="4906">
        <v>45213</v>
      </c>
      <c r="E66" s="4916">
        <v>45217</v>
      </c>
      <c r="F66" s="4908" t="s">
        <v>63</v>
      </c>
      <c r="G66" s="4908" t="s">
        <v>152</v>
      </c>
      <c r="H66" s="4982">
        <v>45218</v>
      </c>
      <c r="I66" s="4930" t="s">
        <v>2943</v>
      </c>
      <c r="J66" s="4845" t="s">
        <v>32</v>
      </c>
      <c r="K66" s="4947" t="s">
        <v>2820</v>
      </c>
      <c r="L66" s="4908">
        <v>3895</v>
      </c>
      <c r="M66" s="4906">
        <v>45218</v>
      </c>
      <c r="N66" s="4906">
        <v>45218</v>
      </c>
      <c r="O66" s="5068">
        <v>45222</v>
      </c>
      <c r="P66" s="5027" t="s">
        <v>2944</v>
      </c>
      <c r="Q66" s="4873" t="s">
        <v>75</v>
      </c>
      <c r="R66" s="4152" t="s">
        <v>2945</v>
      </c>
      <c r="S66" s="4874">
        <v>4</v>
      </c>
      <c r="T66" s="106">
        <v>1600</v>
      </c>
      <c r="U66" s="106">
        <v>1198.5</v>
      </c>
      <c r="V66" s="106">
        <v>1</v>
      </c>
      <c r="W66" s="106">
        <f>IFERROR((OCT_2023[[#This Row],[Sales Amount]]-OCT_2023[[#This Row],[Cost]])/OCT_2023[[#This Row],[CNTR AMOUNT]],OCT_2023[[#This Row],[Sales Amount]]-OCT_2023[[#This Row],[Cost]])</f>
        <v>401.5</v>
      </c>
      <c r="X66" s="886">
        <f>IFERROR(OCT_2023[[#This Row],[Profit]]/OCT_2023[[#This Row],[Cost]]," ")</f>
        <v>0.33500208594075931</v>
      </c>
      <c r="Y66" s="106"/>
      <c r="Z66" s="106"/>
    </row>
    <row r="67" spans="1:26" ht="45">
      <c r="A67" s="4908" t="s">
        <v>468</v>
      </c>
      <c r="B67" s="4908" t="s">
        <v>2946</v>
      </c>
      <c r="C67" s="4909" t="s">
        <v>200</v>
      </c>
      <c r="D67" s="5069">
        <v>45202</v>
      </c>
      <c r="E67" s="5070">
        <v>45217</v>
      </c>
      <c r="F67" s="5065" t="s">
        <v>245</v>
      </c>
      <c r="G67" s="4909" t="s">
        <v>2491</v>
      </c>
      <c r="H67" s="4906">
        <v>45223</v>
      </c>
      <c r="I67" s="4845" t="s">
        <v>104</v>
      </c>
      <c r="J67" s="4909" t="s">
        <v>2947</v>
      </c>
      <c r="K67" s="4909" t="s">
        <v>2948</v>
      </c>
      <c r="L67" s="4104">
        <v>7613</v>
      </c>
      <c r="M67" s="4173">
        <v>45219</v>
      </c>
      <c r="N67" s="822">
        <v>45222</v>
      </c>
      <c r="O67" s="822">
        <v>45223</v>
      </c>
      <c r="P67" s="4951" t="s">
        <v>2949</v>
      </c>
      <c r="Q67" s="4845" t="s">
        <v>75</v>
      </c>
      <c r="R67" s="4909" t="s">
        <v>2950</v>
      </c>
      <c r="S67" s="4845">
        <v>4</v>
      </c>
      <c r="T67" s="117">
        <v>965</v>
      </c>
      <c r="U67" s="117">
        <v>743.75</v>
      </c>
      <c r="V67" s="117">
        <v>1</v>
      </c>
      <c r="W67" s="117">
        <f>IFERROR((OCT_2023[[#This Row],[Sales Amount]]-OCT_2023[[#This Row],[Cost]])/OCT_2023[[#This Row],[CNTR AMOUNT]],OCT_2023[[#This Row],[Sales Amount]]-OCT_2023[[#This Row],[Cost]])</f>
        <v>221.25</v>
      </c>
      <c r="X67" s="905">
        <f>IFERROR(OCT_2023[[#This Row],[Profit]]/OCT_2023[[#This Row],[Cost]]," ")</f>
        <v>0.29747899159663865</v>
      </c>
      <c r="Y67" s="117"/>
      <c r="Z67" s="117"/>
    </row>
    <row r="68" spans="1:26" s="117" customFormat="1" ht="45">
      <c r="A68" s="4908" t="s">
        <v>468</v>
      </c>
      <c r="B68" s="4908" t="s">
        <v>2951</v>
      </c>
      <c r="C68" s="4908" t="s">
        <v>200</v>
      </c>
      <c r="D68" s="4906">
        <v>45208</v>
      </c>
      <c r="E68" s="4916">
        <v>45217</v>
      </c>
      <c r="F68" s="4845" t="s">
        <v>93</v>
      </c>
      <c r="G68" s="4908" t="s">
        <v>302</v>
      </c>
      <c r="H68" s="4918">
        <v>45220</v>
      </c>
      <c r="I68" s="4929" t="s">
        <v>2952</v>
      </c>
      <c r="J68" s="4908" t="s">
        <v>297</v>
      </c>
      <c r="K68" s="4947" t="s">
        <v>2796</v>
      </c>
      <c r="L68" s="4929">
        <v>815371</v>
      </c>
      <c r="M68" s="4906">
        <v>45220</v>
      </c>
      <c r="N68" s="4906">
        <v>45220</v>
      </c>
      <c r="O68" s="4906">
        <v>45222</v>
      </c>
      <c r="P68" s="4909" t="s">
        <v>2953</v>
      </c>
      <c r="Q68" s="4845" t="s">
        <v>75</v>
      </c>
      <c r="R68" s="4908" t="s">
        <v>2954</v>
      </c>
      <c r="S68" s="4845">
        <v>4</v>
      </c>
      <c r="T68" s="117">
        <v>1595</v>
      </c>
      <c r="U68" s="1437">
        <v>1438.2</v>
      </c>
      <c r="V68" s="117">
        <v>2</v>
      </c>
      <c r="W68" s="117">
        <f>IFERROR((OCT_2023[[#This Row],[Sales Amount]]-OCT_2023[[#This Row],[Cost]])/OCT_2023[[#This Row],[CNTR AMOUNT]],OCT_2023[[#This Row],[Sales Amount]]-OCT_2023[[#This Row],[Cost]])</f>
        <v>78.399999999999977</v>
      </c>
      <c r="X68" s="905">
        <f>IFERROR(OCT_2023[[#This Row],[Profit]]/OCT_2023[[#This Row],[Cost]]," ")</f>
        <v>5.451258517591432E-2</v>
      </c>
    </row>
    <row r="69" spans="1:26" s="117" customFormat="1">
      <c r="A69" s="4908" t="s">
        <v>468</v>
      </c>
      <c r="B69" s="4908" t="s">
        <v>2955</v>
      </c>
      <c r="C69" s="4908" t="s">
        <v>200</v>
      </c>
      <c r="D69" s="4906">
        <v>45208</v>
      </c>
      <c r="E69" s="879">
        <v>45217</v>
      </c>
      <c r="F69" s="4845" t="s">
        <v>93</v>
      </c>
      <c r="G69" s="4908" t="s">
        <v>302</v>
      </c>
      <c r="H69" s="4918">
        <v>45222</v>
      </c>
      <c r="I69" s="4929" t="s">
        <v>2956</v>
      </c>
      <c r="J69" s="4908" t="s">
        <v>297</v>
      </c>
      <c r="K69" s="4947" t="s">
        <v>2796</v>
      </c>
      <c r="L69" s="4929" t="s">
        <v>2957</v>
      </c>
      <c r="M69" s="4918">
        <v>45220</v>
      </c>
      <c r="N69" s="4906">
        <v>45219</v>
      </c>
      <c r="O69" s="4906">
        <v>45222</v>
      </c>
      <c r="P69" s="4909" t="s">
        <v>2958</v>
      </c>
      <c r="Q69" s="4845" t="s">
        <v>75</v>
      </c>
      <c r="R69" s="4908" t="s">
        <v>2959</v>
      </c>
      <c r="S69" s="4845">
        <v>4</v>
      </c>
      <c r="T69" s="117">
        <v>1705</v>
      </c>
      <c r="U69" s="4243">
        <v>1403.2</v>
      </c>
      <c r="V69" s="117">
        <v>2</v>
      </c>
      <c r="W69" s="117">
        <f>OCT_2023[[#This Row],[Sales Amount]]-OCT_2023[[#This Row],[Cost]]</f>
        <v>301.79999999999995</v>
      </c>
      <c r="X69" s="905">
        <f>IFERROR(OCT_2023[[#This Row],[Profit]]/OCT_2023[[#This Row],[Cost]]," ")</f>
        <v>0.21507981755986313</v>
      </c>
    </row>
    <row r="70" spans="1:26" s="117" customFormat="1">
      <c r="A70" s="4839" t="s">
        <v>329</v>
      </c>
      <c r="B70" s="4870" t="s">
        <v>2960</v>
      </c>
      <c r="C70" s="4839" t="s">
        <v>28</v>
      </c>
      <c r="D70" s="4957">
        <v>45210</v>
      </c>
      <c r="E70" s="5071">
        <v>45217</v>
      </c>
      <c r="F70" s="4839" t="s">
        <v>151</v>
      </c>
      <c r="G70" s="4839" t="s">
        <v>361</v>
      </c>
      <c r="H70" s="4855">
        <v>45218</v>
      </c>
      <c r="I70" s="4841" t="s">
        <v>40</v>
      </c>
      <c r="J70" s="4870" t="s">
        <v>1353</v>
      </c>
      <c r="K70" s="4870" t="s">
        <v>331</v>
      </c>
      <c r="L70" s="4841">
        <v>462753</v>
      </c>
      <c r="M70" s="4855">
        <v>45219</v>
      </c>
      <c r="N70" s="4855">
        <v>45218</v>
      </c>
      <c r="O70" s="4855">
        <v>45218</v>
      </c>
      <c r="P70" s="4861" t="s">
        <v>2961</v>
      </c>
      <c r="Q70" s="4839" t="s">
        <v>35</v>
      </c>
      <c r="R70" s="4870" t="s">
        <v>36</v>
      </c>
      <c r="S70" s="4839" t="s">
        <v>37</v>
      </c>
      <c r="T70" s="106">
        <v>2200</v>
      </c>
      <c r="U70" s="106">
        <v>1820</v>
      </c>
      <c r="V70" s="106">
        <v>2</v>
      </c>
      <c r="W70" s="106">
        <f>IFERROR((OCT_2023[[#This Row],[Sales Amount]]-OCT_2023[[#This Row],[Cost]])/OCT_2023[[#This Row],[CNTR AMOUNT]],OCT_2023[[#This Row],[Sales Amount]]-OCT_2023[[#This Row],[Cost]])</f>
        <v>190</v>
      </c>
      <c r="X70" s="1580">
        <f>IFERROR(OCT_2023[[#This Row],[Profit]]/OCT_2023[[#This Row],[Cost]]," ")</f>
        <v>0.1043956043956044</v>
      </c>
      <c r="Y70" s="106"/>
      <c r="Z70" s="106"/>
    </row>
    <row r="71" spans="1:26" s="709" customFormat="1" ht="150">
      <c r="A71" s="117" t="s">
        <v>165</v>
      </c>
      <c r="B71" s="4167" t="s">
        <v>2962</v>
      </c>
      <c r="C71" s="117" t="s">
        <v>28</v>
      </c>
      <c r="D71" s="822">
        <v>45205</v>
      </c>
      <c r="E71" s="879">
        <v>45218</v>
      </c>
      <c r="F71" s="4150" t="s">
        <v>151</v>
      </c>
      <c r="G71" s="4173" t="s">
        <v>2922</v>
      </c>
      <c r="H71" s="4173">
        <v>45224</v>
      </c>
      <c r="I71" s="4150" t="s">
        <v>2963</v>
      </c>
      <c r="J71" s="4150" t="s">
        <v>673</v>
      </c>
      <c r="K71" s="4150" t="s">
        <v>742</v>
      </c>
      <c r="L71" s="4150">
        <v>2140</v>
      </c>
      <c r="M71" s="4173">
        <v>45219</v>
      </c>
      <c r="N71" s="4961">
        <v>45219</v>
      </c>
      <c r="O71" s="4961">
        <v>45224</v>
      </c>
      <c r="P71" s="4104" t="s">
        <v>2964</v>
      </c>
      <c r="Q71" s="117" t="s">
        <v>75</v>
      </c>
      <c r="R71" s="4150" t="s">
        <v>2965</v>
      </c>
      <c r="S71" s="117">
        <v>4</v>
      </c>
      <c r="T71" s="117">
        <v>1795</v>
      </c>
      <c r="U71" s="117">
        <v>1222.5999999999999</v>
      </c>
      <c r="V71" s="117">
        <v>1</v>
      </c>
      <c r="W71" s="3268">
        <f>OCT_2023[[#This Row],[Sales Amount]]-OCT_2023[[#This Row],[Cost]]</f>
        <v>572.40000000000009</v>
      </c>
      <c r="X71" s="3269">
        <f>OCT_2023[[#This Row],[Profit]]/OCT_2023[[#This Row],[Cost]]</f>
        <v>0.46818256175363987</v>
      </c>
      <c r="Y71" s="3268"/>
      <c r="Z71" s="3270"/>
    </row>
    <row r="72" spans="1:26" s="26" customFormat="1">
      <c r="A72" s="58" t="s">
        <v>2966</v>
      </c>
      <c r="B72" s="58" t="s">
        <v>2967</v>
      </c>
      <c r="C72" s="58" t="s">
        <v>200</v>
      </c>
      <c r="D72" s="844">
        <v>45207</v>
      </c>
      <c r="E72" s="1112">
        <v>45218</v>
      </c>
      <c r="F72" s="58" t="s">
        <v>56</v>
      </c>
      <c r="G72" s="915" t="s">
        <v>46</v>
      </c>
      <c r="H72" s="1588">
        <v>45219</v>
      </c>
      <c r="I72" s="1"/>
      <c r="J72" s="58" t="s">
        <v>1353</v>
      </c>
      <c r="K72" s="58" t="s">
        <v>2968</v>
      </c>
      <c r="L72" s="1589" t="s">
        <v>2969</v>
      </c>
      <c r="M72" s="1588">
        <v>45220</v>
      </c>
      <c r="N72" s="1380">
        <v>45219</v>
      </c>
      <c r="O72" s="1380">
        <v>45219</v>
      </c>
      <c r="P72" s="707" t="s">
        <v>2970</v>
      </c>
      <c r="Q72" s="58" t="s">
        <v>35</v>
      </c>
      <c r="R72" s="1" t="s">
        <v>36</v>
      </c>
      <c r="S72" s="58" t="s">
        <v>2971</v>
      </c>
      <c r="T72" s="26">
        <v>2635</v>
      </c>
      <c r="U72" s="26">
        <v>1986</v>
      </c>
      <c r="V72" s="26">
        <v>2</v>
      </c>
      <c r="W72" s="3255">
        <f>IFERROR((OCT_2023[[#This Row],[Sales Amount]]-OCT_2023[[#This Row],[Cost]])/OCT_2023[[#This Row],[CNTR AMOUNT]],OCT_2023[[#This Row],[Sales Amount]]-OCT_2023[[#This Row],[Cost]])</f>
        <v>324.5</v>
      </c>
      <c r="X72" s="3255">
        <f>IFERROR(OCT_2023[[#This Row],[Profit]]/OCT_2023[[#This Row],[Cost]]," ")</f>
        <v>0.16339375629405842</v>
      </c>
      <c r="Y72" s="3255"/>
      <c r="Z72" s="3256"/>
    </row>
    <row r="73" spans="1:26" s="26" customFormat="1">
      <c r="A73" s="4839" t="s">
        <v>2966</v>
      </c>
      <c r="B73" s="58" t="s">
        <v>2972</v>
      </c>
      <c r="C73" s="58" t="s">
        <v>200</v>
      </c>
      <c r="D73" s="844">
        <v>45207</v>
      </c>
      <c r="E73" s="1112">
        <v>45218</v>
      </c>
      <c r="F73" s="58" t="s">
        <v>56</v>
      </c>
      <c r="G73" s="915" t="s">
        <v>46</v>
      </c>
      <c r="H73" s="1115">
        <v>45219</v>
      </c>
      <c r="I73" s="58"/>
      <c r="J73" s="58" t="s">
        <v>1353</v>
      </c>
      <c r="K73" s="58" t="s">
        <v>2968</v>
      </c>
      <c r="L73" s="915" t="s">
        <v>2973</v>
      </c>
      <c r="M73" s="1115">
        <v>45220</v>
      </c>
      <c r="N73" s="1380">
        <v>45219</v>
      </c>
      <c r="O73" s="1380">
        <v>45219</v>
      </c>
      <c r="P73" s="709" t="s">
        <v>2974</v>
      </c>
      <c r="Q73" s="4839" t="s">
        <v>35</v>
      </c>
      <c r="R73" s="4870" t="s">
        <v>36</v>
      </c>
      <c r="S73" s="58" t="s">
        <v>2971</v>
      </c>
      <c r="T73" s="106">
        <v>1230</v>
      </c>
      <c r="U73" s="106">
        <v>928</v>
      </c>
      <c r="V73" s="106"/>
      <c r="W73" s="4874">
        <f>IFERROR((OCT_2023[[#This Row],[Sales Amount]]-OCT_2023[[#This Row],[Cost]])/OCT_2023[[#This Row],[CNTR AMOUNT]],OCT_2023[[#This Row],[Sales Amount]]-OCT_2023[[#This Row],[Cost]])</f>
        <v>302</v>
      </c>
      <c r="X73" s="4874">
        <f>IFERROR(OCT_2023[[#This Row],[Profit]]/OCT_2023[[#This Row],[Cost]]," ")</f>
        <v>0.32543103448275862</v>
      </c>
      <c r="Y73" s="4874"/>
      <c r="Z73" s="5058"/>
    </row>
    <row r="74" spans="1:26" s="507" customFormat="1" ht="30">
      <c r="A74" s="4845" t="s">
        <v>319</v>
      </c>
      <c r="B74" s="4150" t="s">
        <v>2975</v>
      </c>
      <c r="C74" s="117" t="s">
        <v>44</v>
      </c>
      <c r="D74" s="822">
        <v>45205</v>
      </c>
      <c r="E74" s="879">
        <v>45218</v>
      </c>
      <c r="F74" s="4150" t="s">
        <v>29</v>
      </c>
      <c r="G74" s="4150" t="s">
        <v>57</v>
      </c>
      <c r="H74" s="4918" t="s">
        <v>2976</v>
      </c>
      <c r="I74" s="766" t="s">
        <v>2977</v>
      </c>
      <c r="J74" s="117" t="s">
        <v>32</v>
      </c>
      <c r="K74" s="4150" t="s">
        <v>2978</v>
      </c>
      <c r="L74" s="4244" t="s">
        <v>2979</v>
      </c>
      <c r="M74" s="839">
        <v>45220</v>
      </c>
      <c r="N74" s="839">
        <v>45220</v>
      </c>
      <c r="O74" s="822">
        <v>45223</v>
      </c>
      <c r="P74" s="4104" t="s">
        <v>2980</v>
      </c>
      <c r="Q74" s="4845" t="s">
        <v>75</v>
      </c>
      <c r="R74" s="4908" t="s">
        <v>2981</v>
      </c>
      <c r="S74" s="117">
        <v>4</v>
      </c>
      <c r="T74" s="117">
        <v>1635</v>
      </c>
      <c r="U74" s="117">
        <v>1216</v>
      </c>
      <c r="V74" s="117">
        <v>1</v>
      </c>
      <c r="W74" s="4845">
        <f>OCT_2023[[#This Row],[Sales Amount]]-OCT_2023[[#This Row],[Cost]]</f>
        <v>419</v>
      </c>
      <c r="X74" s="5060">
        <f>OCT_2023[[#This Row],[Profit]]/OCT_2023[[#This Row],[Cost]]</f>
        <v>0.34457236842105265</v>
      </c>
      <c r="Y74" s="4845"/>
      <c r="Z74" s="5056"/>
    </row>
    <row r="75" spans="1:26" s="26" customFormat="1">
      <c r="A75" s="4882" t="s">
        <v>2396</v>
      </c>
      <c r="B75" s="707" t="s">
        <v>2982</v>
      </c>
      <c r="C75" s="707" t="s">
        <v>44</v>
      </c>
      <c r="D75" s="1612">
        <v>45218</v>
      </c>
      <c r="E75" s="1612">
        <v>45218</v>
      </c>
      <c r="F75" s="707" t="s">
        <v>167</v>
      </c>
      <c r="G75" s="707" t="s">
        <v>2983</v>
      </c>
      <c r="H75" s="4941">
        <v>45230</v>
      </c>
      <c r="I75" s="1654">
        <v>0.45833333333333331</v>
      </c>
      <c r="J75" s="707" t="s">
        <v>948</v>
      </c>
      <c r="K75" s="707" t="s">
        <v>2476</v>
      </c>
      <c r="L75" s="707"/>
      <c r="M75" s="1635">
        <v>45225</v>
      </c>
      <c r="N75" s="1635">
        <v>45226</v>
      </c>
      <c r="O75" s="1635">
        <v>45230</v>
      </c>
      <c r="P75" s="1019" t="s">
        <v>2984</v>
      </c>
      <c r="Q75" s="4882" t="s">
        <v>128</v>
      </c>
      <c r="R75" s="709" t="s">
        <v>36</v>
      </c>
      <c r="S75" s="709"/>
      <c r="T75" s="709">
        <v>1910</v>
      </c>
      <c r="U75" s="709">
        <f>1200+245</f>
        <v>1445</v>
      </c>
      <c r="V75" s="709">
        <v>1</v>
      </c>
      <c r="W75" s="4861">
        <f>IFERROR((OCT_2023[[#This Row],[Sales Amount]]-OCT_2023[[#This Row],[Cost]])/OCT_2023[[#This Row],[CNTR AMOUNT]],OCT_2023[[#This Row],[Sales Amount]]-OCT_2023[[#This Row],[Cost]])</f>
        <v>465</v>
      </c>
      <c r="X75" s="5072">
        <f>IFERROR(OCT_2023[[#This Row],[Profit]]/OCT_2023[[#This Row],[Cost]]," ")</f>
        <v>0.3217993079584775</v>
      </c>
      <c r="Y75" s="4861"/>
      <c r="Z75" s="5073"/>
    </row>
    <row r="76" spans="1:26" s="707" customFormat="1" ht="45">
      <c r="A76" s="3268" t="s">
        <v>313</v>
      </c>
      <c r="B76" s="4167" t="s">
        <v>2985</v>
      </c>
      <c r="C76" s="117" t="s">
        <v>28</v>
      </c>
      <c r="D76" s="822">
        <v>45213</v>
      </c>
      <c r="E76" s="879">
        <v>45219</v>
      </c>
      <c r="F76" s="4150" t="s">
        <v>63</v>
      </c>
      <c r="G76" s="4150" t="s">
        <v>152</v>
      </c>
      <c r="H76" s="822">
        <v>45222</v>
      </c>
      <c r="I76" s="4150" t="s">
        <v>2986</v>
      </c>
      <c r="J76" s="117" t="s">
        <v>32</v>
      </c>
      <c r="K76" s="4237" t="s">
        <v>2987</v>
      </c>
      <c r="L76" s="117">
        <v>5193</v>
      </c>
      <c r="M76" s="822">
        <v>45222</v>
      </c>
      <c r="N76" s="822">
        <v>45222</v>
      </c>
      <c r="O76" s="4245">
        <v>45225</v>
      </c>
      <c r="P76" s="4219" t="s">
        <v>2988</v>
      </c>
      <c r="Q76" s="3255" t="s">
        <v>75</v>
      </c>
      <c r="R76" s="4152" t="s">
        <v>2989</v>
      </c>
      <c r="S76" s="106">
        <v>4</v>
      </c>
      <c r="T76" s="106">
        <v>1560</v>
      </c>
      <c r="U76" s="106">
        <v>1198.5</v>
      </c>
      <c r="V76" s="106">
        <v>1</v>
      </c>
      <c r="W76" s="3075">
        <f>IFERROR((OCT_2023[[#This Row],[Sales Amount]]-OCT_2023[[#This Row],[Cost]])/OCT_2023[[#This Row],[CNTR AMOUNT]],OCT_2023[[#This Row],[Sales Amount]]-OCT_2023[[#This Row],[Cost]])</f>
        <v>361.5</v>
      </c>
      <c r="X76" s="3271">
        <f>IFERROR(OCT_2023[[#This Row],[Profit]]/OCT_2023[[#This Row],[Cost]]," ")</f>
        <v>0.30162703379224032</v>
      </c>
      <c r="Y76" s="3075"/>
      <c r="Z76" s="3250"/>
    </row>
    <row r="77" spans="1:26" s="117" customFormat="1">
      <c r="A77" s="4242" t="s">
        <v>468</v>
      </c>
      <c r="B77" s="4242" t="s">
        <v>2990</v>
      </c>
      <c r="C77" s="4242" t="s">
        <v>200</v>
      </c>
      <c r="D77" s="3262">
        <v>45208</v>
      </c>
      <c r="E77" s="4916">
        <v>45219</v>
      </c>
      <c r="F77" s="3272" t="s">
        <v>245</v>
      </c>
      <c r="G77" s="4242" t="s">
        <v>57</v>
      </c>
      <c r="H77" s="3262">
        <v>45222</v>
      </c>
      <c r="I77" s="3268" t="s">
        <v>2956</v>
      </c>
      <c r="J77" s="4242" t="s">
        <v>297</v>
      </c>
      <c r="K77" s="3273" t="s">
        <v>2796</v>
      </c>
      <c r="L77" s="117">
        <v>8699056</v>
      </c>
      <c r="M77" s="3262">
        <v>45221</v>
      </c>
      <c r="N77" s="3262">
        <v>45219</v>
      </c>
      <c r="O77" s="3262">
        <v>45222</v>
      </c>
      <c r="P77" s="4246" t="s">
        <v>2991</v>
      </c>
      <c r="Q77" s="3268" t="s">
        <v>75</v>
      </c>
      <c r="R77" s="4150" t="s">
        <v>2992</v>
      </c>
      <c r="S77" s="3268">
        <v>4</v>
      </c>
      <c r="T77" s="3268">
        <v>1705</v>
      </c>
      <c r="U77" s="4247">
        <v>1403.2</v>
      </c>
      <c r="V77" s="3268">
        <v>1</v>
      </c>
      <c r="W77" s="3268">
        <f>IFERROR((OCT_2023[[#This Row],[Sales Amount]]-OCT_2023[[#This Row],[Cost]])/OCT_2023[[#This Row],[CNTR AMOUNT]],OCT_2023[[#This Row],[Sales Amount]]-OCT_2023[[#This Row],[Cost]])</f>
        <v>301.79999999999995</v>
      </c>
      <c r="X77" s="3269">
        <f>IFERROR(OCT_2023[[#This Row],[Profit]]/OCT_2023[[#This Row],[Cost]]," ")</f>
        <v>0.21507981755986313</v>
      </c>
      <c r="Y77" s="3268"/>
      <c r="Z77" s="3268"/>
    </row>
    <row r="78" spans="1:26" s="117" customFormat="1" ht="30">
      <c r="A78" s="4150" t="s">
        <v>386</v>
      </c>
      <c r="B78" s="4150" t="s">
        <v>2993</v>
      </c>
      <c r="C78" s="117" t="s">
        <v>28</v>
      </c>
      <c r="D78" s="822">
        <v>45198</v>
      </c>
      <c r="E78" s="830">
        <v>45219</v>
      </c>
      <c r="F78" s="4150" t="s">
        <v>135</v>
      </c>
      <c r="G78" s="860" t="s">
        <v>302</v>
      </c>
      <c r="H78" s="822">
        <v>45222</v>
      </c>
      <c r="I78" s="4150" t="s">
        <v>1421</v>
      </c>
      <c r="J78" s="4150" t="s">
        <v>32</v>
      </c>
      <c r="K78" s="4150" t="s">
        <v>2994</v>
      </c>
      <c r="L78" s="4173" t="s">
        <v>2995</v>
      </c>
      <c r="M78" s="4233">
        <v>45222</v>
      </c>
      <c r="N78" s="4233">
        <v>45222</v>
      </c>
      <c r="O78" s="822">
        <v>45224</v>
      </c>
      <c r="P78" s="4237" t="s">
        <v>2996</v>
      </c>
      <c r="Q78" s="507" t="s">
        <v>75</v>
      </c>
      <c r="R78" s="4168" t="s">
        <v>2997</v>
      </c>
      <c r="S78" s="507">
        <v>4</v>
      </c>
      <c r="T78" s="507">
        <v>1490</v>
      </c>
      <c r="U78" s="3274">
        <v>1193</v>
      </c>
      <c r="V78" s="117">
        <f>OCT_2023[[#This Row],[Sales Amount]]-OCT_2023[[#This Row],[Cost]]</f>
        <v>297</v>
      </c>
      <c r="W78" s="3268">
        <f>IFERROR((OCT_2023[[#This Row],[Sales Amount]]-OCT_2023[[#This Row],[Cost]])/OCT_2023[[#This Row],[CNTR AMOUNT]],OCT_2023[[#This Row],[Sales Amount]]-OCT_2023[[#This Row],[Cost]])</f>
        <v>1</v>
      </c>
      <c r="X78" s="3269">
        <f>OCT_2023[[#This Row],[CNTR AMOUNT]]/OCT_2023[[#This Row],[Cost]]</f>
        <v>0.24895222129086336</v>
      </c>
      <c r="Y78" s="3268"/>
      <c r="Z78" s="3270"/>
    </row>
    <row r="79" spans="1:26" s="117" customFormat="1">
      <c r="A79" s="710" t="s">
        <v>329</v>
      </c>
      <c r="B79" s="1" t="s">
        <v>2998</v>
      </c>
      <c r="C79" s="58" t="s">
        <v>28</v>
      </c>
      <c r="D79" s="1139">
        <v>45210</v>
      </c>
      <c r="E79" s="1631">
        <v>45220</v>
      </c>
      <c r="F79" s="58" t="s">
        <v>151</v>
      </c>
      <c r="G79" s="58" t="s">
        <v>361</v>
      </c>
      <c r="H79" s="844">
        <v>45222</v>
      </c>
      <c r="I79" s="58" t="s">
        <v>290</v>
      </c>
      <c r="J79" s="1" t="s">
        <v>1353</v>
      </c>
      <c r="K79" s="1" t="s">
        <v>331</v>
      </c>
      <c r="L79" s="915">
        <v>133814</v>
      </c>
      <c r="M79" s="1115">
        <v>45222</v>
      </c>
      <c r="N79" s="1115">
        <v>45222</v>
      </c>
      <c r="O79" s="844">
        <v>45223</v>
      </c>
      <c r="P79" s="709" t="s">
        <v>2961</v>
      </c>
      <c r="Q79" s="3275" t="s">
        <v>35</v>
      </c>
      <c r="R79" s="1" t="s">
        <v>36</v>
      </c>
      <c r="S79" s="58" t="s">
        <v>37</v>
      </c>
      <c r="T79" s="106">
        <v>2200</v>
      </c>
      <c r="U79" s="106">
        <v>1820</v>
      </c>
      <c r="V79" s="106">
        <v>2</v>
      </c>
      <c r="W79" s="3075">
        <f>IFERROR((OCT_2023[[#This Row],[Sales Amount]]-OCT_2023[[#This Row],[Cost]])/OCT_2023[[#This Row],[CNTR AMOUNT]],OCT_2023[[#This Row],[Sales Amount]]-OCT_2023[[#This Row],[Cost]])</f>
        <v>190</v>
      </c>
      <c r="X79" s="3276">
        <f>IFERROR(OCT_2023[[#This Row],[Profit]]/OCT_2023[[#This Row],[Cost]]," ")</f>
        <v>0.1043956043956044</v>
      </c>
      <c r="Y79" s="3075"/>
      <c r="Z79" s="3250"/>
    </row>
    <row r="80" spans="1:26" s="117" customFormat="1">
      <c r="A80" s="4839" t="s">
        <v>2966</v>
      </c>
      <c r="B80" s="18" t="s">
        <v>2999</v>
      </c>
      <c r="C80" s="4839" t="s">
        <v>200</v>
      </c>
      <c r="D80" s="844">
        <v>45207</v>
      </c>
      <c r="E80" s="1112">
        <v>45220</v>
      </c>
      <c r="F80" s="58" t="s">
        <v>56</v>
      </c>
      <c r="G80" s="915" t="s">
        <v>46</v>
      </c>
      <c r="H80" s="1603">
        <v>45222</v>
      </c>
      <c r="I80" s="1"/>
      <c r="J80" s="58" t="s">
        <v>1353</v>
      </c>
      <c r="K80" s="58" t="s">
        <v>2968</v>
      </c>
      <c r="L80" s="1589" t="s">
        <v>3000</v>
      </c>
      <c r="M80" s="1588">
        <v>45221</v>
      </c>
      <c r="N80" s="1588">
        <v>45221</v>
      </c>
      <c r="O80" s="1380">
        <v>45222</v>
      </c>
      <c r="P80" s="707" t="s">
        <v>2970</v>
      </c>
      <c r="Q80" s="4839" t="s">
        <v>35</v>
      </c>
      <c r="R80" s="1" t="s">
        <v>36</v>
      </c>
      <c r="S80" s="58" t="s">
        <v>2971</v>
      </c>
      <c r="T80" s="26">
        <v>2635</v>
      </c>
      <c r="U80" s="26">
        <v>1986</v>
      </c>
      <c r="V80" s="26">
        <v>2</v>
      </c>
      <c r="W80" s="3255">
        <f>IFERROR((OCT_2023[[#This Row],[Sales Amount]]-OCT_2023[[#This Row],[Cost]])/OCT_2023[[#This Row],[CNTR AMOUNT]],OCT_2023[[#This Row],[Sales Amount]]-OCT_2023[[#This Row],[Cost]])</f>
        <v>324.5</v>
      </c>
      <c r="X80" s="3255">
        <f>IFERROR(OCT_2023[[#This Row],[Profit]]/OCT_2023[[#This Row],[Cost]]," ")</f>
        <v>0.16339375629405842</v>
      </c>
      <c r="Y80" s="3255"/>
      <c r="Z80" s="3256"/>
    </row>
    <row r="81" spans="1:26" s="709" customFormat="1">
      <c r="A81" s="707" t="s">
        <v>42</v>
      </c>
      <c r="B81" s="707" t="s">
        <v>3001</v>
      </c>
      <c r="C81" s="709" t="s">
        <v>994</v>
      </c>
      <c r="D81" s="1612">
        <v>45213</v>
      </c>
      <c r="E81" s="1614">
        <f>7+OCT_2023[[#This Row],[ETA PORT]]</f>
        <v>45220</v>
      </c>
      <c r="F81" s="707" t="s">
        <v>56</v>
      </c>
      <c r="G81" s="1651" t="s">
        <v>3002</v>
      </c>
      <c r="H81" s="707"/>
      <c r="I81" s="707"/>
      <c r="J81" s="707" t="s">
        <v>168</v>
      </c>
      <c r="K81" s="707" t="s">
        <v>310</v>
      </c>
      <c r="L81" s="707">
        <v>9758095</v>
      </c>
      <c r="M81" s="1612">
        <v>45222</v>
      </c>
      <c r="N81" s="1612">
        <v>45222</v>
      </c>
      <c r="O81" s="1612">
        <v>45224</v>
      </c>
      <c r="P81" s="1019" t="s">
        <v>3003</v>
      </c>
      <c r="Q81" s="707" t="s">
        <v>50</v>
      </c>
      <c r="R81" s="707" t="s">
        <v>51</v>
      </c>
      <c r="S81" s="707"/>
      <c r="T81" s="707"/>
      <c r="U81" s="707"/>
      <c r="V81" s="707"/>
      <c r="W81" s="3258">
        <f>IFERROR((OCT_2023[[#This Row],[Sales Amount]]-OCT_2023[[#This Row],[Cost]])/OCT_2023[[#This Row],[CNTR AMOUNT]],OCT_2023[[#This Row],[Sales Amount]]-OCT_2023[[#This Row],[Cost]])</f>
        <v>0</v>
      </c>
      <c r="X81" s="3258" t="str">
        <f>IFERROR(OCT_2023[[#This Row],[Profit]]/OCT_2023[[#This Row],[Cost]]," ")</f>
        <v xml:space="preserve"> </v>
      </c>
      <c r="Y81" s="3258"/>
      <c r="Z81" s="3259"/>
    </row>
    <row r="82" spans="1:26">
      <c r="A82" s="707" t="s">
        <v>42</v>
      </c>
      <c r="B82" s="707" t="s">
        <v>3004</v>
      </c>
      <c r="C82" s="709" t="s">
        <v>994</v>
      </c>
      <c r="D82" s="1612">
        <v>45213</v>
      </c>
      <c r="E82" s="1614">
        <f>7+OCT_2023[[#This Row],[ETA PORT]]</f>
        <v>45220</v>
      </c>
      <c r="F82" s="707" t="s">
        <v>56</v>
      </c>
      <c r="G82" s="1651" t="s">
        <v>3005</v>
      </c>
      <c r="H82" s="707"/>
      <c r="I82" s="707"/>
      <c r="J82" s="707" t="s">
        <v>168</v>
      </c>
      <c r="K82" s="707" t="s">
        <v>310</v>
      </c>
      <c r="L82" s="4882">
        <v>9758205</v>
      </c>
      <c r="M82" s="1612">
        <v>45222</v>
      </c>
      <c r="N82" s="1612">
        <v>45222</v>
      </c>
      <c r="O82" s="1612">
        <v>45225</v>
      </c>
      <c r="P82" s="1019" t="s">
        <v>3006</v>
      </c>
      <c r="Q82" s="707" t="s">
        <v>50</v>
      </c>
      <c r="R82" s="707" t="s">
        <v>51</v>
      </c>
      <c r="S82" s="707"/>
      <c r="T82" s="707"/>
      <c r="U82" s="707"/>
      <c r="V82" s="707"/>
      <c r="W82" s="3258">
        <f>IFERROR((OCT_2023[[#This Row],[Sales Amount]]-OCT_2023[[#This Row],[Cost]])/OCT_2023[[#This Row],[CNTR AMOUNT]],OCT_2023[[#This Row],[Sales Amount]]-OCT_2023[[#This Row],[Cost]])</f>
        <v>0</v>
      </c>
      <c r="X82" s="3258" t="str">
        <f>IFERROR(OCT_2023[[#This Row],[Profit]]/OCT_2023[[#This Row],[Cost]]," ")</f>
        <v xml:space="preserve"> </v>
      </c>
      <c r="Y82" s="3258"/>
      <c r="Z82" s="3259"/>
    </row>
    <row r="83" spans="1:26" s="117" customFormat="1">
      <c r="A83" s="707" t="s">
        <v>42</v>
      </c>
      <c r="B83" s="4882" t="s">
        <v>3007</v>
      </c>
      <c r="C83" s="709" t="s">
        <v>994</v>
      </c>
      <c r="D83" s="1612">
        <v>45213</v>
      </c>
      <c r="E83" s="1614">
        <f>7+OCT_2023[[#This Row],[ETA PORT]]</f>
        <v>45220</v>
      </c>
      <c r="F83" s="707" t="s">
        <v>56</v>
      </c>
      <c r="G83" s="1651" t="s">
        <v>2206</v>
      </c>
      <c r="H83" s="707"/>
      <c r="I83" s="707"/>
      <c r="J83" s="707" t="s">
        <v>32</v>
      </c>
      <c r="K83" s="707" t="s">
        <v>310</v>
      </c>
      <c r="L83" s="707">
        <v>9758104</v>
      </c>
      <c r="M83" s="1612">
        <v>45222</v>
      </c>
      <c r="N83" s="1612">
        <v>45222</v>
      </c>
      <c r="O83" s="1612">
        <v>45225</v>
      </c>
      <c r="P83" s="4871" t="s">
        <v>3008</v>
      </c>
      <c r="Q83" s="707" t="s">
        <v>50</v>
      </c>
      <c r="R83" s="707" t="s">
        <v>51</v>
      </c>
      <c r="S83" s="707"/>
      <c r="T83" s="707"/>
      <c r="U83" s="707"/>
      <c r="V83" s="707"/>
      <c r="W83" s="4882">
        <f>IFERROR((OCT_2023[[#This Row],[Sales Amount]]-OCT_2023[[#This Row],[Cost]])/OCT_2023[[#This Row],[CNTR AMOUNT]],OCT_2023[[#This Row],[Sales Amount]]-OCT_2023[[#This Row],[Cost]])</f>
        <v>0</v>
      </c>
      <c r="X83" s="4882" t="str">
        <f>IFERROR(OCT_2023[[#This Row],[Profit]]/OCT_2023[[#This Row],[Cost]]," ")</f>
        <v xml:space="preserve"> </v>
      </c>
      <c r="Y83" s="4882"/>
      <c r="Z83" s="5055"/>
    </row>
    <row r="84" spans="1:26" s="117" customFormat="1">
      <c r="A84" s="4150" t="s">
        <v>468</v>
      </c>
      <c r="B84" s="5067" t="s">
        <v>3009</v>
      </c>
      <c r="C84" s="4150" t="s">
        <v>200</v>
      </c>
      <c r="D84" s="822">
        <v>45205</v>
      </c>
      <c r="E84" s="879">
        <v>45221</v>
      </c>
      <c r="F84" s="908" t="s">
        <v>245</v>
      </c>
      <c r="G84" s="4150" t="s">
        <v>57</v>
      </c>
      <c r="H84" s="822">
        <v>45223</v>
      </c>
      <c r="J84" s="4150" t="s">
        <v>3010</v>
      </c>
      <c r="K84" s="4150" t="s">
        <v>3011</v>
      </c>
      <c r="L84" s="4150">
        <v>8892523</v>
      </c>
      <c r="M84" s="822">
        <v>45223</v>
      </c>
      <c r="N84" s="822">
        <v>45223</v>
      </c>
      <c r="O84" s="1547">
        <v>45223</v>
      </c>
      <c r="P84" s="5049" t="s">
        <v>3012</v>
      </c>
      <c r="Q84" s="106" t="s">
        <v>75</v>
      </c>
      <c r="R84" s="4152" t="s">
        <v>3013</v>
      </c>
      <c r="S84" s="106">
        <v>4</v>
      </c>
      <c r="T84" s="106">
        <v>1160</v>
      </c>
      <c r="U84" s="106">
        <v>1117.9000000000001</v>
      </c>
      <c r="V84" s="106">
        <v>1</v>
      </c>
      <c r="W84" s="3075">
        <f>IFERROR((OCT_2023[[#This Row],[Sales Amount]]-OCT_2023[[#This Row],[Cost]])/OCT_2023[[#This Row],[CNTR AMOUNT]],OCT_2023[[#This Row],[Sales Amount]]-OCT_2023[[#This Row],[Cost]])</f>
        <v>42.099999999999909</v>
      </c>
      <c r="X84" s="3271">
        <f>IFERROR(OCT_2023[[#This Row],[Profit]]/OCT_2023[[#This Row],[Cost]]," ")</f>
        <v>3.7659898023078904E-2</v>
      </c>
      <c r="Y84" s="3075"/>
      <c r="Z84" s="3250"/>
    </row>
    <row r="85" spans="1:26" s="117" customFormat="1" ht="45">
      <c r="A85" s="1617" t="s">
        <v>409</v>
      </c>
      <c r="B85" s="4150" t="s">
        <v>3014</v>
      </c>
      <c r="C85" s="117" t="s">
        <v>44</v>
      </c>
      <c r="D85" s="822">
        <v>45213</v>
      </c>
      <c r="E85" s="879">
        <v>45222</v>
      </c>
      <c r="F85" s="1617" t="s">
        <v>151</v>
      </c>
      <c r="G85" s="1617" t="s">
        <v>3015</v>
      </c>
      <c r="H85" s="766" t="s">
        <v>3016</v>
      </c>
      <c r="I85" s="766" t="s">
        <v>3017</v>
      </c>
      <c r="J85" s="4104" t="s">
        <v>3018</v>
      </c>
      <c r="K85" s="1617" t="s">
        <v>3019</v>
      </c>
      <c r="L85" s="117" t="s">
        <v>3020</v>
      </c>
      <c r="M85" s="839">
        <v>45225</v>
      </c>
      <c r="N85" s="822">
        <v>45224</v>
      </c>
      <c r="O85" s="4173">
        <v>45225</v>
      </c>
      <c r="P85" s="4104" t="s">
        <v>3021</v>
      </c>
      <c r="Q85" s="117" t="s">
        <v>75</v>
      </c>
      <c r="R85" s="4150" t="s">
        <v>3022</v>
      </c>
      <c r="T85" s="117">
        <v>920</v>
      </c>
      <c r="U85" s="117">
        <v>490</v>
      </c>
      <c r="V85" s="117">
        <v>1</v>
      </c>
      <c r="W85" s="3268">
        <f>IFERROR((OCT_2023[[#This Row],[Sales Amount]]-OCT_2023[[#This Row],[Cost]])/OCT_2023[[#This Row],[CNTR AMOUNT]],OCT_2023[[#This Row],[Sales Amount]]-OCT_2023[[#This Row],[Cost]])</f>
        <v>430</v>
      </c>
      <c r="X85" s="3269">
        <f>IFERROR(OCT_2023[[#This Row],[Profit]]/OCT_2023[[#This Row],[Cost]]," ")</f>
        <v>0.87755102040816324</v>
      </c>
      <c r="Y85" s="3268"/>
      <c r="Z85" s="3270"/>
    </row>
    <row r="86" spans="1:26">
      <c r="A86" s="4150" t="s">
        <v>165</v>
      </c>
      <c r="B86" s="4168" t="s">
        <v>3023</v>
      </c>
      <c r="C86" s="117" t="s">
        <v>44</v>
      </c>
      <c r="D86" s="822">
        <v>45218</v>
      </c>
      <c r="E86" s="879">
        <v>45222</v>
      </c>
      <c r="F86" s="4168" t="s">
        <v>167</v>
      </c>
      <c r="G86" s="4168" t="s">
        <v>46</v>
      </c>
      <c r="H86" s="4173">
        <v>45224</v>
      </c>
      <c r="I86" s="4168" t="s">
        <v>672</v>
      </c>
      <c r="J86" s="1613" t="s">
        <v>32</v>
      </c>
      <c r="K86" s="4168" t="s">
        <v>2013</v>
      </c>
      <c r="L86" s="4168" t="s">
        <v>3024</v>
      </c>
      <c r="M86" s="4173">
        <v>45224</v>
      </c>
      <c r="N86" s="4173">
        <v>45224</v>
      </c>
      <c r="O86" s="4173">
        <v>45224</v>
      </c>
      <c r="P86" s="4237" t="s">
        <v>3025</v>
      </c>
      <c r="Q86" s="117" t="s">
        <v>75</v>
      </c>
      <c r="R86" s="4150" t="s">
        <v>3026</v>
      </c>
      <c r="S86" s="117">
        <v>4</v>
      </c>
      <c r="T86" s="117">
        <v>1070</v>
      </c>
      <c r="U86" s="117">
        <v>870</v>
      </c>
      <c r="V86" s="117">
        <v>1</v>
      </c>
      <c r="W86" s="3268">
        <f>IFERROR((OCT_2023[[#This Row],[Sales Amount]]-OCT_2023[[#This Row],[Cost]])/OCT_2023[[#This Row],[CNTR AMOUNT]],OCT_2023[[#This Row],[Sales Amount]]-OCT_2023[[#This Row],[Cost]])</f>
        <v>200</v>
      </c>
      <c r="X86" s="3269">
        <f>IFERROR(OCT_2023[[#This Row],[Profit]]/OCT_2023[[#This Row],[Cost]]," ")</f>
        <v>0.22988505747126436</v>
      </c>
      <c r="Y86" s="3268"/>
      <c r="Z86" s="3270"/>
    </row>
    <row r="87" spans="1:26" s="117" customFormat="1" ht="30">
      <c r="A87" s="3272" t="s">
        <v>2847</v>
      </c>
      <c r="B87" s="1628" t="s">
        <v>3027</v>
      </c>
      <c r="C87" s="908" t="s">
        <v>28</v>
      </c>
      <c r="D87" s="1388">
        <v>45203</v>
      </c>
      <c r="E87" s="1604">
        <v>45222</v>
      </c>
      <c r="F87" s="908" t="s">
        <v>93</v>
      </c>
      <c r="G87" s="908" t="s">
        <v>2849</v>
      </c>
      <c r="H87" s="822">
        <v>45224</v>
      </c>
      <c r="I87" s="4150" t="s">
        <v>108</v>
      </c>
      <c r="J87" s="4150" t="s">
        <v>322</v>
      </c>
      <c r="K87" s="3272" t="s">
        <v>2850</v>
      </c>
      <c r="L87" s="766">
        <v>8932288</v>
      </c>
      <c r="M87" s="839">
        <v>45224</v>
      </c>
      <c r="N87" s="839">
        <v>45224</v>
      </c>
      <c r="O87" s="822">
        <v>45224</v>
      </c>
      <c r="P87" s="922" t="s">
        <v>2912</v>
      </c>
      <c r="Q87" s="3268" t="s">
        <v>75</v>
      </c>
      <c r="R87" s="4150" t="s">
        <v>3028</v>
      </c>
      <c r="S87" s="117">
        <v>4</v>
      </c>
      <c r="T87" s="117">
        <v>975</v>
      </c>
      <c r="U87" s="117">
        <v>696.25</v>
      </c>
      <c r="V87" s="117">
        <v>6</v>
      </c>
      <c r="W87" s="4845">
        <f>IFERROR((OCT_2023[[#This Row],[Sales Amount]]-OCT_2023[[#This Row],[Cost]])/OCT_2023[[#This Row],[CNTR AMOUNT]],OCT_2023[[#This Row],[Sales Amount]]-OCT_2023[[#This Row],[Cost]])</f>
        <v>46.458333333333336</v>
      </c>
      <c r="X87" s="4845">
        <f>IFERROR(OCT_2023[[#This Row],[Profit]]/OCT_2023[[#This Row],[Cost]]," ")</f>
        <v>6.6726511071214842E-2</v>
      </c>
      <c r="Y87" s="4845"/>
      <c r="Z87" s="5056"/>
    </row>
    <row r="88" spans="1:26" s="117" customFormat="1">
      <c r="A88" s="58" t="s">
        <v>171</v>
      </c>
      <c r="B88" s="58" t="s">
        <v>3029</v>
      </c>
      <c r="C88" s="58" t="s">
        <v>28</v>
      </c>
      <c r="D88" s="1139">
        <v>45206</v>
      </c>
      <c r="E88" s="1112">
        <v>45223</v>
      </c>
      <c r="F88" s="1641" t="s">
        <v>173</v>
      </c>
      <c r="G88" s="58" t="s">
        <v>46</v>
      </c>
      <c r="H88" s="844">
        <v>45215</v>
      </c>
      <c r="I88" s="58"/>
      <c r="J88" s="1" t="s">
        <v>32</v>
      </c>
      <c r="K88" s="58" t="s">
        <v>174</v>
      </c>
      <c r="L88" s="1589" t="s">
        <v>3030</v>
      </c>
      <c r="M88" s="1588">
        <v>45215</v>
      </c>
      <c r="N88" s="1588">
        <v>45215</v>
      </c>
      <c r="O88" s="1606">
        <v>45215</v>
      </c>
      <c r="P88" s="707" t="s">
        <v>3031</v>
      </c>
      <c r="Q88" s="3261" t="s">
        <v>35</v>
      </c>
      <c r="R88" s="1" t="s">
        <v>36</v>
      </c>
      <c r="S88" s="58" t="s">
        <v>37</v>
      </c>
      <c r="T88" s="106">
        <v>640</v>
      </c>
      <c r="U88" s="106">
        <v>518</v>
      </c>
      <c r="V88" s="106"/>
      <c r="W88" s="3075">
        <f>IFERROR((OCT_2023[[#This Row],[Sales Amount]]-OCT_2023[[#This Row],[Cost]])/OCT_2023[[#This Row],[CNTR AMOUNT]],OCT_2023[[#This Row],[Sales Amount]]-OCT_2023[[#This Row],[Cost]])</f>
        <v>122</v>
      </c>
      <c r="X88" s="3075">
        <f>IFERROR(OCT_2023[[#This Row],[Profit]]/OCT_2023[[#This Row],[Cost]]," ")</f>
        <v>0.23552123552123552</v>
      </c>
      <c r="Y88" s="3075"/>
      <c r="Z88" s="3250"/>
    </row>
    <row r="89" spans="1:26" ht="90">
      <c r="A89" s="117" t="s">
        <v>1051</v>
      </c>
      <c r="B89" s="1382" t="s">
        <v>3032</v>
      </c>
      <c r="C89" s="117" t="s">
        <v>200</v>
      </c>
      <c r="D89" s="822">
        <v>45209</v>
      </c>
      <c r="E89" s="879">
        <v>45223</v>
      </c>
      <c r="F89" s="1209" t="s">
        <v>29</v>
      </c>
      <c r="G89" s="120" t="s">
        <v>57</v>
      </c>
      <c r="H89" s="653">
        <v>45226</v>
      </c>
      <c r="I89" s="4193" t="s">
        <v>3033</v>
      </c>
      <c r="J89" s="4150" t="s">
        <v>32</v>
      </c>
      <c r="K89" s="4104" t="s">
        <v>3034</v>
      </c>
      <c r="L89" s="117">
        <v>9360861</v>
      </c>
      <c r="M89" s="4173">
        <v>45225</v>
      </c>
      <c r="N89" s="4173">
        <v>45225</v>
      </c>
      <c r="O89" s="822">
        <v>45229</v>
      </c>
      <c r="P89" s="4104" t="s">
        <v>3035</v>
      </c>
      <c r="Q89" s="117" t="s">
        <v>75</v>
      </c>
      <c r="R89" s="4150" t="s">
        <v>3036</v>
      </c>
      <c r="S89" s="117">
        <v>4</v>
      </c>
      <c r="T89" s="117">
        <v>1880</v>
      </c>
      <c r="U89" s="117">
        <v>1105</v>
      </c>
      <c r="V89" s="117">
        <v>1</v>
      </c>
      <c r="W89" s="4845">
        <f>IFERROR((OCT_2023[[#This Row],[Sales Amount]]-OCT_2023[[#This Row],[Cost]])/OCT_2023[[#This Row],[CNTR AMOUNT]],OCT_2023[[#This Row],[Sales Amount]]-OCT_2023[[#This Row],[Cost]])</f>
        <v>775</v>
      </c>
      <c r="X89" s="5060">
        <f>IFERROR(OCT_2023[[#This Row],[Profit]]/OCT_2023[[#This Row],[Cost]]," ")</f>
        <v>0.70135746606334837</v>
      </c>
      <c r="Y89" s="4845"/>
      <c r="Z89" s="5056"/>
    </row>
    <row r="90" spans="1:26" s="326" customFormat="1">
      <c r="A90" s="1" t="s">
        <v>1035</v>
      </c>
      <c r="B90" s="1" t="s">
        <v>3037</v>
      </c>
      <c r="C90" s="1" t="s">
        <v>28</v>
      </c>
      <c r="D90" s="844">
        <v>45211</v>
      </c>
      <c r="E90" s="1608">
        <v>45223</v>
      </c>
      <c r="F90" s="58" t="s">
        <v>151</v>
      </c>
      <c r="G90" s="1" t="s">
        <v>46</v>
      </c>
      <c r="H90" s="58" t="s">
        <v>1038</v>
      </c>
      <c r="I90" s="1"/>
      <c r="J90" s="1" t="s">
        <v>32</v>
      </c>
      <c r="K90" s="1344" t="s">
        <v>162</v>
      </c>
      <c r="L90" s="913" t="s">
        <v>3038</v>
      </c>
      <c r="M90" s="1603">
        <v>45225</v>
      </c>
      <c r="N90" s="1607">
        <v>45224</v>
      </c>
      <c r="O90" s="1607">
        <v>45225</v>
      </c>
      <c r="P90" s="1019" t="s">
        <v>3039</v>
      </c>
      <c r="Q90" s="1" t="s">
        <v>35</v>
      </c>
      <c r="R90" s="1" t="s">
        <v>36</v>
      </c>
      <c r="S90" s="58" t="s">
        <v>1320</v>
      </c>
      <c r="T90" s="26"/>
      <c r="U90" s="26"/>
      <c r="V90" s="26"/>
      <c r="W90" s="3255">
        <f>IFERROR((OCT_2023[[#This Row],[Sales Amount]]-OCT_2023[[#This Row],[Cost]])/OCT_2023[[#This Row],[CNTR AMOUNT]],OCT_2023[[#This Row],[Sales Amount]]-OCT_2023[[#This Row],[Cost]])</f>
        <v>0</v>
      </c>
      <c r="X90" s="3255" t="str">
        <f>IFERROR(OCT_2023[[#This Row],[Profit]]/OCT_2023[[#This Row],[Cost]]," ")</f>
        <v xml:space="preserve"> </v>
      </c>
      <c r="Y90" s="3255"/>
      <c r="Z90" s="3256"/>
    </row>
    <row r="91" spans="1:26" s="1358" customFormat="1">
      <c r="A91" s="710" t="s">
        <v>26</v>
      </c>
      <c r="B91" s="1344" t="s">
        <v>3040</v>
      </c>
      <c r="C91" s="58" t="s">
        <v>200</v>
      </c>
      <c r="D91" s="1139">
        <v>45219</v>
      </c>
      <c r="E91" s="1640">
        <v>45224</v>
      </c>
      <c r="F91" s="58" t="s">
        <v>167</v>
      </c>
      <c r="G91" s="58" t="s">
        <v>1599</v>
      </c>
      <c r="H91" s="1115">
        <v>45226</v>
      </c>
      <c r="I91" s="915" t="s">
        <v>115</v>
      </c>
      <c r="J91" s="1" t="s">
        <v>32</v>
      </c>
      <c r="K91" s="58" t="s">
        <v>1140</v>
      </c>
      <c r="L91" s="915">
        <v>83073164</v>
      </c>
      <c r="M91" s="1115">
        <v>45226</v>
      </c>
      <c r="N91" s="1115">
        <v>45226</v>
      </c>
      <c r="O91" s="1115">
        <v>45226</v>
      </c>
      <c r="P91" s="1019" t="s">
        <v>3041</v>
      </c>
      <c r="Q91" s="3261" t="s">
        <v>35</v>
      </c>
      <c r="R91" s="1" t="s">
        <v>36</v>
      </c>
      <c r="S91" s="7" t="s">
        <v>37</v>
      </c>
      <c r="T91" s="106">
        <v>1245</v>
      </c>
      <c r="U91" s="106">
        <v>986</v>
      </c>
      <c r="V91" s="106"/>
      <c r="W91" s="3075">
        <f>IFERROR((OCT_2023[[#This Row],[Sales Amount]]-OCT_2023[[#This Row],[Cost]])/OCT_2023[[#This Row],[CNTR AMOUNT]],OCT_2023[[#This Row],[Sales Amount]]-OCT_2023[[#This Row],[Cost]])</f>
        <v>259</v>
      </c>
      <c r="X91" s="3276">
        <f>IFERROR(OCT_2023[[#This Row],[Profit]]/OCT_2023[[#This Row],[Cost]]," ")</f>
        <v>0.26267748478701824</v>
      </c>
      <c r="Y91" s="3075"/>
      <c r="Z91" s="3250"/>
    </row>
    <row r="92" spans="1:26" s="26" customFormat="1">
      <c r="A92" s="707" t="s">
        <v>42</v>
      </c>
      <c r="B92" s="707" t="s">
        <v>3042</v>
      </c>
      <c r="C92" s="709" t="s">
        <v>28</v>
      </c>
      <c r="D92" s="1612">
        <v>45216</v>
      </c>
      <c r="E92" s="877">
        <v>45224</v>
      </c>
      <c r="F92" s="707" t="s">
        <v>56</v>
      </c>
      <c r="G92" s="707" t="s">
        <v>2206</v>
      </c>
      <c r="H92" s="707"/>
      <c r="I92" s="707"/>
      <c r="J92" s="707" t="s">
        <v>168</v>
      </c>
      <c r="K92" s="707" t="s">
        <v>310</v>
      </c>
      <c r="L92" s="707">
        <v>9211751</v>
      </c>
      <c r="M92" s="1612">
        <v>45226</v>
      </c>
      <c r="N92" s="1612">
        <v>45226</v>
      </c>
      <c r="O92" s="1612">
        <v>45229</v>
      </c>
      <c r="P92" s="1019" t="s">
        <v>3043</v>
      </c>
      <c r="Q92" s="707" t="s">
        <v>50</v>
      </c>
      <c r="R92" s="1" t="s">
        <v>36</v>
      </c>
      <c r="S92" s="707"/>
      <c r="T92" s="707"/>
      <c r="U92" s="707"/>
      <c r="V92" s="707"/>
      <c r="W92" s="3258">
        <f>IFERROR((OCT_2023[[#This Row],[Sales Amount]]-OCT_2023[[#This Row],[Cost]])/OCT_2023[[#This Row],[CNTR AMOUNT]],OCT_2023[[#This Row],[Sales Amount]]-OCT_2023[[#This Row],[Cost]])</f>
        <v>0</v>
      </c>
      <c r="X92" s="707" t="str">
        <f>IFERROR(OCT_2023[[#This Row],[Profit]]/OCT_2023[[#This Row],[Cost]]," ")</f>
        <v xml:space="preserve"> </v>
      </c>
      <c r="Y92" s="3258"/>
      <c r="Z92" s="3259"/>
    </row>
    <row r="93" spans="1:26" s="26" customFormat="1">
      <c r="A93" s="1" t="s">
        <v>1035</v>
      </c>
      <c r="B93" s="1" t="s">
        <v>3044</v>
      </c>
      <c r="C93" s="1" t="s">
        <v>28</v>
      </c>
      <c r="D93" s="844">
        <v>45211</v>
      </c>
      <c r="E93" s="1702">
        <v>45224</v>
      </c>
      <c r="F93" s="58" t="s">
        <v>151</v>
      </c>
      <c r="G93" s="1" t="s">
        <v>46</v>
      </c>
      <c r="H93" s="1" t="s">
        <v>1038</v>
      </c>
      <c r="I93" s="1"/>
      <c r="J93" s="1" t="s">
        <v>32</v>
      </c>
      <c r="K93" s="1344" t="s">
        <v>162</v>
      </c>
      <c r="L93" s="913" t="s">
        <v>3045</v>
      </c>
      <c r="M93" s="1603">
        <v>45226</v>
      </c>
      <c r="N93" s="1588">
        <v>45225</v>
      </c>
      <c r="O93" s="1588">
        <v>45225</v>
      </c>
      <c r="P93" s="1019" t="s">
        <v>3039</v>
      </c>
      <c r="Q93" s="1" t="s">
        <v>35</v>
      </c>
      <c r="R93" s="1" t="s">
        <v>36</v>
      </c>
      <c r="S93" s="58" t="s">
        <v>1320</v>
      </c>
      <c r="W93" s="4873">
        <f>IFERROR((OCT_2023[[#This Row],[Sales Amount]]-OCT_2023[[#This Row],[Cost]])/OCT_2023[[#This Row],[CNTR AMOUNT]],OCT_2023[[#This Row],[Sales Amount]]-OCT_2023[[#This Row],[Cost]])</f>
        <v>0</v>
      </c>
      <c r="X93" s="4873" t="str">
        <f>IFERROR(OCT_2023[[#This Row],[Profit]]/OCT_2023[[#This Row],[Cost]]," ")</f>
        <v xml:space="preserve"> </v>
      </c>
      <c r="Y93" s="4873"/>
      <c r="Z93" s="5074"/>
    </row>
    <row r="94" spans="1:26" s="1539" customFormat="1">
      <c r="A94" s="1" t="s">
        <v>1035</v>
      </c>
      <c r="B94" s="1" t="s">
        <v>3046</v>
      </c>
      <c r="C94" s="1" t="s">
        <v>28</v>
      </c>
      <c r="D94" s="844">
        <v>45211</v>
      </c>
      <c r="E94" s="1608">
        <v>45224</v>
      </c>
      <c r="F94" s="58" t="s">
        <v>151</v>
      </c>
      <c r="G94" s="1" t="s">
        <v>46</v>
      </c>
      <c r="H94" s="58" t="s">
        <v>1038</v>
      </c>
      <c r="I94" s="1"/>
      <c r="J94" s="1" t="s">
        <v>32</v>
      </c>
      <c r="K94" s="1344" t="s">
        <v>162</v>
      </c>
      <c r="L94" s="913" t="s">
        <v>3047</v>
      </c>
      <c r="M94" s="1603">
        <v>45226</v>
      </c>
      <c r="N94" s="1588">
        <v>45225</v>
      </c>
      <c r="O94" s="1588">
        <v>45225</v>
      </c>
      <c r="P94" s="1019" t="s">
        <v>3039</v>
      </c>
      <c r="Q94" s="1" t="s">
        <v>35</v>
      </c>
      <c r="R94" s="1" t="s">
        <v>36</v>
      </c>
      <c r="S94" s="58" t="s">
        <v>1320</v>
      </c>
      <c r="T94" s="26"/>
      <c r="U94" s="26"/>
      <c r="V94" s="26"/>
      <c r="W94" s="3255">
        <f>IFERROR((OCT_2023[[#This Row],[Sales Amount]]-OCT_2023[[#This Row],[Cost]])/OCT_2023[[#This Row],[CNTR AMOUNT]],OCT_2023[[#This Row],[Sales Amount]]-OCT_2023[[#This Row],[Cost]])</f>
        <v>0</v>
      </c>
      <c r="X94" s="3255" t="str">
        <f>IFERROR(OCT_2023[[#This Row],[Profit]]/OCT_2023[[#This Row],[Cost]]," ")</f>
        <v xml:space="preserve"> </v>
      </c>
      <c r="Y94" s="3255"/>
      <c r="Z94" s="3256"/>
    </row>
    <row r="95" spans="1:26">
      <c r="A95" s="1" t="s">
        <v>1035</v>
      </c>
      <c r="B95" s="1" t="s">
        <v>3048</v>
      </c>
      <c r="C95" s="1" t="s">
        <v>28</v>
      </c>
      <c r="D95" s="844">
        <v>45211</v>
      </c>
      <c r="E95" s="1608">
        <v>45224</v>
      </c>
      <c r="F95" s="58" t="s">
        <v>151</v>
      </c>
      <c r="G95" s="1" t="s">
        <v>46</v>
      </c>
      <c r="H95" s="58" t="s">
        <v>1038</v>
      </c>
      <c r="I95" s="1"/>
      <c r="J95" s="1062" t="s">
        <v>32</v>
      </c>
      <c r="K95" s="1344" t="s">
        <v>162</v>
      </c>
      <c r="L95" s="913" t="s">
        <v>3049</v>
      </c>
      <c r="M95" s="1603">
        <v>45226</v>
      </c>
      <c r="N95" s="1588">
        <v>45225</v>
      </c>
      <c r="O95" s="1588">
        <v>45225</v>
      </c>
      <c r="P95" s="1019" t="s">
        <v>3039</v>
      </c>
      <c r="Q95" s="1" t="s">
        <v>35</v>
      </c>
      <c r="R95" s="1" t="s">
        <v>36</v>
      </c>
      <c r="S95" s="58" t="s">
        <v>1320</v>
      </c>
      <c r="T95" s="26"/>
      <c r="U95" s="26"/>
      <c r="V95" s="26"/>
      <c r="W95" s="3255">
        <f>IFERROR((OCT_2023[[#This Row],[Sales Amount]]-OCT_2023[[#This Row],[Cost]])/OCT_2023[[#This Row],[CNTR AMOUNT]],OCT_2023[[#This Row],[Sales Amount]]-OCT_2023[[#This Row],[Cost]])</f>
        <v>0</v>
      </c>
      <c r="X95" s="3255" t="str">
        <f>IFERROR(OCT_2023[[#This Row],[Profit]]/OCT_2023[[#This Row],[Cost]]," ")</f>
        <v xml:space="preserve"> </v>
      </c>
      <c r="Y95" s="3255"/>
      <c r="Z95" s="3256"/>
    </row>
    <row r="96" spans="1:26" s="117" customFormat="1" ht="75">
      <c r="A96" s="117" t="s">
        <v>2489</v>
      </c>
      <c r="B96" s="4150" t="s">
        <v>3050</v>
      </c>
      <c r="C96" s="117" t="s">
        <v>28</v>
      </c>
      <c r="D96" s="822">
        <v>45201</v>
      </c>
      <c r="E96" s="879">
        <v>45216</v>
      </c>
      <c r="F96" s="117" t="s">
        <v>93</v>
      </c>
      <c r="G96" s="4150" t="s">
        <v>2491</v>
      </c>
      <c r="H96" s="822">
        <v>45236</v>
      </c>
      <c r="I96" s="1647"/>
      <c r="J96" s="4193" t="s">
        <v>297</v>
      </c>
      <c r="K96" s="117" t="s">
        <v>2493</v>
      </c>
      <c r="L96" s="1716" t="s">
        <v>3051</v>
      </c>
      <c r="M96" s="839" t="s">
        <v>2928</v>
      </c>
      <c r="N96" s="4173" t="s">
        <v>3052</v>
      </c>
      <c r="O96" s="822">
        <v>45238</v>
      </c>
      <c r="P96" s="4104" t="s">
        <v>3053</v>
      </c>
      <c r="Q96" s="117" t="s">
        <v>75</v>
      </c>
      <c r="R96" s="806" t="s">
        <v>3054</v>
      </c>
      <c r="S96" s="117">
        <v>4</v>
      </c>
      <c r="T96" s="117">
        <v>3236</v>
      </c>
      <c r="U96" s="117">
        <v>2608.4</v>
      </c>
      <c r="V96" s="117">
        <v>1</v>
      </c>
      <c r="W96" s="3268">
        <f>OCT_2023[[#This Row],[Sales Amount]]-OCT_2023[[#This Row],[Cost]]</f>
        <v>627.59999999999991</v>
      </c>
      <c r="X96" s="3269">
        <f>OCT_2023[[#This Row],[Profit]]/OCT_2023[[#This Row],[Cost]]</f>
        <v>0.24060726882379999</v>
      </c>
      <c r="Y96" s="3268"/>
      <c r="Z96" s="3270"/>
    </row>
    <row r="97" spans="1:26">
      <c r="A97" s="1380" t="s">
        <v>26</v>
      </c>
      <c r="B97" s="1" t="s">
        <v>3055</v>
      </c>
      <c r="C97" s="1" t="s">
        <v>44</v>
      </c>
      <c r="D97" s="1607">
        <v>45216</v>
      </c>
      <c r="E97" s="1608">
        <v>45225</v>
      </c>
      <c r="F97" s="1" t="s">
        <v>135</v>
      </c>
      <c r="G97" s="1" t="s">
        <v>57</v>
      </c>
      <c r="H97" s="1380"/>
      <c r="I97" s="1"/>
      <c r="J97" s="1062" t="s">
        <v>32</v>
      </c>
      <c r="K97" s="1" t="s">
        <v>3056</v>
      </c>
      <c r="L97" s="1589">
        <v>180352</v>
      </c>
      <c r="M97" s="1588">
        <v>45227</v>
      </c>
      <c r="N97" s="1380">
        <v>45226</v>
      </c>
      <c r="O97" s="1380">
        <v>45229</v>
      </c>
      <c r="P97" s="707" t="s">
        <v>3057</v>
      </c>
      <c r="Q97" s="1" t="s">
        <v>35</v>
      </c>
      <c r="R97" s="58" t="s">
        <v>36</v>
      </c>
      <c r="S97" s="58" t="s">
        <v>101</v>
      </c>
      <c r="T97" s="106">
        <v>3180</v>
      </c>
      <c r="U97" s="106">
        <v>2102</v>
      </c>
      <c r="W97" s="3075">
        <f>IFERROR((OCT_2023[[#This Row],[Sales Amount]]-OCT_2023[[#This Row],[Cost]])/OCT_2023[[#This Row],[CNTR AMOUNT]],OCT_2023[[#This Row],[Sales Amount]]-OCT_2023[[#This Row],[Cost]])</f>
        <v>1078</v>
      </c>
      <c r="X97" s="3075">
        <f>IFERROR(OCT_2023[[#This Row],[Profit]]/OCT_2023[[#This Row],[Cost]]," ")</f>
        <v>0.51284490960989537</v>
      </c>
      <c r="Y97" s="3075"/>
      <c r="Z97" s="3250"/>
    </row>
    <row r="98" spans="1:26" s="1592" customFormat="1">
      <c r="A98" s="1" t="s">
        <v>171</v>
      </c>
      <c r="B98" s="1" t="s">
        <v>3058</v>
      </c>
      <c r="C98" s="1" t="s">
        <v>28</v>
      </c>
      <c r="D98" s="1380">
        <v>45212</v>
      </c>
      <c r="E98" s="1608">
        <v>45225</v>
      </c>
      <c r="F98" s="1" t="s">
        <v>245</v>
      </c>
      <c r="G98" s="1" t="s">
        <v>57</v>
      </c>
      <c r="H98" s="1607">
        <v>45225</v>
      </c>
      <c r="I98" s="1" t="s">
        <v>3059</v>
      </c>
      <c r="J98" s="1376" t="s">
        <v>32</v>
      </c>
      <c r="K98" s="6044" t="s">
        <v>174</v>
      </c>
      <c r="L98" s="1589">
        <v>8821182</v>
      </c>
      <c r="M98" s="1603">
        <v>45227</v>
      </c>
      <c r="N98" s="1607">
        <v>45225</v>
      </c>
      <c r="O98" s="1607">
        <v>45225</v>
      </c>
      <c r="P98" s="1019" t="s">
        <v>3060</v>
      </c>
      <c r="Q98" s="3261" t="s">
        <v>35</v>
      </c>
      <c r="R98" s="1" t="s">
        <v>36</v>
      </c>
      <c r="S98" s="7" t="s">
        <v>37</v>
      </c>
      <c r="T98" s="26">
        <v>640</v>
      </c>
      <c r="U98" s="26">
        <v>518</v>
      </c>
      <c r="V98" s="26"/>
      <c r="W98" s="3255">
        <f>IFERROR((OCT_2023[[#This Row],[Sales Amount]]-OCT_2023[[#This Row],[Cost]])/OCT_2023[[#This Row],[CNTR AMOUNT]],OCT_2023[[#This Row],[Sales Amount]]-OCT_2023[[#This Row],[Cost]])</f>
        <v>122</v>
      </c>
      <c r="X98" s="3255">
        <f>IFERROR(OCT_2023[[#This Row],[Profit]]/OCT_2023[[#This Row],[Cost]]," ")</f>
        <v>0.23552123552123552</v>
      </c>
      <c r="Y98" s="3255"/>
      <c r="Z98" s="3256"/>
    </row>
    <row r="99" spans="1:26" s="1615" customFormat="1">
      <c r="A99" s="4870" t="s">
        <v>2966</v>
      </c>
      <c r="B99" s="1" t="s">
        <v>3061</v>
      </c>
      <c r="C99" s="4841" t="s">
        <v>85</v>
      </c>
      <c r="D99" s="1380">
        <v>45214</v>
      </c>
      <c r="E99" s="1608">
        <v>45225</v>
      </c>
      <c r="F99" s="1706" t="s">
        <v>56</v>
      </c>
      <c r="G99" s="1062" t="s">
        <v>46</v>
      </c>
      <c r="H99" s="1707"/>
      <c r="I99" s="1062"/>
      <c r="J99" s="962" t="s">
        <v>382</v>
      </c>
      <c r="K99" s="962" t="s">
        <v>382</v>
      </c>
      <c r="L99" s="1588" t="s">
        <v>3062</v>
      </c>
      <c r="M99" s="1588">
        <v>45227</v>
      </c>
      <c r="N99" s="1603">
        <v>45226</v>
      </c>
      <c r="O99" s="1603">
        <v>45226</v>
      </c>
      <c r="P99" s="707" t="s">
        <v>3063</v>
      </c>
      <c r="Q99" s="58" t="s">
        <v>35</v>
      </c>
      <c r="R99" s="1" t="s">
        <v>36</v>
      </c>
      <c r="S99" s="58" t="s">
        <v>3064</v>
      </c>
      <c r="T99" s="106">
        <v>50</v>
      </c>
      <c r="U99" s="106"/>
      <c r="V99" s="106"/>
      <c r="W99" s="3075">
        <f>IFERROR((OCT_2023[[#This Row],[Sales Amount]]-OCT_2023[[#This Row],[Cost]])/OCT_2023[[#This Row],[CNTR AMOUNT]],OCT_2023[[#This Row],[Sales Amount]]-OCT_2023[[#This Row],[Cost]])</f>
        <v>50</v>
      </c>
      <c r="X99" s="3075" t="str">
        <f>IFERROR(OCT_2023[[#This Row],[Profit]]/OCT_2023[[#This Row],[Cost]]," ")</f>
        <v xml:space="preserve"> </v>
      </c>
      <c r="Y99" s="3075"/>
      <c r="Z99" s="3250"/>
    </row>
    <row r="100" spans="1:26" s="762" customFormat="1">
      <c r="A100" s="1" t="s">
        <v>26</v>
      </c>
      <c r="B100" s="4870" t="s">
        <v>3065</v>
      </c>
      <c r="C100" s="1" t="s">
        <v>28</v>
      </c>
      <c r="D100" s="1607">
        <v>45210</v>
      </c>
      <c r="E100" s="1608">
        <v>45226</v>
      </c>
      <c r="F100" s="1" t="s">
        <v>285</v>
      </c>
      <c r="G100" s="58" t="s">
        <v>46</v>
      </c>
      <c r="H100" s="1588">
        <v>45223</v>
      </c>
      <c r="I100" s="1589" t="s">
        <v>108</v>
      </c>
      <c r="J100" s="1" t="s">
        <v>32</v>
      </c>
      <c r="K100" s="1" t="s">
        <v>954</v>
      </c>
      <c r="L100" s="1589" t="s">
        <v>3066</v>
      </c>
      <c r="M100" s="1588">
        <v>45223</v>
      </c>
      <c r="N100" s="1588">
        <v>45223</v>
      </c>
      <c r="O100" s="1588">
        <v>45223</v>
      </c>
      <c r="P100" s="1720" t="s">
        <v>3067</v>
      </c>
      <c r="Q100" s="1" t="s">
        <v>35</v>
      </c>
      <c r="R100" s="1" t="s">
        <v>36</v>
      </c>
      <c r="S100" s="58" t="s">
        <v>37</v>
      </c>
      <c r="T100" s="106">
        <v>2400</v>
      </c>
      <c r="U100" s="106">
        <v>2052</v>
      </c>
      <c r="V100" s="106">
        <v>2</v>
      </c>
      <c r="W100" s="4874">
        <f>IFERROR((OCT_2023[[#This Row],[Sales Amount]]-OCT_2023[[#This Row],[Cost]])/OCT_2023[[#This Row],[CNTR AMOUNT]],OCT_2023[[#This Row],[Sales Amount]]-OCT_2023[[#This Row],[Cost]])</f>
        <v>174</v>
      </c>
      <c r="X100" s="4874">
        <f>IFERROR(OCT_2023[[#This Row],[Profit]]/OCT_2023[[#This Row],[Cost]]," ")</f>
        <v>8.4795321637426896E-2</v>
      </c>
      <c r="Y100" s="4874"/>
      <c r="Z100" s="5058"/>
    </row>
    <row r="101" spans="1:26">
      <c r="A101" s="1" t="s">
        <v>26</v>
      </c>
      <c r="B101" s="1" t="s">
        <v>3068</v>
      </c>
      <c r="C101" s="1" t="s">
        <v>200</v>
      </c>
      <c r="D101" s="1607">
        <v>45210</v>
      </c>
      <c r="E101" s="1702">
        <v>45226</v>
      </c>
      <c r="F101" s="1" t="s">
        <v>285</v>
      </c>
      <c r="G101" s="58" t="s">
        <v>46</v>
      </c>
      <c r="H101" s="1588">
        <v>45223</v>
      </c>
      <c r="I101" s="1589" t="s">
        <v>178</v>
      </c>
      <c r="J101" s="1062" t="s">
        <v>32</v>
      </c>
      <c r="K101" s="1" t="s">
        <v>954</v>
      </c>
      <c r="L101" s="1589" t="s">
        <v>3069</v>
      </c>
      <c r="M101" s="1588">
        <v>45223</v>
      </c>
      <c r="N101" s="1380">
        <v>45222</v>
      </c>
      <c r="O101" s="1588">
        <v>45223</v>
      </c>
      <c r="P101" s="707" t="s">
        <v>3067</v>
      </c>
      <c r="Q101" s="1722" t="s">
        <v>35</v>
      </c>
      <c r="R101" s="1376" t="s">
        <v>36</v>
      </c>
      <c r="S101" s="710" t="s">
        <v>37</v>
      </c>
      <c r="T101" s="106">
        <v>2400</v>
      </c>
      <c r="U101" s="106">
        <v>2052</v>
      </c>
      <c r="V101" s="106">
        <v>2</v>
      </c>
      <c r="W101" s="3075">
        <f>IFERROR((OCT_2023[[#This Row],[Sales Amount]]-OCT_2023[[#This Row],[Cost]])/OCT_2023[[#This Row],[CNTR AMOUNT]],OCT_2023[[#This Row],[Sales Amount]]-OCT_2023[[#This Row],[Cost]])</f>
        <v>174</v>
      </c>
      <c r="X101" s="3075">
        <f>IFERROR(OCT_2023[[#This Row],[Profit]]/OCT_2023[[#This Row],[Cost]]," ")</f>
        <v>8.4795321637426896E-2</v>
      </c>
      <c r="Y101" s="3075"/>
      <c r="Z101" s="3250"/>
    </row>
    <row r="102" spans="1:26" s="26" customFormat="1" ht="105">
      <c r="A102" s="4150" t="s">
        <v>468</v>
      </c>
      <c r="B102" s="4150" t="s">
        <v>3070</v>
      </c>
      <c r="C102" s="4150" t="s">
        <v>200</v>
      </c>
      <c r="D102" s="822">
        <v>45203</v>
      </c>
      <c r="E102" s="654">
        <v>45226</v>
      </c>
      <c r="F102" s="117" t="s">
        <v>93</v>
      </c>
      <c r="G102" s="4173" t="s">
        <v>2922</v>
      </c>
      <c r="H102" s="839">
        <v>45229</v>
      </c>
      <c r="I102" s="766" t="s">
        <v>1196</v>
      </c>
      <c r="J102" s="117" t="s">
        <v>297</v>
      </c>
      <c r="K102" s="36" t="s">
        <v>2923</v>
      </c>
      <c r="L102" s="766">
        <v>8925</v>
      </c>
      <c r="M102" s="839">
        <v>45230</v>
      </c>
      <c r="N102" s="822">
        <v>45229</v>
      </c>
      <c r="O102" s="822">
        <v>45229</v>
      </c>
      <c r="P102" s="4104" t="s">
        <v>3071</v>
      </c>
      <c r="Q102" s="1723" t="s">
        <v>75</v>
      </c>
      <c r="R102" s="40" t="s">
        <v>3072</v>
      </c>
      <c r="S102" s="660">
        <v>4</v>
      </c>
      <c r="T102" s="117">
        <v>830</v>
      </c>
      <c r="U102" s="117">
        <v>571.35</v>
      </c>
      <c r="V102" s="117">
        <v>1</v>
      </c>
      <c r="W102" s="3268">
        <f>IFERROR((OCT_2023[[#This Row],[Sales Amount]]-OCT_2023[[#This Row],[Cost]])/OCT_2023[[#This Row],[CNTR AMOUNT]],OCT_2023[[#This Row],[Sales Amount]]-OCT_2023[[#This Row],[Cost]])</f>
        <v>258.64999999999998</v>
      </c>
      <c r="X102" s="3268">
        <f>IFERROR(OCT_2023[[#This Row],[Profit]]/OCT_2023[[#This Row],[Cost]]," ")</f>
        <v>0.4526997462151045</v>
      </c>
      <c r="Y102" s="3268"/>
      <c r="Z102" s="3270"/>
    </row>
    <row r="103" spans="1:26" s="762" customFormat="1" ht="90">
      <c r="A103" s="4150" t="s">
        <v>468</v>
      </c>
      <c r="B103" s="4150" t="s">
        <v>3073</v>
      </c>
      <c r="C103" s="4150" t="s">
        <v>200</v>
      </c>
      <c r="D103" s="822">
        <v>45203</v>
      </c>
      <c r="E103" s="879">
        <v>45226</v>
      </c>
      <c r="F103" s="4845" t="s">
        <v>93</v>
      </c>
      <c r="G103" s="4173" t="s">
        <v>2922</v>
      </c>
      <c r="H103" s="839">
        <v>45229</v>
      </c>
      <c r="I103" s="766" t="s">
        <v>926</v>
      </c>
      <c r="J103" s="120" t="s">
        <v>297</v>
      </c>
      <c r="K103" s="117" t="s">
        <v>2923</v>
      </c>
      <c r="L103" s="766">
        <v>3781</v>
      </c>
      <c r="M103" s="839">
        <v>45230</v>
      </c>
      <c r="N103" s="822">
        <v>45229</v>
      </c>
      <c r="O103" s="822">
        <v>45229</v>
      </c>
      <c r="P103" s="4104" t="s">
        <v>3074</v>
      </c>
      <c r="Q103" s="4845" t="s">
        <v>75</v>
      </c>
      <c r="R103" s="3" t="s">
        <v>3075</v>
      </c>
      <c r="S103" s="117">
        <v>4</v>
      </c>
      <c r="T103" s="117">
        <v>830</v>
      </c>
      <c r="U103" s="117">
        <v>571.35</v>
      </c>
      <c r="V103" s="117">
        <v>1</v>
      </c>
      <c r="W103" s="3268">
        <f>IFERROR((OCT_2023[[#This Row],[Sales Amount]]-OCT_2023[[#This Row],[Cost]])/OCT_2023[[#This Row],[CNTR AMOUNT]],OCT_2023[[#This Row],[Sales Amount]]-OCT_2023[[#This Row],[Cost]])</f>
        <v>258.64999999999998</v>
      </c>
      <c r="X103" s="3268">
        <f>IFERROR(OCT_2023[[#This Row],[Profit]]/OCT_2023[[#This Row],[Cost]]," ")</f>
        <v>0.4526997462151045</v>
      </c>
      <c r="Y103" s="3268"/>
      <c r="Z103" s="3270"/>
    </row>
    <row r="104" spans="1:26" s="709" customFormat="1">
      <c r="A104" s="1605" t="s">
        <v>171</v>
      </c>
      <c r="B104" s="1" t="s">
        <v>3076</v>
      </c>
      <c r="C104" s="58" t="s">
        <v>451</v>
      </c>
      <c r="D104" s="1139">
        <v>45216</v>
      </c>
      <c r="E104" s="1630">
        <v>45227</v>
      </c>
      <c r="F104" s="4870" t="s">
        <v>167</v>
      </c>
      <c r="G104" s="1" t="s">
        <v>46</v>
      </c>
      <c r="H104" s="1380">
        <v>45229</v>
      </c>
      <c r="I104" s="1" t="s">
        <v>3059</v>
      </c>
      <c r="J104" s="18" t="s">
        <v>32</v>
      </c>
      <c r="K104" s="1" t="s">
        <v>174</v>
      </c>
      <c r="L104" s="1589" t="s">
        <v>3077</v>
      </c>
      <c r="M104" s="1588">
        <v>45229</v>
      </c>
      <c r="N104" s="1606">
        <v>45229</v>
      </c>
      <c r="O104" s="1606">
        <v>45229</v>
      </c>
      <c r="P104" s="707" t="s">
        <v>3078</v>
      </c>
      <c r="Q104" s="1" t="s">
        <v>35</v>
      </c>
      <c r="R104" s="58" t="s">
        <v>36</v>
      </c>
      <c r="S104" s="58" t="s">
        <v>37</v>
      </c>
      <c r="T104" s="106">
        <v>820</v>
      </c>
      <c r="U104" s="106">
        <v>623</v>
      </c>
      <c r="V104" s="106"/>
      <c r="W104" s="3075">
        <f>IFERROR((OCT_2023[[#This Row],[Sales Amount]]-OCT_2023[[#This Row],[Cost]])/OCT_2023[[#This Row],[CNTR AMOUNT]],OCT_2023[[#This Row],[Sales Amount]]-OCT_2023[[#This Row],[Cost]])</f>
        <v>197</v>
      </c>
      <c r="X104" s="3276">
        <f>IFERROR(OCT_2023[[#This Row],[Profit]]/OCT_2023[[#This Row],[Cost]]," ")</f>
        <v>0.3162118780096308</v>
      </c>
      <c r="Y104" s="3075"/>
      <c r="Z104" s="3250"/>
    </row>
    <row r="105" spans="1:26" s="709" customFormat="1" ht="105">
      <c r="A105" s="4150" t="s">
        <v>409</v>
      </c>
      <c r="B105" s="1609" t="s">
        <v>3079</v>
      </c>
      <c r="C105" s="117" t="s">
        <v>28</v>
      </c>
      <c r="D105" s="822">
        <v>45220</v>
      </c>
      <c r="E105" s="879">
        <v>45227</v>
      </c>
      <c r="F105" s="117" t="s">
        <v>45</v>
      </c>
      <c r="G105" s="4150" t="s">
        <v>3080</v>
      </c>
      <c r="H105" s="825" t="s">
        <v>3081</v>
      </c>
      <c r="I105" s="4150" t="s">
        <v>3082</v>
      </c>
      <c r="J105" s="4150" t="s">
        <v>2439</v>
      </c>
      <c r="K105" s="4150" t="s">
        <v>3019</v>
      </c>
      <c r="L105" s="4244" t="s">
        <v>3083</v>
      </c>
      <c r="M105" s="822">
        <v>45229</v>
      </c>
      <c r="N105" s="822">
        <v>45229</v>
      </c>
      <c r="O105" s="1547">
        <v>45232</v>
      </c>
      <c r="P105" s="4141" t="s">
        <v>3084</v>
      </c>
      <c r="Q105" s="4152" t="s">
        <v>75</v>
      </c>
      <c r="R105" s="4152" t="s">
        <v>3085</v>
      </c>
      <c r="S105" s="106">
        <v>4</v>
      </c>
      <c r="T105" s="106">
        <v>1355</v>
      </c>
      <c r="U105" s="106">
        <v>1022.55</v>
      </c>
      <c r="V105" s="106">
        <v>1</v>
      </c>
      <c r="W105" s="3075">
        <f>IFERROR((OCT_2023[[#This Row],[Sales Amount]]-OCT_2023[[#This Row],[Cost]])/OCT_2023[[#This Row],[CNTR AMOUNT]],OCT_2023[[#This Row],[Sales Amount]]-OCT_2023[[#This Row],[Cost]])</f>
        <v>332.45000000000005</v>
      </c>
      <c r="X105" s="3075">
        <f>IFERROR(OCT_2023[[#This Row],[Profit]]/OCT_2023[[#This Row],[Cost]]," ")</f>
        <v>0.32511857610874778</v>
      </c>
      <c r="Y105" s="3075"/>
      <c r="Z105" s="3250"/>
    </row>
    <row r="106" spans="1:26" ht="90">
      <c r="A106" s="4150" t="s">
        <v>165</v>
      </c>
      <c r="B106" s="4150" t="s">
        <v>3086</v>
      </c>
      <c r="C106" s="117" t="s">
        <v>44</v>
      </c>
      <c r="D106" s="822">
        <v>45213</v>
      </c>
      <c r="E106" s="879">
        <v>45227</v>
      </c>
      <c r="F106" s="4150" t="s">
        <v>151</v>
      </c>
      <c r="G106" s="4150" t="s">
        <v>46</v>
      </c>
      <c r="H106" s="879">
        <v>45233</v>
      </c>
      <c r="I106" s="860" t="s">
        <v>445</v>
      </c>
      <c r="J106" s="4150" t="s">
        <v>32</v>
      </c>
      <c r="K106" s="4150" t="s">
        <v>2885</v>
      </c>
      <c r="L106" s="766" t="s">
        <v>3087</v>
      </c>
      <c r="M106" s="825">
        <v>45231</v>
      </c>
      <c r="N106" s="839">
        <v>45231</v>
      </c>
      <c r="O106" s="822">
        <v>45233</v>
      </c>
      <c r="P106" s="4104" t="s">
        <v>3088</v>
      </c>
      <c r="Q106" s="117" t="s">
        <v>75</v>
      </c>
      <c r="R106" s="3" t="s">
        <v>3089</v>
      </c>
      <c r="S106" s="117">
        <v>4</v>
      </c>
      <c r="T106" s="117">
        <v>1185</v>
      </c>
      <c r="U106" s="117">
        <v>884</v>
      </c>
      <c r="V106" s="117">
        <v>1</v>
      </c>
      <c r="W106" s="3268">
        <f>IFERROR((OCT_2023[[#This Row],[Sales Amount]]-OCT_2023[[#This Row],[Cost]])/OCT_2023[[#This Row],[CNTR AMOUNT]],OCT_2023[[#This Row],[Sales Amount]]-OCT_2023[[#This Row],[Cost]])</f>
        <v>301</v>
      </c>
      <c r="X106" s="3269">
        <f>IFERROR(OCT_2023[[#This Row],[Profit]]/OCT_2023[[#This Row],[Cost]]," ")</f>
        <v>0.3404977375565611</v>
      </c>
      <c r="Y106" s="3268"/>
      <c r="Z106" s="3270"/>
    </row>
    <row r="107" spans="1:26">
      <c r="A107" s="1" t="s">
        <v>3090</v>
      </c>
      <c r="B107" s="1" t="s">
        <v>3091</v>
      </c>
      <c r="C107" s="1" t="s">
        <v>28</v>
      </c>
      <c r="D107" s="1380">
        <v>45217</v>
      </c>
      <c r="E107" s="1608">
        <v>45227</v>
      </c>
      <c r="F107" s="1" t="s">
        <v>167</v>
      </c>
      <c r="G107" s="58" t="s">
        <v>46</v>
      </c>
      <c r="H107" s="1607">
        <v>45229</v>
      </c>
      <c r="I107" s="1"/>
      <c r="J107" s="58" t="s">
        <v>32</v>
      </c>
      <c r="K107" s="1478" t="s">
        <v>1445</v>
      </c>
      <c r="L107" s="915" t="s">
        <v>3092</v>
      </c>
      <c r="M107" s="1115"/>
      <c r="N107" s="1606">
        <v>45229</v>
      </c>
      <c r="O107" s="1606">
        <v>45229</v>
      </c>
      <c r="P107" s="1019" t="s">
        <v>3093</v>
      </c>
      <c r="Q107" s="1" t="s">
        <v>35</v>
      </c>
      <c r="R107" s="58" t="s">
        <v>36</v>
      </c>
      <c r="S107" s="58" t="s">
        <v>67</v>
      </c>
      <c r="T107" s="26">
        <v>650</v>
      </c>
      <c r="U107" s="26">
        <v>550</v>
      </c>
      <c r="V107" s="26"/>
      <c r="W107" s="3255">
        <f>IFERROR((OCT_2023[[#This Row],[Sales Amount]]-OCT_2023[[#This Row],[Cost]])/OCT_2023[[#This Row],[CNTR AMOUNT]],OCT_2023[[#This Row],[Sales Amount]]-OCT_2023[[#This Row],[Cost]])</f>
        <v>100</v>
      </c>
      <c r="X107" s="3255">
        <f>IFERROR(OCT_2023[[#This Row],[Profit]]/OCT_2023[[#This Row],[Cost]]," ")</f>
        <v>0.18181818181818182</v>
      </c>
      <c r="Y107" s="3255"/>
      <c r="Z107" s="3256"/>
    </row>
    <row r="108" spans="1:26" s="709" customFormat="1">
      <c r="A108" s="707" t="s">
        <v>2396</v>
      </c>
      <c r="B108" s="707" t="s">
        <v>3094</v>
      </c>
      <c r="C108" s="707" t="s">
        <v>44</v>
      </c>
      <c r="D108" s="1612">
        <v>45227</v>
      </c>
      <c r="E108" s="1612">
        <v>45227</v>
      </c>
      <c r="F108" s="707" t="s">
        <v>45</v>
      </c>
      <c r="G108" s="707" t="s">
        <v>3095</v>
      </c>
      <c r="H108" s="3266">
        <v>45231</v>
      </c>
      <c r="I108" s="707" t="s">
        <v>745</v>
      </c>
      <c r="J108" s="707" t="s">
        <v>1478</v>
      </c>
      <c r="K108" s="707" t="s">
        <v>1479</v>
      </c>
      <c r="L108" s="707"/>
      <c r="M108" s="1612">
        <v>45233</v>
      </c>
      <c r="N108" s="1612">
        <v>45231</v>
      </c>
      <c r="O108" s="1612">
        <v>45236</v>
      </c>
      <c r="P108" s="1019" t="s">
        <v>3096</v>
      </c>
      <c r="Q108" s="707" t="s">
        <v>128</v>
      </c>
      <c r="R108" s="707" t="s">
        <v>36</v>
      </c>
      <c r="S108" s="707"/>
      <c r="T108" s="707">
        <v>1180</v>
      </c>
      <c r="U108" s="707">
        <f>471+471</f>
        <v>942</v>
      </c>
      <c r="V108" s="707">
        <v>2</v>
      </c>
      <c r="W108" s="3258">
        <f>IFERROR((OCT_2023[[#This Row],[Sales Amount]]-OCT_2023[[#This Row],[Cost]])/OCT_2023[[#This Row],[CNTR AMOUNT]],OCT_2023[[#This Row],[Sales Amount]]-OCT_2023[[#This Row],[Cost]])</f>
        <v>119</v>
      </c>
      <c r="X108" s="3277">
        <f>IFERROR(OCT_2023[[#This Row],[Profit]]/OCT_2023[[#This Row],[Cost]]," ")</f>
        <v>0.12632696390658174</v>
      </c>
      <c r="Y108" s="3258"/>
      <c r="Z108" s="3259"/>
    </row>
    <row r="109" spans="1:26" s="709" customFormat="1">
      <c r="A109" s="707" t="s">
        <v>2396</v>
      </c>
      <c r="B109" s="707" t="s">
        <v>3097</v>
      </c>
      <c r="C109" s="707" t="s">
        <v>44</v>
      </c>
      <c r="D109" s="1612">
        <v>45227</v>
      </c>
      <c r="E109" s="1612">
        <v>45227</v>
      </c>
      <c r="F109" s="707" t="s">
        <v>45</v>
      </c>
      <c r="G109" s="707" t="s">
        <v>3095</v>
      </c>
      <c r="H109" s="1612">
        <v>45231</v>
      </c>
      <c r="I109" s="707" t="s">
        <v>745</v>
      </c>
      <c r="J109" s="707" t="s">
        <v>1478</v>
      </c>
      <c r="K109" s="707" t="s">
        <v>1479</v>
      </c>
      <c r="L109" s="707"/>
      <c r="M109" s="1612">
        <v>45233</v>
      </c>
      <c r="N109" s="1612">
        <v>45231</v>
      </c>
      <c r="O109" s="1612">
        <v>45236</v>
      </c>
      <c r="P109" s="1019" t="s">
        <v>3096</v>
      </c>
      <c r="Q109" s="707" t="s">
        <v>128</v>
      </c>
      <c r="R109" s="707" t="s">
        <v>36</v>
      </c>
      <c r="S109" s="707"/>
      <c r="T109" s="707">
        <v>1180</v>
      </c>
      <c r="U109" s="707">
        <v>942</v>
      </c>
      <c r="V109" s="707">
        <v>2</v>
      </c>
      <c r="W109" s="3258">
        <f>IFERROR((OCT_2023[[#This Row],[Sales Amount]]-OCT_2023[[#This Row],[Cost]])/OCT_2023[[#This Row],[CNTR AMOUNT]],OCT_2023[[#This Row],[Sales Amount]]-OCT_2023[[#This Row],[Cost]])</f>
        <v>119</v>
      </c>
      <c r="X109" s="3277">
        <f>IFERROR(OCT_2023[[#This Row],[Profit]]/OCT_2023[[#This Row],[Cost]]," ")</f>
        <v>0.12632696390658174</v>
      </c>
      <c r="Y109" s="3258"/>
      <c r="Z109" s="3259"/>
    </row>
    <row r="110" spans="1:26">
      <c r="A110" s="1344" t="s">
        <v>171</v>
      </c>
      <c r="B110" s="58" t="s">
        <v>3098</v>
      </c>
      <c r="C110" s="58" t="s">
        <v>28</v>
      </c>
      <c r="D110" s="1139">
        <v>45220</v>
      </c>
      <c r="E110" s="1629">
        <v>45228</v>
      </c>
      <c r="F110" s="58" t="s">
        <v>56</v>
      </c>
      <c r="G110" s="58" t="s">
        <v>57</v>
      </c>
      <c r="H110" s="844">
        <v>45230</v>
      </c>
      <c r="I110" s="58"/>
      <c r="J110" s="4839" t="s">
        <v>32</v>
      </c>
      <c r="K110" s="58" t="s">
        <v>174</v>
      </c>
      <c r="L110" s="1589">
        <v>378806</v>
      </c>
      <c r="M110" s="1588">
        <v>45230</v>
      </c>
      <c r="N110" s="1606">
        <v>45230</v>
      </c>
      <c r="O110" s="1119">
        <v>45231</v>
      </c>
      <c r="P110" s="1019" t="s">
        <v>3099</v>
      </c>
      <c r="Q110" s="1" t="s">
        <v>35</v>
      </c>
      <c r="R110" s="58" t="s">
        <v>36</v>
      </c>
      <c r="S110" s="58" t="s">
        <v>37</v>
      </c>
      <c r="T110" s="106">
        <v>940</v>
      </c>
      <c r="U110" s="106">
        <v>751</v>
      </c>
      <c r="W110" s="3075">
        <f>IFERROR((OCT_2023[[#This Row],[Sales Amount]]-OCT_2023[[#This Row],[Cost]])/OCT_2023[[#This Row],[CNTR AMOUNT]],OCT_2023[[#This Row],[Sales Amount]]-OCT_2023[[#This Row],[Cost]])</f>
        <v>189</v>
      </c>
      <c r="X110" s="3276">
        <f>IFERROR(OCT_2023[[#This Row],[Profit]]/OCT_2023[[#This Row],[Cost]]," ")</f>
        <v>0.25166444740346205</v>
      </c>
      <c r="Y110" s="3075"/>
      <c r="Z110" s="3250"/>
    </row>
    <row r="111" spans="1:26" s="117" customFormat="1" ht="60">
      <c r="A111" s="4886" t="s">
        <v>165</v>
      </c>
      <c r="B111" s="4122" t="s">
        <v>3100</v>
      </c>
      <c r="C111" s="4861" t="s">
        <v>44</v>
      </c>
      <c r="D111" s="912">
        <v>45222</v>
      </c>
      <c r="E111" s="877">
        <v>45228</v>
      </c>
      <c r="F111" s="4122" t="s">
        <v>167</v>
      </c>
      <c r="G111" s="4122" t="s">
        <v>302</v>
      </c>
      <c r="H111" s="912">
        <v>45232</v>
      </c>
      <c r="I111" s="4122" t="s">
        <v>618</v>
      </c>
      <c r="J111" s="4194" t="s">
        <v>297</v>
      </c>
      <c r="K111" s="4122" t="s">
        <v>3101</v>
      </c>
      <c r="L111" s="1648" t="s">
        <v>3102</v>
      </c>
      <c r="M111" s="1642">
        <v>45231</v>
      </c>
      <c r="N111" s="1642">
        <v>45231</v>
      </c>
      <c r="O111" s="4162">
        <v>45232</v>
      </c>
      <c r="P111" s="4092" t="s">
        <v>3103</v>
      </c>
      <c r="Q111" s="709" t="s">
        <v>75</v>
      </c>
      <c r="R111" s="709" t="s">
        <v>36</v>
      </c>
      <c r="S111" s="709"/>
      <c r="T111" s="709">
        <v>1550</v>
      </c>
      <c r="U111" s="709">
        <v>1344.35</v>
      </c>
      <c r="V111" s="709">
        <v>1</v>
      </c>
      <c r="W111" s="3246">
        <f>IFERROR((OCT_2023[[#This Row],[Sales Amount]]-OCT_2023[[#This Row],[Cost]])/OCT_2023[[#This Row],[CNTR AMOUNT]],OCT_2023[[#This Row],[Sales Amount]]-OCT_2023[[#This Row],[Cost]])</f>
        <v>205.65000000000009</v>
      </c>
      <c r="X111" s="3257">
        <f>IFERROR(OCT_2023[[#This Row],[Profit]]/OCT_2023[[#This Row],[Cost]]," ")</f>
        <v>0.15297355599360293</v>
      </c>
      <c r="Y111" s="3246"/>
      <c r="Z111" s="3248"/>
    </row>
    <row r="112" spans="1:26" s="709" customFormat="1" ht="45">
      <c r="A112" s="117" t="s">
        <v>3104</v>
      </c>
      <c r="B112" s="4150" t="s">
        <v>3105</v>
      </c>
      <c r="C112" s="4845" t="s">
        <v>44</v>
      </c>
      <c r="D112" s="822">
        <v>45224</v>
      </c>
      <c r="E112" s="654">
        <v>45229</v>
      </c>
      <c r="F112" s="117" t="s">
        <v>135</v>
      </c>
      <c r="G112" s="4150" t="s">
        <v>3106</v>
      </c>
      <c r="H112" s="839" t="s">
        <v>3107</v>
      </c>
      <c r="I112" s="766" t="s">
        <v>3108</v>
      </c>
      <c r="J112" s="794" t="s">
        <v>435</v>
      </c>
      <c r="K112" s="4150" t="s">
        <v>3109</v>
      </c>
      <c r="L112" s="117">
        <v>6961</v>
      </c>
      <c r="M112" s="822">
        <v>45231</v>
      </c>
      <c r="N112" s="822">
        <v>45231</v>
      </c>
      <c r="O112" s="144">
        <v>45233</v>
      </c>
      <c r="P112" s="4141" t="s">
        <v>3110</v>
      </c>
      <c r="Q112" s="3075" t="s">
        <v>75</v>
      </c>
      <c r="R112" s="106" t="s">
        <v>36</v>
      </c>
      <c r="S112" s="106"/>
      <c r="T112" s="106">
        <v>1700</v>
      </c>
      <c r="U112" s="132" t="s">
        <v>3111</v>
      </c>
      <c r="V112" s="106"/>
      <c r="W112" s="3075" t="e">
        <f>IFERROR((OCT_2023[[#This Row],[Sales Amount]]-OCT_2023[[#This Row],[Cost]])/OCT_2023[[#This Row],[CNTR AMOUNT]],OCT_2023[[#This Row],[Sales Amount]]-OCT_2023[[#This Row],[Cost]])</f>
        <v>#VALUE!</v>
      </c>
      <c r="X112" s="3075" t="str">
        <f>IFERROR(OCT_2023[[#This Row],[Profit]]/OCT_2023[[#This Row],[Cost]]," ")</f>
        <v xml:space="preserve"> </v>
      </c>
      <c r="Y112" s="3075"/>
      <c r="Z112" s="3250"/>
    </row>
    <row r="113" spans="1:26" s="117" customFormat="1" ht="75">
      <c r="A113" s="117" t="s">
        <v>319</v>
      </c>
      <c r="B113" s="4150" t="s">
        <v>3112</v>
      </c>
      <c r="C113" s="117" t="s">
        <v>44</v>
      </c>
      <c r="D113" s="822">
        <v>45227</v>
      </c>
      <c r="E113" s="879">
        <v>45234</v>
      </c>
      <c r="F113" s="4150" t="s">
        <v>135</v>
      </c>
      <c r="G113" s="4150" t="s">
        <v>3113</v>
      </c>
      <c r="H113" s="822">
        <v>45238</v>
      </c>
      <c r="I113" s="1177">
        <v>0.375</v>
      </c>
      <c r="J113" s="4150" t="s">
        <v>3114</v>
      </c>
      <c r="K113" s="4150" t="s">
        <v>3115</v>
      </c>
      <c r="L113" s="766">
        <v>6299</v>
      </c>
      <c r="M113" s="822">
        <v>45237</v>
      </c>
      <c r="N113" s="822">
        <v>45236</v>
      </c>
      <c r="O113" s="822">
        <v>45238</v>
      </c>
      <c r="P113" s="4104" t="s">
        <v>3116</v>
      </c>
      <c r="Q113" s="117" t="s">
        <v>75</v>
      </c>
      <c r="R113" s="4150" t="s">
        <v>3117</v>
      </c>
      <c r="S113" s="117">
        <v>4</v>
      </c>
      <c r="T113" s="117">
        <v>2040</v>
      </c>
      <c r="U113" s="117">
        <v>1118.75</v>
      </c>
      <c r="V113" s="117">
        <v>1</v>
      </c>
      <c r="W113" s="3268">
        <f>IFERROR((OCT_2023[[#This Row],[Sales Amount]]-OCT_2023[[#This Row],[Cost]])/OCT_2023[[#This Row],[CNTR AMOUNT]],OCT_2023[[#This Row],[Sales Amount]]-OCT_2023[[#This Row],[Cost]])</f>
        <v>921.25</v>
      </c>
      <c r="X113" s="3268">
        <f>IFERROR(OCT_2023[[#This Row],[Profit]]/OCT_2023[[#This Row],[Cost]]," ")</f>
        <v>0.82346368715083795</v>
      </c>
      <c r="Y113" s="3268"/>
      <c r="Z113" s="3270"/>
    </row>
    <row r="114" spans="1:26" ht="30">
      <c r="A114" s="4882" t="s">
        <v>263</v>
      </c>
      <c r="B114" s="4882" t="s">
        <v>3118</v>
      </c>
      <c r="C114" s="4882" t="s">
        <v>44</v>
      </c>
      <c r="D114" s="4940">
        <v>45228</v>
      </c>
      <c r="E114" s="4940">
        <v>45229</v>
      </c>
      <c r="F114" s="4882" t="s">
        <v>63</v>
      </c>
      <c r="G114" s="707" t="s">
        <v>265</v>
      </c>
      <c r="H114" s="4940">
        <v>45237</v>
      </c>
      <c r="I114" s="4882"/>
      <c r="J114" s="4882" t="s">
        <v>377</v>
      </c>
      <c r="K114" s="4882" t="s">
        <v>3119</v>
      </c>
      <c r="L114" s="4882"/>
      <c r="M114" s="4940">
        <v>45237</v>
      </c>
      <c r="N114" s="4940">
        <v>45237</v>
      </c>
      <c r="O114" s="4940">
        <v>45238</v>
      </c>
      <c r="P114" s="4871" t="s">
        <v>3120</v>
      </c>
      <c r="Q114" s="4882" t="s">
        <v>128</v>
      </c>
      <c r="R114" s="709" t="s">
        <v>36</v>
      </c>
      <c r="S114" s="709"/>
      <c r="T114" s="709">
        <v>1710.16</v>
      </c>
      <c r="U114" s="709">
        <f>1200+170.16</f>
        <v>1370.16</v>
      </c>
      <c r="V114" s="709">
        <v>1</v>
      </c>
      <c r="W114" s="709">
        <f>IFERROR((OCT_2023[[#This Row],[Sales Amount]]-OCT_2023[[#This Row],[Cost]])/OCT_2023[[#This Row],[CNTR AMOUNT]],OCT_2023[[#This Row],[Sales Amount]]-OCT_2023[[#This Row],[Cost]])</f>
        <v>340</v>
      </c>
      <c r="X114" s="1655">
        <f>IFERROR(OCT_2023[[#This Row],[Profit]]/OCT_2023[[#This Row],[Cost]]," ")</f>
        <v>0.24814620190342732</v>
      </c>
      <c r="Y114" s="709"/>
      <c r="Z114" s="709"/>
    </row>
    <row r="115" spans="1:26" ht="30">
      <c r="A115" s="4882" t="s">
        <v>263</v>
      </c>
      <c r="B115" s="4882" t="s">
        <v>3121</v>
      </c>
      <c r="C115" s="4882" t="s">
        <v>44</v>
      </c>
      <c r="D115" s="4940">
        <v>45228</v>
      </c>
      <c r="E115" s="4940">
        <v>45229</v>
      </c>
      <c r="F115" s="4882" t="s">
        <v>2039</v>
      </c>
      <c r="G115" s="4882" t="s">
        <v>265</v>
      </c>
      <c r="H115" s="4940">
        <v>45233</v>
      </c>
      <c r="I115" s="4882"/>
      <c r="J115" s="4882" t="s">
        <v>1914</v>
      </c>
      <c r="K115" s="4882" t="s">
        <v>3119</v>
      </c>
      <c r="L115" s="4882"/>
      <c r="M115" s="4940">
        <v>45236</v>
      </c>
      <c r="N115" s="4940">
        <v>45233</v>
      </c>
      <c r="O115" s="1612">
        <v>45236</v>
      </c>
      <c r="P115" s="4871" t="s">
        <v>3122</v>
      </c>
      <c r="Q115" s="4882" t="s">
        <v>128</v>
      </c>
      <c r="R115" s="709" t="s">
        <v>36</v>
      </c>
      <c r="S115" s="709"/>
      <c r="T115" s="709">
        <v>1890.16</v>
      </c>
      <c r="U115" s="709">
        <f>80.16+90+1505</f>
        <v>1675.16</v>
      </c>
      <c r="V115" s="709">
        <v>1</v>
      </c>
      <c r="W115" s="709">
        <f>IFERROR((OCT_2023[[#This Row],[Sales Amount]]-OCT_2023[[#This Row],[Cost]])/OCT_2023[[#This Row],[CNTR AMOUNT]],OCT_2023[[#This Row],[Sales Amount]]-OCT_2023[[#This Row],[Cost]])</f>
        <v>215</v>
      </c>
      <c r="X115" s="1655">
        <f>IFERROR(OCT_2023[[#This Row],[Profit]]/OCT_2023[[#This Row],[Cost]]," ")</f>
        <v>0.12834594904367344</v>
      </c>
      <c r="Y115" s="709"/>
      <c r="Z115" s="709"/>
    </row>
    <row r="116" spans="1:26" ht="30">
      <c r="A116" s="4882" t="s">
        <v>263</v>
      </c>
      <c r="B116" s="4882" t="s">
        <v>3123</v>
      </c>
      <c r="C116" s="707" t="s">
        <v>44</v>
      </c>
      <c r="D116" s="4940">
        <v>45228</v>
      </c>
      <c r="E116" s="4940">
        <v>45229</v>
      </c>
      <c r="F116" s="4882" t="s">
        <v>2039</v>
      </c>
      <c r="G116" s="4882" t="s">
        <v>265</v>
      </c>
      <c r="H116" s="4940">
        <v>45233</v>
      </c>
      <c r="I116" s="5075">
        <v>0.5</v>
      </c>
      <c r="J116" s="4882" t="s">
        <v>377</v>
      </c>
      <c r="K116" s="4882" t="s">
        <v>3124</v>
      </c>
      <c r="L116" s="707"/>
      <c r="M116" s="4940">
        <v>45233</v>
      </c>
      <c r="N116" s="4940">
        <v>45232</v>
      </c>
      <c r="O116" s="4940">
        <v>45236</v>
      </c>
      <c r="P116" s="4871" t="s">
        <v>3125</v>
      </c>
      <c r="Q116" s="4882" t="s">
        <v>128</v>
      </c>
      <c r="R116" s="709" t="s">
        <v>36</v>
      </c>
      <c r="S116" s="709"/>
      <c r="T116" s="709">
        <v>4580.16</v>
      </c>
      <c r="U116" s="709">
        <f>3346.5+170.16</f>
        <v>3516.66</v>
      </c>
      <c r="V116" s="709">
        <v>1</v>
      </c>
      <c r="W116" s="709">
        <f>IFERROR((OCT_2023[[#This Row],[Sales Amount]]-OCT_2023[[#This Row],[Cost]])/OCT_2023[[#This Row],[CNTR AMOUNT]],OCT_2023[[#This Row],[Sales Amount]]-OCT_2023[[#This Row],[Cost]])</f>
        <v>1063.5</v>
      </c>
      <c r="X116" s="1655">
        <f>IFERROR(OCT_2023[[#This Row],[Profit]]/OCT_2023[[#This Row],[Cost]]," ")</f>
        <v>0.30241763491494772</v>
      </c>
      <c r="Y116" s="709"/>
      <c r="Z116" s="709"/>
    </row>
    <row r="117" spans="1:26" s="1442" customFormat="1">
      <c r="A117" s="4894" t="s">
        <v>171</v>
      </c>
      <c r="B117" s="4839" t="s">
        <v>3126</v>
      </c>
      <c r="C117" s="4839" t="s">
        <v>28</v>
      </c>
      <c r="D117" s="4957">
        <v>45220</v>
      </c>
      <c r="E117" s="1630">
        <v>45230</v>
      </c>
      <c r="F117" s="4839" t="s">
        <v>56</v>
      </c>
      <c r="G117" s="4839" t="s">
        <v>46</v>
      </c>
      <c r="H117" s="4859">
        <v>45231</v>
      </c>
      <c r="I117" s="4839"/>
      <c r="J117" s="4839" t="s">
        <v>32</v>
      </c>
      <c r="K117" s="4839" t="s">
        <v>174</v>
      </c>
      <c r="L117" s="4869" t="s">
        <v>3127</v>
      </c>
      <c r="M117" s="4879">
        <v>45232</v>
      </c>
      <c r="N117" s="4879">
        <v>45231</v>
      </c>
      <c r="O117" s="4881">
        <v>45231</v>
      </c>
      <c r="P117" s="4871" t="s">
        <v>3128</v>
      </c>
      <c r="Q117" s="4870" t="s">
        <v>35</v>
      </c>
      <c r="R117" s="58" t="s">
        <v>36</v>
      </c>
      <c r="S117" s="58" t="s">
        <v>37</v>
      </c>
      <c r="T117" s="106">
        <v>765</v>
      </c>
      <c r="U117" s="106">
        <v>618</v>
      </c>
      <c r="V117" s="106"/>
      <c r="W117" s="106">
        <f>IFERROR((OCT_2023[[#This Row],[Sales Amount]]-OCT_2023[[#This Row],[Cost]])/OCT_2023[[#This Row],[CNTR AMOUNT]],OCT_2023[[#This Row],[Sales Amount]]-OCT_2023[[#This Row],[Cost]])</f>
        <v>147</v>
      </c>
      <c r="X117" s="1580">
        <f>IFERROR(OCT_2023[[#This Row],[Profit]]/OCT_2023[[#This Row],[Cost]]," ")</f>
        <v>0.23786407766990292</v>
      </c>
      <c r="Y117" s="106"/>
      <c r="Z117" s="106"/>
    </row>
    <row r="118" spans="1:26" s="117" customFormat="1">
      <c r="A118" s="3278" t="s">
        <v>171</v>
      </c>
      <c r="B118" s="3275" t="s">
        <v>3129</v>
      </c>
      <c r="C118" s="3275" t="s">
        <v>28</v>
      </c>
      <c r="D118" s="3279">
        <v>45220</v>
      </c>
      <c r="E118" s="5076">
        <v>45230</v>
      </c>
      <c r="F118" s="3275" t="s">
        <v>56</v>
      </c>
      <c r="G118" s="3275" t="s">
        <v>46</v>
      </c>
      <c r="H118" s="3280">
        <v>45230</v>
      </c>
      <c r="I118" s="3275"/>
      <c r="J118" s="3275" t="s">
        <v>32</v>
      </c>
      <c r="K118" s="3275" t="s">
        <v>174</v>
      </c>
      <c r="L118" s="3281" t="s">
        <v>3130</v>
      </c>
      <c r="M118" s="3282">
        <v>45232</v>
      </c>
      <c r="N118" s="3282">
        <v>45230</v>
      </c>
      <c r="O118" s="3282">
        <v>45230</v>
      </c>
      <c r="P118" s="3283" t="s">
        <v>3131</v>
      </c>
      <c r="Q118" s="3261" t="s">
        <v>35</v>
      </c>
      <c r="R118" s="58" t="s">
        <v>36</v>
      </c>
      <c r="S118" s="58" t="s">
        <v>37</v>
      </c>
      <c r="T118" s="106">
        <v>765</v>
      </c>
      <c r="U118" s="106">
        <v>618</v>
      </c>
      <c r="V118" s="106"/>
      <c r="W118" s="3075">
        <f>IFERROR((OCT_2023[[#This Row],[Sales Amount]]-OCT_2023[[#This Row],[Cost]])/OCT_2023[[#This Row],[CNTR AMOUNT]],OCT_2023[[#This Row],[Sales Amount]]-OCT_2023[[#This Row],[Cost]])</f>
        <v>147</v>
      </c>
      <c r="X118" s="3276">
        <f>IFERROR(OCT_2023[[#This Row],[Profit]]/OCT_2023[[#This Row],[Cost]]," ")</f>
        <v>0.23786407766990292</v>
      </c>
      <c r="Y118" s="106"/>
      <c r="Z118" s="106"/>
    </row>
    <row r="119" spans="1:26">
      <c r="A119" s="1344" t="s">
        <v>171</v>
      </c>
      <c r="B119" s="58" t="s">
        <v>3132</v>
      </c>
      <c r="C119" s="58" t="s">
        <v>28</v>
      </c>
      <c r="D119" s="1139">
        <v>45220</v>
      </c>
      <c r="E119" s="1630">
        <v>45230</v>
      </c>
      <c r="F119" s="58" t="s">
        <v>56</v>
      </c>
      <c r="G119" s="58" t="s">
        <v>46</v>
      </c>
      <c r="H119" s="844">
        <v>45231</v>
      </c>
      <c r="I119" s="58"/>
      <c r="J119" s="58" t="s">
        <v>32</v>
      </c>
      <c r="K119" s="58" t="s">
        <v>174</v>
      </c>
      <c r="L119" s="1589" t="s">
        <v>3133</v>
      </c>
      <c r="M119" s="1588">
        <v>45232</v>
      </c>
      <c r="N119" s="1588">
        <v>45231</v>
      </c>
      <c r="O119" s="1606">
        <v>45231</v>
      </c>
      <c r="P119" s="1019" t="s">
        <v>3134</v>
      </c>
      <c r="Q119" s="1" t="s">
        <v>35</v>
      </c>
      <c r="R119" s="58" t="s">
        <v>36</v>
      </c>
      <c r="S119" s="58" t="s">
        <v>37</v>
      </c>
      <c r="T119" s="106">
        <v>765</v>
      </c>
      <c r="U119" s="106">
        <v>618</v>
      </c>
      <c r="W119" s="106">
        <f>IFERROR((OCT_2023[[#This Row],[Sales Amount]]-OCT_2023[[#This Row],[Cost]])/OCT_2023[[#This Row],[CNTR AMOUNT]],OCT_2023[[#This Row],[Sales Amount]]-OCT_2023[[#This Row],[Cost]])</f>
        <v>147</v>
      </c>
      <c r="X119" s="1580">
        <f>IFERROR(OCT_2023[[#This Row],[Profit]]/OCT_2023[[#This Row],[Cost]]," ")</f>
        <v>0.23786407766990292</v>
      </c>
    </row>
    <row r="120" spans="1:26" s="1569" customFormat="1">
      <c r="A120" s="117" t="s">
        <v>379</v>
      </c>
      <c r="B120" s="117" t="s">
        <v>3135</v>
      </c>
      <c r="C120" s="117" t="s">
        <v>28</v>
      </c>
      <c r="D120" s="822">
        <v>45230</v>
      </c>
      <c r="E120" s="879">
        <v>45230</v>
      </c>
      <c r="F120" s="117" t="s">
        <v>45</v>
      </c>
      <c r="G120" s="117" t="s">
        <v>1519</v>
      </c>
      <c r="H120" s="4961" t="s">
        <v>1038</v>
      </c>
      <c r="I120" s="4845" t="s">
        <v>162</v>
      </c>
      <c r="J120" s="117" t="s">
        <v>162</v>
      </c>
      <c r="K120" s="117" t="s">
        <v>162</v>
      </c>
      <c r="L120" s="117" t="s">
        <v>162</v>
      </c>
      <c r="M120" s="822">
        <v>45234</v>
      </c>
      <c r="N120" s="4906">
        <v>45231</v>
      </c>
      <c r="O120" s="822">
        <v>45232</v>
      </c>
      <c r="P120" s="4104" t="s">
        <v>3136</v>
      </c>
      <c r="Q120" s="117" t="s">
        <v>75</v>
      </c>
      <c r="R120" s="4150" t="s">
        <v>3137</v>
      </c>
      <c r="S120" s="117"/>
      <c r="T120" s="117">
        <v>50</v>
      </c>
      <c r="U120" s="117">
        <v>0</v>
      </c>
      <c r="V120" s="117">
        <v>1</v>
      </c>
      <c r="W120" s="117">
        <f>IFERROR((OCT_2023[[#This Row],[Sales Amount]]-OCT_2023[[#This Row],[Cost]])/OCT_2023[[#This Row],[CNTR AMOUNT]],OCT_2023[[#This Row],[Sales Amount]]-OCT_2023[[#This Row],[Cost]])</f>
        <v>50</v>
      </c>
      <c r="X120" s="1686" t="str">
        <f>IFERROR(OCT_2023[[#This Row],[Profit]]/OCT_2023[[#This Row],[Cost]]," ")</f>
        <v xml:space="preserve"> </v>
      </c>
      <c r="Y120" s="117"/>
      <c r="Z120" s="117"/>
    </row>
    <row r="121" spans="1:26" s="1569" customFormat="1">
      <c r="A121" s="58" t="s">
        <v>2787</v>
      </c>
      <c r="B121" s="3284" t="s">
        <v>3138</v>
      </c>
      <c r="C121" s="4839" t="s">
        <v>28</v>
      </c>
      <c r="D121" s="4859">
        <v>45221</v>
      </c>
      <c r="E121" s="4867">
        <v>45246</v>
      </c>
      <c r="F121" s="4851" t="s">
        <v>285</v>
      </c>
      <c r="G121" s="4870" t="s">
        <v>57</v>
      </c>
      <c r="H121" s="1588">
        <v>45246</v>
      </c>
      <c r="I121" s="1675"/>
      <c r="J121" s="1062" t="s">
        <v>247</v>
      </c>
      <c r="K121" s="4854" t="s">
        <v>2789</v>
      </c>
      <c r="L121" s="1589">
        <v>234288</v>
      </c>
      <c r="M121" s="1588">
        <v>45248</v>
      </c>
      <c r="N121" s="1380">
        <v>45246</v>
      </c>
      <c r="O121" s="1380">
        <v>45247</v>
      </c>
      <c r="P121" s="1175" t="s">
        <v>3139</v>
      </c>
      <c r="Q121" s="4161" t="s">
        <v>35</v>
      </c>
      <c r="R121" s="58" t="s">
        <v>36</v>
      </c>
      <c r="S121" s="58" t="s">
        <v>37</v>
      </c>
      <c r="T121" s="106">
        <v>590</v>
      </c>
      <c r="U121" s="106">
        <v>417.4</v>
      </c>
      <c r="V121" s="106"/>
      <c r="W121" s="106">
        <f>IFERROR((OCT_2023[[#This Row],[Sales Amount]]-OCT_2023[[#This Row],[Cost]])/OCT_2023[[#This Row],[CNTR AMOUNT]],OCT_2023[[#This Row],[Sales Amount]]-OCT_2023[[#This Row],[Cost]])</f>
        <v>172.60000000000002</v>
      </c>
      <c r="X121" s="106">
        <f>IFERROR(OCT_2023[[#This Row],[Profit]]/OCT_2023[[#This Row],[Cost]]," ")</f>
        <v>0.41351221849544811</v>
      </c>
      <c r="Y121" s="106"/>
      <c r="Z121" s="106"/>
    </row>
    <row r="122" spans="1:26" ht="45">
      <c r="A122" s="117" t="s">
        <v>379</v>
      </c>
      <c r="B122" s="3268" t="s">
        <v>3140</v>
      </c>
      <c r="C122" s="4845" t="s">
        <v>28</v>
      </c>
      <c r="D122" s="822">
        <v>45230</v>
      </c>
      <c r="E122" s="4916">
        <v>45230</v>
      </c>
      <c r="F122" s="4845" t="s">
        <v>260</v>
      </c>
      <c r="G122" s="806" t="s">
        <v>3141</v>
      </c>
      <c r="H122" s="4961" t="s">
        <v>1038</v>
      </c>
      <c r="I122" s="4845" t="s">
        <v>162</v>
      </c>
      <c r="J122" s="117" t="s">
        <v>162</v>
      </c>
      <c r="K122" s="4845" t="s">
        <v>162</v>
      </c>
      <c r="L122" s="4845" t="s">
        <v>162</v>
      </c>
      <c r="M122" s="4906">
        <v>45233</v>
      </c>
      <c r="N122" s="4906">
        <v>45232</v>
      </c>
      <c r="O122" s="4906">
        <v>45233</v>
      </c>
      <c r="P122" s="4104" t="s">
        <v>3142</v>
      </c>
      <c r="Q122" s="117" t="s">
        <v>75</v>
      </c>
      <c r="R122" s="117" t="s">
        <v>3143</v>
      </c>
      <c r="S122" s="117"/>
      <c r="T122" s="117">
        <v>138.43</v>
      </c>
      <c r="U122" s="117">
        <v>63.43</v>
      </c>
      <c r="V122" s="117">
        <v>1</v>
      </c>
      <c r="W122" s="117">
        <f>IFERROR((OCT_2023[[#This Row],[Sales Amount]]-OCT_2023[[#This Row],[Cost]])/OCT_2023[[#This Row],[CNTR AMOUNT]],OCT_2023[[#This Row],[Sales Amount]]-OCT_2023[[#This Row],[Cost]])</f>
        <v>75</v>
      </c>
      <c r="X122" s="117">
        <f>IFERROR(OCT_2023[[#This Row],[Profit]]/OCT_2023[[#This Row],[Cost]]," ")</f>
        <v>1.1824058016711336</v>
      </c>
      <c r="Y122" s="117"/>
      <c r="Z122" s="117"/>
    </row>
    <row r="123" spans="1:26" s="117" customFormat="1">
      <c r="A123" s="1605" t="s">
        <v>171</v>
      </c>
      <c r="B123" s="1" t="s">
        <v>3144</v>
      </c>
      <c r="C123" s="58" t="s">
        <v>28</v>
      </c>
      <c r="D123" s="1139">
        <v>45223</v>
      </c>
      <c r="E123" s="1629">
        <v>45231</v>
      </c>
      <c r="F123" s="1" t="s">
        <v>151</v>
      </c>
      <c r="G123" s="1" t="s">
        <v>46</v>
      </c>
      <c r="H123" s="1380">
        <v>45232</v>
      </c>
      <c r="I123" s="1" t="s">
        <v>3059</v>
      </c>
      <c r="J123" s="58" t="s">
        <v>32</v>
      </c>
      <c r="K123" s="1" t="s">
        <v>174</v>
      </c>
      <c r="L123" s="1589" t="s">
        <v>3145</v>
      </c>
      <c r="M123" s="1588">
        <v>45234</v>
      </c>
      <c r="N123" s="1588">
        <v>45232</v>
      </c>
      <c r="O123" s="1606">
        <v>45232</v>
      </c>
      <c r="P123" s="707" t="s">
        <v>3146</v>
      </c>
      <c r="Q123" s="1" t="s">
        <v>35</v>
      </c>
      <c r="R123" s="58" t="s">
        <v>36</v>
      </c>
      <c r="S123" s="58" t="s">
        <v>37</v>
      </c>
      <c r="T123" s="106">
        <v>820</v>
      </c>
      <c r="U123" s="7">
        <v>623</v>
      </c>
      <c r="V123" s="106"/>
      <c r="W123" s="106">
        <f>IFERROR((OCT_2023[[#This Row],[Sales Amount]]-OCT_2023[[#This Row],[Cost]])/OCT_2023[[#This Row],[CNTR AMOUNT]],OCT_2023[[#This Row],[Sales Amount]]-OCT_2023[[#This Row],[Cost]])</f>
        <v>197</v>
      </c>
      <c r="X123" s="1580">
        <f>IFERROR(OCT_2023[[#This Row],[Profit]]/OCT_2023[[#This Row],[Cost]]," ")</f>
        <v>0.3162118780096308</v>
      </c>
      <c r="Y123" s="106"/>
      <c r="Z123" s="106"/>
    </row>
    <row r="124" spans="1:26" ht="30">
      <c r="A124" s="4150" t="s">
        <v>386</v>
      </c>
      <c r="B124" s="4150" t="s">
        <v>3147</v>
      </c>
      <c r="C124" s="117" t="s">
        <v>28</v>
      </c>
      <c r="D124" s="822">
        <v>45217</v>
      </c>
      <c r="E124" s="879">
        <v>45231</v>
      </c>
      <c r="F124" s="4150" t="s">
        <v>151</v>
      </c>
      <c r="G124" s="4150" t="s">
        <v>3148</v>
      </c>
      <c r="H124" s="839">
        <v>45233</v>
      </c>
      <c r="I124" s="766" t="s">
        <v>3149</v>
      </c>
      <c r="J124" s="4150" t="s">
        <v>322</v>
      </c>
      <c r="K124" s="1676" t="s">
        <v>3150</v>
      </c>
      <c r="L124" s="117">
        <v>2906</v>
      </c>
      <c r="M124" s="4173">
        <v>45233</v>
      </c>
      <c r="N124" s="839">
        <v>45233</v>
      </c>
      <c r="O124" s="822">
        <v>45233</v>
      </c>
      <c r="P124" s="4104" t="s">
        <v>3151</v>
      </c>
      <c r="Q124" s="117" t="s">
        <v>75</v>
      </c>
      <c r="R124" s="3" t="s">
        <v>3152</v>
      </c>
      <c r="S124" s="117">
        <v>4</v>
      </c>
      <c r="T124" s="117">
        <v>920</v>
      </c>
      <c r="U124" s="117">
        <v>454.55</v>
      </c>
      <c r="V124" s="117">
        <v>1</v>
      </c>
      <c r="W124" s="117">
        <f>IFERROR((OCT_2023[[#This Row],[Sales Amount]]-OCT_2023[[#This Row],[Cost]])/OCT_2023[[#This Row],[CNTR AMOUNT]],OCT_2023[[#This Row],[Sales Amount]]-OCT_2023[[#This Row],[Cost]])</f>
        <v>465.45</v>
      </c>
      <c r="X124" s="1661">
        <f>IFERROR(OCT_2023[[#This Row],[Profit]]/OCT_2023[[#This Row],[Cost]]," ")</f>
        <v>1.0239797602023979</v>
      </c>
      <c r="Y124" s="117"/>
      <c r="Z124" s="117"/>
    </row>
    <row r="125" spans="1:26">
      <c r="A125" s="4882" t="s">
        <v>42</v>
      </c>
      <c r="B125" s="707" t="s">
        <v>3153</v>
      </c>
      <c r="C125" s="709" t="s">
        <v>994</v>
      </c>
      <c r="D125" s="4940">
        <v>45211</v>
      </c>
      <c r="E125" s="4885">
        <v>45231</v>
      </c>
      <c r="F125" s="4882" t="s">
        <v>56</v>
      </c>
      <c r="G125" s="5077" t="s">
        <v>2206</v>
      </c>
      <c r="H125" s="4882"/>
      <c r="I125" s="4882"/>
      <c r="J125" s="4882" t="s">
        <v>168</v>
      </c>
      <c r="K125" s="4882" t="s">
        <v>310</v>
      </c>
      <c r="L125" s="707">
        <v>9758441</v>
      </c>
      <c r="M125" s="1612">
        <v>45230</v>
      </c>
      <c r="N125" s="1612">
        <v>45229</v>
      </c>
      <c r="O125" s="1612">
        <v>45232</v>
      </c>
      <c r="P125" s="1019" t="s">
        <v>3154</v>
      </c>
      <c r="Q125" s="707" t="s">
        <v>50</v>
      </c>
      <c r="R125" s="58" t="s">
        <v>36</v>
      </c>
      <c r="S125" s="3258"/>
      <c r="T125" s="707"/>
      <c r="U125" s="707"/>
      <c r="V125" s="707"/>
      <c r="W125" s="707">
        <f>IFERROR((OCT_2023[[#This Row],[Sales Amount]]-OCT_2023[[#This Row],[Cost]])/OCT_2023[[#This Row],[CNTR AMOUNT]],OCT_2023[[#This Row],[Sales Amount]]-OCT_2023[[#This Row],[Cost]])</f>
        <v>0</v>
      </c>
      <c r="X125" s="707"/>
      <c r="Y125" s="707"/>
      <c r="Z125" s="707"/>
    </row>
    <row r="126" spans="1:26" s="147" customFormat="1">
      <c r="A126" s="1376" t="s">
        <v>1035</v>
      </c>
      <c r="B126" s="58" t="s">
        <v>3155</v>
      </c>
      <c r="C126" s="915" t="s">
        <v>28</v>
      </c>
      <c r="D126" s="1139">
        <v>45218</v>
      </c>
      <c r="E126" s="1112">
        <v>45231</v>
      </c>
      <c r="F126" s="58" t="s">
        <v>151</v>
      </c>
      <c r="G126" s="58" t="s">
        <v>46</v>
      </c>
      <c r="H126" s="58" t="s">
        <v>1038</v>
      </c>
      <c r="I126" s="1"/>
      <c r="J126" s="1376" t="s">
        <v>32</v>
      </c>
      <c r="K126" s="1344" t="s">
        <v>162</v>
      </c>
      <c r="L126" s="1678">
        <v>2.4199999999999999E+61</v>
      </c>
      <c r="M126" s="1588">
        <v>45234</v>
      </c>
      <c r="N126" s="1588">
        <v>45234</v>
      </c>
      <c r="O126" s="1380">
        <v>45237</v>
      </c>
      <c r="P126" s="707" t="s">
        <v>3156</v>
      </c>
      <c r="Q126" s="4870" t="s">
        <v>35</v>
      </c>
      <c r="R126" s="1" t="s">
        <v>36</v>
      </c>
      <c r="S126" s="58" t="s">
        <v>1320</v>
      </c>
      <c r="T126" s="106"/>
      <c r="U126" s="106"/>
      <c r="V126" s="106"/>
      <c r="W126" s="3075">
        <f>IFERROR((OCT_2023[[#This Row],[Sales Amount]]-OCT_2023[[#This Row],[Cost]])/OCT_2023[[#This Row],[CNTR AMOUNT]],OCT_2023[[#This Row],[Sales Amount]]-OCT_2023[[#This Row],[Cost]])</f>
        <v>0</v>
      </c>
      <c r="X126" s="3075" t="str">
        <f>IFERROR(OCT_2023[[#This Row],[Profit]]/OCT_2023[[#This Row],[Cost]]," ")</f>
        <v xml:space="preserve"> </v>
      </c>
      <c r="Y126" s="3075"/>
      <c r="Z126" s="3250"/>
    </row>
    <row r="127" spans="1:26">
      <c r="A127" s="58" t="s">
        <v>2787</v>
      </c>
      <c r="B127" s="1" t="s">
        <v>3157</v>
      </c>
      <c r="C127" s="58" t="s">
        <v>28</v>
      </c>
      <c r="D127" s="1607">
        <v>45213</v>
      </c>
      <c r="E127" s="1668">
        <v>45232</v>
      </c>
      <c r="F127" s="1166" t="s">
        <v>285</v>
      </c>
      <c r="G127" s="1" t="s">
        <v>57</v>
      </c>
      <c r="H127" s="1606">
        <v>45236</v>
      </c>
      <c r="I127" s="1589" t="s">
        <v>178</v>
      </c>
      <c r="J127" s="4870" t="s">
        <v>247</v>
      </c>
      <c r="K127" s="1114" t="s">
        <v>2789</v>
      </c>
      <c r="L127" s="1589">
        <v>9239603</v>
      </c>
      <c r="M127" s="1588">
        <v>45235</v>
      </c>
      <c r="N127" s="1380">
        <v>45233</v>
      </c>
      <c r="O127" s="1588">
        <v>45236</v>
      </c>
      <c r="P127" s="1635" t="s">
        <v>3158</v>
      </c>
      <c r="Q127" s="58" t="s">
        <v>35</v>
      </c>
      <c r="R127" s="58" t="s">
        <v>36</v>
      </c>
      <c r="S127" s="58" t="s">
        <v>37</v>
      </c>
      <c r="T127" s="106">
        <v>2005</v>
      </c>
      <c r="U127" s="106">
        <v>1434.8</v>
      </c>
      <c r="V127" s="106">
        <v>2</v>
      </c>
      <c r="W127" s="106">
        <f>IFERROR((OCT_2023[[#This Row],[Sales Amount]]-OCT_2023[[#This Row],[Cost]])/OCT_2023[[#This Row],[CNTR AMOUNT]],OCT_2023[[#This Row],[Sales Amount]]-OCT_2023[[#This Row],[Cost]])</f>
        <v>285.10000000000002</v>
      </c>
      <c r="X127" s="1580">
        <f>IFERROR(OCT_2023[[#This Row],[Profit]]/OCT_2023[[#This Row],[Cost]]," ")</f>
        <v>0.19870365207694454</v>
      </c>
    </row>
    <row r="128" spans="1:26">
      <c r="A128" s="58" t="s">
        <v>2787</v>
      </c>
      <c r="B128" s="1" t="s">
        <v>3159</v>
      </c>
      <c r="C128" s="710" t="s">
        <v>28</v>
      </c>
      <c r="D128" s="1607">
        <v>45213</v>
      </c>
      <c r="E128" s="1668">
        <v>45232</v>
      </c>
      <c r="F128" s="1166" t="s">
        <v>285</v>
      </c>
      <c r="G128" s="1" t="s">
        <v>57</v>
      </c>
      <c r="H128" s="1606">
        <v>45236</v>
      </c>
      <c r="I128" s="1589" t="s">
        <v>115</v>
      </c>
      <c r="J128" s="1376" t="s">
        <v>247</v>
      </c>
      <c r="K128" s="1125" t="s">
        <v>2789</v>
      </c>
      <c r="L128" s="1589">
        <v>9239563</v>
      </c>
      <c r="M128" s="1588">
        <v>45235</v>
      </c>
      <c r="N128" s="1380">
        <v>45233</v>
      </c>
      <c r="O128" s="1588">
        <v>45237</v>
      </c>
      <c r="P128" s="1635" t="s">
        <v>3158</v>
      </c>
      <c r="Q128" s="710" t="s">
        <v>35</v>
      </c>
      <c r="R128" s="710" t="s">
        <v>36</v>
      </c>
      <c r="S128" s="710" t="s">
        <v>37</v>
      </c>
      <c r="T128" s="106">
        <v>2005</v>
      </c>
      <c r="U128" s="106">
        <v>1434.8</v>
      </c>
      <c r="V128" s="106">
        <v>2</v>
      </c>
      <c r="W128" s="106">
        <f>IFERROR((OCT_2023[[#This Row],[Sales Amount]]-OCT_2023[[#This Row],[Cost]])/OCT_2023[[#This Row],[CNTR AMOUNT]],OCT_2023[[#This Row],[Sales Amount]]-OCT_2023[[#This Row],[Cost]])</f>
        <v>285.10000000000002</v>
      </c>
      <c r="X128" s="1580">
        <f>IFERROR(OCT_2023[[#This Row],[Profit]]/OCT_2023[[#This Row],[Cost]]," ")</f>
        <v>0.19870365207694454</v>
      </c>
    </row>
    <row r="129" spans="1:26" ht="90">
      <c r="A129" s="4150" t="s">
        <v>468</v>
      </c>
      <c r="B129" s="4167" t="s">
        <v>3160</v>
      </c>
      <c r="C129" s="4163" t="s">
        <v>200</v>
      </c>
      <c r="D129" s="807">
        <v>45221</v>
      </c>
      <c r="E129" s="925">
        <v>45232</v>
      </c>
      <c r="F129" s="4150" t="s">
        <v>245</v>
      </c>
      <c r="G129" s="4150" t="s">
        <v>3148</v>
      </c>
      <c r="H129" s="822">
        <v>45237</v>
      </c>
      <c r="I129" s="117"/>
      <c r="J129" s="4163" t="s">
        <v>322</v>
      </c>
      <c r="K129" s="4096" t="s">
        <v>3161</v>
      </c>
      <c r="L129" s="766">
        <v>3348</v>
      </c>
      <c r="M129" s="4173">
        <v>45235</v>
      </c>
      <c r="N129" s="822">
        <v>45237</v>
      </c>
      <c r="O129" s="144">
        <v>45239</v>
      </c>
      <c r="P129" s="4141" t="s">
        <v>3162</v>
      </c>
      <c r="Q129" s="152" t="s">
        <v>75</v>
      </c>
      <c r="R129" s="4248" t="s">
        <v>3163</v>
      </c>
      <c r="S129" s="152">
        <v>4</v>
      </c>
      <c r="T129" s="106">
        <v>960</v>
      </c>
      <c r="U129" s="106">
        <v>533.45000000000005</v>
      </c>
      <c r="V129" s="106">
        <v>1</v>
      </c>
      <c r="W129" s="106">
        <f>IFERROR((OCT_2023[[#This Row],[Sales Amount]]-OCT_2023[[#This Row],[Cost]])/OCT_2023[[#This Row],[CNTR AMOUNT]],OCT_2023[[#This Row],[Sales Amount]]-OCT_2023[[#This Row],[Cost]])</f>
        <v>426.54999999999995</v>
      </c>
      <c r="X129" s="886">
        <f>IFERROR(OCT_2023[[#This Row],[Profit]]/OCT_2023[[#This Row],[Cost]]," ")</f>
        <v>0.79960633611397491</v>
      </c>
    </row>
    <row r="130" spans="1:26">
      <c r="A130" s="58" t="s">
        <v>2787</v>
      </c>
      <c r="B130" s="1166" t="s">
        <v>3164</v>
      </c>
      <c r="C130" s="1140" t="s">
        <v>44</v>
      </c>
      <c r="D130" s="844">
        <v>45209</v>
      </c>
      <c r="E130" s="1112">
        <v>45232</v>
      </c>
      <c r="F130" s="1166" t="s">
        <v>285</v>
      </c>
      <c r="G130" s="1" t="s">
        <v>57</v>
      </c>
      <c r="H130" s="1588">
        <v>45237</v>
      </c>
      <c r="I130" s="1589" t="s">
        <v>178</v>
      </c>
      <c r="J130" s="1376" t="s">
        <v>247</v>
      </c>
      <c r="K130" s="1125" t="s">
        <v>2789</v>
      </c>
      <c r="L130" s="1589">
        <v>9239560</v>
      </c>
      <c r="M130" s="1588">
        <v>45235</v>
      </c>
      <c r="N130" s="1380">
        <v>45234</v>
      </c>
      <c r="O130" s="1380">
        <v>45237</v>
      </c>
      <c r="P130" s="1719" t="s">
        <v>3165</v>
      </c>
      <c r="Q130" s="4123" t="s">
        <v>35</v>
      </c>
      <c r="R130" s="710" t="s">
        <v>36</v>
      </c>
      <c r="S130" s="710" t="s">
        <v>37</v>
      </c>
      <c r="T130" s="106">
        <v>2100</v>
      </c>
      <c r="U130" s="106">
        <v>1559.8</v>
      </c>
      <c r="V130" s="106">
        <v>2</v>
      </c>
      <c r="W130" s="106">
        <f>IFERROR((OCT_2023[[#This Row],[Sales Amount]]-OCT_2023[[#This Row],[Cost]])/OCT_2023[[#This Row],[CNTR AMOUNT]],OCT_2023[[#This Row],[Sales Amount]]-OCT_2023[[#This Row],[Cost]])</f>
        <v>270.10000000000002</v>
      </c>
      <c r="X130" s="106">
        <f>IFERROR(OCT_2023[[#This Row],[Profit]]/OCT_2023[[#This Row],[Cost]]," ")</f>
        <v>0.17316322605462239</v>
      </c>
    </row>
    <row r="131" spans="1:26">
      <c r="A131" s="58" t="s">
        <v>2787</v>
      </c>
      <c r="B131" s="1166" t="s">
        <v>3166</v>
      </c>
      <c r="C131" s="1166" t="s">
        <v>44</v>
      </c>
      <c r="D131" s="844">
        <v>45209</v>
      </c>
      <c r="E131" s="1112">
        <v>45232</v>
      </c>
      <c r="F131" s="1166" t="s">
        <v>285</v>
      </c>
      <c r="G131" s="1" t="s">
        <v>57</v>
      </c>
      <c r="H131" s="1588">
        <v>45237</v>
      </c>
      <c r="I131" s="1589" t="s">
        <v>115</v>
      </c>
      <c r="J131" s="1062" t="s">
        <v>247</v>
      </c>
      <c r="K131" s="1114" t="s">
        <v>2789</v>
      </c>
      <c r="L131" s="1589">
        <v>9239554</v>
      </c>
      <c r="M131" s="1588">
        <v>45235</v>
      </c>
      <c r="N131" s="1380">
        <v>45233</v>
      </c>
      <c r="O131" s="1380">
        <v>45238</v>
      </c>
      <c r="P131" s="1719" t="s">
        <v>3165</v>
      </c>
      <c r="Q131" s="4249" t="s">
        <v>35</v>
      </c>
      <c r="R131" s="58" t="s">
        <v>36</v>
      </c>
      <c r="S131" s="58" t="s">
        <v>37</v>
      </c>
      <c r="T131" s="106">
        <v>2100</v>
      </c>
      <c r="U131" s="106">
        <v>1559.8</v>
      </c>
      <c r="V131" s="106">
        <v>2</v>
      </c>
      <c r="W131" s="106">
        <f>IFERROR((OCT_2023[[#This Row],[Sales Amount]]-OCT_2023[[#This Row],[Cost]])/OCT_2023[[#This Row],[CNTR AMOUNT]],OCT_2023[[#This Row],[Sales Amount]]-OCT_2023[[#This Row],[Cost]])</f>
        <v>270.10000000000002</v>
      </c>
      <c r="X131" s="106">
        <f>IFERROR(OCT_2023[[#This Row],[Profit]]/OCT_2023[[#This Row],[Cost]]," ")</f>
        <v>0.17316322605462239</v>
      </c>
    </row>
    <row r="132" spans="1:26" ht="165">
      <c r="A132" s="117" t="s">
        <v>409</v>
      </c>
      <c r="B132" s="4150" t="s">
        <v>3167</v>
      </c>
      <c r="C132" s="660" t="s">
        <v>28</v>
      </c>
      <c r="D132" s="822">
        <v>45184</v>
      </c>
      <c r="E132" s="879">
        <v>45233</v>
      </c>
      <c r="F132" s="117" t="s">
        <v>260</v>
      </c>
      <c r="G132" s="766" t="s">
        <v>103</v>
      </c>
      <c r="H132" s="825">
        <v>45237</v>
      </c>
      <c r="I132" s="4150" t="s">
        <v>926</v>
      </c>
      <c r="J132" s="4150" t="s">
        <v>32</v>
      </c>
      <c r="K132" s="806" t="s">
        <v>3168</v>
      </c>
      <c r="L132" s="4179" t="s">
        <v>3169</v>
      </c>
      <c r="M132" s="4233">
        <v>45235</v>
      </c>
      <c r="N132" s="4233">
        <v>45234</v>
      </c>
      <c r="O132" s="822">
        <v>45237</v>
      </c>
      <c r="P132" s="4104" t="s">
        <v>3170</v>
      </c>
      <c r="Q132" s="117" t="s">
        <v>75</v>
      </c>
      <c r="R132" s="794" t="s">
        <v>3171</v>
      </c>
      <c r="S132" s="117">
        <v>4</v>
      </c>
      <c r="T132" s="117">
        <v>2472</v>
      </c>
      <c r="U132" s="117">
        <v>2107</v>
      </c>
      <c r="V132" s="117">
        <v>1</v>
      </c>
      <c r="W132" s="117">
        <f>IFERROR((OCT_2023[[#This Row],[Sales Amount]]-OCT_2023[[#This Row],[Cost]])/OCT_2023[[#This Row],[CNTR AMOUNT]],OCT_2023[[#This Row],[Sales Amount]]-OCT_2023[[#This Row],[Cost]])</f>
        <v>365</v>
      </c>
      <c r="X132" s="1660">
        <f>IFERROR(OCT_2023[[#This Row],[Profit]]/OCT_2023[[#This Row],[Cost]]," ")</f>
        <v>0.17323208353108685</v>
      </c>
      <c r="Y132" s="117"/>
      <c r="Z132" s="117"/>
    </row>
    <row r="133" spans="1:26" s="7" customFormat="1">
      <c r="A133" s="1" t="s">
        <v>1035</v>
      </c>
      <c r="B133" s="1" t="s">
        <v>3172</v>
      </c>
      <c r="C133" s="1376" t="s">
        <v>28</v>
      </c>
      <c r="D133" s="844">
        <v>45211</v>
      </c>
      <c r="E133" s="1608">
        <v>45233</v>
      </c>
      <c r="F133" s="58" t="s">
        <v>151</v>
      </c>
      <c r="G133" s="1" t="s">
        <v>46</v>
      </c>
      <c r="H133" s="58" t="s">
        <v>1038</v>
      </c>
      <c r="I133" s="1"/>
      <c r="J133" s="1" t="s">
        <v>32</v>
      </c>
      <c r="K133" s="1344" t="s">
        <v>162</v>
      </c>
      <c r="L133" s="913" t="s">
        <v>3173</v>
      </c>
      <c r="M133" s="1607">
        <v>45221</v>
      </c>
      <c r="N133" s="1607">
        <v>45220</v>
      </c>
      <c r="O133" s="1607">
        <v>45220</v>
      </c>
      <c r="P133" s="1019" t="s">
        <v>3039</v>
      </c>
      <c r="Q133" s="1" t="s">
        <v>35</v>
      </c>
      <c r="R133" s="1" t="s">
        <v>36</v>
      </c>
      <c r="S133" s="58" t="s">
        <v>1320</v>
      </c>
      <c r="T133" s="26"/>
      <c r="U133" s="26"/>
      <c r="V133" s="26"/>
      <c r="W133" s="26">
        <f>IFERROR((OCT_2023[[#This Row],[Sales Amount]]-OCT_2023[[#This Row],[Cost]])/OCT_2023[[#This Row],[CNTR AMOUNT]],OCT_2023[[#This Row],[Sales Amount]]-OCT_2023[[#This Row],[Cost]])</f>
        <v>0</v>
      </c>
      <c r="X133" s="26" t="str">
        <f>IFERROR(OCT_2023[[#This Row],[Profit]]/OCT_2023[[#This Row],[Cost]]," ")</f>
        <v xml:space="preserve"> </v>
      </c>
      <c r="Y133" s="26"/>
      <c r="Z133" s="26"/>
    </row>
    <row r="134" spans="1:26">
      <c r="A134" s="1344" t="s">
        <v>171</v>
      </c>
      <c r="B134" s="58" t="s">
        <v>3174</v>
      </c>
      <c r="C134" s="58" t="s">
        <v>28</v>
      </c>
      <c r="D134" s="1139">
        <v>45220</v>
      </c>
      <c r="E134" s="1629">
        <v>45234</v>
      </c>
      <c r="F134" s="58" t="s">
        <v>56</v>
      </c>
      <c r="G134" s="58" t="s">
        <v>57</v>
      </c>
      <c r="H134" s="844">
        <v>45236</v>
      </c>
      <c r="I134" s="58"/>
      <c r="J134" s="710" t="s">
        <v>32</v>
      </c>
      <c r="K134" s="58" t="s">
        <v>174</v>
      </c>
      <c r="L134" s="1589">
        <v>378563</v>
      </c>
      <c r="M134" s="1588">
        <v>45236</v>
      </c>
      <c r="N134" s="1588">
        <v>45236</v>
      </c>
      <c r="O134" s="1380">
        <v>45237</v>
      </c>
      <c r="P134" s="1019" t="s">
        <v>3175</v>
      </c>
      <c r="Q134" s="1" t="s">
        <v>35</v>
      </c>
      <c r="R134" s="58" t="s">
        <v>36</v>
      </c>
      <c r="S134" s="58" t="s">
        <v>37</v>
      </c>
      <c r="T134" s="106">
        <v>940</v>
      </c>
      <c r="U134" s="106">
        <v>751</v>
      </c>
      <c r="W134" s="106">
        <f>IFERROR((OCT_2023[[#This Row],[Sales Amount]]-OCT_2023[[#This Row],[Cost]])/OCT_2023[[#This Row],[CNTR AMOUNT]],OCT_2023[[#This Row],[Sales Amount]]-OCT_2023[[#This Row],[Cost]])</f>
        <v>189</v>
      </c>
      <c r="X134" s="106">
        <f>IFERROR(OCT_2023[[#This Row],[Profit]]/OCT_2023[[#This Row],[Cost]]," ")</f>
        <v>0.25166444740346205</v>
      </c>
    </row>
    <row r="135" spans="1:26">
      <c r="A135" s="1344" t="s">
        <v>171</v>
      </c>
      <c r="B135" s="58" t="s">
        <v>3176</v>
      </c>
      <c r="C135" s="710" t="s">
        <v>28</v>
      </c>
      <c r="D135" s="1139">
        <v>45220</v>
      </c>
      <c r="E135" s="1629">
        <v>45234</v>
      </c>
      <c r="F135" s="58" t="s">
        <v>56</v>
      </c>
      <c r="G135" s="58" t="s">
        <v>57</v>
      </c>
      <c r="H135" s="844">
        <v>45236</v>
      </c>
      <c r="I135" s="58"/>
      <c r="J135" s="4839" t="s">
        <v>32</v>
      </c>
      <c r="K135" s="4839" t="s">
        <v>174</v>
      </c>
      <c r="L135" s="915">
        <v>378616</v>
      </c>
      <c r="M135" s="1115">
        <v>45236</v>
      </c>
      <c r="N135" s="1115">
        <v>45236</v>
      </c>
      <c r="O135" s="1115">
        <v>45236</v>
      </c>
      <c r="P135" s="1019" t="s">
        <v>3177</v>
      </c>
      <c r="Q135" s="1" t="s">
        <v>35</v>
      </c>
      <c r="R135" s="58" t="s">
        <v>36</v>
      </c>
      <c r="S135" s="58" t="s">
        <v>37</v>
      </c>
      <c r="T135" s="106">
        <v>640</v>
      </c>
      <c r="U135" s="106">
        <v>518</v>
      </c>
      <c r="W135" s="106">
        <f>IFERROR((OCT_2023[[#This Row],[Sales Amount]]-OCT_2023[[#This Row],[Cost]])/OCT_2023[[#This Row],[CNTR AMOUNT]],OCT_2023[[#This Row],[Sales Amount]]-OCT_2023[[#This Row],[Cost]])</f>
        <v>122</v>
      </c>
      <c r="X135" s="1580">
        <f>IFERROR(OCT_2023[[#This Row],[Profit]]/OCT_2023[[#This Row],[Cost]]," ")</f>
        <v>0.23552123552123552</v>
      </c>
    </row>
    <row r="136" spans="1:26">
      <c r="A136" s="1344" t="s">
        <v>171</v>
      </c>
      <c r="B136" s="58" t="s">
        <v>3178</v>
      </c>
      <c r="C136" s="58" t="s">
        <v>28</v>
      </c>
      <c r="D136" s="1139">
        <v>45220</v>
      </c>
      <c r="E136" s="1629">
        <v>45234</v>
      </c>
      <c r="F136" s="18" t="s">
        <v>56</v>
      </c>
      <c r="G136" s="18" t="s">
        <v>57</v>
      </c>
      <c r="H136" s="844">
        <v>45236</v>
      </c>
      <c r="I136" s="58"/>
      <c r="J136" s="18" t="s">
        <v>32</v>
      </c>
      <c r="K136" s="58" t="s">
        <v>174</v>
      </c>
      <c r="L136" s="1589">
        <v>378570</v>
      </c>
      <c r="M136" s="1588">
        <v>45236</v>
      </c>
      <c r="N136" s="1588">
        <v>45236</v>
      </c>
      <c r="O136" s="1380">
        <v>45237</v>
      </c>
      <c r="P136" s="1019" t="s">
        <v>3179</v>
      </c>
      <c r="Q136" s="1" t="s">
        <v>35</v>
      </c>
      <c r="R136" s="58" t="s">
        <v>36</v>
      </c>
      <c r="S136" s="58" t="s">
        <v>37</v>
      </c>
      <c r="T136" s="106">
        <v>805</v>
      </c>
      <c r="U136" s="106">
        <v>656</v>
      </c>
      <c r="W136" s="106">
        <f>IFERROR((OCT_2023[[#This Row],[Sales Amount]]-OCT_2023[[#This Row],[Cost]])/OCT_2023[[#This Row],[CNTR AMOUNT]],OCT_2023[[#This Row],[Sales Amount]]-OCT_2023[[#This Row],[Cost]])</f>
        <v>149</v>
      </c>
      <c r="X136" s="1580">
        <f>IFERROR(OCT_2023[[#This Row],[Profit]]/OCT_2023[[#This Row],[Cost]]," ")</f>
        <v>0.22713414634146342</v>
      </c>
    </row>
    <row r="137" spans="1:26" s="1442" customFormat="1" ht="45">
      <c r="A137" s="4168" t="s">
        <v>409</v>
      </c>
      <c r="B137" s="4168" t="s">
        <v>3180</v>
      </c>
      <c r="C137" s="507" t="s">
        <v>3181</v>
      </c>
      <c r="D137" s="822">
        <v>45220</v>
      </c>
      <c r="E137" s="925">
        <v>45234</v>
      </c>
      <c r="F137" s="4150" t="s">
        <v>93</v>
      </c>
      <c r="G137" s="860" t="s">
        <v>57</v>
      </c>
      <c r="H137" s="1653" t="s">
        <v>3182</v>
      </c>
      <c r="I137" s="799" t="s">
        <v>3183</v>
      </c>
      <c r="J137" s="4168" t="s">
        <v>32</v>
      </c>
      <c r="K137" s="4168" t="s">
        <v>2978</v>
      </c>
      <c r="L137" s="1652" t="s">
        <v>3184</v>
      </c>
      <c r="M137" s="1611">
        <v>45237</v>
      </c>
      <c r="N137" s="1611">
        <v>45237</v>
      </c>
      <c r="O137" s="1446">
        <v>45237</v>
      </c>
      <c r="P137" s="4237" t="s">
        <v>3185</v>
      </c>
      <c r="Q137" s="507" t="s">
        <v>75</v>
      </c>
      <c r="R137" s="4150" t="s">
        <v>3186</v>
      </c>
      <c r="S137" s="117">
        <v>4</v>
      </c>
      <c r="T137" s="117">
        <v>1115</v>
      </c>
      <c r="U137" s="117">
        <v>970</v>
      </c>
      <c r="V137" s="117">
        <v>1</v>
      </c>
      <c r="W137" s="117">
        <f>IFERROR((OCT_2023[[#This Row],[Sales Amount]]-OCT_2023[[#This Row],[Cost]])/OCT_2023[[#This Row],[CNTR AMOUNT]],OCT_2023[[#This Row],[Sales Amount]]-OCT_2023[[#This Row],[Cost]])</f>
        <v>145</v>
      </c>
      <c r="X137" s="3269">
        <f>IFERROR(OCT_2023[[#This Row],[Profit]]/OCT_2023[[#This Row],[Cost]]," ")</f>
        <v>0.14948453608247422</v>
      </c>
      <c r="Y137" s="117"/>
      <c r="Z137" s="117"/>
    </row>
    <row r="138" spans="1:26" s="117" customFormat="1" ht="30">
      <c r="A138" s="4150" t="s">
        <v>409</v>
      </c>
      <c r="B138" s="4150" t="s">
        <v>3187</v>
      </c>
      <c r="C138" s="660" t="s">
        <v>44</v>
      </c>
      <c r="D138" s="822">
        <v>45228</v>
      </c>
      <c r="E138" s="879">
        <v>45236</v>
      </c>
      <c r="F138" s="4150" t="s">
        <v>93</v>
      </c>
      <c r="G138" s="860" t="s">
        <v>302</v>
      </c>
      <c r="H138" s="4173">
        <v>45238</v>
      </c>
      <c r="I138" s="4150" t="s">
        <v>3188</v>
      </c>
      <c r="J138" s="4163" t="s">
        <v>32</v>
      </c>
      <c r="K138" s="6045" t="s">
        <v>407</v>
      </c>
      <c r="L138" s="4150" t="s">
        <v>3189</v>
      </c>
      <c r="M138" s="822">
        <v>45238</v>
      </c>
      <c r="N138" s="822">
        <v>45238</v>
      </c>
      <c r="O138" s="822">
        <v>45239</v>
      </c>
      <c r="P138" s="4104" t="s">
        <v>3190</v>
      </c>
      <c r="Q138" s="660" t="s">
        <v>75</v>
      </c>
      <c r="R138" s="4163" t="s">
        <v>3191</v>
      </c>
      <c r="S138" s="660"/>
      <c r="T138" s="117">
        <v>2427.5</v>
      </c>
      <c r="U138" s="117">
        <v>2040</v>
      </c>
      <c r="V138" s="117">
        <v>1</v>
      </c>
      <c r="W138" s="117">
        <f>IFERROR((OCT_2023[[#This Row],[Sales Amount]]-OCT_2023[[#This Row],[Cost]])/OCT_2023[[#This Row],[CNTR AMOUNT]],OCT_2023[[#This Row],[Sales Amount]]-OCT_2023[[#This Row],[Cost]])</f>
        <v>387.5</v>
      </c>
      <c r="X138" s="1661">
        <f>IFERROR(OCT_2023[[#This Row],[Profit]]/OCT_2023[[#This Row],[Cost]]," ")</f>
        <v>0.18995098039215685</v>
      </c>
    </row>
    <row r="139" spans="1:26">
      <c r="A139" s="1" t="s">
        <v>1035</v>
      </c>
      <c r="B139" s="1" t="s">
        <v>3192</v>
      </c>
      <c r="C139" s="1140" t="s">
        <v>28</v>
      </c>
      <c r="D139" s="1607">
        <v>45234</v>
      </c>
      <c r="E139" s="1668">
        <v>45235</v>
      </c>
      <c r="F139" s="1" t="s">
        <v>151</v>
      </c>
      <c r="G139" s="58" t="s">
        <v>46</v>
      </c>
      <c r="H139" s="1638" t="s">
        <v>1038</v>
      </c>
      <c r="I139" s="1062"/>
      <c r="J139" s="1062" t="s">
        <v>32</v>
      </c>
      <c r="K139" s="1711" t="s">
        <v>162</v>
      </c>
      <c r="L139" s="1678">
        <v>5.3000000000000003E+305</v>
      </c>
      <c r="M139" s="1588">
        <v>45237</v>
      </c>
      <c r="N139" s="1588">
        <v>45236</v>
      </c>
      <c r="O139" s="1380">
        <v>45237</v>
      </c>
      <c r="P139" s="707" t="s">
        <v>3193</v>
      </c>
      <c r="Q139" s="1376" t="s">
        <v>35</v>
      </c>
      <c r="R139" s="1376" t="s">
        <v>36</v>
      </c>
      <c r="S139" s="710" t="s">
        <v>1320</v>
      </c>
      <c r="T139" s="106"/>
      <c r="U139" s="106"/>
      <c r="W139" s="106">
        <f>IFERROR((OCT_2023[[#This Row],[Sales Amount]]-OCT_2023[[#This Row],[Cost]])/OCT_2023[[#This Row],[CNTR AMOUNT]],OCT_2023[[#This Row],[Sales Amount]]-OCT_2023[[#This Row],[Cost]])</f>
        <v>0</v>
      </c>
      <c r="X139" s="106" t="str">
        <f>IFERROR(OCT_2023[[#This Row],[Profit]]/OCT_2023[[#This Row],[Cost]]," ")</f>
        <v xml:space="preserve"> </v>
      </c>
    </row>
    <row r="140" spans="1:26" ht="135">
      <c r="A140" s="117" t="s">
        <v>165</v>
      </c>
      <c r="B140" s="4098" t="s">
        <v>3194</v>
      </c>
      <c r="C140" s="660" t="s">
        <v>28</v>
      </c>
      <c r="D140" s="822">
        <v>45215</v>
      </c>
      <c r="E140" s="879">
        <v>45236</v>
      </c>
      <c r="F140" s="4150" t="s">
        <v>245</v>
      </c>
      <c r="G140" s="4150" t="s">
        <v>57</v>
      </c>
      <c r="H140" s="822">
        <v>45239</v>
      </c>
      <c r="I140" s="36" t="s">
        <v>618</v>
      </c>
      <c r="J140" s="4150" t="s">
        <v>297</v>
      </c>
      <c r="K140" s="1647" t="s">
        <v>3195</v>
      </c>
      <c r="L140" s="117">
        <v>9811429</v>
      </c>
      <c r="M140" s="822">
        <v>45239</v>
      </c>
      <c r="N140" s="822">
        <v>45238</v>
      </c>
      <c r="O140" s="822">
        <v>45239</v>
      </c>
      <c r="P140" s="4104" t="s">
        <v>3196</v>
      </c>
      <c r="Q140" s="117" t="s">
        <v>75</v>
      </c>
      <c r="R140" s="4150" t="s">
        <v>3197</v>
      </c>
      <c r="S140" s="117">
        <v>4</v>
      </c>
      <c r="T140" s="117">
        <v>1490</v>
      </c>
      <c r="U140" s="117">
        <v>1215.5999999999999</v>
      </c>
      <c r="V140" s="117">
        <v>1</v>
      </c>
      <c r="W140" s="117">
        <f>IFERROR((OCT_2023[[#This Row],[Sales Amount]]-OCT_2023[[#This Row],[Cost]])/OCT_2023[[#This Row],[CNTR AMOUNT]],OCT_2023[[#This Row],[Sales Amount]]-OCT_2023[[#This Row],[Cost]])</f>
        <v>274.40000000000009</v>
      </c>
      <c r="X140" s="1661">
        <f>IFERROR(OCT_2023[[#This Row],[Profit]]/OCT_2023[[#This Row],[Cost]]," ")</f>
        <v>0.22573214873313599</v>
      </c>
      <c r="Y140" s="117"/>
      <c r="Z140" s="117"/>
    </row>
    <row r="141" spans="1:26" ht="90">
      <c r="A141" s="4150" t="s">
        <v>468</v>
      </c>
      <c r="B141" s="4167" t="s">
        <v>3198</v>
      </c>
      <c r="C141" s="4163" t="s">
        <v>200</v>
      </c>
      <c r="D141" s="822">
        <v>45215</v>
      </c>
      <c r="E141" s="4916">
        <v>45237</v>
      </c>
      <c r="F141" s="4173" t="s">
        <v>29</v>
      </c>
      <c r="G141" s="4173" t="s">
        <v>2922</v>
      </c>
      <c r="H141" s="822">
        <v>45240</v>
      </c>
      <c r="I141" s="806" t="s">
        <v>3199</v>
      </c>
      <c r="J141" s="120" t="s">
        <v>297</v>
      </c>
      <c r="K141" s="4150" t="s">
        <v>3200</v>
      </c>
      <c r="L141" s="4845">
        <v>9911017</v>
      </c>
      <c r="M141" s="822">
        <v>45239</v>
      </c>
      <c r="N141" s="822">
        <v>45239</v>
      </c>
      <c r="O141" s="1547">
        <v>45240</v>
      </c>
      <c r="P141" s="4141" t="s">
        <v>3201</v>
      </c>
      <c r="Q141" s="106" t="s">
        <v>75</v>
      </c>
      <c r="R141" s="4152" t="s">
        <v>3202</v>
      </c>
      <c r="S141" s="106">
        <v>4</v>
      </c>
      <c r="T141" s="106">
        <v>1060</v>
      </c>
      <c r="U141" s="106">
        <v>739.3</v>
      </c>
      <c r="V141" s="106">
        <v>1</v>
      </c>
      <c r="W141" s="106">
        <f>IFERROR((OCT_2023[[#This Row],[Sales Amount]]-OCT_2023[[#This Row],[Cost]])/OCT_2023[[#This Row],[CNTR AMOUNT]],OCT_2023[[#This Row],[Sales Amount]]-OCT_2023[[#This Row],[Cost]])</f>
        <v>320.70000000000005</v>
      </c>
      <c r="X141" s="876">
        <f>IFERROR(OCT_2023[[#This Row],[Profit]]/OCT_2023[[#This Row],[Cost]]," ")</f>
        <v>0.43378871905856903</v>
      </c>
    </row>
    <row r="142" spans="1:26" s="117" customFormat="1" ht="75">
      <c r="A142" s="117" t="s">
        <v>319</v>
      </c>
      <c r="B142" s="4150" t="s">
        <v>3203</v>
      </c>
      <c r="C142" s="4163" t="s">
        <v>794</v>
      </c>
      <c r="D142" s="822">
        <v>45208</v>
      </c>
      <c r="E142" s="879">
        <v>45238</v>
      </c>
      <c r="F142" s="4150" t="s">
        <v>151</v>
      </c>
      <c r="G142" s="4150" t="s">
        <v>2922</v>
      </c>
      <c r="H142" s="839" t="s">
        <v>3204</v>
      </c>
      <c r="I142" s="766" t="s">
        <v>3205</v>
      </c>
      <c r="J142" s="4163" t="s">
        <v>3206</v>
      </c>
      <c r="K142" s="4150" t="s">
        <v>407</v>
      </c>
      <c r="L142" s="4908">
        <v>8758</v>
      </c>
      <c r="M142" s="4173">
        <v>45240</v>
      </c>
      <c r="N142" s="822">
        <v>45241</v>
      </c>
      <c r="O142" s="822">
        <v>45243</v>
      </c>
      <c r="P142" s="4104" t="s">
        <v>3207</v>
      </c>
      <c r="Q142" s="117" t="s">
        <v>75</v>
      </c>
      <c r="R142" s="4150" t="s">
        <v>3208</v>
      </c>
      <c r="S142" s="117">
        <v>4</v>
      </c>
      <c r="T142" s="117">
        <v>1355</v>
      </c>
      <c r="U142" s="117">
        <v>1285</v>
      </c>
      <c r="V142" s="117">
        <v>1</v>
      </c>
      <c r="W142" s="117">
        <f>IFERROR((OCT_2023[[#This Row],[Sales Amount]]-OCT_2023[[#This Row],[Cost]])/OCT_2023[[#This Row],[CNTR AMOUNT]],OCT_2023[[#This Row],[Sales Amount]]-OCT_2023[[#This Row],[Cost]])</f>
        <v>70</v>
      </c>
      <c r="X142" s="1686">
        <f>IFERROR(OCT_2023[[#This Row],[Profit]]/OCT_2023[[#This Row],[Cost]]," ")</f>
        <v>5.4474708171206226E-2</v>
      </c>
    </row>
    <row r="143" spans="1:26" ht="117.75" customHeight="1">
      <c r="A143" s="117" t="s">
        <v>165</v>
      </c>
      <c r="B143" s="4167" t="s">
        <v>3209</v>
      </c>
      <c r="C143" s="660" t="s">
        <v>28</v>
      </c>
      <c r="D143" s="822">
        <v>45210</v>
      </c>
      <c r="E143" s="879">
        <v>45236</v>
      </c>
      <c r="F143" s="4150" t="s">
        <v>1357</v>
      </c>
      <c r="G143" s="4173" t="s">
        <v>2922</v>
      </c>
      <c r="H143" s="822">
        <v>45238</v>
      </c>
      <c r="I143" s="4250" t="s">
        <v>3210</v>
      </c>
      <c r="J143" s="4163" t="s">
        <v>673</v>
      </c>
      <c r="K143" s="4150" t="s">
        <v>742</v>
      </c>
      <c r="L143" s="4845">
        <v>5115</v>
      </c>
      <c r="M143" s="822">
        <v>45237</v>
      </c>
      <c r="N143" s="822">
        <v>45237</v>
      </c>
      <c r="O143" s="4251">
        <v>45244</v>
      </c>
      <c r="P143" s="4141" t="s">
        <v>3211</v>
      </c>
      <c r="Q143" s="106" t="s">
        <v>75</v>
      </c>
      <c r="R143" s="4152" t="s">
        <v>3212</v>
      </c>
      <c r="S143" s="106">
        <v>4</v>
      </c>
      <c r="T143" s="106">
        <v>2020</v>
      </c>
      <c r="U143" s="1739">
        <v>1182</v>
      </c>
      <c r="V143" s="106">
        <v>1</v>
      </c>
      <c r="W143" s="106">
        <f>IFERROR((OCT_2023[[#This Row],[Sales Amount]]-OCT_2023[[#This Row],[Cost]])/OCT_2023[[#This Row],[CNTR AMOUNT]],OCT_2023[[#This Row],[Sales Amount]]-OCT_2023[[#This Row],[Cost]])</f>
        <v>838</v>
      </c>
      <c r="X143" s="876">
        <f>IFERROR(OCT_2023[[#This Row],[Profit]]/OCT_2023[[#This Row],[Cost]]," ")</f>
        <v>0.70896785109983085</v>
      </c>
    </row>
    <row r="144" spans="1:26">
      <c r="A144" s="58" t="s">
        <v>61</v>
      </c>
      <c r="B144" s="1" t="s">
        <v>3213</v>
      </c>
      <c r="C144" s="710" t="s">
        <v>85</v>
      </c>
      <c r="D144" s="844">
        <v>45215</v>
      </c>
      <c r="E144" s="1112">
        <v>45237</v>
      </c>
      <c r="F144" s="58" t="s">
        <v>245</v>
      </c>
      <c r="G144" s="1" t="s">
        <v>57</v>
      </c>
      <c r="H144" s="4957">
        <v>45238</v>
      </c>
      <c r="I144" s="4958">
        <v>0.66666666666666663</v>
      </c>
      <c r="J144" s="1376" t="s">
        <v>32</v>
      </c>
      <c r="K144" s="58" t="s">
        <v>65</v>
      </c>
      <c r="L144" s="4841">
        <v>9811406</v>
      </c>
      <c r="M144" s="1414">
        <v>45239</v>
      </c>
      <c r="N144" s="1414">
        <v>45238</v>
      </c>
      <c r="O144" s="1139">
        <v>45240</v>
      </c>
      <c r="P144" s="707" t="s">
        <v>3214</v>
      </c>
      <c r="Q144" s="58" t="s">
        <v>35</v>
      </c>
      <c r="R144" s="58" t="s">
        <v>36</v>
      </c>
      <c r="S144" s="58" t="s">
        <v>67</v>
      </c>
      <c r="T144" s="26">
        <v>2560</v>
      </c>
      <c r="U144" s="26">
        <v>1566</v>
      </c>
      <c r="V144" s="26"/>
      <c r="W144" s="26">
        <f>IFERROR((OCT_2023[[#This Row],[Sales Amount]]-OCT_2023[[#This Row],[Cost]])/OCT_2023[[#This Row],[CNTR AMOUNT]],OCT_2023[[#This Row],[Sales Amount]]-OCT_2023[[#This Row],[Cost]])</f>
        <v>994</v>
      </c>
      <c r="X144" s="26">
        <f>IFERROR(OCT_2023[[#This Row],[Profit]]/OCT_2023[[#This Row],[Cost]]," ")</f>
        <v>0.63473818646232438</v>
      </c>
      <c r="Y144" s="26"/>
      <c r="Z144" s="26"/>
    </row>
    <row r="145" spans="1:26" s="117" customFormat="1" ht="30">
      <c r="A145" s="4150" t="s">
        <v>409</v>
      </c>
      <c r="B145" s="4150" t="s">
        <v>3215</v>
      </c>
      <c r="C145" s="117" t="s">
        <v>755</v>
      </c>
      <c r="D145" s="807">
        <v>45221</v>
      </c>
      <c r="E145" s="925">
        <v>45241</v>
      </c>
      <c r="F145" s="117" t="s">
        <v>45</v>
      </c>
      <c r="G145" s="4150" t="s">
        <v>801</v>
      </c>
      <c r="H145" s="4173">
        <v>45244</v>
      </c>
      <c r="I145" s="4150" t="s">
        <v>3216</v>
      </c>
      <c r="J145" s="4163" t="s">
        <v>297</v>
      </c>
      <c r="K145" s="4163" t="s">
        <v>3217</v>
      </c>
      <c r="L145" s="766">
        <v>650502</v>
      </c>
      <c r="M145" s="822">
        <v>45243</v>
      </c>
      <c r="N145" s="822">
        <v>45243</v>
      </c>
      <c r="O145" s="822">
        <v>45244</v>
      </c>
      <c r="P145" s="4104" t="s">
        <v>3218</v>
      </c>
      <c r="Q145" s="660" t="s">
        <v>75</v>
      </c>
      <c r="R145" s="4163" t="s">
        <v>3219</v>
      </c>
      <c r="S145" s="660"/>
      <c r="T145" s="117">
        <v>1405</v>
      </c>
      <c r="U145" s="117">
        <v>1134.5999999999999</v>
      </c>
      <c r="V145" s="117">
        <v>1</v>
      </c>
      <c r="W145" s="117">
        <f>IFERROR((OCT_2023[[#This Row],[Sales Amount]]-OCT_2023[[#This Row],[Cost]])/OCT_2023[[#This Row],[CNTR AMOUNT]],OCT_2023[[#This Row],[Sales Amount]]-OCT_2023[[#This Row],[Cost]])</f>
        <v>270.40000000000009</v>
      </c>
      <c r="X145" s="117">
        <f>IFERROR(OCT_2023[[#This Row],[Profit]]/OCT_2023[[#This Row],[Cost]]," ")</f>
        <v>0.23832187555085502</v>
      </c>
    </row>
    <row r="146" spans="1:26" s="25" customFormat="1">
      <c r="A146" s="58" t="s">
        <v>1945</v>
      </c>
      <c r="B146" s="58" t="s">
        <v>3220</v>
      </c>
      <c r="C146" s="710" t="s">
        <v>85</v>
      </c>
      <c r="D146" s="844">
        <v>45212</v>
      </c>
      <c r="E146" s="1112">
        <v>45240</v>
      </c>
      <c r="F146" s="18" t="s">
        <v>45</v>
      </c>
      <c r="G146" s="1030" t="s">
        <v>46</v>
      </c>
      <c r="H146" s="1414">
        <v>45243</v>
      </c>
      <c r="I146" s="915" t="s">
        <v>115</v>
      </c>
      <c r="J146" s="58" t="s">
        <v>221</v>
      </c>
      <c r="K146" s="58" t="s">
        <v>3221</v>
      </c>
      <c r="L146" s="915" t="s">
        <v>3222</v>
      </c>
      <c r="M146" s="1414">
        <v>45242</v>
      </c>
      <c r="N146" s="1414">
        <v>45241</v>
      </c>
      <c r="O146" s="4957">
        <v>45244</v>
      </c>
      <c r="P146" s="707" t="s">
        <v>3223</v>
      </c>
      <c r="Q146" s="58" t="s">
        <v>35</v>
      </c>
      <c r="R146" s="58" t="s">
        <v>36</v>
      </c>
      <c r="S146" s="58" t="s">
        <v>67</v>
      </c>
      <c r="T146" s="26">
        <v>975</v>
      </c>
      <c r="U146" s="26">
        <v>702.25</v>
      </c>
      <c r="V146" s="26"/>
      <c r="W146" s="26">
        <f>IFERROR((OCT_2023[[#This Row],[Sales Amount]]-OCT_2023[[#This Row],[Cost]])/OCT_2023[[#This Row],[CNTR AMOUNT]],OCT_2023[[#This Row],[Sales Amount]]-OCT_2023[[#This Row],[Cost]])</f>
        <v>272.75</v>
      </c>
      <c r="X146" s="26">
        <f>IFERROR(OCT_2023[[#This Row],[Profit]]/OCT_2023[[#This Row],[Cost]]," ")</f>
        <v>0.38839444642221432</v>
      </c>
      <c r="Y146" s="26"/>
      <c r="Z146" s="26"/>
    </row>
    <row r="147" spans="1:26" s="117" customFormat="1" ht="105">
      <c r="A147" s="117" t="s">
        <v>319</v>
      </c>
      <c r="B147" s="4150" t="s">
        <v>3224</v>
      </c>
      <c r="C147" s="117" t="s">
        <v>28</v>
      </c>
      <c r="D147" s="822">
        <v>45224</v>
      </c>
      <c r="E147" s="879">
        <v>45224</v>
      </c>
      <c r="F147" s="4150" t="s">
        <v>45</v>
      </c>
      <c r="G147" s="4104" t="s">
        <v>3225</v>
      </c>
      <c r="H147" s="825" t="s">
        <v>3226</v>
      </c>
      <c r="I147" s="766" t="s">
        <v>3227</v>
      </c>
      <c r="J147" s="766" t="s">
        <v>3228</v>
      </c>
      <c r="K147" s="4150" t="s">
        <v>3229</v>
      </c>
      <c r="L147" s="4150" t="s">
        <v>3230</v>
      </c>
      <c r="M147" s="825" t="s">
        <v>3231</v>
      </c>
      <c r="N147" s="4233" t="s">
        <v>3232</v>
      </c>
      <c r="O147" s="822">
        <v>45246</v>
      </c>
      <c r="P147" s="4104" t="s">
        <v>3233</v>
      </c>
      <c r="Q147" s="117" t="s">
        <v>75</v>
      </c>
      <c r="R147" s="4104" t="s">
        <v>3234</v>
      </c>
      <c r="S147" s="117">
        <v>4</v>
      </c>
      <c r="T147" s="117">
        <v>1542.5</v>
      </c>
      <c r="U147" s="1437">
        <v>1164.7</v>
      </c>
      <c r="V147" s="117">
        <v>1</v>
      </c>
      <c r="W147" s="117">
        <f>IFERROR((OCT_2023[[#This Row],[Sales Amount]]-OCT_2023[[#This Row],[Cost]])/OCT_2023[[#This Row],[CNTR AMOUNT]],OCT_2023[[#This Row],[Sales Amount]]-OCT_2023[[#This Row],[Cost]])</f>
        <v>377.79999999999995</v>
      </c>
      <c r="X147" s="1686">
        <f>IFERROR(OCT_2023[[#This Row],[Profit]]/OCT_2023[[#This Row],[Cost]]," ")</f>
        <v>0.32437537563321023</v>
      </c>
    </row>
    <row r="148" spans="1:26">
      <c r="A148" s="58" t="s">
        <v>2966</v>
      </c>
      <c r="B148" s="58" t="s">
        <v>3235</v>
      </c>
      <c r="C148" s="913" t="s">
        <v>28</v>
      </c>
      <c r="D148" s="1139">
        <v>45243</v>
      </c>
      <c r="E148" s="1640">
        <v>45243</v>
      </c>
      <c r="F148" s="58" t="s">
        <v>56</v>
      </c>
      <c r="G148" s="18" t="s">
        <v>381</v>
      </c>
      <c r="H148" s="1608" t="s">
        <v>3236</v>
      </c>
      <c r="I148" s="707"/>
      <c r="J148" s="58" t="s">
        <v>382</v>
      </c>
      <c r="K148" s="58" t="s">
        <v>382</v>
      </c>
      <c r="L148" s="1675" t="s">
        <v>542</v>
      </c>
      <c r="M148" s="1608">
        <v>45250</v>
      </c>
      <c r="N148" s="1635">
        <v>45244</v>
      </c>
      <c r="O148" s="1635">
        <v>45246</v>
      </c>
      <c r="P148" s="1019" t="s">
        <v>3237</v>
      </c>
      <c r="Q148" s="1" t="s">
        <v>35</v>
      </c>
      <c r="R148" s="58" t="s">
        <v>36</v>
      </c>
      <c r="S148" s="58" t="s">
        <v>1320</v>
      </c>
      <c r="T148" s="106">
        <v>35</v>
      </c>
      <c r="U148" s="106"/>
      <c r="W148" s="106">
        <f>IFERROR((OCT_2023[[#This Row],[Sales Amount]]-OCT_2023[[#This Row],[Cost]])/OCT_2023[[#This Row],[CNTR AMOUNT]],OCT_2023[[#This Row],[Sales Amount]]-OCT_2023[[#This Row],[Cost]])</f>
        <v>35</v>
      </c>
      <c r="X148" s="1580" t="str">
        <f>IFERROR(OCT_2023[[#This Row],[Profit]]/OCT_2023[[#This Row],[Cost]]," ")</f>
        <v xml:space="preserve"> </v>
      </c>
    </row>
    <row r="149" spans="1:26">
      <c r="A149" s="710" t="s">
        <v>2787</v>
      </c>
      <c r="B149" s="1166" t="s">
        <v>3238</v>
      </c>
      <c r="C149" s="710" t="s">
        <v>28</v>
      </c>
      <c r="D149" s="844">
        <v>45221</v>
      </c>
      <c r="E149" s="1112">
        <v>45246</v>
      </c>
      <c r="F149" s="1699" t="s">
        <v>285</v>
      </c>
      <c r="G149" s="1" t="s">
        <v>57</v>
      </c>
      <c r="H149" s="1588">
        <v>45248</v>
      </c>
      <c r="I149" s="1675"/>
      <c r="J149" s="1" t="s">
        <v>247</v>
      </c>
      <c r="K149" s="1114" t="s">
        <v>2789</v>
      </c>
      <c r="L149" s="1589">
        <v>234281</v>
      </c>
      <c r="M149" s="1588">
        <v>45248</v>
      </c>
      <c r="N149" s="1380">
        <v>45247</v>
      </c>
      <c r="O149" s="1380">
        <v>45247</v>
      </c>
      <c r="P149" s="1175" t="s">
        <v>3239</v>
      </c>
      <c r="Q149" s="4252" t="s">
        <v>35</v>
      </c>
      <c r="R149" s="58" t="s">
        <v>36</v>
      </c>
      <c r="S149" s="18" t="s">
        <v>37</v>
      </c>
      <c r="T149" s="106">
        <v>590</v>
      </c>
      <c r="U149" s="106">
        <v>367.4</v>
      </c>
      <c r="W149" s="106">
        <f>IFERROR((OCT_2023[[#This Row],[Sales Amount]]-OCT_2023[[#This Row],[Cost]])/OCT_2023[[#This Row],[CNTR AMOUNT]],OCT_2023[[#This Row],[Sales Amount]]-OCT_2023[[#This Row],[Cost]])</f>
        <v>222.60000000000002</v>
      </c>
      <c r="X149" s="106">
        <f>IFERROR(OCT_2023[[#This Row],[Profit]]/OCT_2023[[#This Row],[Cost]]," ")</f>
        <v>0.60587915078933052</v>
      </c>
    </row>
    <row r="150" spans="1:26">
      <c r="A150" s="58" t="s">
        <v>2787</v>
      </c>
      <c r="B150" s="1166" t="s">
        <v>3240</v>
      </c>
      <c r="C150" s="58" t="s">
        <v>28</v>
      </c>
      <c r="D150" s="844">
        <v>45221</v>
      </c>
      <c r="E150" s="1112">
        <v>45246</v>
      </c>
      <c r="F150" s="1699" t="s">
        <v>285</v>
      </c>
      <c r="G150" s="1" t="s">
        <v>57</v>
      </c>
      <c r="H150" s="1588">
        <v>45248</v>
      </c>
      <c r="I150" s="1675"/>
      <c r="J150" s="1376" t="s">
        <v>247</v>
      </c>
      <c r="K150" s="1125" t="s">
        <v>2789</v>
      </c>
      <c r="L150" s="1589">
        <v>234285</v>
      </c>
      <c r="M150" s="1588">
        <v>45248</v>
      </c>
      <c r="N150" s="1380">
        <v>45247</v>
      </c>
      <c r="O150" s="1380">
        <v>45247</v>
      </c>
      <c r="P150" s="1175" t="s">
        <v>3139</v>
      </c>
      <c r="Q150" s="4161" t="s">
        <v>35</v>
      </c>
      <c r="R150" s="58" t="s">
        <v>36</v>
      </c>
      <c r="S150" s="58" t="s">
        <v>37</v>
      </c>
      <c r="T150" s="106">
        <v>590</v>
      </c>
      <c r="U150" s="106">
        <v>367.4</v>
      </c>
      <c r="W150" s="106">
        <f>IFERROR((OCT_2023[[#This Row],[Sales Amount]]-OCT_2023[[#This Row],[Cost]])/OCT_2023[[#This Row],[CNTR AMOUNT]],OCT_2023[[#This Row],[Sales Amount]]-OCT_2023[[#This Row],[Cost]])</f>
        <v>222.60000000000002</v>
      </c>
      <c r="X150" s="106">
        <f>IFERROR(OCT_2023[[#This Row],[Profit]]/OCT_2023[[#This Row],[Cost]]," ")</f>
        <v>0.60587915078933052</v>
      </c>
    </row>
    <row r="151" spans="1:26" s="7" customFormat="1" ht="60">
      <c r="A151" s="58" t="s">
        <v>1477</v>
      </c>
      <c r="B151" s="1146">
        <v>6367262710</v>
      </c>
      <c r="C151" s="58" t="s">
        <v>3241</v>
      </c>
      <c r="D151" s="1139">
        <v>45225</v>
      </c>
      <c r="E151" s="1139">
        <v>45250</v>
      </c>
      <c r="F151" s="18" t="s">
        <v>45</v>
      </c>
      <c r="G151" s="18" t="s">
        <v>46</v>
      </c>
      <c r="H151" s="1316" t="s">
        <v>3242</v>
      </c>
      <c r="I151" s="1709"/>
      <c r="J151" s="710" t="s">
        <v>32</v>
      </c>
      <c r="K151" s="710" t="s">
        <v>2124</v>
      </c>
      <c r="L151" s="1195" t="s">
        <v>542</v>
      </c>
      <c r="M151" s="1316" t="s">
        <v>3243</v>
      </c>
      <c r="N151" s="946" t="s">
        <v>3244</v>
      </c>
      <c r="O151" s="946" t="s">
        <v>3244</v>
      </c>
      <c r="P151" s="1650" t="s">
        <v>3245</v>
      </c>
      <c r="Q151" s="800" t="s">
        <v>35</v>
      </c>
      <c r="R151" s="800" t="s">
        <v>36</v>
      </c>
      <c r="S151" s="800" t="s">
        <v>664</v>
      </c>
      <c r="T151" s="147"/>
      <c r="U151" s="147"/>
      <c r="V151" s="147"/>
      <c r="W151" s="147">
        <f>IFERROR((OCT_2023[[#This Row],[Sales Amount]]-OCT_2023[[#This Row],[Cost]])/OCT_2023[[#This Row],[CNTR AMOUNT]],OCT_2023[[#This Row],[Sales Amount]]-OCT_2023[[#This Row],[Cost]])</f>
        <v>0</v>
      </c>
      <c r="X151" s="147" t="str">
        <f>IFERROR(OCT_2023[[#This Row],[Profit]]/OCT_2023[[#This Row],[Cost]]," ")</f>
        <v xml:space="preserve"> </v>
      </c>
      <c r="Y151" s="147"/>
      <c r="Z151" s="147"/>
    </row>
    <row r="152" spans="1:26" s="7" customFormat="1" ht="45">
      <c r="A152" s="58" t="s">
        <v>694</v>
      </c>
      <c r="B152" s="1146" t="s">
        <v>3246</v>
      </c>
      <c r="C152" s="58" t="s">
        <v>3247</v>
      </c>
      <c r="D152" s="4957">
        <v>45220</v>
      </c>
      <c r="E152" s="4957">
        <v>45253</v>
      </c>
      <c r="F152" s="58" t="s">
        <v>29</v>
      </c>
      <c r="G152" s="18" t="s">
        <v>57</v>
      </c>
      <c r="H152" s="1195" t="s">
        <v>3248</v>
      </c>
      <c r="I152" s="1631"/>
      <c r="J152" s="58" t="s">
        <v>32</v>
      </c>
      <c r="K152" s="58" t="s">
        <v>3249</v>
      </c>
      <c r="L152" s="915" t="s">
        <v>542</v>
      </c>
      <c r="M152" s="915" t="s">
        <v>3250</v>
      </c>
      <c r="N152" s="800" t="s">
        <v>3248</v>
      </c>
      <c r="O152" s="800" t="s">
        <v>3251</v>
      </c>
      <c r="P152" s="1650" t="s">
        <v>3252</v>
      </c>
      <c r="Q152" s="58" t="s">
        <v>35</v>
      </c>
      <c r="R152" s="58" t="s">
        <v>36</v>
      </c>
      <c r="S152" s="58" t="s">
        <v>664</v>
      </c>
      <c r="T152" s="106"/>
      <c r="U152" s="106">
        <v>1773</v>
      </c>
      <c r="V152" s="26"/>
      <c r="W152" s="26">
        <f>IFERROR((OCT_2023[[#This Row],[Sales Amount]]-OCT_2023[[#This Row],[Cost]])/OCT_2023[[#This Row],[CNTR AMOUNT]],OCT_2023[[#This Row],[Sales Amount]]-OCT_2023[[#This Row],[Cost]])</f>
        <v>-1773</v>
      </c>
      <c r="X152" s="26">
        <f>IFERROR(OCT_2023[[#This Row],[Profit]]/OCT_2023[[#This Row],[Cost]]," ")</f>
        <v>-1</v>
      </c>
      <c r="Y152" s="26"/>
      <c r="Z152" s="26"/>
    </row>
    <row r="153" spans="1:26">
      <c r="A153" s="1" t="s">
        <v>694</v>
      </c>
      <c r="B153" s="1688" t="s">
        <v>3253</v>
      </c>
      <c r="C153" s="58" t="s">
        <v>2317</v>
      </c>
      <c r="D153" s="1139">
        <v>45237</v>
      </c>
      <c r="E153" s="5078">
        <v>45254</v>
      </c>
      <c r="F153" s="1062" t="s">
        <v>29</v>
      </c>
      <c r="G153" s="1062" t="s">
        <v>57</v>
      </c>
      <c r="H153" s="1588">
        <v>45223</v>
      </c>
      <c r="I153" s="1675"/>
      <c r="J153" s="710" t="s">
        <v>32</v>
      </c>
      <c r="K153" s="1712" t="s">
        <v>3249</v>
      </c>
      <c r="L153" s="1589" t="s">
        <v>542</v>
      </c>
      <c r="M153" s="1588" t="s">
        <v>3254</v>
      </c>
      <c r="N153" s="844">
        <v>45223</v>
      </c>
      <c r="O153" s="844">
        <v>45223</v>
      </c>
      <c r="P153" s="707" t="s">
        <v>3255</v>
      </c>
      <c r="Q153" s="1" t="s">
        <v>35</v>
      </c>
      <c r="R153" s="58" t="s">
        <v>36</v>
      </c>
      <c r="S153" s="58" t="s">
        <v>664</v>
      </c>
      <c r="T153" s="106"/>
      <c r="U153" s="106"/>
      <c r="W153" s="106">
        <f>IFERROR((OCT_2023[[#This Row],[Sales Amount]]-OCT_2023[[#This Row],[Cost]])/OCT_2023[[#This Row],[CNTR AMOUNT]],OCT_2023[[#This Row],[Sales Amount]]-OCT_2023[[#This Row],[Cost]])</f>
        <v>0</v>
      </c>
      <c r="X153" s="1580" t="str">
        <f>IFERROR(OCT_2023[[#This Row],[Profit]]/OCT_2023[[#This Row],[Cost]]," ")</f>
        <v xml:space="preserve"> </v>
      </c>
    </row>
    <row r="154" spans="1:26">
      <c r="A154" s="707" t="s">
        <v>2396</v>
      </c>
      <c r="B154" s="1727">
        <v>6367154230</v>
      </c>
      <c r="C154" s="707" t="s">
        <v>44</v>
      </c>
      <c r="D154" s="1612">
        <v>45258</v>
      </c>
      <c r="E154" s="1612">
        <v>45258</v>
      </c>
      <c r="F154" s="707" t="s">
        <v>45</v>
      </c>
      <c r="G154" s="707" t="s">
        <v>3095</v>
      </c>
      <c r="H154" s="1635">
        <v>45211</v>
      </c>
      <c r="I154" s="707"/>
      <c r="J154" s="713" t="s">
        <v>1478</v>
      </c>
      <c r="K154" s="707" t="s">
        <v>1479</v>
      </c>
      <c r="L154" s="707"/>
      <c r="M154" s="1635"/>
      <c r="N154" s="1635"/>
      <c r="O154" s="1635"/>
      <c r="P154" s="707" t="s">
        <v>3256</v>
      </c>
      <c r="Q154" s="3258" t="s">
        <v>128</v>
      </c>
      <c r="R154" s="709" t="s">
        <v>36</v>
      </c>
      <c r="S154" s="709"/>
      <c r="T154" s="709">
        <v>1530</v>
      </c>
      <c r="U154" s="709">
        <f>551+566</f>
        <v>1117</v>
      </c>
      <c r="V154" s="709">
        <v>1</v>
      </c>
      <c r="W154" s="709">
        <f>IFERROR((OCT_2023[[#This Row],[Sales Amount]]-OCT_2023[[#This Row],[Cost]])/OCT_2023[[#This Row],[CNTR AMOUNT]],OCT_2023[[#This Row],[Sales Amount]]-OCT_2023[[#This Row],[Cost]])</f>
        <v>413</v>
      </c>
      <c r="X154" s="1655">
        <f>IFERROR(OCT_2023[[#This Row],[Profit]]/OCT_2023[[#This Row],[Cost]]," ")</f>
        <v>0.36974037600716203</v>
      </c>
      <c r="Y154" s="709"/>
      <c r="Z154" s="709"/>
    </row>
    <row r="155" spans="1:26">
      <c r="A155" s="58" t="s">
        <v>1477</v>
      </c>
      <c r="B155" s="1146">
        <v>6366722090</v>
      </c>
      <c r="C155" s="58" t="s">
        <v>3257</v>
      </c>
      <c r="D155" s="4877">
        <v>45224</v>
      </c>
      <c r="E155" s="1380">
        <v>45263</v>
      </c>
      <c r="F155" s="1062" t="s">
        <v>45</v>
      </c>
      <c r="G155" s="1062" t="s">
        <v>46</v>
      </c>
      <c r="H155" s="1588">
        <v>45204</v>
      </c>
      <c r="I155" s="1589" t="s">
        <v>40</v>
      </c>
      <c r="J155" s="1376" t="s">
        <v>32</v>
      </c>
      <c r="K155" s="915" t="s">
        <v>3258</v>
      </c>
      <c r="L155" s="915" t="s">
        <v>542</v>
      </c>
      <c r="M155" s="915" t="s">
        <v>3259</v>
      </c>
      <c r="N155" s="844">
        <v>45204</v>
      </c>
      <c r="O155" s="844">
        <v>45204</v>
      </c>
      <c r="P155" s="707" t="s">
        <v>3260</v>
      </c>
      <c r="Q155" s="1" t="s">
        <v>35</v>
      </c>
      <c r="R155" s="58" t="s">
        <v>36</v>
      </c>
      <c r="S155" s="58" t="s">
        <v>664</v>
      </c>
      <c r="T155" s="26"/>
      <c r="U155" s="26">
        <v>556</v>
      </c>
      <c r="V155" s="26"/>
      <c r="W155" s="26">
        <f>IFERROR((OCT_2023[[#This Row],[Sales Amount]]-OCT_2023[[#This Row],[Cost]])/OCT_2023[[#This Row],[CNTR AMOUNT]],OCT_2023[[#This Row],[Sales Amount]]-OCT_2023[[#This Row],[Cost]])</f>
        <v>-556</v>
      </c>
      <c r="X155" s="26">
        <f>IFERROR(OCT_2023[[#This Row],[Profit]]/OCT_2023[[#This Row],[Cost]]," ")</f>
        <v>-1</v>
      </c>
      <c r="Y155" s="26"/>
      <c r="Z155" s="26"/>
    </row>
    <row r="156" spans="1:26" s="709" customFormat="1">
      <c r="A156" s="1" t="s">
        <v>694</v>
      </c>
      <c r="B156" s="1688">
        <v>6367886920</v>
      </c>
      <c r="C156" s="58" t="s">
        <v>2317</v>
      </c>
      <c r="D156" s="1139">
        <v>45235</v>
      </c>
      <c r="E156" s="1640">
        <v>45268</v>
      </c>
      <c r="F156" s="1" t="s">
        <v>45</v>
      </c>
      <c r="G156" s="1" t="s">
        <v>46</v>
      </c>
      <c r="H156" s="4879">
        <v>45219</v>
      </c>
      <c r="I156" s="4924"/>
      <c r="J156" s="58" t="s">
        <v>32</v>
      </c>
      <c r="K156" s="1589" t="s">
        <v>3249</v>
      </c>
      <c r="L156" s="1589" t="s">
        <v>542</v>
      </c>
      <c r="M156" s="1588" t="s">
        <v>3261</v>
      </c>
      <c r="N156" s="4877">
        <v>45219</v>
      </c>
      <c r="O156" s="4877">
        <v>45219</v>
      </c>
      <c r="P156" s="707" t="s">
        <v>3262</v>
      </c>
      <c r="Q156" s="1" t="s">
        <v>35</v>
      </c>
      <c r="R156" s="58" t="s">
        <v>36</v>
      </c>
      <c r="S156" s="58" t="s">
        <v>664</v>
      </c>
      <c r="T156" s="106"/>
      <c r="U156" s="106"/>
      <c r="V156" s="106"/>
      <c r="W156" s="106">
        <f>IFERROR((OCT_2023[[#This Row],[Sales Amount]]-OCT_2023[[#This Row],[Cost]])/OCT_2023[[#This Row],[CNTR AMOUNT]],OCT_2023[[#This Row],[Sales Amount]]-OCT_2023[[#This Row],[Cost]])</f>
        <v>0</v>
      </c>
      <c r="X156" s="1580" t="str">
        <f>IFERROR(OCT_2023[[#This Row],[Profit]]/OCT_2023[[#This Row],[Cost]]," ")</f>
        <v xml:space="preserve"> </v>
      </c>
      <c r="Y156" s="106"/>
      <c r="Z156" s="106"/>
    </row>
    <row r="157" spans="1:26">
      <c r="A157" s="1" t="s">
        <v>694</v>
      </c>
      <c r="B157" s="1688">
        <v>6368725490</v>
      </c>
      <c r="C157" s="58" t="s">
        <v>2317</v>
      </c>
      <c r="D157" s="1139">
        <v>45239</v>
      </c>
      <c r="E157" s="1640">
        <v>45281</v>
      </c>
      <c r="F157" s="1" t="s">
        <v>45</v>
      </c>
      <c r="G157" s="1589" t="s">
        <v>152</v>
      </c>
      <c r="H157" s="1115">
        <v>45231</v>
      </c>
      <c r="I157" s="915" t="s">
        <v>40</v>
      </c>
      <c r="J157" s="1376" t="s">
        <v>695</v>
      </c>
      <c r="K157" s="1" t="s">
        <v>3263</v>
      </c>
      <c r="L157" s="915" t="s">
        <v>542</v>
      </c>
      <c r="M157" s="1115" t="s">
        <v>3264</v>
      </c>
      <c r="N157" s="1115">
        <v>45231</v>
      </c>
      <c r="O157" s="1119">
        <v>45231</v>
      </c>
      <c r="P157" s="1019" t="s">
        <v>3265</v>
      </c>
      <c r="Q157" s="1" t="s">
        <v>35</v>
      </c>
      <c r="R157" s="58" t="s">
        <v>36</v>
      </c>
      <c r="S157" s="58" t="s">
        <v>664</v>
      </c>
      <c r="T157" s="106"/>
      <c r="U157" s="106"/>
      <c r="W157" s="106">
        <f>IFERROR((OCT_2023[[#This Row],[Sales Amount]]-OCT_2023[[#This Row],[Cost]])/OCT_2023[[#This Row],[CNTR AMOUNT]],OCT_2023[[#This Row],[Sales Amount]]-OCT_2023[[#This Row],[Cost]])</f>
        <v>0</v>
      </c>
      <c r="X157" s="1580" t="str">
        <f>IFERROR(OCT_2023[[#This Row],[Profit]]/OCT_2023[[#This Row],[Cost]]," ")</f>
        <v xml:space="preserve"> </v>
      </c>
    </row>
    <row r="158" spans="1:26" ht="30">
      <c r="A158" s="58" t="s">
        <v>694</v>
      </c>
      <c r="B158" s="1146">
        <v>6368617160</v>
      </c>
      <c r="C158" s="58" t="s">
        <v>3241</v>
      </c>
      <c r="D158" s="4957">
        <v>45243</v>
      </c>
      <c r="E158" s="5078">
        <v>45282</v>
      </c>
      <c r="F158" s="58" t="s">
        <v>45</v>
      </c>
      <c r="G158" s="58" t="s">
        <v>46</v>
      </c>
      <c r="H158" s="1316" t="s">
        <v>3266</v>
      </c>
      <c r="I158" s="1185"/>
      <c r="J158" s="58" t="s">
        <v>32</v>
      </c>
      <c r="K158" s="6046" t="s">
        <v>3249</v>
      </c>
      <c r="L158" s="915" t="s">
        <v>542</v>
      </c>
      <c r="M158" s="1115" t="s">
        <v>3267</v>
      </c>
      <c r="N158" s="963" t="s">
        <v>3268</v>
      </c>
      <c r="O158" s="963" t="s">
        <v>3266</v>
      </c>
      <c r="P158" s="911" t="s">
        <v>3269</v>
      </c>
      <c r="Q158" s="58" t="s">
        <v>35</v>
      </c>
      <c r="R158" s="58" t="s">
        <v>36</v>
      </c>
      <c r="S158" s="58" t="s">
        <v>664</v>
      </c>
      <c r="T158" s="106"/>
      <c r="U158" s="106"/>
      <c r="W158" s="106">
        <f>IFERROR((OCT_2023[[#This Row],[Sales Amount]]-OCT_2023[[#This Row],[Cost]])/OCT_2023[[#This Row],[CNTR AMOUNT]],OCT_2023[[#This Row],[Sales Amount]]-OCT_2023[[#This Row],[Cost]])</f>
        <v>0</v>
      </c>
      <c r="X158" s="1580" t="str">
        <f>IFERROR(OCT_2023[[#This Row],[Profit]]/OCT_2023[[#This Row],[Cost]]," ")</f>
        <v xml:space="preserve"> </v>
      </c>
    </row>
    <row r="159" spans="1:26" ht="15.75">
      <c r="A159" s="1569" t="s">
        <v>3270</v>
      </c>
      <c r="B159" s="1569" t="s">
        <v>3271</v>
      </c>
      <c r="C159" s="1569" t="s">
        <v>44</v>
      </c>
      <c r="D159" s="1636">
        <v>45196</v>
      </c>
      <c r="E159" s="1637">
        <v>45204</v>
      </c>
      <c r="F159" s="1569" t="s">
        <v>86</v>
      </c>
      <c r="G159" s="1569" t="s">
        <v>3272</v>
      </c>
      <c r="H159" s="1634"/>
      <c r="I159" s="1569"/>
      <c r="J159" s="1569" t="s">
        <v>168</v>
      </c>
      <c r="K159" s="6047" t="s">
        <v>2226</v>
      </c>
      <c r="L159" s="1569">
        <v>362855</v>
      </c>
      <c r="M159" s="1634">
        <v>45206</v>
      </c>
      <c r="N159" s="1634">
        <v>45204</v>
      </c>
      <c r="O159" s="1634">
        <v>45206</v>
      </c>
      <c r="P159" s="1718" t="s">
        <v>3273</v>
      </c>
      <c r="Q159" s="1569" t="s">
        <v>50</v>
      </c>
      <c r="R159" s="1442" t="s">
        <v>51</v>
      </c>
      <c r="S159" s="1442"/>
      <c r="T159" s="1442"/>
      <c r="U159" s="1442"/>
      <c r="V159" s="1442"/>
      <c r="W159" s="1442">
        <f>IFERROR((OCT_2023[[#This Row],[Sales Amount]]-OCT_2023[[#This Row],[Cost]])/OCT_2023[[#This Row],[CNTR AMOUNT]],OCT_2023[[#This Row],[Sales Amount]]-OCT_2023[[#This Row],[Cost]])</f>
        <v>0</v>
      </c>
      <c r="X159" s="1442" t="str">
        <f>IFERROR(OCT_2023[[#This Row],[Profit]]/OCT_2023[[#This Row],[Cost]]," ")</f>
        <v xml:space="preserve"> </v>
      </c>
      <c r="Y159" s="1442"/>
      <c r="Z159" s="1442"/>
    </row>
    <row r="160" spans="1:26" ht="60">
      <c r="A160" s="106" t="s">
        <v>1735</v>
      </c>
      <c r="B160" s="4253" t="s">
        <v>3274</v>
      </c>
      <c r="C160" s="106" t="s">
        <v>44</v>
      </c>
      <c r="D160" s="144">
        <v>45190</v>
      </c>
      <c r="E160" s="1703">
        <v>45204</v>
      </c>
      <c r="F160" s="106" t="s">
        <v>93</v>
      </c>
      <c r="G160" s="4152" t="s">
        <v>302</v>
      </c>
      <c r="H160" s="4254" t="s">
        <v>3275</v>
      </c>
      <c r="J160" s="106" t="s">
        <v>32</v>
      </c>
      <c r="K160" s="106" t="s">
        <v>2226</v>
      </c>
      <c r="L160" s="794" t="s">
        <v>3276</v>
      </c>
      <c r="M160" s="825">
        <v>45207</v>
      </c>
      <c r="N160" s="825">
        <v>45205</v>
      </c>
      <c r="O160" s="4254">
        <v>45209</v>
      </c>
      <c r="P160" s="4141" t="s">
        <v>3277</v>
      </c>
      <c r="Q160" s="106" t="s">
        <v>75</v>
      </c>
      <c r="R160" s="106" t="s">
        <v>36</v>
      </c>
      <c r="T160" s="106"/>
      <c r="U160" s="106"/>
      <c r="W160" s="106">
        <f>IFERROR((OCT_2023[[#This Row],[Sales Amount]]-OCT_2023[[#This Row],[Cost]])/OCT_2023[[#This Row],[CNTR AMOUNT]],OCT_2023[[#This Row],[Sales Amount]]-OCT_2023[[#This Row],[Cost]])</f>
        <v>0</v>
      </c>
      <c r="X160" s="106" t="str">
        <f>IFERROR(OCT_2023[[#This Row],[Profit]]/OCT_2023[[#This Row],[Cost]]," ")</f>
        <v xml:space="preserve"> </v>
      </c>
    </row>
    <row r="161" spans="1:26" s="709" customFormat="1">
      <c r="A161" s="707" t="s">
        <v>821</v>
      </c>
      <c r="B161" s="707" t="s">
        <v>3278</v>
      </c>
      <c r="C161" s="707" t="s">
        <v>755</v>
      </c>
      <c r="D161" s="1612">
        <v>45201</v>
      </c>
      <c r="E161" s="1614">
        <v>45207</v>
      </c>
      <c r="F161" s="707" t="s">
        <v>734</v>
      </c>
      <c r="G161" s="707" t="s">
        <v>829</v>
      </c>
      <c r="H161" s="707"/>
      <c r="I161" s="707"/>
      <c r="J161" s="707" t="s">
        <v>168</v>
      </c>
      <c r="K161" s="707" t="s">
        <v>310</v>
      </c>
      <c r="L161" s="707" t="s">
        <v>3279</v>
      </c>
      <c r="M161" s="1612">
        <v>45211</v>
      </c>
      <c r="N161" s="1612">
        <v>45209</v>
      </c>
      <c r="O161" s="1612">
        <v>45210</v>
      </c>
      <c r="P161" s="1019" t="s">
        <v>3280</v>
      </c>
      <c r="Q161" s="707" t="s">
        <v>50</v>
      </c>
      <c r="R161" s="707" t="s">
        <v>51</v>
      </c>
      <c r="S161" s="707"/>
      <c r="T161" s="707"/>
      <c r="U161" s="707"/>
      <c r="V161" s="707"/>
      <c r="W161" s="707">
        <f>IFERROR((OCT_2023[[#This Row],[Sales Amount]]-OCT_2023[[#This Row],[Cost]])/OCT_2023[[#This Row],[CNTR AMOUNT]],OCT_2023[[#This Row],[Sales Amount]]-OCT_2023[[#This Row],[Cost]])</f>
        <v>0</v>
      </c>
      <c r="X161" s="707" t="str">
        <f>IFERROR(OCT_2023[[#This Row],[Profit]]/OCT_2023[[#This Row],[Cost]]," ")</f>
        <v xml:space="preserve"> </v>
      </c>
      <c r="Y161" s="707"/>
      <c r="Z161" s="707"/>
    </row>
    <row r="162" spans="1:26">
      <c r="A162" s="5007" t="s">
        <v>3281</v>
      </c>
      <c r="B162" s="5007" t="s">
        <v>3282</v>
      </c>
      <c r="C162" s="5007" t="s">
        <v>28</v>
      </c>
      <c r="D162" s="1636">
        <v>45202</v>
      </c>
      <c r="E162" s="5079">
        <v>45208</v>
      </c>
      <c r="F162" s="5007" t="s">
        <v>151</v>
      </c>
      <c r="G162" s="1595" t="s">
        <v>46</v>
      </c>
      <c r="H162" s="5012"/>
      <c r="I162" s="5007"/>
      <c r="J162" s="1595" t="s">
        <v>32</v>
      </c>
      <c r="K162" s="5007" t="s">
        <v>47</v>
      </c>
      <c r="L162" s="1569" t="s">
        <v>3283</v>
      </c>
      <c r="M162" s="1634">
        <v>45211</v>
      </c>
      <c r="N162" s="5012">
        <v>45210</v>
      </c>
      <c r="O162" s="5012">
        <v>45213</v>
      </c>
      <c r="P162" s="5013" t="s">
        <v>3284</v>
      </c>
      <c r="Q162" s="5007" t="s">
        <v>89</v>
      </c>
      <c r="R162" s="4911" t="s">
        <v>51</v>
      </c>
      <c r="S162" s="1442"/>
      <c r="T162" s="1442"/>
      <c r="U162" s="1442"/>
      <c r="V162" s="1442"/>
      <c r="W162" s="1442">
        <f>IFERROR((OCT_2023[[#This Row],[Sales Amount]]-OCT_2023[[#This Row],[Cost]])/OCT_2023[[#This Row],[CNTR AMOUNT]],OCT_2023[[#This Row],[Sales Amount]]-OCT_2023[[#This Row],[Cost]])</f>
        <v>0</v>
      </c>
      <c r="X162" s="1442" t="str">
        <f>IFERROR(OCT_2023[[#This Row],[Profit]]/OCT_2023[[#This Row],[Cost]]," ")</f>
        <v xml:space="preserve"> </v>
      </c>
      <c r="Y162" s="1442"/>
      <c r="Z162" s="1442"/>
    </row>
    <row r="163" spans="1:26" ht="16.5">
      <c r="A163" s="1569" t="s">
        <v>2907</v>
      </c>
      <c r="B163" s="5007" t="s">
        <v>3285</v>
      </c>
      <c r="C163" s="1569" t="s">
        <v>28</v>
      </c>
      <c r="D163" s="1636">
        <v>45198</v>
      </c>
      <c r="E163" s="1637">
        <v>45209</v>
      </c>
      <c r="F163" s="5007" t="s">
        <v>93</v>
      </c>
      <c r="G163" s="5007" t="s">
        <v>46</v>
      </c>
      <c r="H163" s="5007"/>
      <c r="I163" s="5007"/>
      <c r="J163" s="5007" t="s">
        <v>32</v>
      </c>
      <c r="K163" s="5007" t="s">
        <v>310</v>
      </c>
      <c r="L163" s="5080" t="s">
        <v>3286</v>
      </c>
      <c r="M163" s="5009">
        <v>45211</v>
      </c>
      <c r="N163" s="5009">
        <v>45210</v>
      </c>
      <c r="O163" s="5009">
        <v>45213</v>
      </c>
      <c r="P163" s="5013" t="s">
        <v>3287</v>
      </c>
      <c r="Q163" s="1569" t="s">
        <v>89</v>
      </c>
      <c r="R163" s="1569" t="s">
        <v>51</v>
      </c>
      <c r="S163" s="1569"/>
      <c r="T163" s="1569"/>
      <c r="U163" s="1569"/>
      <c r="V163" s="1569"/>
      <c r="W163" s="1569">
        <f>IFERROR((OCT_2023[[#This Row],[Sales Amount]]-OCT_2023[[#This Row],[Cost]])/OCT_2023[[#This Row],[CNTR AMOUNT]],OCT_2023[[#This Row],[Sales Amount]]-OCT_2023[[#This Row],[Cost]])</f>
        <v>0</v>
      </c>
      <c r="X163" s="1569" t="str">
        <f>IFERROR(OCT_2023[[#This Row],[Profit]]/OCT_2023[[#This Row],[Cost]]," ")</f>
        <v xml:space="preserve"> </v>
      </c>
      <c r="Y163" s="1569"/>
      <c r="Z163" s="1569"/>
    </row>
    <row r="164" spans="1:26">
      <c r="A164" s="1569" t="s">
        <v>42</v>
      </c>
      <c r="B164" s="5007" t="s">
        <v>3288</v>
      </c>
      <c r="C164" s="1569" t="s">
        <v>85</v>
      </c>
      <c r="D164" s="1656">
        <v>45199</v>
      </c>
      <c r="E164" s="1657">
        <v>45210</v>
      </c>
      <c r="F164" s="5007" t="s">
        <v>86</v>
      </c>
      <c r="G164" s="5007" t="s">
        <v>829</v>
      </c>
      <c r="H164" s="5007"/>
      <c r="I164" s="5007"/>
      <c r="J164" s="5007" t="s">
        <v>168</v>
      </c>
      <c r="K164" s="5007" t="s">
        <v>310</v>
      </c>
      <c r="L164" s="5007" t="s">
        <v>3289</v>
      </c>
      <c r="M164" s="5009">
        <v>45212</v>
      </c>
      <c r="N164" s="5009">
        <v>45211</v>
      </c>
      <c r="O164" s="5009">
        <v>45213</v>
      </c>
      <c r="P164" s="5013" t="s">
        <v>3290</v>
      </c>
      <c r="Q164" s="1569" t="s">
        <v>50</v>
      </c>
      <c r="R164" s="1569" t="s">
        <v>51</v>
      </c>
      <c r="S164" s="1664"/>
      <c r="T164" s="1569"/>
      <c r="U164" s="1569"/>
      <c r="V164" s="3285"/>
      <c r="W164" s="1569">
        <f>IFERROR((OCT_2023[[#This Row],[Sales Amount]]-OCT_2023[[#This Row],[Cost]])/OCT_2023[[#This Row],[CNTR AMOUNT]],OCT_2023[[#This Row],[Sales Amount]]-OCT_2023[[#This Row],[Cost]])</f>
        <v>0</v>
      </c>
      <c r="X164" s="1569" t="str">
        <f>IFERROR(OCT_2023[[#This Row],[Profit]]/OCT_2023[[#This Row],[Cost]]," ")</f>
        <v xml:space="preserve"> </v>
      </c>
      <c r="Y164" s="1569"/>
      <c r="Z164" s="1569"/>
    </row>
    <row r="165" spans="1:26" s="709" customFormat="1">
      <c r="A165" s="707" t="s">
        <v>2566</v>
      </c>
      <c r="B165" s="4882" t="s">
        <v>3291</v>
      </c>
      <c r="C165" s="707" t="s">
        <v>28</v>
      </c>
      <c r="D165" s="1612">
        <v>45208</v>
      </c>
      <c r="E165" s="1614">
        <v>45212</v>
      </c>
      <c r="F165" s="4861" t="s">
        <v>45</v>
      </c>
      <c r="G165" s="4882" t="s">
        <v>829</v>
      </c>
      <c r="H165" s="4882"/>
      <c r="I165" s="4882"/>
      <c r="J165" s="4882" t="s">
        <v>168</v>
      </c>
      <c r="K165" s="4882" t="s">
        <v>310</v>
      </c>
      <c r="L165" s="4882" t="s">
        <v>3292</v>
      </c>
      <c r="M165" s="4940">
        <v>45214</v>
      </c>
      <c r="N165" s="4940">
        <v>45212</v>
      </c>
      <c r="O165" s="5081">
        <v>45215</v>
      </c>
      <c r="P165" s="4871" t="s">
        <v>3293</v>
      </c>
      <c r="Q165" s="707" t="s">
        <v>50</v>
      </c>
      <c r="R165" s="707" t="s">
        <v>534</v>
      </c>
      <c r="S165" s="713"/>
      <c r="T165" s="707"/>
      <c r="U165" s="707"/>
      <c r="V165" s="707"/>
      <c r="W165" s="707">
        <f>IFERROR((OCT_2023[[#This Row],[Sales Amount]]-OCT_2023[[#This Row],[Cost]])/OCT_2023[[#This Row],[CNTR AMOUNT]],OCT_2023[[#This Row],[Sales Amount]]-OCT_2023[[#This Row],[Cost]])</f>
        <v>0</v>
      </c>
      <c r="X165" s="707" t="str">
        <f>IFERROR(OCT_2023[[#This Row],[Profit]]/OCT_2023[[#This Row],[Cost]]," ")</f>
        <v xml:space="preserve"> </v>
      </c>
      <c r="Y165" s="707"/>
      <c r="Z165" s="707"/>
    </row>
    <row r="166" spans="1:26" ht="30">
      <c r="A166" s="106" t="s">
        <v>1134</v>
      </c>
      <c r="B166" s="4874" t="s">
        <v>3294</v>
      </c>
      <c r="C166" s="106" t="s">
        <v>44</v>
      </c>
      <c r="D166" s="144">
        <v>45212</v>
      </c>
      <c r="E166" s="898">
        <v>45212</v>
      </c>
      <c r="F166" s="4874" t="s">
        <v>135</v>
      </c>
      <c r="G166" s="798" t="s">
        <v>2536</v>
      </c>
      <c r="H166" s="4255" t="s">
        <v>3295</v>
      </c>
      <c r="I166" s="5082" t="s">
        <v>3296</v>
      </c>
      <c r="J166" s="4256" t="s">
        <v>125</v>
      </c>
      <c r="K166" s="4874" t="s">
        <v>1641</v>
      </c>
      <c r="L166" s="4929" t="s">
        <v>162</v>
      </c>
      <c r="M166" s="4918">
        <v>45217</v>
      </c>
      <c r="N166" s="4918">
        <v>45216</v>
      </c>
      <c r="O166" s="4918">
        <v>45217</v>
      </c>
      <c r="P166" s="5049" t="s">
        <v>3297</v>
      </c>
      <c r="Q166" s="106" t="s">
        <v>75</v>
      </c>
      <c r="R166" s="4971" t="s">
        <v>3298</v>
      </c>
      <c r="S166" s="152">
        <v>4</v>
      </c>
      <c r="T166" s="4257">
        <v>2855.92</v>
      </c>
      <c r="U166" s="1754">
        <f>68.42+20+418+1765+650/22*5</f>
        <v>2419.147272727273</v>
      </c>
      <c r="V166" s="106">
        <v>1</v>
      </c>
      <c r="W166" s="1754">
        <f>IFERROR((OCT_2023[[#This Row],[Sales Amount]]-OCT_2023[[#This Row],[Cost]])/OCT_2023[[#This Row],[CNTR AMOUNT]],OCT_2023[[#This Row],[Sales Amount]]-OCT_2023[[#This Row],[Cost]])</f>
        <v>436.77272727272702</v>
      </c>
      <c r="X166" s="886">
        <f>IFERROR(OCT_2023[[#This Row],[Profit]]/OCT_2023[[#This Row],[Cost]]," ")</f>
        <v>0.18054821721553263</v>
      </c>
    </row>
    <row r="167" spans="1:26" ht="30">
      <c r="A167" s="106" t="s">
        <v>1134</v>
      </c>
      <c r="B167" s="4971" t="s">
        <v>3299</v>
      </c>
      <c r="C167" s="106" t="s">
        <v>44</v>
      </c>
      <c r="D167" s="144">
        <v>45212</v>
      </c>
      <c r="E167" s="898">
        <v>45212</v>
      </c>
      <c r="F167" s="4874" t="s">
        <v>135</v>
      </c>
      <c r="G167" s="798" t="s">
        <v>2536</v>
      </c>
      <c r="H167" s="5083" t="s">
        <v>3300</v>
      </c>
      <c r="I167" s="5082" t="s">
        <v>3301</v>
      </c>
      <c r="J167" s="4256" t="s">
        <v>125</v>
      </c>
      <c r="K167" s="4874" t="s">
        <v>1641</v>
      </c>
      <c r="L167" s="4929" t="s">
        <v>162</v>
      </c>
      <c r="M167" s="4918">
        <v>45217</v>
      </c>
      <c r="N167" s="4918">
        <v>45217</v>
      </c>
      <c r="O167" s="4975">
        <v>45218</v>
      </c>
      <c r="P167" s="5049" t="s">
        <v>3302</v>
      </c>
      <c r="Q167" s="106" t="s">
        <v>75</v>
      </c>
      <c r="R167" s="4971" t="s">
        <v>3303</v>
      </c>
      <c r="S167" s="152">
        <v>4</v>
      </c>
      <c r="T167" s="1754">
        <v>3085.17</v>
      </c>
      <c r="U167" s="1754">
        <f>68.42+20+1780+650+650/22*6</f>
        <v>2695.6927272727276</v>
      </c>
      <c r="V167" s="106">
        <v>1</v>
      </c>
      <c r="W167" s="1754">
        <f>IFERROR((OCT_2023[[#This Row],[Sales Amount]]-OCT_2023[[#This Row],[Cost]])/OCT_2023[[#This Row],[CNTR AMOUNT]],OCT_2023[[#This Row],[Sales Amount]]-OCT_2023[[#This Row],[Cost]])</f>
        <v>389.47727272727252</v>
      </c>
      <c r="X167" s="886">
        <f>IFERROR(OCT_2023[[#This Row],[Profit]]/OCT_2023[[#This Row],[Cost]]," ")</f>
        <v>0.14448133082338077</v>
      </c>
    </row>
    <row r="168" spans="1:26">
      <c r="A168" s="106" t="s">
        <v>1134</v>
      </c>
      <c r="B168" s="4971" t="s">
        <v>3304</v>
      </c>
      <c r="C168" s="106" t="s">
        <v>44</v>
      </c>
      <c r="D168" s="144">
        <v>45212</v>
      </c>
      <c r="E168" s="898">
        <v>45212</v>
      </c>
      <c r="F168" s="4874" t="s">
        <v>135</v>
      </c>
      <c r="G168" s="798" t="s">
        <v>2536</v>
      </c>
      <c r="H168" s="5083" t="s">
        <v>3295</v>
      </c>
      <c r="I168" s="5082" t="s">
        <v>3305</v>
      </c>
      <c r="J168" s="4256" t="s">
        <v>125</v>
      </c>
      <c r="K168" s="4874" t="s">
        <v>1641</v>
      </c>
      <c r="L168" s="4929" t="s">
        <v>162</v>
      </c>
      <c r="M168" s="4916">
        <v>45220</v>
      </c>
      <c r="N168" s="4916">
        <v>45220</v>
      </c>
      <c r="O168" s="4975">
        <v>45224</v>
      </c>
      <c r="P168" s="5049" t="s">
        <v>3306</v>
      </c>
      <c r="Q168" s="106" t="s">
        <v>75</v>
      </c>
      <c r="R168" s="4971" t="s">
        <v>3307</v>
      </c>
      <c r="S168" s="152">
        <v>4</v>
      </c>
      <c r="T168" s="1754">
        <v>2889.42</v>
      </c>
      <c r="U168" s="1754">
        <f>68.42+20+1795+418+650/22*7</f>
        <v>2508.2381818181821</v>
      </c>
      <c r="W168" s="1754">
        <f>IFERROR((OCT_2023[[#This Row],[Sales Amount]]-OCT_2023[[#This Row],[Cost]])/OCT_2023[[#This Row],[CNTR AMOUNT]],OCT_2023[[#This Row],[Sales Amount]]-OCT_2023[[#This Row],[Cost]])</f>
        <v>381.18181818181802</v>
      </c>
      <c r="X168" s="886">
        <f>IFERROR(OCT_2023[[#This Row],[Profit]]/OCT_2023[[#This Row],[Cost]]," ")</f>
        <v>0.1519719382891721</v>
      </c>
    </row>
    <row r="169" spans="1:26">
      <c r="A169" s="1569" t="s">
        <v>42</v>
      </c>
      <c r="B169" s="5011" t="s">
        <v>3308</v>
      </c>
      <c r="C169" s="1569" t="s">
        <v>44</v>
      </c>
      <c r="D169" s="1636">
        <v>45206</v>
      </c>
      <c r="E169" s="1637">
        <v>45214</v>
      </c>
      <c r="F169" s="5007" t="s">
        <v>990</v>
      </c>
      <c r="G169" s="1569" t="s">
        <v>2206</v>
      </c>
      <c r="H169" s="5007"/>
      <c r="I169" s="5007"/>
      <c r="J169" s="1595" t="s">
        <v>32</v>
      </c>
      <c r="K169" s="5007" t="s">
        <v>310</v>
      </c>
      <c r="L169" s="5084">
        <v>9211564</v>
      </c>
      <c r="M169" s="5009">
        <v>45216</v>
      </c>
      <c r="N169" s="5009">
        <v>45214</v>
      </c>
      <c r="O169" s="5009">
        <v>45217</v>
      </c>
      <c r="P169" s="1721" t="s">
        <v>3309</v>
      </c>
      <c r="Q169" s="1569" t="s">
        <v>50</v>
      </c>
      <c r="R169" s="5007" t="s">
        <v>51</v>
      </c>
      <c r="S169" s="1664"/>
      <c r="T169" s="1569"/>
      <c r="U169" s="1569"/>
      <c r="V169" s="1569"/>
      <c r="W169" s="1569">
        <f>IFERROR((OCT_2023[[#This Row],[Sales Amount]]-OCT_2023[[#This Row],[Cost]])/OCT_2023[[#This Row],[CNTR AMOUNT]],OCT_2023[[#This Row],[Sales Amount]]-OCT_2023[[#This Row],[Cost]])</f>
        <v>0</v>
      </c>
      <c r="X169" s="1569" t="str">
        <f>IFERROR(OCT_2023[[#This Row],[Profit]]/OCT_2023[[#This Row],[Cost]]," ")</f>
        <v xml:space="preserve"> </v>
      </c>
      <c r="Y169" s="1569"/>
      <c r="Z169" s="1569"/>
    </row>
    <row r="170" spans="1:26" s="709" customFormat="1">
      <c r="A170" s="707" t="s">
        <v>42</v>
      </c>
      <c r="B170" s="4882" t="s">
        <v>3310</v>
      </c>
      <c r="C170" s="707" t="s">
        <v>44</v>
      </c>
      <c r="D170" s="1612">
        <v>45206</v>
      </c>
      <c r="E170" s="1614">
        <v>45214</v>
      </c>
      <c r="F170" s="4882" t="s">
        <v>990</v>
      </c>
      <c r="G170" s="707" t="s">
        <v>2206</v>
      </c>
      <c r="H170" s="707"/>
      <c r="I170" s="4882"/>
      <c r="J170" s="656" t="s">
        <v>32</v>
      </c>
      <c r="K170" s="4882" t="s">
        <v>310</v>
      </c>
      <c r="L170" s="4882">
        <v>9211592</v>
      </c>
      <c r="M170" s="4940">
        <v>45216</v>
      </c>
      <c r="N170" s="4940">
        <v>45216</v>
      </c>
      <c r="O170" s="4940">
        <v>45218</v>
      </c>
      <c r="P170" s="1019" t="s">
        <v>3311</v>
      </c>
      <c r="Q170" s="707" t="s">
        <v>89</v>
      </c>
      <c r="R170" s="4882" t="s">
        <v>51</v>
      </c>
      <c r="S170" s="713"/>
      <c r="T170" s="707"/>
      <c r="U170" s="707"/>
      <c r="V170" s="707"/>
      <c r="W170" s="707">
        <f>IFERROR((OCT_2023[[#This Row],[Sales Amount]]-OCT_2023[[#This Row],[Cost]])/OCT_2023[[#This Row],[CNTR AMOUNT]],OCT_2023[[#This Row],[Sales Amount]]-OCT_2023[[#This Row],[Cost]])</f>
        <v>0</v>
      </c>
      <c r="X170" s="707" t="str">
        <f>IFERROR(OCT_2023[[#This Row],[Profit]]/OCT_2023[[#This Row],[Cost]]," ")</f>
        <v xml:space="preserve"> </v>
      </c>
      <c r="Y170" s="707"/>
      <c r="Z170" s="707"/>
    </row>
    <row r="171" spans="1:26" s="117" customFormat="1" ht="30">
      <c r="A171" s="106" t="s">
        <v>1735</v>
      </c>
      <c r="B171" s="5085" t="s">
        <v>3312</v>
      </c>
      <c r="C171" s="4874" t="s">
        <v>44</v>
      </c>
      <c r="D171" s="144">
        <v>45198</v>
      </c>
      <c r="E171" s="898">
        <v>45214</v>
      </c>
      <c r="F171" s="4971" t="s">
        <v>93</v>
      </c>
      <c r="G171" s="4971" t="s">
        <v>302</v>
      </c>
      <c r="H171" s="5086" t="s">
        <v>3313</v>
      </c>
      <c r="I171" s="4874"/>
      <c r="J171" s="4874" t="s">
        <v>32</v>
      </c>
      <c r="K171" s="4874" t="s">
        <v>2226</v>
      </c>
      <c r="L171" s="4908" t="s">
        <v>3314</v>
      </c>
      <c r="M171" s="4906">
        <v>45217</v>
      </c>
      <c r="N171" s="4906">
        <v>45215</v>
      </c>
      <c r="O171" s="4906">
        <v>45217</v>
      </c>
      <c r="P171" s="5027" t="s">
        <v>3315</v>
      </c>
      <c r="Q171" s="26" t="s">
        <v>75</v>
      </c>
      <c r="R171" s="5087"/>
      <c r="S171" s="1725"/>
      <c r="T171" s="762"/>
      <c r="U171" s="762"/>
      <c r="V171" s="762"/>
      <c r="W171" s="147">
        <f>IFERROR((OCT_2023[[#This Row],[Sales Amount]]-OCT_2023[[#This Row],[Cost]])/OCT_2023[[#This Row],[CNTR AMOUNT]],OCT_2023[[#This Row],[Sales Amount]]-OCT_2023[[#This Row],[Cost]])</f>
        <v>0</v>
      </c>
      <c r="X171" s="147" t="str">
        <f>IFERROR(OCT_2023[[#This Row],[Profit]]/OCT_2023[[#This Row],[Cost]]," ")</f>
        <v xml:space="preserve"> </v>
      </c>
      <c r="Y171" s="147"/>
      <c r="Z171" s="147"/>
    </row>
    <row r="172" spans="1:26" s="1442" customFormat="1">
      <c r="A172" s="1569" t="s">
        <v>821</v>
      </c>
      <c r="B172" s="1569" t="s">
        <v>3316</v>
      </c>
      <c r="C172" s="1569" t="s">
        <v>28</v>
      </c>
      <c r="D172" s="1636">
        <v>45209</v>
      </c>
      <c r="E172" s="1637">
        <v>45215</v>
      </c>
      <c r="F172" s="1569" t="s">
        <v>2604</v>
      </c>
      <c r="G172" s="1569" t="s">
        <v>829</v>
      </c>
      <c r="H172" s="1569"/>
      <c r="I172" s="1569"/>
      <c r="J172" s="1595" t="s">
        <v>168</v>
      </c>
      <c r="K172" s="1569" t="s">
        <v>310</v>
      </c>
      <c r="L172" s="1569" t="s">
        <v>3317</v>
      </c>
      <c r="M172" s="1636">
        <v>45218</v>
      </c>
      <c r="N172" s="1636">
        <v>45217</v>
      </c>
      <c r="O172" s="1636">
        <v>45218</v>
      </c>
      <c r="P172" s="1721" t="s">
        <v>3318</v>
      </c>
      <c r="Q172" s="1595" t="s">
        <v>50</v>
      </c>
      <c r="R172" s="1569" t="s">
        <v>51</v>
      </c>
      <c r="S172" s="1569"/>
      <c r="T172" s="1569"/>
      <c r="U172" s="1569"/>
      <c r="V172" s="1569"/>
      <c r="W172" s="1569">
        <f>IFERROR((OCT_2023[[#This Row],[Sales Amount]]-OCT_2023[[#This Row],[Cost]])/OCT_2023[[#This Row],[CNTR AMOUNT]],OCT_2023[[#This Row],[Sales Amount]]-OCT_2023[[#This Row],[Cost]])</f>
        <v>0</v>
      </c>
      <c r="X172" s="1569" t="str">
        <f>IFERROR(OCT_2023[[#This Row],[Profit]]/OCT_2023[[#This Row],[Cost]]," ")</f>
        <v xml:space="preserve"> </v>
      </c>
      <c r="Y172" s="1569"/>
      <c r="Z172" s="1569"/>
    </row>
    <row r="173" spans="1:26" s="1442" customFormat="1">
      <c r="A173" s="1569" t="s">
        <v>821</v>
      </c>
      <c r="B173" s="1569" t="s">
        <v>3319</v>
      </c>
      <c r="C173" s="1664" t="s">
        <v>28</v>
      </c>
      <c r="D173" s="1634">
        <v>45209</v>
      </c>
      <c r="E173" s="1637">
        <v>45215</v>
      </c>
      <c r="F173" s="1569" t="s">
        <v>734</v>
      </c>
      <c r="G173" s="1569" t="s">
        <v>829</v>
      </c>
      <c r="H173" s="1634"/>
      <c r="I173" s="1569"/>
      <c r="J173" s="1595" t="s">
        <v>2940</v>
      </c>
      <c r="K173" s="1569" t="s">
        <v>310</v>
      </c>
      <c r="L173" s="1569" t="s">
        <v>3320</v>
      </c>
      <c r="M173" s="1634">
        <v>45217</v>
      </c>
      <c r="N173" s="1634">
        <v>45217</v>
      </c>
      <c r="O173" s="1634">
        <v>45223</v>
      </c>
      <c r="P173" s="1721" t="s">
        <v>3321</v>
      </c>
      <c r="Q173" s="1664" t="s">
        <v>50</v>
      </c>
      <c r="R173" s="1442" t="s">
        <v>534</v>
      </c>
      <c r="S173" s="1724"/>
      <c r="W173" s="1442">
        <f>IFERROR((OCT_2023[[#This Row],[Sales Amount]]-OCT_2023[[#This Row],[Cost]])/OCT_2023[[#This Row],[CNTR AMOUNT]],OCT_2023[[#This Row],[Sales Amount]]-OCT_2023[[#This Row],[Cost]])</f>
        <v>0</v>
      </c>
      <c r="X173" s="1442" t="str">
        <f>IFERROR(OCT_2023[[#This Row],[Profit]]/OCT_2023[[#This Row],[Cost]]," ")</f>
        <v xml:space="preserve"> </v>
      </c>
    </row>
    <row r="174" spans="1:26" s="1442" customFormat="1">
      <c r="A174" s="1569" t="s">
        <v>3322</v>
      </c>
      <c r="B174" s="1569" t="s">
        <v>3323</v>
      </c>
      <c r="C174" s="1569" t="s">
        <v>755</v>
      </c>
      <c r="D174" s="1636">
        <v>45201</v>
      </c>
      <c r="E174" s="1637">
        <v>45215</v>
      </c>
      <c r="F174" s="1569" t="s">
        <v>3324</v>
      </c>
      <c r="G174" s="1569" t="s">
        <v>829</v>
      </c>
      <c r="H174" s="1569"/>
      <c r="I174" s="1569"/>
      <c r="J174" s="1664" t="s">
        <v>168</v>
      </c>
      <c r="K174" s="1569" t="s">
        <v>310</v>
      </c>
      <c r="L174" s="1760" t="s">
        <v>3325</v>
      </c>
      <c r="M174" s="1636">
        <v>45217</v>
      </c>
      <c r="N174" s="1636">
        <v>45217</v>
      </c>
      <c r="O174" s="1636">
        <v>45219</v>
      </c>
      <c r="P174" s="1721" t="s">
        <v>3326</v>
      </c>
      <c r="Q174" s="1664" t="s">
        <v>50</v>
      </c>
      <c r="R174" s="1664" t="s">
        <v>534</v>
      </c>
      <c r="S174" s="1664"/>
      <c r="T174" s="1569"/>
      <c r="U174" s="1569"/>
      <c r="V174" s="1569"/>
      <c r="W174" s="1569">
        <f>IFERROR((OCT_2023[[#This Row],[Sales Amount]]-OCT_2023[[#This Row],[Cost]])/OCT_2023[[#This Row],[CNTR AMOUNT]],OCT_2023[[#This Row],[Sales Amount]]-OCT_2023[[#This Row],[Cost]])</f>
        <v>0</v>
      </c>
      <c r="X174" s="1569" t="str">
        <f>IFERROR(OCT_2023[[#This Row],[Profit]]/OCT_2023[[#This Row],[Cost]]," ")</f>
        <v xml:space="preserve"> </v>
      </c>
      <c r="Y174" s="1569"/>
      <c r="Z174" s="1569"/>
    </row>
    <row r="175" spans="1:26" s="117" customFormat="1">
      <c r="A175" s="1569" t="s">
        <v>2566</v>
      </c>
      <c r="B175" s="1569" t="s">
        <v>3327</v>
      </c>
      <c r="C175" s="1442" t="s">
        <v>994</v>
      </c>
      <c r="D175" s="1636">
        <v>45209</v>
      </c>
      <c r="E175" s="1637">
        <v>45217</v>
      </c>
      <c r="F175" s="1569" t="s">
        <v>1017</v>
      </c>
      <c r="G175" s="1569" t="s">
        <v>2939</v>
      </c>
      <c r="H175" s="1634"/>
      <c r="I175" s="1569"/>
      <c r="J175" s="1595" t="s">
        <v>2940</v>
      </c>
      <c r="K175" s="1569" t="s">
        <v>310</v>
      </c>
      <c r="L175" s="1569">
        <v>965601</v>
      </c>
      <c r="M175" s="1634">
        <v>45219</v>
      </c>
      <c r="N175" s="1634">
        <v>45219</v>
      </c>
      <c r="O175" s="1634">
        <v>45222</v>
      </c>
      <c r="P175" s="1569" t="s">
        <v>3328</v>
      </c>
      <c r="Q175" s="1664" t="s">
        <v>50</v>
      </c>
      <c r="R175" s="1724" t="s">
        <v>51</v>
      </c>
      <c r="S175" s="1724"/>
      <c r="T175" s="1442"/>
      <c r="U175" s="1442"/>
      <c r="V175" s="1442"/>
      <c r="W175" s="1442">
        <f>IFERROR((OCT_2023[[#This Row],[Sales Amount]]-OCT_2023[[#This Row],[Cost]])/OCT_2023[[#This Row],[CNTR AMOUNT]],OCT_2023[[#This Row],[Sales Amount]]-OCT_2023[[#This Row],[Cost]])</f>
        <v>0</v>
      </c>
      <c r="X175" s="1442" t="str">
        <f>IFERROR(OCT_2023[[#This Row],[Profit]]/OCT_2023[[#This Row],[Cost]]," ")</f>
        <v xml:space="preserve"> </v>
      </c>
      <c r="Y175" s="1442"/>
      <c r="Z175" s="1442"/>
    </row>
    <row r="176" spans="1:26" s="709" customFormat="1">
      <c r="A176" s="707" t="s">
        <v>3329</v>
      </c>
      <c r="B176" s="707" t="s">
        <v>3330</v>
      </c>
      <c r="C176" s="709" t="s">
        <v>44</v>
      </c>
      <c r="D176" s="1612">
        <v>45212</v>
      </c>
      <c r="E176" s="1614">
        <v>45218</v>
      </c>
      <c r="F176" s="707" t="s">
        <v>2389</v>
      </c>
      <c r="G176" s="707" t="s">
        <v>3005</v>
      </c>
      <c r="H176" s="1635"/>
      <c r="I176" s="707"/>
      <c r="J176" s="707" t="s">
        <v>168</v>
      </c>
      <c r="K176" s="707" t="s">
        <v>310</v>
      </c>
      <c r="L176" s="707">
        <v>9626525</v>
      </c>
      <c r="M176" s="1635">
        <v>45220</v>
      </c>
      <c r="N176" s="1635">
        <v>45219</v>
      </c>
      <c r="O176" s="1635">
        <v>45222</v>
      </c>
      <c r="P176" s="650" t="s">
        <v>3331</v>
      </c>
      <c r="Q176" s="707" t="s">
        <v>50</v>
      </c>
      <c r="R176" s="709" t="s">
        <v>534</v>
      </c>
      <c r="W176" s="709">
        <f>IFERROR((OCT_2023[[#This Row],[Sales Amount]]-OCT_2023[[#This Row],[Cost]])/OCT_2023[[#This Row],[CNTR AMOUNT]],OCT_2023[[#This Row],[Sales Amount]]-OCT_2023[[#This Row],[Cost]])</f>
        <v>0</v>
      </c>
      <c r="X176" s="709" t="str">
        <f>IFERROR(OCT_2023[[#This Row],[Profit]]/OCT_2023[[#This Row],[Cost]]," ")</f>
        <v xml:space="preserve"> </v>
      </c>
    </row>
    <row r="177" spans="1:26" ht="30">
      <c r="A177" s="106" t="s">
        <v>1134</v>
      </c>
      <c r="B177" s="4152" t="s">
        <v>3332</v>
      </c>
      <c r="C177" s="106" t="s">
        <v>44</v>
      </c>
      <c r="D177" s="144">
        <v>45219</v>
      </c>
      <c r="E177" s="898">
        <v>45219</v>
      </c>
      <c r="F177" s="106" t="s">
        <v>2225</v>
      </c>
      <c r="G177" s="4141" t="s">
        <v>3333</v>
      </c>
      <c r="H177" s="1570" t="s">
        <v>3334</v>
      </c>
      <c r="I177" s="1626" t="s">
        <v>3335</v>
      </c>
      <c r="J177" s="4248" t="s">
        <v>125</v>
      </c>
      <c r="K177" s="106" t="s">
        <v>1641</v>
      </c>
      <c r="L177" s="766" t="s">
        <v>162</v>
      </c>
      <c r="M177" s="4906">
        <v>45225</v>
      </c>
      <c r="N177" s="4961">
        <v>45224</v>
      </c>
      <c r="O177" s="822">
        <v>45230</v>
      </c>
      <c r="P177" s="4141" t="s">
        <v>3336</v>
      </c>
      <c r="Q177" s="93" t="s">
        <v>75</v>
      </c>
      <c r="R177" s="4152" t="s">
        <v>3337</v>
      </c>
      <c r="S177" s="93">
        <v>4</v>
      </c>
      <c r="T177" s="1754">
        <v>3200.42</v>
      </c>
      <c r="U177" s="1754">
        <f>68.42+20+2100+650+650/22*4</f>
        <v>2956.6018181818181</v>
      </c>
      <c r="V177" s="106">
        <v>1</v>
      </c>
      <c r="W177" s="1754">
        <f>IFERROR((OCT_2023[[#This Row],[Sales Amount]]-OCT_2023[[#This Row],[Cost]])/OCT_2023[[#This Row],[CNTR AMOUNT]],OCT_2023[[#This Row],[Sales Amount]]-OCT_2023[[#This Row],[Cost]])</f>
        <v>243.81818181818198</v>
      </c>
      <c r="X177" s="886">
        <f>IFERROR(OCT_2023[[#This Row],[Profit]]/OCT_2023[[#This Row],[Cost]]," ")</f>
        <v>8.2465680809233749E-2</v>
      </c>
    </row>
    <row r="178" spans="1:26" s="1536" customFormat="1">
      <c r="A178" s="5007" t="s">
        <v>732</v>
      </c>
      <c r="B178" s="1569" t="s">
        <v>3338</v>
      </c>
      <c r="C178" s="5007" t="s">
        <v>994</v>
      </c>
      <c r="D178" s="1636">
        <v>45209</v>
      </c>
      <c r="E178" s="1637">
        <v>45222</v>
      </c>
      <c r="F178" s="5007" t="s">
        <v>990</v>
      </c>
      <c r="G178" s="1569" t="s">
        <v>829</v>
      </c>
      <c r="H178" s="1569"/>
      <c r="I178" s="1569"/>
      <c r="J178" s="1664" t="s">
        <v>32</v>
      </c>
      <c r="K178" s="1569" t="s">
        <v>310</v>
      </c>
      <c r="L178" s="1760" t="s">
        <v>3339</v>
      </c>
      <c r="M178" s="1636">
        <v>45224</v>
      </c>
      <c r="N178" s="1636">
        <v>45223</v>
      </c>
      <c r="O178" s="1636">
        <v>45225</v>
      </c>
      <c r="P178" s="1721" t="s">
        <v>3340</v>
      </c>
      <c r="Q178" s="5007" t="s">
        <v>50</v>
      </c>
      <c r="R178" s="1569" t="s">
        <v>534</v>
      </c>
      <c r="S178" s="1569"/>
      <c r="T178" s="1569"/>
      <c r="U178" s="1569"/>
      <c r="V178" s="1569"/>
      <c r="W178" s="1569">
        <f>IFERROR((OCT_2023[[#This Row],[Sales Amount]]-OCT_2023[[#This Row],[Cost]])/OCT_2023[[#This Row],[CNTR AMOUNT]],OCT_2023[[#This Row],[Sales Amount]]-OCT_2023[[#This Row],[Cost]])</f>
        <v>0</v>
      </c>
      <c r="X178" s="1569" t="str">
        <f>IFERROR(OCT_2023[[#This Row],[Profit]]/OCT_2023[[#This Row],[Cost]]," ")</f>
        <v xml:space="preserve"> </v>
      </c>
      <c r="Y178" s="1569"/>
      <c r="Z178" s="1569"/>
    </row>
    <row r="179" spans="1:26" s="1442" customFormat="1">
      <c r="A179" s="1569" t="s">
        <v>42</v>
      </c>
      <c r="B179" s="1569" t="s">
        <v>3341</v>
      </c>
      <c r="C179" s="1724" t="s">
        <v>994</v>
      </c>
      <c r="D179" s="1636">
        <v>45213</v>
      </c>
      <c r="E179" s="1637">
        <v>45224</v>
      </c>
      <c r="F179" s="1569" t="s">
        <v>56</v>
      </c>
      <c r="G179" s="1759" t="s">
        <v>2206</v>
      </c>
      <c r="H179" s="1569"/>
      <c r="I179" s="1569"/>
      <c r="J179" s="1664" t="s">
        <v>168</v>
      </c>
      <c r="K179" s="1569" t="s">
        <v>310</v>
      </c>
      <c r="L179" s="1569">
        <v>9758316</v>
      </c>
      <c r="M179" s="1636">
        <v>45227</v>
      </c>
      <c r="N179" s="1636">
        <v>45225</v>
      </c>
      <c r="O179" s="1636">
        <v>45227</v>
      </c>
      <c r="P179" s="1721" t="s">
        <v>3342</v>
      </c>
      <c r="Q179" s="1569" t="s">
        <v>50</v>
      </c>
      <c r="R179" s="1569" t="s">
        <v>534</v>
      </c>
      <c r="S179" s="1569"/>
      <c r="T179" s="1569"/>
      <c r="U179" s="1569"/>
      <c r="V179" s="1569"/>
      <c r="W179" s="1569">
        <f>IFERROR((OCT_2023[[#This Row],[Sales Amount]]-OCT_2023[[#This Row],[Cost]])/OCT_2023[[#This Row],[CNTR AMOUNT]],OCT_2023[[#This Row],[Sales Amount]]-OCT_2023[[#This Row],[Cost]])</f>
        <v>0</v>
      </c>
      <c r="X179" s="1569" t="str">
        <f>IFERROR(OCT_2023[[#This Row],[Profit]]/OCT_2023[[#This Row],[Cost]]," ")</f>
        <v xml:space="preserve"> </v>
      </c>
      <c r="Y179" s="1569"/>
      <c r="Z179" s="1569"/>
    </row>
    <row r="180" spans="1:26" s="1442" customFormat="1">
      <c r="A180" s="1569" t="s">
        <v>3343</v>
      </c>
      <c r="B180" s="1569" t="s">
        <v>3344</v>
      </c>
      <c r="C180" s="1462" t="s">
        <v>28</v>
      </c>
      <c r="D180" s="1761">
        <v>45215</v>
      </c>
      <c r="E180" s="1762">
        <v>45224</v>
      </c>
      <c r="F180" s="1569" t="s">
        <v>1017</v>
      </c>
      <c r="G180" s="1569" t="s">
        <v>829</v>
      </c>
      <c r="H180" s="1634"/>
      <c r="I180" s="1569"/>
      <c r="J180" s="1595" t="s">
        <v>168</v>
      </c>
      <c r="K180" s="1569" t="s">
        <v>310</v>
      </c>
      <c r="L180" s="1569" t="s">
        <v>3345</v>
      </c>
      <c r="M180" s="1634">
        <v>45226</v>
      </c>
      <c r="N180" s="1634">
        <v>45224</v>
      </c>
      <c r="O180" s="1634">
        <v>45226</v>
      </c>
      <c r="P180" s="1721" t="s">
        <v>3346</v>
      </c>
      <c r="Q180" s="1569" t="s">
        <v>50</v>
      </c>
      <c r="R180" s="1536" t="s">
        <v>534</v>
      </c>
      <c r="W180" s="1442">
        <f>IFERROR((OCT_2023[[#This Row],[Sales Amount]]-OCT_2023[[#This Row],[Cost]])/OCT_2023[[#This Row],[CNTR AMOUNT]],OCT_2023[[#This Row],[Sales Amount]]-OCT_2023[[#This Row],[Cost]])</f>
        <v>0</v>
      </c>
      <c r="X180" s="1763" t="str">
        <f>IFERROR(OCT_2023[[#This Row],[Profit]]/OCT_2023[[#This Row],[Cost]]," ")</f>
        <v xml:space="preserve"> </v>
      </c>
    </row>
    <row r="181" spans="1:26" s="117" customFormat="1">
      <c r="A181" s="120" t="s">
        <v>313</v>
      </c>
      <c r="B181" s="766" t="s">
        <v>3347</v>
      </c>
      <c r="C181" s="117" t="s">
        <v>28</v>
      </c>
      <c r="D181" s="653">
        <v>45216</v>
      </c>
      <c r="E181" s="654">
        <v>45225</v>
      </c>
      <c r="F181" s="4150" t="s">
        <v>93</v>
      </c>
      <c r="G181" s="4150" t="s">
        <v>302</v>
      </c>
      <c r="H181" s="4173" t="s">
        <v>3348</v>
      </c>
      <c r="J181" s="117" t="s">
        <v>32</v>
      </c>
      <c r="K181" s="117" t="s">
        <v>2226</v>
      </c>
      <c r="L181" s="4168" t="s">
        <v>3349</v>
      </c>
      <c r="M181" s="4240">
        <v>45227</v>
      </c>
      <c r="N181" s="1446">
        <v>45226</v>
      </c>
      <c r="O181" s="1446">
        <v>45227</v>
      </c>
      <c r="P181" s="4237" t="s">
        <v>3350</v>
      </c>
      <c r="Q181" s="693" t="s">
        <v>75</v>
      </c>
      <c r="R181" s="4163" t="s">
        <v>3351</v>
      </c>
      <c r="S181" s="660">
        <v>4</v>
      </c>
      <c r="T181" s="117">
        <v>5110</v>
      </c>
      <c r="U181" s="117">
        <f>526+450+550</f>
        <v>1526</v>
      </c>
      <c r="V181" s="117">
        <v>1</v>
      </c>
      <c r="W181" s="117">
        <f>IFERROR((OCT_2023[[#This Row],[Sales Amount]]-OCT_2023[[#This Row],[Cost]])/OCT_2023[[#This Row],[CNTR AMOUNT]],OCT_2023[[#This Row],[Sales Amount]]-OCT_2023[[#This Row],[Cost]])</f>
        <v>3584</v>
      </c>
    </row>
    <row r="182" spans="1:26">
      <c r="A182" s="106" t="s">
        <v>319</v>
      </c>
      <c r="B182" s="4258" t="s">
        <v>3352</v>
      </c>
      <c r="C182" s="4874" t="s">
        <v>44</v>
      </c>
      <c r="D182" s="144">
        <v>45202</v>
      </c>
      <c r="E182" s="898">
        <v>45226</v>
      </c>
      <c r="F182" s="4152" t="s">
        <v>29</v>
      </c>
      <c r="G182" s="4152" t="s">
        <v>57</v>
      </c>
      <c r="H182" s="4254" t="s">
        <v>3353</v>
      </c>
      <c r="J182" s="152" t="s">
        <v>32</v>
      </c>
      <c r="K182" s="152" t="s">
        <v>2226</v>
      </c>
      <c r="L182" s="4845">
        <v>8896108</v>
      </c>
      <c r="M182" s="822">
        <v>45228</v>
      </c>
      <c r="N182" s="822">
        <v>45226</v>
      </c>
      <c r="O182" s="822">
        <v>45229</v>
      </c>
      <c r="P182" s="4141" t="s">
        <v>3354</v>
      </c>
      <c r="Q182" s="106" t="s">
        <v>75</v>
      </c>
      <c r="R182" t="s">
        <v>3355</v>
      </c>
      <c r="T182" s="106"/>
      <c r="U182" s="106"/>
      <c r="W182" s="106">
        <v>0</v>
      </c>
      <c r="X182" s="106"/>
    </row>
    <row r="183" spans="1:26" s="709" customFormat="1">
      <c r="A183" s="707" t="s">
        <v>2566</v>
      </c>
      <c r="B183" s="707" t="s">
        <v>3356</v>
      </c>
      <c r="C183" s="4861" t="s">
        <v>28</v>
      </c>
      <c r="D183" s="1612">
        <v>45217</v>
      </c>
      <c r="E183" s="877">
        <v>45227</v>
      </c>
      <c r="F183" s="1419" t="s">
        <v>86</v>
      </c>
      <c r="G183" s="707" t="s">
        <v>3357</v>
      </c>
      <c r="H183" s="707"/>
      <c r="I183" s="707"/>
      <c r="J183" s="713" t="s">
        <v>168</v>
      </c>
      <c r="K183" s="713" t="s">
        <v>2226</v>
      </c>
      <c r="L183" s="4882">
        <v>874040</v>
      </c>
      <c r="M183" s="1612">
        <v>45230</v>
      </c>
      <c r="N183" s="1612">
        <v>45230</v>
      </c>
      <c r="O183" s="1612">
        <v>45232</v>
      </c>
      <c r="P183" s="1019" t="s">
        <v>3358</v>
      </c>
      <c r="Q183" s="707" t="s">
        <v>50</v>
      </c>
      <c r="R183" s="709" t="s">
        <v>51</v>
      </c>
      <c r="U183" s="723"/>
      <c r="X183" s="1728"/>
    </row>
    <row r="184" spans="1:26" s="709" customFormat="1">
      <c r="A184" s="707" t="s">
        <v>42</v>
      </c>
      <c r="B184" s="2031" t="s">
        <v>3359</v>
      </c>
      <c r="C184" s="707" t="s">
        <v>755</v>
      </c>
      <c r="D184" s="1612">
        <v>45217</v>
      </c>
      <c r="E184" s="877">
        <v>45227</v>
      </c>
      <c r="F184" s="707" t="s">
        <v>86</v>
      </c>
      <c r="G184" s="707" t="s">
        <v>829</v>
      </c>
      <c r="H184" s="1635"/>
      <c r="I184" s="707"/>
      <c r="J184" s="707" t="s">
        <v>2940</v>
      </c>
      <c r="K184" s="707" t="s">
        <v>310</v>
      </c>
      <c r="L184" s="4882" t="s">
        <v>3360</v>
      </c>
      <c r="M184" s="1635">
        <v>45230</v>
      </c>
      <c r="N184" s="1635">
        <v>45229</v>
      </c>
      <c r="O184" s="1635">
        <v>45231</v>
      </c>
      <c r="P184" s="1019" t="s">
        <v>3361</v>
      </c>
      <c r="Q184" s="707" t="s">
        <v>50</v>
      </c>
      <c r="R184" s="709" t="s">
        <v>534</v>
      </c>
      <c r="W184" s="709">
        <f>IFERROR((OCT_2023[[#This Row],[Sales Amount]]-OCT_2023[[#This Row],[Cost]])/OCT_2023[[#This Row],[CNTR AMOUNT]],OCT_2023[[#This Row],[Sales Amount]]-OCT_2023[[#This Row],[Cost]])</f>
        <v>0</v>
      </c>
    </row>
    <row r="185" spans="1:26" s="709" customFormat="1">
      <c r="A185" s="707" t="s">
        <v>42</v>
      </c>
      <c r="B185" s="507" t="s">
        <v>3362</v>
      </c>
      <c r="C185" s="709" t="s">
        <v>28</v>
      </c>
      <c r="D185" s="1612">
        <v>45218</v>
      </c>
      <c r="E185" s="877">
        <v>45227</v>
      </c>
      <c r="F185" s="707" t="s">
        <v>45</v>
      </c>
      <c r="G185" s="707" t="s">
        <v>829</v>
      </c>
      <c r="H185" s="1635"/>
      <c r="I185" s="707"/>
      <c r="J185" s="707" t="s">
        <v>168</v>
      </c>
      <c r="K185" s="707" t="s">
        <v>2226</v>
      </c>
      <c r="L185" s="707" t="s">
        <v>3363</v>
      </c>
      <c r="M185" s="1635">
        <v>45230</v>
      </c>
      <c r="N185" s="1635">
        <v>45229</v>
      </c>
      <c r="O185" s="1635">
        <v>45231</v>
      </c>
      <c r="P185" s="1019" t="s">
        <v>3364</v>
      </c>
      <c r="Q185" s="707" t="s">
        <v>50</v>
      </c>
      <c r="R185" s="709" t="s">
        <v>534</v>
      </c>
      <c r="W185" s="709">
        <f>IFERROR((OCT_2023[[#This Row],[Sales Amount]]-OCT_2023[[#This Row],[Cost]])/OCT_2023[[#This Row],[CNTR AMOUNT]],OCT_2023[[#This Row],[Sales Amount]]-OCT_2023[[#This Row],[Cost]])</f>
        <v>0</v>
      </c>
      <c r="X185" s="709" t="str">
        <f>IFERROR(OCT_2023[[#This Row],[Profit]]/OCT_2023[[#This Row],[Cost]]," ")</f>
        <v xml:space="preserve"> </v>
      </c>
    </row>
    <row r="186" spans="1:26" s="709" customFormat="1">
      <c r="A186" s="1635" t="s">
        <v>3329</v>
      </c>
      <c r="B186" s="707" t="s">
        <v>3365</v>
      </c>
      <c r="C186" s="709" t="s">
        <v>28</v>
      </c>
      <c r="D186" s="1612">
        <v>45216</v>
      </c>
      <c r="E186" s="877">
        <v>45228</v>
      </c>
      <c r="F186" s="1635" t="s">
        <v>2389</v>
      </c>
      <c r="G186" s="1635" t="s">
        <v>2206</v>
      </c>
      <c r="H186" s="1635"/>
      <c r="I186" s="707"/>
      <c r="J186" s="707" t="s">
        <v>168</v>
      </c>
      <c r="K186" s="707" t="s">
        <v>2226</v>
      </c>
      <c r="L186" s="2032" t="s">
        <v>3366</v>
      </c>
      <c r="M186" s="1635">
        <v>45230</v>
      </c>
      <c r="N186" s="1635">
        <v>45229</v>
      </c>
      <c r="O186" s="1635">
        <v>45230</v>
      </c>
      <c r="P186" s="650" t="s">
        <v>3367</v>
      </c>
      <c r="Q186" s="707" t="s">
        <v>50</v>
      </c>
      <c r="R186" s="709" t="s">
        <v>534</v>
      </c>
      <c r="X186" s="1728"/>
    </row>
    <row r="187" spans="1:26" s="709" customFormat="1">
      <c r="A187" s="707" t="s">
        <v>3329</v>
      </c>
      <c r="B187" s="650" t="s">
        <v>3368</v>
      </c>
      <c r="C187" s="709" t="s">
        <v>28</v>
      </c>
      <c r="D187" s="1612">
        <v>45216</v>
      </c>
      <c r="E187" s="877">
        <v>45228</v>
      </c>
      <c r="F187" s="1635" t="s">
        <v>2389</v>
      </c>
      <c r="G187" s="1635" t="s">
        <v>2206</v>
      </c>
      <c r="H187" s="1635"/>
      <c r="I187" s="707"/>
      <c r="J187" s="707" t="s">
        <v>168</v>
      </c>
      <c r="K187" s="707" t="s">
        <v>2226</v>
      </c>
      <c r="L187" s="2032" t="s">
        <v>3369</v>
      </c>
      <c r="M187" s="1635">
        <v>45230</v>
      </c>
      <c r="N187" s="1635">
        <v>45229</v>
      </c>
      <c r="O187" s="1635">
        <v>45230</v>
      </c>
      <c r="P187" s="650" t="s">
        <v>3370</v>
      </c>
      <c r="Q187" s="707" t="s">
        <v>50</v>
      </c>
      <c r="R187" s="1" t="s">
        <v>534</v>
      </c>
      <c r="S187" s="58"/>
      <c r="W187" s="709">
        <f>IFERROR((OCT_2023[[#This Row],[Sales Amount]]-OCT_2023[[#This Row],[Cost]])/OCT_2023[[#This Row],[CNTR AMOUNT]],OCT_2023[[#This Row],[Sales Amount]]-OCT_2023[[#This Row],[Cost]])</f>
        <v>0</v>
      </c>
      <c r="X187" s="1728" t="str">
        <f>IFERROR(OCT_2023[[#This Row],[Profit]]/OCT_2023[[#This Row],[Cost]]," ")</f>
        <v xml:space="preserve"> </v>
      </c>
    </row>
    <row r="188" spans="1:26" s="117" customFormat="1" ht="25.5">
      <c r="A188" s="4168" t="s">
        <v>313</v>
      </c>
      <c r="B188" s="4168" t="s">
        <v>3371</v>
      </c>
      <c r="C188" s="4915" t="s">
        <v>28</v>
      </c>
      <c r="D188" s="5063">
        <v>45223</v>
      </c>
      <c r="E188" s="879">
        <v>45228</v>
      </c>
      <c r="F188" s="4168" t="s">
        <v>151</v>
      </c>
      <c r="G188" s="4168" t="s">
        <v>302</v>
      </c>
      <c r="H188" s="4240" t="s">
        <v>3372</v>
      </c>
      <c r="I188" s="507"/>
      <c r="J188" s="117" t="s">
        <v>32</v>
      </c>
      <c r="K188" s="4168" t="s">
        <v>310</v>
      </c>
      <c r="L188" s="4168" t="s">
        <v>3373</v>
      </c>
      <c r="M188" s="1446">
        <v>45231</v>
      </c>
      <c r="N188" s="1446">
        <v>45230</v>
      </c>
      <c r="O188" s="1446">
        <v>45232</v>
      </c>
      <c r="P188" s="1732" t="s">
        <v>3374</v>
      </c>
      <c r="Q188" s="117" t="s">
        <v>75</v>
      </c>
      <c r="R188" s="4150" t="s">
        <v>3375</v>
      </c>
      <c r="S188" s="660">
        <v>4</v>
      </c>
      <c r="T188" s="117">
        <v>4610</v>
      </c>
      <c r="U188" s="117">
        <v>564</v>
      </c>
      <c r="V188" s="117">
        <v>1</v>
      </c>
      <c r="W188" s="117">
        <f>IFERROR((OCT_2023[[#This Row],[Sales Amount]]-OCT_2023[[#This Row],[Cost]])/OCT_2023[[#This Row],[CNTR AMOUNT]],OCT_2023[[#This Row],[Sales Amount]]-OCT_2023[[#This Row],[Cost]])</f>
        <v>4046</v>
      </c>
      <c r="X188" s="1686">
        <f>IFERROR(OCT_2023[[#This Row],[Profit]]/OCT_2023[[#This Row],[Cost]]," ")</f>
        <v>7.1737588652482271</v>
      </c>
    </row>
    <row r="189" spans="1:26" ht="30">
      <c r="A189" s="106" t="s">
        <v>319</v>
      </c>
      <c r="B189" s="4259" t="s">
        <v>3376</v>
      </c>
      <c r="C189" s="106" t="s">
        <v>28</v>
      </c>
      <c r="D189" s="144">
        <v>45218</v>
      </c>
      <c r="E189" s="1703">
        <v>45230</v>
      </c>
      <c r="F189" s="4152" t="s">
        <v>151</v>
      </c>
      <c r="G189" s="4152" t="s">
        <v>302</v>
      </c>
      <c r="H189" s="4254" t="s">
        <v>3377</v>
      </c>
      <c r="J189" s="4152" t="s">
        <v>32</v>
      </c>
      <c r="K189" s="106" t="s">
        <v>2226</v>
      </c>
      <c r="L189" s="4150" t="s">
        <v>3378</v>
      </c>
      <c r="M189" s="879">
        <v>45232</v>
      </c>
      <c r="N189" s="822">
        <v>45231</v>
      </c>
      <c r="O189" s="144">
        <v>45232</v>
      </c>
      <c r="P189" s="4141" t="s">
        <v>3379</v>
      </c>
      <c r="Q189" s="106" t="s">
        <v>75</v>
      </c>
      <c r="R189" t="s">
        <v>3380</v>
      </c>
      <c r="T189" s="106"/>
      <c r="U189" s="106"/>
      <c r="W189" s="106">
        <f>IFERROR((OCT_2023[[#This Row],[Sales Amount]]-OCT_2023[[#This Row],[Cost]])/OCT_2023[[#This Row],[CNTR AMOUNT]],OCT_2023[[#This Row],[Sales Amount]]-OCT_2023[[#This Row],[Cost]])</f>
        <v>0</v>
      </c>
      <c r="X189" s="1610" t="str">
        <f>IFERROR(OCT_2023[[#This Row],[Profit]]/OCT_2023[[#This Row],[Cost]]," ")</f>
        <v xml:space="preserve"> </v>
      </c>
    </row>
    <row r="190" spans="1:26">
      <c r="A190" s="58" t="s">
        <v>2787</v>
      </c>
      <c r="B190" s="1166" t="s">
        <v>3381</v>
      </c>
      <c r="C190" s="58" t="s">
        <v>28</v>
      </c>
      <c r="D190" s="844">
        <v>45226</v>
      </c>
      <c r="E190" s="1112">
        <v>45250</v>
      </c>
      <c r="F190" s="1166" t="s">
        <v>285</v>
      </c>
      <c r="G190" s="1" t="s">
        <v>57</v>
      </c>
      <c r="H190" s="1380">
        <v>45251</v>
      </c>
      <c r="I190" s="1"/>
      <c r="J190" s="1" t="s">
        <v>247</v>
      </c>
      <c r="K190" s="1114" t="s">
        <v>2789</v>
      </c>
      <c r="L190" s="1589">
        <v>794349</v>
      </c>
      <c r="M190" s="1588">
        <v>45252</v>
      </c>
      <c r="N190" s="1380">
        <v>45251</v>
      </c>
      <c r="O190" s="1380">
        <v>45252</v>
      </c>
      <c r="P190" s="1175" t="s">
        <v>3382</v>
      </c>
      <c r="Q190" s="4161" t="s">
        <v>35</v>
      </c>
      <c r="R190" s="58" t="s">
        <v>36</v>
      </c>
      <c r="S190" s="58" t="s">
        <v>37</v>
      </c>
      <c r="T190" s="106">
        <v>1035</v>
      </c>
      <c r="U190" s="106">
        <v>884.8</v>
      </c>
      <c r="V190" s="106">
        <v>2</v>
      </c>
      <c r="W190" s="106">
        <f>IFERROR((OCT_2023[[#This Row],[Sales Amount]]-OCT_2023[[#This Row],[Cost]])/OCT_2023[[#This Row],[CNTR AMOUNT]],OCT_2023[[#This Row],[Sales Amount]]-OCT_2023[[#This Row],[Cost]])</f>
        <v>75.100000000000023</v>
      </c>
      <c r="X190" s="106">
        <f>IFERROR(OCT_2023[[#This Row],[Profit]]/OCT_2023[[#This Row],[Cost]]," ")</f>
        <v>8.487793851717905E-2</v>
      </c>
    </row>
    <row r="191" spans="1:26">
      <c r="A191" s="3275" t="s">
        <v>2787</v>
      </c>
      <c r="B191" s="1166" t="s">
        <v>3383</v>
      </c>
      <c r="C191" s="3275" t="s">
        <v>28</v>
      </c>
      <c r="D191" s="844">
        <v>45226</v>
      </c>
      <c r="E191" s="1112">
        <v>45250</v>
      </c>
      <c r="F191" s="3284" t="s">
        <v>285</v>
      </c>
      <c r="G191" s="3261" t="s">
        <v>57</v>
      </c>
      <c r="H191" s="1588">
        <v>45252</v>
      </c>
      <c r="I191" s="1"/>
      <c r="J191" s="1" t="s">
        <v>247</v>
      </c>
      <c r="K191" s="3286" t="s">
        <v>2789</v>
      </c>
      <c r="L191" s="1589">
        <v>794337</v>
      </c>
      <c r="M191" s="1588">
        <v>45252</v>
      </c>
      <c r="N191" s="1380">
        <v>45252</v>
      </c>
      <c r="O191" s="1588">
        <v>45254</v>
      </c>
      <c r="P191" s="1175" t="s">
        <v>3382</v>
      </c>
      <c r="Q191" s="4249" t="s">
        <v>35</v>
      </c>
      <c r="R191" s="58" t="s">
        <v>36</v>
      </c>
      <c r="S191" s="58" t="s">
        <v>37</v>
      </c>
      <c r="T191" s="106">
        <v>1035</v>
      </c>
      <c r="U191" s="106">
        <v>884.8</v>
      </c>
      <c r="V191" s="106">
        <v>2</v>
      </c>
      <c r="W191" s="106">
        <f>IFERROR((OCT_2023[[#This Row],[Sales Amount]]-OCT_2023[[#This Row],[Cost]])/OCT_2023[[#This Row],[CNTR AMOUNT]],OCT_2023[[#This Row],[Sales Amount]]-OCT_2023[[#This Row],[Cost]])</f>
        <v>75.100000000000023</v>
      </c>
      <c r="X191" s="106">
        <f>IFERROR(OCT_2023[[#This Row],[Profit]]/OCT_2023[[#This Row],[Cost]]," ")</f>
        <v>8.487793851717905E-2</v>
      </c>
    </row>
    <row r="192" spans="1:26">
      <c r="A192" s="2" t="s">
        <v>1035</v>
      </c>
      <c r="B192" s="58" t="s">
        <v>3384</v>
      </c>
      <c r="C192" s="1590" t="s">
        <v>28</v>
      </c>
      <c r="D192" s="126">
        <v>45218</v>
      </c>
      <c r="E192" s="143">
        <v>45231</v>
      </c>
      <c r="F192" s="7" t="s">
        <v>151</v>
      </c>
      <c r="G192" s="7" t="s">
        <v>46</v>
      </c>
      <c r="H192" s="13" t="s">
        <v>1038</v>
      </c>
      <c r="I192" s="1"/>
      <c r="J192" s="3261" t="s">
        <v>32</v>
      </c>
      <c r="K192" s="3278" t="s">
        <v>162</v>
      </c>
      <c r="L192" s="751" t="s">
        <v>3385</v>
      </c>
      <c r="M192" s="1591">
        <v>45234</v>
      </c>
      <c r="N192" s="1591">
        <v>45233</v>
      </c>
      <c r="O192" s="1591">
        <v>45233</v>
      </c>
      <c r="P192" s="26" t="s">
        <v>3156</v>
      </c>
      <c r="Q192" s="2" t="s">
        <v>35</v>
      </c>
      <c r="R192" s="2" t="s">
        <v>36</v>
      </c>
      <c r="S192" s="7" t="s">
        <v>1320</v>
      </c>
      <c r="T192" s="106"/>
      <c r="U192" s="106"/>
      <c r="W192" s="106">
        <f>IFERROR((OCT_2023[[#This Row],[Sales Amount]]-OCT_2023[[#This Row],[Cost]])/OCT_2023[[#This Row],[CNTR AMOUNT]],OCT_2023[[#This Row],[Sales Amount]]-OCT_2023[[#This Row],[Cost]])</f>
        <v>0</v>
      </c>
      <c r="X192" s="106" t="str">
        <f>IFERROR(OCT_2023[[#This Row],[Profit]]/OCT_2023[[#This Row],[Cost]]," ")</f>
        <v xml:space="preserve"> </v>
      </c>
    </row>
    <row r="193" spans="1:26">
      <c r="A193" s="21" t="s">
        <v>1035</v>
      </c>
      <c r="B193" s="18" t="s">
        <v>3386</v>
      </c>
      <c r="C193" s="1639" t="s">
        <v>28</v>
      </c>
      <c r="D193" s="315">
        <v>45218</v>
      </c>
      <c r="E193" s="387">
        <v>45231</v>
      </c>
      <c r="F193" s="84" t="s">
        <v>151</v>
      </c>
      <c r="G193" s="84" t="s">
        <v>46</v>
      </c>
      <c r="H193" s="19" t="s">
        <v>1038</v>
      </c>
      <c r="I193" s="1062"/>
      <c r="J193" s="1062" t="s">
        <v>32</v>
      </c>
      <c r="K193" s="1692" t="s">
        <v>162</v>
      </c>
      <c r="L193" s="277" t="s">
        <v>3387</v>
      </c>
      <c r="M193" s="1717">
        <v>45234</v>
      </c>
      <c r="N193" s="1717">
        <v>45233</v>
      </c>
      <c r="O193" s="5088">
        <v>45233</v>
      </c>
      <c r="P193" s="508" t="s">
        <v>3156</v>
      </c>
      <c r="Q193" s="21" t="s">
        <v>35</v>
      </c>
      <c r="R193" s="2" t="s">
        <v>36</v>
      </c>
      <c r="S193" s="84" t="s">
        <v>1320</v>
      </c>
      <c r="T193" s="93"/>
      <c r="U193" s="93"/>
      <c r="V193" s="93"/>
      <c r="W193" s="93">
        <f>IFERROR((OCT_2023[[#This Row],[Sales Amount]]-OCT_2023[[#This Row],[Cost]])/OCT_2023[[#This Row],[CNTR AMOUNT]],OCT_2023[[#This Row],[Sales Amount]]-OCT_2023[[#This Row],[Cost]])</f>
        <v>0</v>
      </c>
      <c r="X193" s="93" t="str">
        <f>IFERROR(OCT_2023[[#This Row],[Profit]]/OCT_2023[[#This Row],[Cost]]," ")</f>
        <v xml:space="preserve"> </v>
      </c>
      <c r="Y193" s="93"/>
      <c r="Z193" s="93"/>
    </row>
    <row r="194" spans="1:26">
      <c r="A194" s="21" t="s">
        <v>1035</v>
      </c>
      <c r="B194" s="18" t="s">
        <v>3388</v>
      </c>
      <c r="C194" s="1639" t="s">
        <v>28</v>
      </c>
      <c r="D194" s="315">
        <v>45218</v>
      </c>
      <c r="E194" s="387">
        <v>45231</v>
      </c>
      <c r="F194" s="84" t="s">
        <v>151</v>
      </c>
      <c r="G194" s="84" t="s">
        <v>46</v>
      </c>
      <c r="H194" s="19" t="s">
        <v>1038</v>
      </c>
      <c r="I194" s="1062"/>
      <c r="J194" s="1062" t="s">
        <v>32</v>
      </c>
      <c r="K194" s="1692" t="s">
        <v>162</v>
      </c>
      <c r="L194" s="277" t="s">
        <v>3389</v>
      </c>
      <c r="M194" s="1717">
        <v>45234</v>
      </c>
      <c r="N194" s="1717">
        <v>45233</v>
      </c>
      <c r="O194" s="1717">
        <v>45234</v>
      </c>
      <c r="P194" s="508" t="s">
        <v>3156</v>
      </c>
      <c r="Q194" s="21" t="s">
        <v>35</v>
      </c>
      <c r="R194" s="2" t="s">
        <v>36</v>
      </c>
      <c r="S194" s="84" t="s">
        <v>1320</v>
      </c>
      <c r="T194" s="93"/>
      <c r="U194" s="93"/>
      <c r="V194" s="93"/>
      <c r="W194" s="93">
        <f>IFERROR((OCT_2023[[#This Row],[Sales Amount]]-OCT_2023[[#This Row],[Cost]])/OCT_2023[[#This Row],[CNTR AMOUNT]],OCT_2023[[#This Row],[Sales Amount]]-OCT_2023[[#This Row],[Cost]])</f>
        <v>0</v>
      </c>
      <c r="X194" s="93" t="str">
        <f>IFERROR(OCT_2023[[#This Row],[Profit]]/OCT_2023[[#This Row],[Cost]]," ")</f>
        <v xml:space="preserve"> </v>
      </c>
      <c r="Y194" s="93"/>
      <c r="Z194" s="93"/>
    </row>
    <row r="195" spans="1:26">
      <c r="A195" s="58" t="s">
        <v>2787</v>
      </c>
      <c r="B195" s="1166" t="s">
        <v>3390</v>
      </c>
      <c r="C195" s="58" t="s">
        <v>44</v>
      </c>
      <c r="D195" s="844">
        <v>45228</v>
      </c>
      <c r="E195" s="1112">
        <v>45256</v>
      </c>
      <c r="F195" s="1166" t="s">
        <v>285</v>
      </c>
      <c r="G195" s="1" t="s">
        <v>57</v>
      </c>
      <c r="H195" s="1588">
        <v>45257</v>
      </c>
      <c r="I195" s="1675"/>
      <c r="J195" s="67" t="s">
        <v>247</v>
      </c>
      <c r="K195" s="1750" t="s">
        <v>2789</v>
      </c>
      <c r="L195" s="1589">
        <v>1261208</v>
      </c>
      <c r="M195" s="1588">
        <v>45259</v>
      </c>
      <c r="N195" s="1751">
        <v>45257</v>
      </c>
      <c r="O195" s="1380">
        <v>45259</v>
      </c>
      <c r="P195" s="1175" t="s">
        <v>3391</v>
      </c>
      <c r="Q195" s="4260" t="s">
        <v>35</v>
      </c>
      <c r="R195" s="1430" t="s">
        <v>36</v>
      </c>
      <c r="S195" s="1430" t="s">
        <v>37</v>
      </c>
      <c r="T195" s="106">
        <v>545</v>
      </c>
      <c r="U195" s="106">
        <v>469.7</v>
      </c>
      <c r="W195" s="106">
        <f>IFERROR((OCT_2023[[#This Row],[Sales Amount]]-OCT_2023[[#This Row],[Cost]])/OCT_2023[[#This Row],[CNTR AMOUNT]],OCT_2023[[#This Row],[Sales Amount]]-OCT_2023[[#This Row],[Cost]])</f>
        <v>75.300000000000011</v>
      </c>
      <c r="X195" s="106">
        <f>IFERROR(OCT_2023[[#This Row],[Profit]]/OCT_2023[[#This Row],[Cost]]," ")</f>
        <v>0.16031509474132427</v>
      </c>
    </row>
    <row r="196" spans="1:26" ht="45">
      <c r="A196" s="58" t="s">
        <v>2966</v>
      </c>
      <c r="B196" s="58" t="s">
        <v>3392</v>
      </c>
      <c r="C196" s="58" t="s">
        <v>200</v>
      </c>
      <c r="D196" s="844">
        <v>45234</v>
      </c>
      <c r="E196" s="844">
        <v>45234</v>
      </c>
      <c r="F196" s="58" t="s">
        <v>245</v>
      </c>
      <c r="G196" s="58" t="s">
        <v>3393</v>
      </c>
      <c r="H196" s="1115">
        <v>45258</v>
      </c>
      <c r="I196" s="915" t="s">
        <v>3394</v>
      </c>
      <c r="J196" s="58" t="s">
        <v>3395</v>
      </c>
      <c r="K196" s="58" t="s">
        <v>3396</v>
      </c>
      <c r="L196" s="915" t="s">
        <v>542</v>
      </c>
      <c r="M196" s="1115">
        <v>45259</v>
      </c>
      <c r="N196" s="1414">
        <v>45258</v>
      </c>
      <c r="O196" s="1139">
        <v>45259</v>
      </c>
      <c r="P196" s="911" t="s">
        <v>3397</v>
      </c>
      <c r="Q196" s="58" t="s">
        <v>35</v>
      </c>
      <c r="R196" s="58" t="s">
        <v>36</v>
      </c>
      <c r="S196" s="58" t="s">
        <v>3398</v>
      </c>
      <c r="T196" s="26">
        <v>1400</v>
      </c>
      <c r="U196" s="26">
        <v>1390</v>
      </c>
      <c r="V196" s="26"/>
      <c r="W196" s="26">
        <f>IFERROR((OCT_2023[[#This Row],[Sales Amount]]-OCT_2023[[#This Row],[Cost]])/OCT_2023[[#This Row],[CNTR AMOUNT]],OCT_2023[[#This Row],[Sales Amount]]-OCT_2023[[#This Row],[Cost]])</f>
        <v>10</v>
      </c>
      <c r="X196" s="26">
        <f>IFERROR(OCT_2023[[#This Row],[Profit]]/OCT_2023[[#This Row],[Cost]]," ")</f>
        <v>7.1942446043165471E-3</v>
      </c>
      <c r="Y196" s="26"/>
      <c r="Z196" s="26"/>
    </row>
    <row r="197" spans="1:26">
      <c r="A197" s="58" t="s">
        <v>2787</v>
      </c>
      <c r="B197" s="1166" t="s">
        <v>3399</v>
      </c>
      <c r="C197" s="58" t="s">
        <v>28</v>
      </c>
      <c r="D197" s="844">
        <v>45233</v>
      </c>
      <c r="E197" s="844">
        <v>45236</v>
      </c>
      <c r="F197" s="1166" t="s">
        <v>285</v>
      </c>
      <c r="G197" s="1740" t="s">
        <v>3400</v>
      </c>
      <c r="H197" s="1588">
        <v>45258</v>
      </c>
      <c r="I197" s="1589" t="s">
        <v>108</v>
      </c>
      <c r="J197" s="1" t="s">
        <v>551</v>
      </c>
      <c r="K197" s="1166" t="s">
        <v>3401</v>
      </c>
      <c r="L197" s="1589" t="s">
        <v>542</v>
      </c>
      <c r="M197" s="1588">
        <v>45254</v>
      </c>
      <c r="N197" s="1588">
        <v>45254</v>
      </c>
      <c r="O197" s="1139">
        <v>45259</v>
      </c>
      <c r="P197" s="1175" t="s">
        <v>3402</v>
      </c>
      <c r="Q197" s="4161" t="s">
        <v>35</v>
      </c>
      <c r="R197" s="58" t="s">
        <v>36</v>
      </c>
      <c r="S197" s="58" t="s">
        <v>37</v>
      </c>
      <c r="T197" s="106">
        <v>2015</v>
      </c>
      <c r="U197" s="106">
        <v>1778.25</v>
      </c>
      <c r="W197" s="106">
        <f>IFERROR((OCT_2023[[#This Row],[Sales Amount]]-OCT_2023[[#This Row],[Cost]])/OCT_2023[[#This Row],[CNTR AMOUNT]],OCT_2023[[#This Row],[Sales Amount]]-OCT_2023[[#This Row],[Cost]])</f>
        <v>236.75</v>
      </c>
      <c r="X197" s="106">
        <f>IFERROR(OCT_2023[[#This Row],[Profit]]/OCT_2023[[#This Row],[Cost]]," ")</f>
        <v>0.13313651061436807</v>
      </c>
    </row>
    <row r="198" spans="1:26">
      <c r="A198" s="1" t="s">
        <v>1035</v>
      </c>
      <c r="B198" s="1" t="s">
        <v>3403</v>
      </c>
      <c r="C198" s="1166" t="s">
        <v>28</v>
      </c>
      <c r="D198" s="1607">
        <v>45234</v>
      </c>
      <c r="E198" s="1668">
        <v>45237</v>
      </c>
      <c r="F198" s="1" t="s">
        <v>151</v>
      </c>
      <c r="G198" s="58" t="s">
        <v>46</v>
      </c>
      <c r="H198" s="1380" t="s">
        <v>1038</v>
      </c>
      <c r="I198" s="1"/>
      <c r="J198" s="4870" t="s">
        <v>32</v>
      </c>
      <c r="K198" s="1641" t="s">
        <v>162</v>
      </c>
      <c r="L198" s="913" t="s">
        <v>3404</v>
      </c>
      <c r="M198" s="1588"/>
      <c r="N198" s="1380">
        <v>45238</v>
      </c>
      <c r="O198" s="1380">
        <v>45237</v>
      </c>
      <c r="P198" s="707" t="s">
        <v>3193</v>
      </c>
      <c r="Q198" s="1" t="s">
        <v>35</v>
      </c>
      <c r="R198" s="1" t="s">
        <v>36</v>
      </c>
      <c r="S198" s="58" t="s">
        <v>1320</v>
      </c>
      <c r="T198" s="106"/>
      <c r="U198" s="106"/>
      <c r="W198" s="106">
        <f>IFERROR((OCT_2023[[#This Row],[Sales Amount]]-OCT_2023[[#This Row],[Cost]])/OCT_2023[[#This Row],[CNTR AMOUNT]],OCT_2023[[#This Row],[Sales Amount]]-OCT_2023[[#This Row],[Cost]])</f>
        <v>0</v>
      </c>
      <c r="X198" s="106" t="str">
        <f>IFERROR(OCT_2023[[#This Row],[Profit]]/OCT_2023[[#This Row],[Cost]]," ")</f>
        <v xml:space="preserve"> </v>
      </c>
    </row>
    <row r="199" spans="1:26">
      <c r="A199" s="707" t="s">
        <v>263</v>
      </c>
      <c r="B199" t="s">
        <v>3405</v>
      </c>
      <c r="C199" s="707" t="s">
        <v>44</v>
      </c>
      <c r="D199" s="1612">
        <v>45239</v>
      </c>
      <c r="E199" s="1612">
        <v>45239</v>
      </c>
      <c r="F199" s="707" t="s">
        <v>63</v>
      </c>
      <c r="G199" s="707" t="s">
        <v>265</v>
      </c>
      <c r="H199" s="1612">
        <v>45245</v>
      </c>
      <c r="I199" s="707" t="s">
        <v>445</v>
      </c>
      <c r="J199" s="707" t="s">
        <v>377</v>
      </c>
      <c r="K199" s="707" t="s">
        <v>3124</v>
      </c>
      <c r="L199" s="707"/>
      <c r="M199" s="1612">
        <v>45245</v>
      </c>
      <c r="N199" s="1612">
        <v>45243</v>
      </c>
      <c r="O199" s="1612">
        <v>45246</v>
      </c>
      <c r="P199" s="1019" t="s">
        <v>3406</v>
      </c>
      <c r="Q199" s="3258" t="s">
        <v>128</v>
      </c>
      <c r="R199" s="709" t="s">
        <v>36</v>
      </c>
      <c r="S199" s="709"/>
      <c r="T199" s="709">
        <v>4455</v>
      </c>
      <c r="U199" s="709">
        <f>3796.5+170.16</f>
        <v>3966.66</v>
      </c>
      <c r="V199" s="709">
        <v>1</v>
      </c>
      <c r="W199" s="709">
        <f>IFERROR((OCT_2023[[#This Row],[Sales Amount]]-OCT_2023[[#This Row],[Cost]])/OCT_2023[[#This Row],[CNTR AMOUNT]],OCT_2023[[#This Row],[Sales Amount]]-OCT_2023[[#This Row],[Cost]])</f>
        <v>488.34000000000015</v>
      </c>
      <c r="X199" s="5089">
        <f>IFERROR(OCT_2023[[#This Row],[Profit]]/OCT_2023[[#This Row],[Cost]]," ")</f>
        <v>0.12311113127921228</v>
      </c>
      <c r="Y199" s="709"/>
      <c r="Z199" s="709"/>
    </row>
    <row r="200" spans="1:26" s="117" customFormat="1">
      <c r="A200" s="18" t="s">
        <v>61</v>
      </c>
      <c r="B200" s="1062" t="s">
        <v>3407</v>
      </c>
      <c r="C200" s="1062" t="s">
        <v>28</v>
      </c>
      <c r="D200" s="1638">
        <v>45232</v>
      </c>
      <c r="E200" s="1702">
        <v>45249</v>
      </c>
      <c r="F200" s="1062" t="s">
        <v>29</v>
      </c>
      <c r="G200" s="1" t="s">
        <v>30</v>
      </c>
      <c r="H200" s="1588">
        <v>45251</v>
      </c>
      <c r="I200" s="1589" t="s">
        <v>261</v>
      </c>
      <c r="J200" s="18" t="s">
        <v>32</v>
      </c>
      <c r="K200" s="1062" t="s">
        <v>65</v>
      </c>
      <c r="L200" s="1726">
        <v>436275</v>
      </c>
      <c r="M200" s="1731">
        <v>45252</v>
      </c>
      <c r="N200" s="1130">
        <v>45251</v>
      </c>
      <c r="O200" s="1130">
        <v>45251</v>
      </c>
      <c r="P200" s="1151" t="s">
        <v>3408</v>
      </c>
      <c r="Q200" s="1062" t="s">
        <v>35</v>
      </c>
      <c r="R200" s="18" t="s">
        <v>36</v>
      </c>
      <c r="S200" s="18" t="s">
        <v>67</v>
      </c>
      <c r="T200" s="93">
        <v>1990</v>
      </c>
      <c r="U200" s="93">
        <v>1361</v>
      </c>
      <c r="V200" s="93"/>
      <c r="W200" s="93">
        <f>IFERROR((OCT_2023[[#This Row],[Sales Amount]]-OCT_2023[[#This Row],[Cost]])/OCT_2023[[#This Row],[CNTR AMOUNT]],OCT_2023[[#This Row],[Sales Amount]]-OCT_2023[[#This Row],[Cost]])</f>
        <v>629</v>
      </c>
      <c r="X200" s="93">
        <f>IFERROR(OCT_2023[[#This Row],[Profit]]/OCT_2023[[#This Row],[Cost]]," ")</f>
        <v>0.46216017634092577</v>
      </c>
      <c r="Y200" s="93"/>
      <c r="Z200" s="93"/>
    </row>
    <row r="201" spans="1:26">
      <c r="A201" s="1062" t="s">
        <v>3409</v>
      </c>
      <c r="B201" s="1062" t="s">
        <v>3410</v>
      </c>
      <c r="C201" s="1030" t="s">
        <v>28</v>
      </c>
      <c r="D201" s="1638">
        <v>45240</v>
      </c>
      <c r="E201" s="1702">
        <v>45249</v>
      </c>
      <c r="F201" s="1062" t="s">
        <v>45</v>
      </c>
      <c r="G201" s="58" t="s">
        <v>46</v>
      </c>
      <c r="H201" s="1588">
        <v>45250</v>
      </c>
      <c r="I201" s="1726" t="s">
        <v>115</v>
      </c>
      <c r="J201" s="67" t="s">
        <v>322</v>
      </c>
      <c r="K201" s="1062" t="s">
        <v>3411</v>
      </c>
      <c r="L201" s="915" t="s">
        <v>3412</v>
      </c>
      <c r="M201" s="1130">
        <v>45251</v>
      </c>
      <c r="N201" s="1738">
        <v>45249</v>
      </c>
      <c r="O201" s="1638">
        <v>45250</v>
      </c>
      <c r="P201" s="1151" t="s">
        <v>3413</v>
      </c>
      <c r="Q201" s="1062" t="s">
        <v>35</v>
      </c>
      <c r="R201" s="962" t="s">
        <v>36</v>
      </c>
      <c r="S201" s="18" t="s">
        <v>67</v>
      </c>
      <c r="T201" s="93">
        <v>1600</v>
      </c>
      <c r="U201" s="93">
        <v>1261.25</v>
      </c>
      <c r="V201" s="93"/>
      <c r="W201" s="93">
        <f>IFERROR((OCT_2023[[#This Row],[Sales Amount]]-OCT_2023[[#This Row],[Cost]])/OCT_2023[[#This Row],[CNTR AMOUNT]],OCT_2023[[#This Row],[Sales Amount]]-OCT_2023[[#This Row],[Cost]])</f>
        <v>338.75</v>
      </c>
      <c r="X201" s="93">
        <f>IFERROR(OCT_2023[[#This Row],[Profit]]/OCT_2023[[#This Row],[Cost]]," ")</f>
        <v>0.26858275520317143</v>
      </c>
      <c r="Y201" s="93"/>
      <c r="Z201" s="93"/>
    </row>
    <row r="202" spans="1:26" s="7" customFormat="1" ht="30">
      <c r="A202" s="962" t="s">
        <v>2618</v>
      </c>
      <c r="B202" s="962" t="s">
        <v>3414</v>
      </c>
      <c r="C202" s="18" t="s">
        <v>28</v>
      </c>
      <c r="D202" s="1128">
        <v>45253</v>
      </c>
      <c r="E202" s="1149">
        <v>45254</v>
      </c>
      <c r="F202" s="962" t="s">
        <v>285</v>
      </c>
      <c r="G202" s="18" t="s">
        <v>2620</v>
      </c>
      <c r="H202" s="1162"/>
      <c r="I202" s="1162"/>
      <c r="J202" s="4834" t="s">
        <v>382</v>
      </c>
      <c r="K202" s="962" t="s">
        <v>382</v>
      </c>
      <c r="L202" s="1409" t="s">
        <v>542</v>
      </c>
      <c r="M202" s="1128">
        <v>45260</v>
      </c>
      <c r="N202" s="1128">
        <v>45255</v>
      </c>
      <c r="O202" s="1128">
        <v>45257</v>
      </c>
      <c r="P202" s="718" t="s">
        <v>3415</v>
      </c>
      <c r="Q202" s="962" t="s">
        <v>35</v>
      </c>
      <c r="R202" s="962" t="s">
        <v>36</v>
      </c>
      <c r="S202" s="962" t="s">
        <v>2622</v>
      </c>
      <c r="T202" s="504">
        <v>50</v>
      </c>
      <c r="U202" s="504"/>
      <c r="V202" s="504"/>
      <c r="W202" s="504">
        <f>IFERROR((OCT_2023[[#This Row],[Sales Amount]]-OCT_2023[[#This Row],[Cost]])/OCT_2023[[#This Row],[CNTR AMOUNT]],OCT_2023[[#This Row],[Sales Amount]]-OCT_2023[[#This Row],[Cost]])</f>
        <v>50</v>
      </c>
      <c r="X202" s="504" t="str">
        <f>IFERROR(OCT_2023[[#This Row],[Profit]]/OCT_2023[[#This Row],[Cost]]," ")</f>
        <v xml:space="preserve"> </v>
      </c>
      <c r="Y202" s="504"/>
      <c r="Z202" s="504"/>
    </row>
    <row r="203" spans="1:26">
      <c r="A203" s="1062" t="s">
        <v>61</v>
      </c>
      <c r="B203" s="1062" t="s">
        <v>3416</v>
      </c>
      <c r="C203" s="1062" t="s">
        <v>28</v>
      </c>
      <c r="D203" s="661">
        <v>45245</v>
      </c>
      <c r="E203" s="1702">
        <v>45269</v>
      </c>
      <c r="F203" s="1062" t="s">
        <v>245</v>
      </c>
      <c r="G203" s="1062" t="s">
        <v>57</v>
      </c>
      <c r="H203" s="1783">
        <v>45271</v>
      </c>
      <c r="I203" s="1726" t="s">
        <v>261</v>
      </c>
      <c r="J203" s="18" t="s">
        <v>32</v>
      </c>
      <c r="K203" s="1062" t="s">
        <v>65</v>
      </c>
      <c r="L203" s="1726">
        <v>2023310</v>
      </c>
      <c r="M203" s="1783">
        <v>45271</v>
      </c>
      <c r="N203" s="1783">
        <v>45271</v>
      </c>
      <c r="O203" s="1823">
        <v>45272</v>
      </c>
      <c r="P203" s="1151" t="s">
        <v>3417</v>
      </c>
      <c r="Q203" s="1062" t="s">
        <v>35</v>
      </c>
      <c r="R203" s="18" t="s">
        <v>36</v>
      </c>
      <c r="S203" s="18" t="s">
        <v>67</v>
      </c>
      <c r="T203" s="508">
        <v>1785</v>
      </c>
      <c r="U203" s="508">
        <v>1535</v>
      </c>
      <c r="V203" s="508"/>
      <c r="W203" s="508">
        <f>IFERROR((OCT_2023[[#This Row],[Sales Amount]]-OCT_2023[[#This Row],[Cost]])/OCT_2023[[#This Row],[CNTR AMOUNT]],OCT_2023[[#This Row],[Sales Amount]]-OCT_2023[[#This Row],[Cost]])</f>
        <v>250</v>
      </c>
      <c r="X203" s="508">
        <f>IFERROR(OCT_2023[[#This Row],[Profit]]/OCT_2023[[#This Row],[Cost]]," ")</f>
        <v>0.16286644951140064</v>
      </c>
      <c r="Y203" s="508"/>
      <c r="Z203" s="508"/>
    </row>
    <row r="204" spans="1:26" s="709" customFormat="1">
      <c r="A204" s="707" t="s">
        <v>2204</v>
      </c>
      <c r="B204" s="707" t="s">
        <v>3418</v>
      </c>
      <c r="C204" s="58" t="s">
        <v>1508</v>
      </c>
      <c r="D204" s="1985"/>
      <c r="E204" s="2004">
        <v>45208</v>
      </c>
      <c r="F204" s="707"/>
      <c r="G204" s="707"/>
      <c r="H204" s="707"/>
      <c r="I204" s="1635"/>
      <c r="J204" s="3275" t="s">
        <v>738</v>
      </c>
      <c r="K204" s="707" t="s">
        <v>310</v>
      </c>
      <c r="L204" s="707"/>
      <c r="M204" s="707"/>
      <c r="N204" s="1635">
        <v>45208</v>
      </c>
      <c r="O204" s="1635">
        <v>45210</v>
      </c>
      <c r="P204" s="2005"/>
      <c r="Q204" s="707" t="s">
        <v>50</v>
      </c>
      <c r="R204" s="709" t="s">
        <v>51</v>
      </c>
      <c r="T204" s="2006"/>
      <c r="U204" s="2006"/>
      <c r="W204" s="2007">
        <f>IFERROR((OCT_2023[[#This Row],[Sales Amount]]-OCT_2023[[#This Row],[Cost]])/OCT_2023[[#This Row],[CNTR AMOUNT]],OCT_2023[[#This Row],[Sales Amount]]-OCT_2023[[#This Row],[Cost]])</f>
        <v>0</v>
      </c>
      <c r="X204" s="2008" t="str">
        <f>IFERROR(OCT_2023[[#This Row],[Profit]]/OCT_2023[[#This Row],[Cost]]," ")</f>
        <v xml:space="preserve"> </v>
      </c>
    </row>
    <row r="205" spans="1:26" s="709" customFormat="1">
      <c r="A205" s="707" t="s">
        <v>2204</v>
      </c>
      <c r="B205" s="707" t="s">
        <v>3419</v>
      </c>
      <c r="C205" s="58" t="s">
        <v>1508</v>
      </c>
      <c r="D205" s="1985"/>
      <c r="E205" s="2004">
        <v>45210</v>
      </c>
      <c r="F205" s="707"/>
      <c r="G205" s="707"/>
      <c r="H205" s="707"/>
      <c r="I205" s="1635"/>
      <c r="J205" s="3275" t="s">
        <v>738</v>
      </c>
      <c r="K205" s="707" t="s">
        <v>310</v>
      </c>
      <c r="L205" s="707"/>
      <c r="M205" s="707"/>
      <c r="N205" s="1635">
        <v>45210</v>
      </c>
      <c r="O205" s="1635">
        <v>45217</v>
      </c>
      <c r="P205" s="2005"/>
      <c r="Q205" s="1612" t="s">
        <v>50</v>
      </c>
      <c r="R205" s="709" t="s">
        <v>51</v>
      </c>
      <c r="T205" s="2006"/>
      <c r="U205" s="2006"/>
      <c r="W205" s="2007">
        <f>IFERROR((OCT_2023[[#This Row],[Sales Amount]]-OCT_2023[[#This Row],[Cost]])/OCT_2023[[#This Row],[CNTR AMOUNT]],OCT_2023[[#This Row],[Sales Amount]]-OCT_2023[[#This Row],[Cost]])</f>
        <v>0</v>
      </c>
      <c r="X205" s="2008" t="str">
        <f>IFERROR(OCT_2023[[#This Row],[Profit]]/OCT_2023[[#This Row],[Cost]]," ")</f>
        <v xml:space="preserve"> </v>
      </c>
    </row>
    <row r="206" spans="1:26" s="709" customFormat="1">
      <c r="A206" s="707" t="s">
        <v>2204</v>
      </c>
      <c r="B206" s="707" t="s">
        <v>3420</v>
      </c>
      <c r="C206" s="58" t="s">
        <v>1508</v>
      </c>
      <c r="D206" s="1985"/>
      <c r="E206" s="2004">
        <v>45226</v>
      </c>
      <c r="F206" s="707"/>
      <c r="G206" s="707"/>
      <c r="H206" s="707"/>
      <c r="I206" s="1635"/>
      <c r="J206" s="3275" t="s">
        <v>738</v>
      </c>
      <c r="K206" s="707" t="s">
        <v>310</v>
      </c>
      <c r="L206" s="707"/>
      <c r="M206" s="707"/>
      <c r="N206" s="1635">
        <v>45229</v>
      </c>
      <c r="O206" s="1635">
        <v>45233</v>
      </c>
      <c r="P206" s="2005"/>
      <c r="Q206" s="1612" t="s">
        <v>50</v>
      </c>
      <c r="R206" s="709" t="s">
        <v>51</v>
      </c>
      <c r="T206" s="2006"/>
      <c r="U206" s="2006"/>
      <c r="W206" s="2007"/>
      <c r="X206" s="2008"/>
    </row>
    <row r="209" spans="1:29">
      <c r="P209" s="1625"/>
    </row>
    <row r="210" spans="1:29">
      <c r="A210" s="144"/>
    </row>
    <row r="211" spans="1:29">
      <c r="I211" s="147"/>
    </row>
    <row r="212" spans="1:29">
      <c r="C212" s="147"/>
      <c r="U212" s="1755"/>
      <c r="AC212" s="147"/>
    </row>
    <row r="213" spans="1:29">
      <c r="C213" s="147"/>
      <c r="D213" s="106"/>
      <c r="M213"/>
      <c r="N213"/>
      <c r="R213" s="147"/>
      <c r="V213" s="144"/>
      <c r="W213" s="1755"/>
    </row>
    <row r="214" spans="1:29">
      <c r="C214" s="147"/>
      <c r="D214" s="106"/>
      <c r="R214" s="147"/>
      <c r="V214" s="144"/>
      <c r="W214" s="1755"/>
    </row>
    <row r="215" spans="1:29">
      <c r="C215" s="147"/>
      <c r="D215" s="106"/>
    </row>
    <row r="219" spans="1:29">
      <c r="R219" s="147"/>
    </row>
    <row r="220" spans="1:29">
      <c r="S220" s="147"/>
    </row>
  </sheetData>
  <phoneticPr fontId="27" type="noConversion"/>
  <conditionalFormatting sqref="B1">
    <cfRule type="duplicateValues" dxfId="420" priority="1"/>
  </conditionalFormatting>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280F3B-A445-478E-B33C-FE7EEBBAA88E}">
  <dimension ref="A1:AD283"/>
  <sheetViews>
    <sheetView zoomScaleNormal="100" workbookViewId="0">
      <pane xSplit="7" ySplit="1" topLeftCell="O51" activePane="bottomRight" state="frozen"/>
      <selection pane="bottomRight" activeCell="B1" sqref="B1:B1048576"/>
      <selection pane="bottomLeft" activeCell="A2" sqref="A2"/>
      <selection pane="topRight" activeCell="H1" sqref="H1"/>
    </sheetView>
  </sheetViews>
  <sheetFormatPr defaultColWidth="9.125" defaultRowHeight="15"/>
  <cols>
    <col min="1" max="1" width="18.875" style="826" bestFit="1" customWidth="1"/>
    <col min="2" max="2" width="16.25" style="826" customWidth="1"/>
    <col min="3" max="3" width="9" style="826"/>
    <col min="4" max="4" width="11.25" style="826" customWidth="1"/>
    <col min="5" max="5" width="9.25" style="826" bestFit="1" customWidth="1"/>
    <col min="6" max="6" width="14.25" style="826" customWidth="1"/>
    <col min="7" max="7" width="37.875" style="826" customWidth="1"/>
    <col min="8" max="8" width="27" style="1403" customWidth="1"/>
    <col min="9" max="9" width="23.125" style="826" customWidth="1"/>
    <col min="10" max="10" width="19.25" style="826" customWidth="1"/>
    <col min="11" max="11" width="29.25" style="826" customWidth="1"/>
    <col min="12" max="12" width="26.25" style="826" customWidth="1"/>
    <col min="13" max="14" width="14" style="1403" customWidth="1"/>
    <col min="15" max="15" width="14" style="2266" customWidth="1"/>
    <col min="16" max="16" width="66.25" style="826" customWidth="1"/>
    <col min="17" max="17" width="6.25" style="826" customWidth="1"/>
    <col min="18" max="18" width="19.25" style="826" customWidth="1"/>
    <col min="19" max="19" width="13.125" style="826" bestFit="1" customWidth="1"/>
    <col min="20" max="20" width="14" style="826" customWidth="1"/>
    <col min="21" max="21" width="12.125" style="826" customWidth="1"/>
    <col min="22" max="22" width="15.25" style="826" customWidth="1"/>
    <col min="23" max="23" width="11.25" style="826" customWidth="1"/>
    <col min="24" max="24" width="12.125" style="2267" customWidth="1"/>
    <col min="25" max="25" width="6.25" style="826" customWidth="1"/>
    <col min="26" max="26" width="10.875" style="826" customWidth="1"/>
    <col min="27" max="16384" width="9.125" style="826"/>
  </cols>
  <sheetData>
    <row r="1" spans="1:28" s="52" customFormat="1">
      <c r="A1" s="5090" t="s">
        <v>0</v>
      </c>
      <c r="B1" s="5090" t="s">
        <v>1</v>
      </c>
      <c r="C1" s="5090" t="s">
        <v>2</v>
      </c>
      <c r="D1" s="5090" t="s">
        <v>3</v>
      </c>
      <c r="E1" s="5091" t="s">
        <v>4</v>
      </c>
      <c r="F1" s="5090" t="s">
        <v>5</v>
      </c>
      <c r="G1" s="5090" t="s">
        <v>6</v>
      </c>
      <c r="H1" s="5090" t="s">
        <v>7</v>
      </c>
      <c r="I1" s="5090" t="s">
        <v>8</v>
      </c>
      <c r="J1" s="5090" t="s">
        <v>9</v>
      </c>
      <c r="K1" s="5092" t="s">
        <v>10</v>
      </c>
      <c r="L1" s="5093" t="s">
        <v>11</v>
      </c>
      <c r="M1" s="5091" t="s">
        <v>12</v>
      </c>
      <c r="N1" s="5090" t="s">
        <v>13</v>
      </c>
      <c r="O1" s="5094" t="s">
        <v>14</v>
      </c>
      <c r="P1" s="5095" t="s">
        <v>15</v>
      </c>
      <c r="Q1" s="5095" t="s">
        <v>16</v>
      </c>
      <c r="R1" s="5095" t="s">
        <v>17</v>
      </c>
      <c r="S1" s="5095" t="s">
        <v>18</v>
      </c>
      <c r="T1" s="5096" t="s">
        <v>19</v>
      </c>
      <c r="U1" s="5095" t="s">
        <v>20</v>
      </c>
      <c r="V1" s="5095" t="s">
        <v>21</v>
      </c>
      <c r="W1" s="5095" t="s">
        <v>22</v>
      </c>
      <c r="X1" s="5097" t="s">
        <v>23</v>
      </c>
      <c r="Y1" s="5097" t="s">
        <v>24</v>
      </c>
      <c r="Z1" s="5097" t="s">
        <v>25</v>
      </c>
      <c r="AA1" s="2264"/>
      <c r="AB1" s="2265"/>
    </row>
    <row r="2" spans="1:28" s="43" customFormat="1" hidden="1">
      <c r="A2" s="1798" t="s">
        <v>2566</v>
      </c>
      <c r="B2" s="1798" t="s">
        <v>3421</v>
      </c>
      <c r="C2" s="1798" t="s">
        <v>44</v>
      </c>
      <c r="D2" s="1789">
        <v>45236</v>
      </c>
      <c r="E2" s="1835">
        <v>45251</v>
      </c>
      <c r="F2" s="1798" t="s">
        <v>151</v>
      </c>
      <c r="G2" s="1148" t="s">
        <v>801</v>
      </c>
      <c r="H2" s="1903"/>
      <c r="I2" s="1908"/>
      <c r="J2" s="1798" t="s">
        <v>32</v>
      </c>
      <c r="K2" s="1798" t="s">
        <v>310</v>
      </c>
      <c r="L2" s="1908"/>
      <c r="M2" s="1903"/>
      <c r="N2" s="1903"/>
      <c r="O2" s="1903"/>
      <c r="P2" s="1908" t="s">
        <v>3422</v>
      </c>
      <c r="Q2" s="1908" t="s">
        <v>50</v>
      </c>
      <c r="R2" s="1908" t="s">
        <v>541</v>
      </c>
      <c r="S2" s="1908"/>
      <c r="T2" s="1908"/>
      <c r="U2" s="1908"/>
      <c r="V2" s="1908"/>
      <c r="W2" s="1908">
        <f>IFERROR((Table6[[#This Row],[Sales Amount]]-Table6[[#This Row],[Cost]])/Table6[[#This Row],[CNTR AMOUNT]],Table6[[#This Row],[Sales Amount]]-Table6[[#This Row],[Cost]])</f>
        <v>0</v>
      </c>
      <c r="X2" s="1908" t="str">
        <f>IFERROR(Table6[[#This Row],[Profit]]/Table6[[#This Row],[Cost]]," ")</f>
        <v xml:space="preserve"> </v>
      </c>
      <c r="Y2" s="1908"/>
      <c r="Z2" s="1908"/>
    </row>
    <row r="3" spans="1:28" customFormat="1" hidden="1">
      <c r="A3" s="4864" t="s">
        <v>2566</v>
      </c>
      <c r="B3" s="4864" t="s">
        <v>3423</v>
      </c>
      <c r="C3" s="4864" t="s">
        <v>44</v>
      </c>
      <c r="D3" s="5098">
        <v>45245</v>
      </c>
      <c r="E3" s="4900">
        <v>45249</v>
      </c>
      <c r="F3" s="4864" t="s">
        <v>1017</v>
      </c>
      <c r="G3" s="4834" t="s">
        <v>3424</v>
      </c>
      <c r="H3" s="4884"/>
      <c r="I3" s="4864"/>
      <c r="J3" s="4864" t="s">
        <v>168</v>
      </c>
      <c r="K3" s="4864" t="s">
        <v>310</v>
      </c>
      <c r="L3" s="4864"/>
      <c r="M3" s="4884"/>
      <c r="N3" s="4884"/>
      <c r="O3" s="1963"/>
      <c r="P3" s="3287" t="s">
        <v>3425</v>
      </c>
      <c r="Q3" s="3287" t="s">
        <v>50</v>
      </c>
      <c r="R3" s="3287" t="s">
        <v>541</v>
      </c>
      <c r="S3" s="3287"/>
      <c r="T3" s="3287"/>
      <c r="U3" s="3287"/>
      <c r="V3" s="3287"/>
      <c r="W3" s="3287">
        <f>IFERROR((Table6[[#This Row],[Sales Amount]]-Table6[[#This Row],[Cost]])/Table6[[#This Row],[CNTR AMOUNT]],Table6[[#This Row],[Sales Amount]]-Table6[[#This Row],[Cost]])</f>
        <v>0</v>
      </c>
      <c r="X3" s="3288" t="str">
        <f>IFERROR(Table6[[#This Row],[Profit]]/Table6[[#This Row],[Cost]]," ")</f>
        <v xml:space="preserve"> </v>
      </c>
      <c r="Y3" s="3287"/>
      <c r="Z3" s="3289"/>
    </row>
    <row r="4" spans="1:28" s="3" customFormat="1">
      <c r="A4" s="4246" t="s">
        <v>313</v>
      </c>
      <c r="B4" s="4246" t="s">
        <v>3426</v>
      </c>
      <c r="C4" s="3273" t="s">
        <v>44</v>
      </c>
      <c r="D4" s="3290">
        <v>45232</v>
      </c>
      <c r="E4" s="3291">
        <v>45252</v>
      </c>
      <c r="F4" s="4246" t="s">
        <v>245</v>
      </c>
      <c r="G4" s="4261" t="s">
        <v>57</v>
      </c>
      <c r="H4" s="3292">
        <v>45254</v>
      </c>
      <c r="I4" s="4246" t="s">
        <v>3427</v>
      </c>
      <c r="J4" s="4246" t="s">
        <v>32</v>
      </c>
      <c r="K4" s="3293" t="s">
        <v>3428</v>
      </c>
      <c r="L4" s="3273">
        <v>1131049</v>
      </c>
      <c r="M4" s="3292">
        <v>45256</v>
      </c>
      <c r="N4" s="3292">
        <v>45254</v>
      </c>
      <c r="O4" s="4262">
        <v>45260</v>
      </c>
      <c r="P4" s="4263" t="s">
        <v>3429</v>
      </c>
      <c r="Q4" s="3273" t="s">
        <v>75</v>
      </c>
      <c r="R4" s="4246" t="s">
        <v>3430</v>
      </c>
      <c r="S4" s="3273">
        <v>4</v>
      </c>
      <c r="T4" s="3273">
        <v>1210</v>
      </c>
      <c r="U4" s="3273">
        <v>1010</v>
      </c>
      <c r="V4" s="3273">
        <v>1</v>
      </c>
      <c r="W4" s="3273">
        <f>IFERROR((Table6[[#This Row],[Sales Amount]]-Table6[[#This Row],[Cost]])/Table6[[#This Row],[CNTR AMOUNT]],Table6[[#This Row],[Sales Amount]]-Table6[[#This Row],[Cost]])</f>
        <v>200</v>
      </c>
      <c r="X4" s="3294">
        <f>IFERROR(Table6[[#This Row],[Profit]]/Table6[[#This Row],[Cost]]," ")</f>
        <v>0.19801980198019803</v>
      </c>
      <c r="Y4" s="4947"/>
      <c r="Z4" s="4947"/>
    </row>
    <row r="5" spans="1:28" s="507" customFormat="1">
      <c r="A5" s="4128" t="s">
        <v>313</v>
      </c>
      <c r="B5" s="4128" t="s">
        <v>3431</v>
      </c>
      <c r="C5" s="694" t="s">
        <v>44</v>
      </c>
      <c r="D5" s="635">
        <v>45232</v>
      </c>
      <c r="E5" s="662">
        <v>45252</v>
      </c>
      <c r="F5" s="4128" t="s">
        <v>245</v>
      </c>
      <c r="G5" s="4094" t="s">
        <v>57</v>
      </c>
      <c r="H5" s="679">
        <v>45254</v>
      </c>
      <c r="I5" s="4128" t="s">
        <v>3427</v>
      </c>
      <c r="J5" s="4128" t="s">
        <v>32</v>
      </c>
      <c r="K5" s="900" t="s">
        <v>3428</v>
      </c>
      <c r="L5" s="694">
        <v>1131232</v>
      </c>
      <c r="M5" s="679">
        <v>45256</v>
      </c>
      <c r="N5" s="679">
        <v>45254</v>
      </c>
      <c r="O5" s="1949">
        <v>45260</v>
      </c>
      <c r="P5" s="4231" t="s">
        <v>3432</v>
      </c>
      <c r="Q5" s="694" t="s">
        <v>75</v>
      </c>
      <c r="R5" s="4128" t="s">
        <v>3433</v>
      </c>
      <c r="S5" s="694">
        <v>4</v>
      </c>
      <c r="T5" s="694">
        <v>1210</v>
      </c>
      <c r="U5" s="694">
        <v>1010</v>
      </c>
      <c r="V5" s="694">
        <v>1</v>
      </c>
      <c r="W5" s="694">
        <f>IFERROR((Table6[[#This Row],[Sales Amount]]-Table6[[#This Row],[Cost]])/Table6[[#This Row],[CNTR AMOUNT]],Table6[[#This Row],[Sales Amount]]-Table6[[#This Row],[Cost]])</f>
        <v>200</v>
      </c>
      <c r="X5" s="1811">
        <f>IFERROR(Table6[[#This Row],[Profit]]/Table6[[#This Row],[Cost]]," ")</f>
        <v>0.19801980198019803</v>
      </c>
      <c r="Y5" s="2113"/>
      <c r="Z5" s="3273"/>
    </row>
    <row r="6" spans="1:28" customFormat="1" hidden="1">
      <c r="A6" s="962" t="s">
        <v>1509</v>
      </c>
      <c r="B6" s="962" t="s">
        <v>3434</v>
      </c>
      <c r="C6" s="962" t="s">
        <v>85</v>
      </c>
      <c r="D6" s="1163">
        <v>45245</v>
      </c>
      <c r="E6" s="1163">
        <v>45247</v>
      </c>
      <c r="F6" s="962" t="s">
        <v>167</v>
      </c>
      <c r="G6" s="962" t="s">
        <v>3435</v>
      </c>
      <c r="H6" s="1281">
        <v>45257</v>
      </c>
      <c r="I6" s="1409"/>
      <c r="J6" s="18" t="s">
        <v>600</v>
      </c>
      <c r="K6" s="962" t="s">
        <v>1822</v>
      </c>
      <c r="L6" s="1298" t="s">
        <v>542</v>
      </c>
      <c r="M6" s="1281">
        <v>45247</v>
      </c>
      <c r="N6" s="1281">
        <v>45254</v>
      </c>
      <c r="O6" s="1128">
        <v>45258</v>
      </c>
      <c r="P6" s="724" t="s">
        <v>3436</v>
      </c>
      <c r="Q6" s="1062" t="s">
        <v>35</v>
      </c>
      <c r="R6" s="18" t="s">
        <v>36</v>
      </c>
      <c r="S6" s="18" t="s">
        <v>37</v>
      </c>
      <c r="T6" s="647">
        <v>1155</v>
      </c>
      <c r="U6" s="647">
        <v>650</v>
      </c>
      <c r="V6" s="647"/>
      <c r="W6" s="647">
        <f>IFERROR((Table6[[#This Row],[Sales Amount]]-Table6[[#This Row],[Cost]])/Table6[[#This Row],[CNTR AMOUNT]],Table6[[#This Row],[Sales Amount]]-Table6[[#This Row],[Cost]])</f>
        <v>505</v>
      </c>
      <c r="X6" s="1773">
        <f>IFERROR(Table6[[#This Row],[Profit]]/Table6[[#This Row],[Cost]]," ")</f>
        <v>0.77692307692307694</v>
      </c>
      <c r="Y6" s="797"/>
      <c r="Z6" s="3295"/>
    </row>
    <row r="7" spans="1:28" s="3" customFormat="1" hidden="1">
      <c r="A7" s="1145" t="s">
        <v>26</v>
      </c>
      <c r="B7" s="1145" t="s">
        <v>3437</v>
      </c>
      <c r="C7" s="67" t="s">
        <v>28</v>
      </c>
      <c r="D7" s="1153">
        <v>45235</v>
      </c>
      <c r="E7" s="1491">
        <v>45243</v>
      </c>
      <c r="F7" s="1145" t="s">
        <v>167</v>
      </c>
      <c r="G7" s="1145" t="s">
        <v>361</v>
      </c>
      <c r="H7" s="1821">
        <v>45245</v>
      </c>
      <c r="I7" s="1820" t="s">
        <v>115</v>
      </c>
      <c r="J7" s="1145" t="s">
        <v>32</v>
      </c>
      <c r="K7" s="1145" t="s">
        <v>954</v>
      </c>
      <c r="L7" s="1820">
        <v>176206</v>
      </c>
      <c r="M7" s="1821">
        <v>45246</v>
      </c>
      <c r="N7" s="1821">
        <v>45245</v>
      </c>
      <c r="O7" s="1817">
        <v>45245</v>
      </c>
      <c r="P7" s="1495" t="s">
        <v>3438</v>
      </c>
      <c r="Q7" s="67" t="s">
        <v>35</v>
      </c>
      <c r="R7" s="1145" t="s">
        <v>36</v>
      </c>
      <c r="S7" s="1145" t="s">
        <v>37</v>
      </c>
      <c r="T7" s="16">
        <v>2940</v>
      </c>
      <c r="U7" s="16">
        <v>2337</v>
      </c>
      <c r="V7" s="16">
        <v>2</v>
      </c>
      <c r="W7" s="16">
        <f>IFERROR((Table6[[#This Row],[Sales Amount]]-Table6[[#This Row],[Cost]])/Table6[[#This Row],[CNTR AMOUNT]],Table6[[#This Row],[Sales Amount]]-Table6[[#This Row],[Cost]])</f>
        <v>301.5</v>
      </c>
      <c r="X7" s="16">
        <f>IFERROR(Table6[[#This Row],[Profit]]/Table6[[#This Row],[Cost]]," ")</f>
        <v>0.12901155327342748</v>
      </c>
      <c r="Y7" s="4895"/>
      <c r="Z7" s="4895"/>
    </row>
    <row r="8" spans="1:28" s="650" customFormat="1" hidden="1">
      <c r="A8" s="4839" t="s">
        <v>26</v>
      </c>
      <c r="B8" s="4839" t="s">
        <v>3439</v>
      </c>
      <c r="C8" s="4839" t="s">
        <v>200</v>
      </c>
      <c r="D8" s="4859">
        <v>45235</v>
      </c>
      <c r="E8" s="4867">
        <v>45242</v>
      </c>
      <c r="F8" s="4839" t="s">
        <v>167</v>
      </c>
      <c r="G8" s="4839" t="s">
        <v>361</v>
      </c>
      <c r="H8" s="5078">
        <v>45244</v>
      </c>
      <c r="I8" s="4901" t="s">
        <v>115</v>
      </c>
      <c r="J8" s="4839" t="s">
        <v>32</v>
      </c>
      <c r="K8" s="4839" t="s">
        <v>954</v>
      </c>
      <c r="L8" s="4841">
        <v>857774</v>
      </c>
      <c r="M8" s="4990">
        <v>45245</v>
      </c>
      <c r="N8" s="4957">
        <v>45243</v>
      </c>
      <c r="O8" s="4625">
        <v>45244</v>
      </c>
      <c r="P8" s="4861" t="s">
        <v>3438</v>
      </c>
      <c r="Q8" s="4870" t="s">
        <v>35</v>
      </c>
      <c r="R8" s="4839" t="s">
        <v>36</v>
      </c>
      <c r="S8" s="4839" t="s">
        <v>37</v>
      </c>
      <c r="T8" s="4895">
        <v>2940</v>
      </c>
      <c r="U8" s="4895">
        <v>2337</v>
      </c>
      <c r="V8" s="4895">
        <v>2</v>
      </c>
      <c r="W8" s="4895">
        <f>IFERROR((Table6[[#This Row],[Sales Amount]]-Table6[[#This Row],[Cost]])/Table6[[#This Row],[CNTR AMOUNT]],Table6[[#This Row],[Sales Amount]]-Table6[[#This Row],[Cost]])</f>
        <v>301.5</v>
      </c>
      <c r="X8" s="4895">
        <f>IFERROR(Table6[[#This Row],[Profit]]/Table6[[#This Row],[Cost]]," ")</f>
        <v>0.12901155327342748</v>
      </c>
      <c r="Y8" s="4895"/>
      <c r="Z8" s="4895"/>
    </row>
    <row r="9" spans="1:28" s="650" customFormat="1" hidden="1">
      <c r="A9" s="4839" t="s">
        <v>26</v>
      </c>
      <c r="B9" s="4839" t="s">
        <v>3440</v>
      </c>
      <c r="C9" s="4839" t="s">
        <v>200</v>
      </c>
      <c r="D9" s="4859">
        <v>45231</v>
      </c>
      <c r="E9" s="4860">
        <v>45237</v>
      </c>
      <c r="F9" s="4839" t="s">
        <v>245</v>
      </c>
      <c r="G9" s="4839" t="s">
        <v>57</v>
      </c>
      <c r="H9" s="5078">
        <v>45238</v>
      </c>
      <c r="I9" s="4839"/>
      <c r="J9" s="4870" t="s">
        <v>32</v>
      </c>
      <c r="K9" s="4839" t="s">
        <v>3441</v>
      </c>
      <c r="L9" s="5099" t="s">
        <v>3442</v>
      </c>
      <c r="M9" s="4957">
        <v>45239</v>
      </c>
      <c r="N9" s="4957">
        <v>45238</v>
      </c>
      <c r="O9" s="4957">
        <v>45240</v>
      </c>
      <c r="P9" s="4861" t="s">
        <v>3443</v>
      </c>
      <c r="Q9" s="4870" t="s">
        <v>35</v>
      </c>
      <c r="R9" s="4839" t="s">
        <v>36</v>
      </c>
      <c r="S9" s="4839" t="s">
        <v>37</v>
      </c>
      <c r="T9" s="4895">
        <v>720</v>
      </c>
      <c r="U9" s="4895">
        <v>594</v>
      </c>
      <c r="V9" s="4895"/>
      <c r="W9" s="4895">
        <f>IFERROR((Table6[[#This Row],[Sales Amount]]-Table6[[#This Row],[Cost]])/Table6[[#This Row],[CNTR AMOUNT]],Table6[[#This Row],[Sales Amount]]-Table6[[#This Row],[Cost]])</f>
        <v>126</v>
      </c>
      <c r="X9" s="4895">
        <f>IFERROR(Table6[[#This Row],[Profit]]/Table6[[#This Row],[Cost]]," ")</f>
        <v>0.21212121212121213</v>
      </c>
      <c r="Y9" s="4895"/>
      <c r="Z9" s="4895"/>
    </row>
    <row r="10" spans="1:28" s="745" customFormat="1" hidden="1">
      <c r="A10" s="4839" t="s">
        <v>1431</v>
      </c>
      <c r="B10" s="4839" t="s">
        <v>3444</v>
      </c>
      <c r="C10" s="4839" t="s">
        <v>28</v>
      </c>
      <c r="D10" s="4957">
        <v>45256</v>
      </c>
      <c r="E10" s="5071">
        <v>45272</v>
      </c>
      <c r="F10" s="4839" t="s">
        <v>285</v>
      </c>
      <c r="G10" s="4839" t="s">
        <v>46</v>
      </c>
      <c r="H10" s="4859">
        <v>45273</v>
      </c>
      <c r="I10" s="4839"/>
      <c r="J10" s="4839" t="s">
        <v>32</v>
      </c>
      <c r="K10" s="4839" t="s">
        <v>3445</v>
      </c>
      <c r="L10" s="4841" t="s">
        <v>3446</v>
      </c>
      <c r="M10" s="4855">
        <v>45274</v>
      </c>
      <c r="N10" s="4859">
        <v>45273</v>
      </c>
      <c r="O10" s="4859">
        <v>45275</v>
      </c>
      <c r="P10" s="3296" t="s">
        <v>3447</v>
      </c>
      <c r="Q10" s="3297" t="s">
        <v>35</v>
      </c>
      <c r="R10" s="3297" t="s">
        <v>36</v>
      </c>
      <c r="S10" s="3297" t="s">
        <v>101</v>
      </c>
      <c r="T10" s="3298">
        <v>700</v>
      </c>
      <c r="U10" s="3298">
        <v>570</v>
      </c>
      <c r="V10" s="3298"/>
      <c r="W10" s="3298">
        <f>IFERROR((Table6[[#This Row],[Sales Amount]]-Table6[[#This Row],[Cost]])/Table6[[#This Row],[CNTR AMOUNT]],Table6[[#This Row],[Sales Amount]]-Table6[[#This Row],[Cost]])</f>
        <v>130</v>
      </c>
      <c r="X10" s="3299">
        <f>IFERROR(Table6[[#This Row],[Profit]]/Table6[[#This Row],[Cost]]," ")</f>
        <v>0.22807017543859648</v>
      </c>
      <c r="Y10" s="3298"/>
      <c r="Z10" s="3241"/>
    </row>
    <row r="11" spans="1:28" s="806" customFormat="1" hidden="1">
      <c r="A11" s="4839" t="s">
        <v>1431</v>
      </c>
      <c r="B11" s="4839" t="s">
        <v>3448</v>
      </c>
      <c r="C11" s="4870" t="s">
        <v>28</v>
      </c>
      <c r="D11" s="4859">
        <v>45224</v>
      </c>
      <c r="E11" s="4860">
        <v>45238</v>
      </c>
      <c r="F11" s="4839" t="s">
        <v>29</v>
      </c>
      <c r="G11" s="4839" t="s">
        <v>57</v>
      </c>
      <c r="H11" s="5078">
        <v>45240</v>
      </c>
      <c r="I11" s="4901" t="s">
        <v>115</v>
      </c>
      <c r="J11" s="4870" t="s">
        <v>32</v>
      </c>
      <c r="K11" s="4839" t="s">
        <v>1433</v>
      </c>
      <c r="L11" s="4901">
        <v>279916</v>
      </c>
      <c r="M11" s="5078">
        <v>45240</v>
      </c>
      <c r="N11" s="5078">
        <v>45240</v>
      </c>
      <c r="O11" s="5078">
        <v>45240</v>
      </c>
      <c r="P11" s="4861" t="s">
        <v>3449</v>
      </c>
      <c r="Q11" s="4870" t="s">
        <v>35</v>
      </c>
      <c r="R11" s="4839" t="s">
        <v>36</v>
      </c>
      <c r="S11" s="4839" t="s">
        <v>37</v>
      </c>
      <c r="T11" s="4895">
        <v>1438.5</v>
      </c>
      <c r="U11" s="4895">
        <v>1296</v>
      </c>
      <c r="V11" s="4895"/>
      <c r="W11" s="4895">
        <f>IFERROR((Table6[[#This Row],[Sales Amount]]-Table6[[#This Row],[Cost]])/Table6[[#This Row],[CNTR AMOUNT]],Table6[[#This Row],[Sales Amount]]-Table6[[#This Row],[Cost]])</f>
        <v>142.5</v>
      </c>
      <c r="X11" s="4895">
        <f>IFERROR(Table6[[#This Row],[Profit]]/Table6[[#This Row],[Cost]]," ")</f>
        <v>0.10995370370370371</v>
      </c>
      <c r="Y11" s="4895"/>
      <c r="Z11" s="4895"/>
    </row>
    <row r="12" spans="1:28" s="3" customFormat="1" hidden="1">
      <c r="A12" s="4839" t="s">
        <v>1431</v>
      </c>
      <c r="B12" s="4839" t="s">
        <v>3450</v>
      </c>
      <c r="C12" s="4870" t="s">
        <v>28</v>
      </c>
      <c r="D12" s="4859">
        <v>45234</v>
      </c>
      <c r="E12" s="4860">
        <v>45244</v>
      </c>
      <c r="F12" s="4839" t="s">
        <v>285</v>
      </c>
      <c r="G12" s="4839" t="s">
        <v>46</v>
      </c>
      <c r="H12" s="4990">
        <v>45245</v>
      </c>
      <c r="I12" s="4841" t="s">
        <v>115</v>
      </c>
      <c r="J12" s="4870" t="s">
        <v>32</v>
      </c>
      <c r="K12" s="4839" t="s">
        <v>1433</v>
      </c>
      <c r="L12" s="4841" t="s">
        <v>3451</v>
      </c>
      <c r="M12" s="4990">
        <v>45246</v>
      </c>
      <c r="N12" s="5078">
        <v>45244</v>
      </c>
      <c r="O12" s="4626">
        <v>45245</v>
      </c>
      <c r="P12" s="4861" t="s">
        <v>3452</v>
      </c>
      <c r="Q12" s="4870" t="s">
        <v>35</v>
      </c>
      <c r="R12" s="4839" t="s">
        <v>36</v>
      </c>
      <c r="S12" s="4839" t="s">
        <v>37</v>
      </c>
      <c r="T12" s="4895">
        <v>1483.5</v>
      </c>
      <c r="U12" s="4895">
        <v>1331.5</v>
      </c>
      <c r="V12" s="4895"/>
      <c r="W12" s="4895">
        <f>IFERROR((Table6[[#This Row],[Sales Amount]]-Table6[[#This Row],[Cost]])/Table6[[#This Row],[CNTR AMOUNT]],Table6[[#This Row],[Sales Amount]]-Table6[[#This Row],[Cost]])</f>
        <v>152</v>
      </c>
      <c r="X12" s="4895">
        <f>IFERROR(Table6[[#This Row],[Profit]]/Table6[[#This Row],[Cost]]," ")</f>
        <v>0.11415696582801352</v>
      </c>
      <c r="Y12" s="4895"/>
      <c r="Z12" s="4895"/>
    </row>
    <row r="13" spans="1:28" s="762" customFormat="1" hidden="1">
      <c r="A13" s="4834" t="s">
        <v>1431</v>
      </c>
      <c r="B13" s="4834" t="s">
        <v>3453</v>
      </c>
      <c r="C13" s="4870" t="s">
        <v>28</v>
      </c>
      <c r="D13" s="4833">
        <v>45248</v>
      </c>
      <c r="E13" s="4900">
        <v>45266</v>
      </c>
      <c r="F13" s="4834" t="s">
        <v>285</v>
      </c>
      <c r="G13" s="4833" t="s">
        <v>46</v>
      </c>
      <c r="H13" s="5100">
        <v>45268</v>
      </c>
      <c r="I13" s="5101" t="s">
        <v>115</v>
      </c>
      <c r="J13" s="4870" t="s">
        <v>32</v>
      </c>
      <c r="K13" s="4834" t="s">
        <v>1433</v>
      </c>
      <c r="L13" s="5101" t="s">
        <v>3454</v>
      </c>
      <c r="M13" s="5102">
        <v>45269</v>
      </c>
      <c r="N13" s="4859">
        <v>45267</v>
      </c>
      <c r="O13" s="4587">
        <v>45268</v>
      </c>
      <c r="P13" s="1768" t="s">
        <v>3455</v>
      </c>
      <c r="Q13" s="1697" t="s">
        <v>35</v>
      </c>
      <c r="R13" s="1696" t="s">
        <v>36</v>
      </c>
      <c r="S13" s="1696" t="s">
        <v>37</v>
      </c>
      <c r="T13" s="1694">
        <v>1393.5</v>
      </c>
      <c r="U13" s="1694">
        <v>1265</v>
      </c>
      <c r="V13" s="1694"/>
      <c r="W13" s="1694">
        <f>IFERROR((Table6[[#This Row],[Sales Amount]]-Table6[[#This Row],[Cost]])/Table6[[#This Row],[CNTR AMOUNT]],Table6[[#This Row],[Sales Amount]]-Table6[[#This Row],[Cost]])</f>
        <v>128.5</v>
      </c>
      <c r="X13" s="1694">
        <f>IFERROR(Table6[[#This Row],[Profit]]/Table6[[#This Row],[Cost]]," ")</f>
        <v>0.10158102766798419</v>
      </c>
      <c r="Y13" s="1694"/>
      <c r="Z13" s="1693"/>
    </row>
    <row r="14" spans="1:28" s="949" customFormat="1" hidden="1">
      <c r="A14" s="4839" t="s">
        <v>171</v>
      </c>
      <c r="B14" s="4839" t="s">
        <v>3456</v>
      </c>
      <c r="C14" s="4839" t="s">
        <v>28</v>
      </c>
      <c r="D14" s="4957">
        <v>45249</v>
      </c>
      <c r="E14" s="5071">
        <v>45255</v>
      </c>
      <c r="F14" s="4839" t="s">
        <v>56</v>
      </c>
      <c r="G14" s="4839" t="s">
        <v>46</v>
      </c>
      <c r="H14" s="4859">
        <v>45257</v>
      </c>
      <c r="I14" s="4861"/>
      <c r="J14" s="4870" t="s">
        <v>32</v>
      </c>
      <c r="K14" s="4870" t="s">
        <v>174</v>
      </c>
      <c r="L14" s="4841" t="s">
        <v>3457</v>
      </c>
      <c r="M14" s="4855">
        <v>45257</v>
      </c>
      <c r="N14" s="4855">
        <v>45257</v>
      </c>
      <c r="O14" s="4608">
        <v>45258</v>
      </c>
      <c r="P14" s="4861" t="s">
        <v>3458</v>
      </c>
      <c r="Q14" s="4870" t="s">
        <v>35</v>
      </c>
      <c r="R14" s="4839" t="s">
        <v>36</v>
      </c>
      <c r="S14" s="4839" t="s">
        <v>37</v>
      </c>
      <c r="T14" s="4874">
        <v>805</v>
      </c>
      <c r="U14" s="4874">
        <v>656</v>
      </c>
      <c r="V14" s="4874"/>
      <c r="W14" s="4874">
        <f>IFERROR((Table6[[#This Row],[Sales Amount]]-Table6[[#This Row],[Cost]])/Table6[[#This Row],[CNTR AMOUNT]],Table6[[#This Row],[Sales Amount]]-Table6[[#This Row],[Cost]])</f>
        <v>149</v>
      </c>
      <c r="X14" s="5103">
        <f>IFERROR(Table6[[#This Row],[Profit]]/Table6[[#This Row],[Cost]]," ")</f>
        <v>0.22713414634146342</v>
      </c>
      <c r="Y14" s="4874"/>
      <c r="Z14" s="4874"/>
    </row>
    <row r="15" spans="1:28" s="760" customFormat="1" hidden="1">
      <c r="A15" s="3300" t="s">
        <v>171</v>
      </c>
      <c r="B15" s="3300" t="s">
        <v>3459</v>
      </c>
      <c r="C15" s="3300" t="s">
        <v>28</v>
      </c>
      <c r="D15" s="3301">
        <v>45244</v>
      </c>
      <c r="E15" s="3302">
        <v>45253</v>
      </c>
      <c r="F15" s="3300" t="s">
        <v>56</v>
      </c>
      <c r="G15" s="3300" t="s">
        <v>46</v>
      </c>
      <c r="H15" s="3301">
        <v>45254</v>
      </c>
      <c r="I15" s="3300"/>
      <c r="J15" s="3261" t="s">
        <v>32</v>
      </c>
      <c r="K15" s="3261" t="s">
        <v>174</v>
      </c>
      <c r="L15" s="3303" t="s">
        <v>3460</v>
      </c>
      <c r="M15" s="3304">
        <v>45256</v>
      </c>
      <c r="N15" s="3301">
        <v>45254</v>
      </c>
      <c r="O15" s="3305">
        <v>45254</v>
      </c>
      <c r="P15" s="3289" t="s">
        <v>3461</v>
      </c>
      <c r="Q15" s="3275" t="s">
        <v>35</v>
      </c>
      <c r="R15" s="3300" t="s">
        <v>36</v>
      </c>
      <c r="S15" s="3275" t="s">
        <v>37</v>
      </c>
      <c r="T15" s="3295">
        <v>640</v>
      </c>
      <c r="U15" s="3295">
        <v>518</v>
      </c>
      <c r="V15" s="3295"/>
      <c r="W15" s="3295">
        <f>IFERROR((Table6[[#This Row],[Sales Amount]]-Table6[[#This Row],[Cost]])/Table6[[#This Row],[CNTR AMOUNT]],Table6[[#This Row],[Sales Amount]]-Table6[[#This Row],[Cost]])</f>
        <v>122</v>
      </c>
      <c r="X15" s="3295">
        <f>IFERROR(Table6[[#This Row],[Profit]]/Table6[[#This Row],[Cost]]," ")</f>
        <v>0.23552123552123552</v>
      </c>
      <c r="Y15" s="3295"/>
      <c r="Z15" s="3295"/>
    </row>
    <row r="16" spans="1:28" s="760" customFormat="1" hidden="1">
      <c r="A16" s="18" t="s">
        <v>171</v>
      </c>
      <c r="B16" s="18" t="s">
        <v>3462</v>
      </c>
      <c r="C16" s="1062" t="s">
        <v>28</v>
      </c>
      <c r="D16" s="661">
        <v>45234</v>
      </c>
      <c r="E16" s="834">
        <v>45242</v>
      </c>
      <c r="F16" s="18" t="s">
        <v>56</v>
      </c>
      <c r="G16" s="18" t="s">
        <v>46</v>
      </c>
      <c r="H16" s="982">
        <v>45240</v>
      </c>
      <c r="I16" s="18"/>
      <c r="J16" s="1062" t="s">
        <v>32</v>
      </c>
      <c r="K16" s="1062" t="s">
        <v>174</v>
      </c>
      <c r="L16" s="1030" t="s">
        <v>3463</v>
      </c>
      <c r="M16" s="1770">
        <v>45242</v>
      </c>
      <c r="N16" s="1770">
        <v>45240</v>
      </c>
      <c r="O16" s="1770">
        <v>45240</v>
      </c>
      <c r="P16" s="718" t="s">
        <v>3464</v>
      </c>
      <c r="Q16" s="1062" t="s">
        <v>35</v>
      </c>
      <c r="R16" s="18" t="s">
        <v>36</v>
      </c>
      <c r="S16" s="18" t="s">
        <v>37</v>
      </c>
      <c r="T16" s="84">
        <v>965</v>
      </c>
      <c r="U16" s="84">
        <v>738</v>
      </c>
      <c r="V16" s="84"/>
      <c r="W16" s="84">
        <f>IFERROR((Table6[[#This Row],[Sales Amount]]-Table6[[#This Row],[Cost]])/Table6[[#This Row],[CNTR AMOUNT]],Table6[[#This Row],[Sales Amount]]-Table6[[#This Row],[Cost]])</f>
        <v>227</v>
      </c>
      <c r="X16" s="84">
        <f>IFERROR(Table6[[#This Row],[Profit]]/Table6[[#This Row],[Cost]]," ")</f>
        <v>0.30758807588075882</v>
      </c>
      <c r="Y16" s="84"/>
      <c r="Z16" s="84"/>
    </row>
    <row r="17" spans="1:27" customFormat="1" hidden="1">
      <c r="A17" s="1145" t="s">
        <v>171</v>
      </c>
      <c r="B17" s="1145" t="s">
        <v>3465</v>
      </c>
      <c r="C17" s="67" t="s">
        <v>28</v>
      </c>
      <c r="D17" s="1153">
        <v>45233</v>
      </c>
      <c r="E17" s="1870">
        <v>45240</v>
      </c>
      <c r="F17" s="1145" t="s">
        <v>326</v>
      </c>
      <c r="G17" s="1145" t="s">
        <v>46</v>
      </c>
      <c r="H17" s="1817">
        <v>45241</v>
      </c>
      <c r="I17" s="1145"/>
      <c r="J17" s="67" t="s">
        <v>32</v>
      </c>
      <c r="K17" s="67" t="s">
        <v>174</v>
      </c>
      <c r="L17" s="1772" t="s">
        <v>3466</v>
      </c>
      <c r="M17" s="1816">
        <v>45242</v>
      </c>
      <c r="N17" s="1816">
        <v>45240</v>
      </c>
      <c r="O17" s="1856">
        <v>45241</v>
      </c>
      <c r="P17" s="1495" t="s">
        <v>3467</v>
      </c>
      <c r="Q17" s="67" t="s">
        <v>35</v>
      </c>
      <c r="R17" s="1145" t="s">
        <v>36</v>
      </c>
      <c r="S17" s="1145" t="s">
        <v>37</v>
      </c>
      <c r="T17" s="16">
        <v>1015</v>
      </c>
      <c r="U17" s="16">
        <v>831</v>
      </c>
      <c r="V17" s="16"/>
      <c r="W17" s="16">
        <f>IFERROR((Table6[[#This Row],[Sales Amount]]-Table6[[#This Row],[Cost]])/Table6[[#This Row],[CNTR AMOUNT]],Table6[[#This Row],[Sales Amount]]-Table6[[#This Row],[Cost]])</f>
        <v>184</v>
      </c>
      <c r="X17" s="16">
        <f>IFERROR(Table6[[#This Row],[Profit]]/Table6[[#This Row],[Cost]]," ")</f>
        <v>0.22141997593261131</v>
      </c>
      <c r="Y17" s="16"/>
      <c r="Z17" s="16"/>
    </row>
    <row r="18" spans="1:27" s="507" customFormat="1" hidden="1">
      <c r="A18" s="4839" t="s">
        <v>171</v>
      </c>
      <c r="B18" s="4839" t="s">
        <v>3468</v>
      </c>
      <c r="C18" s="4839" t="s">
        <v>451</v>
      </c>
      <c r="D18" s="4859">
        <v>45233</v>
      </c>
      <c r="E18" s="4860">
        <v>45241</v>
      </c>
      <c r="F18" s="4839" t="s">
        <v>151</v>
      </c>
      <c r="G18" s="4839" t="s">
        <v>46</v>
      </c>
      <c r="H18" s="4957">
        <v>45243</v>
      </c>
      <c r="I18" s="4839"/>
      <c r="J18" s="4870" t="s">
        <v>32</v>
      </c>
      <c r="K18" s="4870" t="s">
        <v>174</v>
      </c>
      <c r="L18" s="4841" t="s">
        <v>3469</v>
      </c>
      <c r="M18" s="4990">
        <v>45244</v>
      </c>
      <c r="N18" s="4957">
        <v>45243</v>
      </c>
      <c r="O18" s="4626">
        <v>45243</v>
      </c>
      <c r="P18" s="1861" t="s">
        <v>3470</v>
      </c>
      <c r="Q18" s="3306" t="s">
        <v>35</v>
      </c>
      <c r="R18" s="3297" t="s">
        <v>36</v>
      </c>
      <c r="S18" s="3297" t="s">
        <v>37</v>
      </c>
      <c r="T18" s="3298">
        <v>820</v>
      </c>
      <c r="U18" s="3298">
        <v>623</v>
      </c>
      <c r="V18" s="3298"/>
      <c r="W18" s="3298">
        <f>IFERROR((Table6[[#This Row],[Sales Amount]]-Table6[[#This Row],[Cost]])/Table6[[#This Row],[CNTR AMOUNT]],Table6[[#This Row],[Sales Amount]]-Table6[[#This Row],[Cost]])</f>
        <v>197</v>
      </c>
      <c r="X18" s="3298">
        <f>IFERROR(Table6[[#This Row],[Profit]]/Table6[[#This Row],[Cost]]," ")</f>
        <v>0.3162118780096308</v>
      </c>
      <c r="Y18" s="3298"/>
      <c r="Z18" s="3241"/>
    </row>
    <row r="19" spans="1:27" s="949" customFormat="1" hidden="1">
      <c r="A19" s="4839" t="s">
        <v>171</v>
      </c>
      <c r="B19" s="4834" t="s">
        <v>3471</v>
      </c>
      <c r="C19" s="4839" t="s">
        <v>28</v>
      </c>
      <c r="D19" s="5098">
        <v>45249</v>
      </c>
      <c r="E19" s="5104">
        <v>45255</v>
      </c>
      <c r="F19" s="4834" t="s">
        <v>56</v>
      </c>
      <c r="G19" s="4834" t="s">
        <v>46</v>
      </c>
      <c r="H19" s="4833"/>
      <c r="I19" s="4834"/>
      <c r="J19" s="4870" t="s">
        <v>32</v>
      </c>
      <c r="K19" s="4870" t="s">
        <v>174</v>
      </c>
      <c r="L19" s="4851" t="s">
        <v>3472</v>
      </c>
      <c r="M19" s="5102">
        <v>45257</v>
      </c>
      <c r="N19" s="5102">
        <v>45257</v>
      </c>
      <c r="O19" s="4627">
        <v>45257</v>
      </c>
      <c r="P19" s="4864" t="s">
        <v>3473</v>
      </c>
      <c r="Q19" s="4870" t="s">
        <v>35</v>
      </c>
      <c r="R19" s="4839" t="s">
        <v>36</v>
      </c>
      <c r="S19" s="4839" t="s">
        <v>37</v>
      </c>
      <c r="T19" s="5105">
        <v>765</v>
      </c>
      <c r="U19" s="5105">
        <v>618</v>
      </c>
      <c r="V19" s="5105"/>
      <c r="W19" s="5105">
        <f>IFERROR((Table6[[#This Row],[Sales Amount]]-Table6[[#This Row],[Cost]])/Table6[[#This Row],[CNTR AMOUNT]],Table6[[#This Row],[Sales Amount]]-Table6[[#This Row],[Cost]])</f>
        <v>147</v>
      </c>
      <c r="X19" s="5106">
        <f>IFERROR(Table6[[#This Row],[Profit]]/Table6[[#This Row],[Cost]]," ")</f>
        <v>0.23786407766990292</v>
      </c>
      <c r="Y19" s="5105"/>
      <c r="Z19" s="5105"/>
    </row>
    <row r="20" spans="1:27" s="1019" customFormat="1" hidden="1">
      <c r="A20" s="4834" t="s">
        <v>171</v>
      </c>
      <c r="B20" s="4834" t="s">
        <v>3474</v>
      </c>
      <c r="C20" s="4870" t="s">
        <v>28</v>
      </c>
      <c r="D20" s="5098">
        <v>45248</v>
      </c>
      <c r="E20" s="5104">
        <v>45257</v>
      </c>
      <c r="F20" s="4834" t="s">
        <v>56</v>
      </c>
      <c r="G20" s="4834" t="s">
        <v>57</v>
      </c>
      <c r="H20" s="4833">
        <v>45258</v>
      </c>
      <c r="I20" s="4864"/>
      <c r="J20" s="4870" t="s">
        <v>32</v>
      </c>
      <c r="K20" s="4870" t="s">
        <v>174</v>
      </c>
      <c r="L20" s="5101">
        <v>2483567</v>
      </c>
      <c r="M20" s="5102">
        <v>45259</v>
      </c>
      <c r="N20" s="5102">
        <v>45258</v>
      </c>
      <c r="O20" s="4587">
        <v>45259</v>
      </c>
      <c r="P20" s="3287" t="s">
        <v>3475</v>
      </c>
      <c r="Q20" s="3306" t="s">
        <v>35</v>
      </c>
      <c r="R20" s="3297" t="s">
        <v>36</v>
      </c>
      <c r="S20" s="3297" t="s">
        <v>37</v>
      </c>
      <c r="T20" s="3307">
        <v>805</v>
      </c>
      <c r="U20" s="3307">
        <v>656</v>
      </c>
      <c r="V20" s="3307"/>
      <c r="W20" s="3307">
        <f>IFERROR((Table6[[#This Row],[Sales Amount]]-Table6[[#This Row],[Cost]])/Table6[[#This Row],[CNTR AMOUNT]],Table6[[#This Row],[Sales Amount]]-Table6[[#This Row],[Cost]])</f>
        <v>149</v>
      </c>
      <c r="X20" s="3308">
        <f>IFERROR(Table6[[#This Row],[Profit]]/Table6[[#This Row],[Cost]]," ")</f>
        <v>0.22713414634146342</v>
      </c>
      <c r="Y20" s="3307"/>
      <c r="Z20" s="3309"/>
    </row>
    <row r="21" spans="1:27" s="1599" customFormat="1" hidden="1">
      <c r="A21" s="4839" t="s">
        <v>171</v>
      </c>
      <c r="B21" s="4839" t="s">
        <v>3476</v>
      </c>
      <c r="C21" s="4839" t="s">
        <v>28</v>
      </c>
      <c r="D21" s="4957">
        <v>45249</v>
      </c>
      <c r="E21" s="5071">
        <v>45255</v>
      </c>
      <c r="F21" s="4839" t="s">
        <v>56</v>
      </c>
      <c r="G21" s="4839" t="s">
        <v>46</v>
      </c>
      <c r="H21" s="4953"/>
      <c r="I21" s="4861"/>
      <c r="J21" s="4870" t="s">
        <v>32</v>
      </c>
      <c r="K21" s="4870" t="s">
        <v>174</v>
      </c>
      <c r="L21" s="4841" t="s">
        <v>3477</v>
      </c>
      <c r="M21" s="4855">
        <v>45257</v>
      </c>
      <c r="N21" s="4855">
        <v>45257</v>
      </c>
      <c r="O21" s="1948">
        <v>45258</v>
      </c>
      <c r="P21" s="3310" t="s">
        <v>3478</v>
      </c>
      <c r="Q21" s="3306" t="s">
        <v>35</v>
      </c>
      <c r="R21" s="3297" t="s">
        <v>36</v>
      </c>
      <c r="S21" s="3297" t="s">
        <v>37</v>
      </c>
      <c r="T21" s="3250">
        <v>805</v>
      </c>
      <c r="U21" s="3250">
        <v>656</v>
      </c>
      <c r="V21" s="3250"/>
      <c r="W21" s="3250">
        <f>IFERROR((Table6[[#This Row],[Sales Amount]]-Table6[[#This Row],[Cost]])/Table6[[#This Row],[CNTR AMOUNT]],Table6[[#This Row],[Sales Amount]]-Table6[[#This Row],[Cost]])</f>
        <v>149</v>
      </c>
      <c r="X21" s="3311">
        <f>IFERROR(Table6[[#This Row],[Profit]]/Table6[[#This Row],[Cost]]," ")</f>
        <v>0.22713414634146342</v>
      </c>
      <c r="Y21" s="3250"/>
      <c r="Z21" s="3075"/>
    </row>
    <row r="22" spans="1:27" s="1594" customFormat="1" hidden="1">
      <c r="A22" s="4839" t="s">
        <v>171</v>
      </c>
      <c r="B22" s="4839" t="s">
        <v>3479</v>
      </c>
      <c r="C22" s="4839" t="s">
        <v>28</v>
      </c>
      <c r="D22" s="4957">
        <v>45249</v>
      </c>
      <c r="E22" s="5071">
        <v>45255</v>
      </c>
      <c r="F22" s="4839" t="s">
        <v>56</v>
      </c>
      <c r="G22" s="4839" t="s">
        <v>46</v>
      </c>
      <c r="H22" s="4859">
        <v>45257</v>
      </c>
      <c r="I22" s="4861"/>
      <c r="J22" s="4839" t="s">
        <v>32</v>
      </c>
      <c r="K22" s="4854" t="s">
        <v>3480</v>
      </c>
      <c r="L22" s="4854" t="s">
        <v>3481</v>
      </c>
      <c r="M22" s="4854" t="s">
        <v>3482</v>
      </c>
      <c r="N22" s="4855">
        <v>45257</v>
      </c>
      <c r="O22" s="1948">
        <v>45278</v>
      </c>
      <c r="P22" s="3296" t="s">
        <v>3483</v>
      </c>
      <c r="Q22" s="3297" t="s">
        <v>35</v>
      </c>
      <c r="R22" s="3297" t="s">
        <v>36</v>
      </c>
      <c r="S22" s="3297" t="s">
        <v>37</v>
      </c>
      <c r="T22" s="3250">
        <v>1955</v>
      </c>
      <c r="U22" s="3250">
        <v>1730</v>
      </c>
      <c r="V22" s="3250"/>
      <c r="W22" s="3250">
        <f>IFERROR((Table6[[#This Row],[Sales Amount]]-Table6[[#This Row],[Cost]])/Table6[[#This Row],[CNTR AMOUNT]],Table6[[#This Row],[Sales Amount]]-Table6[[#This Row],[Cost]])</f>
        <v>225</v>
      </c>
      <c r="X22" s="3311">
        <f>IFERROR(Table6[[#This Row],[Profit]]/Table6[[#This Row],[Cost]]," ")</f>
        <v>0.13005780346820808</v>
      </c>
      <c r="Y22" s="3250"/>
      <c r="Z22" s="3075"/>
    </row>
    <row r="23" spans="1:27" customFormat="1" hidden="1">
      <c r="A23" s="4839" t="s">
        <v>171</v>
      </c>
      <c r="B23" s="4839" t="s">
        <v>3484</v>
      </c>
      <c r="C23" s="4870" t="s">
        <v>28</v>
      </c>
      <c r="D23" s="4859">
        <v>45234</v>
      </c>
      <c r="E23" s="4860">
        <v>45242</v>
      </c>
      <c r="F23" s="4839" t="s">
        <v>56</v>
      </c>
      <c r="G23" s="4839" t="s">
        <v>46</v>
      </c>
      <c r="H23" s="4957">
        <v>45244</v>
      </c>
      <c r="I23" s="4839"/>
      <c r="J23" s="4870" t="s">
        <v>32</v>
      </c>
      <c r="K23" s="4870" t="s">
        <v>174</v>
      </c>
      <c r="L23" s="4841" t="s">
        <v>3485</v>
      </c>
      <c r="M23" s="4990">
        <v>45244</v>
      </c>
      <c r="N23" s="5078">
        <v>45244</v>
      </c>
      <c r="O23" s="4625">
        <v>45244</v>
      </c>
      <c r="P23" s="3248" t="s">
        <v>3486</v>
      </c>
      <c r="Q23" s="3306" t="s">
        <v>35</v>
      </c>
      <c r="R23" s="3297" t="s">
        <v>36</v>
      </c>
      <c r="S23" s="3297" t="s">
        <v>37</v>
      </c>
      <c r="T23" s="3298">
        <v>925</v>
      </c>
      <c r="U23" s="3298">
        <v>738</v>
      </c>
      <c r="V23" s="3298"/>
      <c r="W23" s="3298">
        <f>IFERROR((Table6[[#This Row],[Sales Amount]]-Table6[[#This Row],[Cost]])/Table6[[#This Row],[CNTR AMOUNT]],Table6[[#This Row],[Sales Amount]]-Table6[[#This Row],[Cost]])</f>
        <v>187</v>
      </c>
      <c r="X23" s="3298">
        <f>IFERROR(Table6[[#This Row],[Profit]]/Table6[[#This Row],[Cost]]," ")</f>
        <v>0.25338753387533874</v>
      </c>
      <c r="Y23" s="3298"/>
      <c r="Z23" s="3241"/>
    </row>
    <row r="24" spans="1:27" customFormat="1">
      <c r="A24" s="4947" t="s">
        <v>468</v>
      </c>
      <c r="B24" s="4909" t="s">
        <v>3487</v>
      </c>
      <c r="C24" s="4947" t="s">
        <v>200</v>
      </c>
      <c r="D24" s="4836">
        <v>45227</v>
      </c>
      <c r="E24" s="5107">
        <v>45246</v>
      </c>
      <c r="F24" s="4947" t="s">
        <v>245</v>
      </c>
      <c r="G24" s="4835" t="s">
        <v>2491</v>
      </c>
      <c r="H24" s="5069">
        <v>45247</v>
      </c>
      <c r="I24" s="4947"/>
      <c r="J24" s="4947" t="s">
        <v>297</v>
      </c>
      <c r="K24" s="4947" t="s">
        <v>3488</v>
      </c>
      <c r="L24" s="4838">
        <v>2755</v>
      </c>
      <c r="M24" s="5108">
        <v>45247</v>
      </c>
      <c r="N24" s="5108">
        <v>45247</v>
      </c>
      <c r="O24" s="1958">
        <v>45247</v>
      </c>
      <c r="P24" s="4128" t="s">
        <v>3489</v>
      </c>
      <c r="Q24" s="694" t="s">
        <v>75</v>
      </c>
      <c r="R24" s="4128" t="s">
        <v>3490</v>
      </c>
      <c r="S24" s="694">
        <v>4</v>
      </c>
      <c r="T24" s="694">
        <v>675</v>
      </c>
      <c r="U24" s="694">
        <v>524.5</v>
      </c>
      <c r="V24" s="694">
        <v>1</v>
      </c>
      <c r="W24" s="694">
        <f>IFERROR((Table6[[#This Row],[Sales Amount]]-Table6[[#This Row],[Cost]])/Table6[[#This Row],[CNTR AMOUNT]],Table6[[#This Row],[Sales Amount]]-Table6[[#This Row],[Cost]])</f>
        <v>150.5</v>
      </c>
      <c r="X24" s="1811">
        <f>IFERROR(Table6[[#This Row],[Profit]]/Table6[[#This Row],[Cost]]," ")</f>
        <v>0.28693994280266921</v>
      </c>
      <c r="Y24" s="694"/>
      <c r="Z24" s="694"/>
    </row>
    <row r="25" spans="1:27" customFormat="1" ht="60">
      <c r="A25" s="3273" t="s">
        <v>468</v>
      </c>
      <c r="B25" s="3312" t="s">
        <v>3491</v>
      </c>
      <c r="C25" s="3273" t="s">
        <v>1518</v>
      </c>
      <c r="D25" s="3290">
        <v>45252</v>
      </c>
      <c r="E25" s="3291">
        <v>45258</v>
      </c>
      <c r="F25" s="3273" t="s">
        <v>245</v>
      </c>
      <c r="G25" s="3313" t="s">
        <v>3492</v>
      </c>
      <c r="H25" s="4263">
        <v>45259</v>
      </c>
      <c r="I25" s="4246" t="s">
        <v>790</v>
      </c>
      <c r="J25" s="4246" t="s">
        <v>2306</v>
      </c>
      <c r="K25" s="4246" t="s">
        <v>2313</v>
      </c>
      <c r="L25" s="3293">
        <v>2927673</v>
      </c>
      <c r="M25" s="3314">
        <v>45259</v>
      </c>
      <c r="N25" s="3314">
        <v>45259</v>
      </c>
      <c r="O25" s="3315">
        <v>45259</v>
      </c>
      <c r="P25" s="4246" t="s">
        <v>3493</v>
      </c>
      <c r="Q25" s="3273" t="s">
        <v>75</v>
      </c>
      <c r="R25" s="4246" t="s">
        <v>3494</v>
      </c>
      <c r="S25" s="3273">
        <v>4</v>
      </c>
      <c r="T25" s="4247">
        <v>1085</v>
      </c>
      <c r="U25" s="4246">
        <v>737.47</v>
      </c>
      <c r="V25" s="3273">
        <v>1</v>
      </c>
      <c r="W25" s="3273">
        <f>IFERROR((Table6[[#This Row],[Sales Amount]]-Table6[[#This Row],[Cost]])/Table6[[#This Row],[CNTR AMOUNT]],Table6[[#This Row],[Sales Amount]]-Table6[[#This Row],[Cost]])</f>
        <v>347.53</v>
      </c>
      <c r="X25" s="3294">
        <f>IFERROR(Table6[[#This Row],[Profit]]/Table6[[#This Row],[Cost]]," ")</f>
        <v>0.47124628798459595</v>
      </c>
      <c r="Y25" s="4947"/>
      <c r="Z25" s="4947"/>
    </row>
    <row r="26" spans="1:27" customFormat="1" ht="60">
      <c r="A26" s="694" t="s">
        <v>468</v>
      </c>
      <c r="B26" s="4128" t="s">
        <v>3495</v>
      </c>
      <c r="C26" s="694" t="s">
        <v>200</v>
      </c>
      <c r="D26" s="635">
        <v>45233</v>
      </c>
      <c r="E26" s="725">
        <v>45233</v>
      </c>
      <c r="F26" s="694" t="s">
        <v>135</v>
      </c>
      <c r="G26" s="682" t="s">
        <v>3496</v>
      </c>
      <c r="H26" s="679">
        <v>45240</v>
      </c>
      <c r="I26" s="694" t="s">
        <v>3497</v>
      </c>
      <c r="J26" s="694" t="s">
        <v>2439</v>
      </c>
      <c r="K26" s="4128" t="s">
        <v>3498</v>
      </c>
      <c r="L26" s="1219" t="s">
        <v>162</v>
      </c>
      <c r="M26" s="1805">
        <v>45240</v>
      </c>
      <c r="N26" s="1250">
        <v>45239</v>
      </c>
      <c r="O26" s="1250">
        <v>45243</v>
      </c>
      <c r="P26" s="4128" t="s">
        <v>3499</v>
      </c>
      <c r="Q26" s="694" t="s">
        <v>75</v>
      </c>
      <c r="R26" s="4128" t="s">
        <v>3500</v>
      </c>
      <c r="S26" s="694">
        <v>4</v>
      </c>
      <c r="T26" s="694">
        <v>1465</v>
      </c>
      <c r="U26" s="694">
        <v>847</v>
      </c>
      <c r="V26" s="694">
        <v>1</v>
      </c>
      <c r="W26" s="694">
        <f>IFERROR((Table6[[#This Row],[Sales Amount]]-Table6[[#This Row],[Cost]])/Table6[[#This Row],[CNTR AMOUNT]],Table6[[#This Row],[Sales Amount]]-Table6[[#This Row],[Cost]])</f>
        <v>618</v>
      </c>
      <c r="X26" s="1811">
        <f>IFERROR(Table6[[#This Row],[Profit]]/Table6[[#This Row],[Cost]]," ")</f>
        <v>0.72963400236127507</v>
      </c>
      <c r="Y26" s="806"/>
      <c r="Z26" s="859"/>
    </row>
    <row r="27" spans="1:27" s="3" customFormat="1">
      <c r="A27" s="859" t="s">
        <v>468</v>
      </c>
      <c r="B27" s="4264" t="s">
        <v>3501</v>
      </c>
      <c r="C27" s="859" t="s">
        <v>1518</v>
      </c>
      <c r="D27" s="1788">
        <v>45222</v>
      </c>
      <c r="E27" s="1836">
        <v>45246</v>
      </c>
      <c r="F27" s="859" t="s">
        <v>245</v>
      </c>
      <c r="G27" s="1839" t="s">
        <v>57</v>
      </c>
      <c r="H27" s="1815">
        <v>45247</v>
      </c>
      <c r="I27" s="1801" t="s">
        <v>445</v>
      </c>
      <c r="J27" s="859" t="s">
        <v>32</v>
      </c>
      <c r="K27" s="4265" t="s">
        <v>504</v>
      </c>
      <c r="L27" s="1926" t="s">
        <v>3502</v>
      </c>
      <c r="M27" s="1936">
        <v>45247</v>
      </c>
      <c r="N27" s="1936">
        <v>45247</v>
      </c>
      <c r="O27" s="1857">
        <v>45248</v>
      </c>
      <c r="P27" s="4265" t="s">
        <v>3503</v>
      </c>
      <c r="Q27" s="859" t="s">
        <v>75</v>
      </c>
      <c r="R27" s="4265" t="s">
        <v>3504</v>
      </c>
      <c r="S27" s="859">
        <v>4</v>
      </c>
      <c r="T27" s="859">
        <v>1080</v>
      </c>
      <c r="U27" s="859">
        <v>856</v>
      </c>
      <c r="V27" s="859">
        <v>1</v>
      </c>
      <c r="W27" s="859">
        <f>IFERROR((Table6[[#This Row],[Sales Amount]]-Table6[[#This Row],[Cost]])/Table6[[#This Row],[CNTR AMOUNT]],Table6[[#This Row],[Sales Amount]]-Table6[[#This Row],[Cost]])</f>
        <v>224</v>
      </c>
      <c r="X27" s="1979">
        <f>IFERROR(Table6[[#This Row],[Profit]]/Table6[[#This Row],[Cost]]," ")</f>
        <v>0.26168224299065418</v>
      </c>
      <c r="Y27" s="3273"/>
      <c r="Z27" s="3273"/>
    </row>
    <row r="28" spans="1:27" s="3" customFormat="1">
      <c r="A28" s="694" t="s">
        <v>468</v>
      </c>
      <c r="B28" s="4128" t="s">
        <v>3505</v>
      </c>
      <c r="C28" s="694" t="s">
        <v>200</v>
      </c>
      <c r="D28" s="635">
        <v>45251</v>
      </c>
      <c r="E28" s="662">
        <v>45259</v>
      </c>
      <c r="F28" s="4128" t="s">
        <v>245</v>
      </c>
      <c r="G28" s="4094" t="s">
        <v>57</v>
      </c>
      <c r="H28" s="679">
        <v>45260</v>
      </c>
      <c r="I28" s="4128" t="s">
        <v>115</v>
      </c>
      <c r="J28" s="4128" t="s">
        <v>32</v>
      </c>
      <c r="K28" s="4128" t="s">
        <v>3506</v>
      </c>
      <c r="L28" s="900">
        <v>2375091</v>
      </c>
      <c r="M28" s="842">
        <v>45261</v>
      </c>
      <c r="N28" s="842">
        <v>45260</v>
      </c>
      <c r="O28" s="1949">
        <v>45260</v>
      </c>
      <c r="P28" s="4096" t="s">
        <v>3507</v>
      </c>
      <c r="Q28" s="694" t="s">
        <v>75</v>
      </c>
      <c r="R28" s="4128" t="s">
        <v>3508</v>
      </c>
      <c r="S28" s="694">
        <v>4</v>
      </c>
      <c r="T28" s="694">
        <v>700</v>
      </c>
      <c r="U28" s="694">
        <v>556</v>
      </c>
      <c r="V28" s="694">
        <v>1</v>
      </c>
      <c r="W28" s="694">
        <f>IFERROR((Table6[[#This Row],[Sales Amount]]-Table6[[#This Row],[Cost]])/Table6[[#This Row],[CNTR AMOUNT]],Table6[[#This Row],[Sales Amount]]-Table6[[#This Row],[Cost]])</f>
        <v>144</v>
      </c>
      <c r="X28" s="1811">
        <f>IFERROR(Table6[[#This Row],[Profit]]/Table6[[#This Row],[Cost]]," ")</f>
        <v>0.25899280575539568</v>
      </c>
      <c r="Y28" s="694"/>
      <c r="Z28" s="694"/>
    </row>
    <row r="29" spans="1:27" s="507" customFormat="1" ht="90">
      <c r="A29" s="1782" t="s">
        <v>468</v>
      </c>
      <c r="B29" s="4266" t="s">
        <v>3509</v>
      </c>
      <c r="C29" s="1782" t="s">
        <v>1518</v>
      </c>
      <c r="D29" s="1787">
        <v>45230</v>
      </c>
      <c r="E29" s="1790">
        <v>45247</v>
      </c>
      <c r="F29" s="1782" t="s">
        <v>1357</v>
      </c>
      <c r="G29" s="1900" t="s">
        <v>3510</v>
      </c>
      <c r="H29" s="1795">
        <v>45250</v>
      </c>
      <c r="I29" s="1782"/>
      <c r="J29" s="1782" t="s">
        <v>2306</v>
      </c>
      <c r="K29" s="1782" t="s">
        <v>2313</v>
      </c>
      <c r="L29" s="4119" t="s">
        <v>3511</v>
      </c>
      <c r="M29" s="1935">
        <v>45249</v>
      </c>
      <c r="N29" s="1935">
        <v>45250</v>
      </c>
      <c r="O29" s="1857">
        <v>45250</v>
      </c>
      <c r="P29" s="4909" t="s">
        <v>3512</v>
      </c>
      <c r="Q29" s="859" t="s">
        <v>75</v>
      </c>
      <c r="R29" s="4265" t="s">
        <v>3513</v>
      </c>
      <c r="S29" s="859">
        <v>4</v>
      </c>
      <c r="T29" s="859">
        <v>735</v>
      </c>
      <c r="U29" s="859">
        <v>497.47</v>
      </c>
      <c r="V29" s="859">
        <v>1</v>
      </c>
      <c r="W29" s="859">
        <f>IFERROR((Table6[[#This Row],[Sales Amount]]-Table6[[#This Row],[Cost]])/Table6[[#This Row],[CNTR AMOUNT]],Table6[[#This Row],[Sales Amount]]-Table6[[#This Row],[Cost]])</f>
        <v>237.52999999999997</v>
      </c>
      <c r="X29" s="1979">
        <f>IFERROR(Table6[[#This Row],[Profit]]/Table6[[#This Row],[Cost]]," ")</f>
        <v>0.47747602870524847</v>
      </c>
      <c r="Y29" s="859"/>
      <c r="Z29" s="859"/>
    </row>
    <row r="30" spans="1:27" s="806" customFormat="1">
      <c r="A30" s="4947" t="s">
        <v>468</v>
      </c>
      <c r="B30" s="4909" t="s">
        <v>3514</v>
      </c>
      <c r="C30" s="4947" t="s">
        <v>200</v>
      </c>
      <c r="D30" s="4836">
        <v>45247</v>
      </c>
      <c r="E30" s="4935">
        <v>45261</v>
      </c>
      <c r="F30" s="4947" t="s">
        <v>245</v>
      </c>
      <c r="G30" s="4835" t="s">
        <v>3515</v>
      </c>
      <c r="H30" s="5069">
        <v>45265</v>
      </c>
      <c r="I30" s="4947" t="s">
        <v>926</v>
      </c>
      <c r="J30" s="4909" t="s">
        <v>297</v>
      </c>
      <c r="K30" s="4909" t="s">
        <v>3516</v>
      </c>
      <c r="L30" s="4977">
        <v>1278</v>
      </c>
      <c r="M30" s="5069">
        <v>45265</v>
      </c>
      <c r="N30" s="5069">
        <v>45265</v>
      </c>
      <c r="O30" s="4628">
        <v>45265</v>
      </c>
      <c r="P30" s="4909" t="s">
        <v>3517</v>
      </c>
      <c r="Q30" s="4947" t="s">
        <v>75</v>
      </c>
      <c r="R30" s="3" t="s">
        <v>3518</v>
      </c>
      <c r="S30" s="4947">
        <v>4</v>
      </c>
      <c r="T30" s="5109">
        <v>1265</v>
      </c>
      <c r="U30" s="5110">
        <v>1088.92</v>
      </c>
      <c r="V30" s="4947">
        <v>1</v>
      </c>
      <c r="W30" s="4947">
        <f>IFERROR((Table6[[#This Row],[Sales Amount]]-Table6[[#This Row],[Cost]])/Table6[[#This Row],[CNTR AMOUNT]],Table6[[#This Row],[Sales Amount]]-Table6[[#This Row],[Cost]])</f>
        <v>176.07999999999993</v>
      </c>
      <c r="X30" s="5111">
        <f>IFERROR(Table6[[#This Row],[Profit]]/Table6[[#This Row],[Cost]]," ")</f>
        <v>0.16170150240605363</v>
      </c>
      <c r="Y30" s="4947"/>
      <c r="Z30" s="4947"/>
      <c r="AA30" s="4947"/>
    </row>
    <row r="31" spans="1:27" s="507" customFormat="1" ht="30">
      <c r="A31" s="4947" t="s">
        <v>468</v>
      </c>
      <c r="B31" s="4909" t="s">
        <v>3519</v>
      </c>
      <c r="C31" s="4988" t="s">
        <v>28</v>
      </c>
      <c r="D31" s="4836">
        <v>45249</v>
      </c>
      <c r="E31" s="4935">
        <v>45261</v>
      </c>
      <c r="F31" s="4947" t="s">
        <v>151</v>
      </c>
      <c r="G31" s="4835" t="s">
        <v>3520</v>
      </c>
      <c r="H31" s="5069">
        <v>45265</v>
      </c>
      <c r="I31" s="4909" t="s">
        <v>776</v>
      </c>
      <c r="J31" s="4909" t="s">
        <v>322</v>
      </c>
      <c r="K31" s="5112" t="s">
        <v>1455</v>
      </c>
      <c r="L31" s="4951">
        <v>3682</v>
      </c>
      <c r="M31" s="4936">
        <v>45263</v>
      </c>
      <c r="N31" s="4936">
        <v>45264</v>
      </c>
      <c r="O31" s="4629">
        <v>45267</v>
      </c>
      <c r="P31" s="4909" t="s">
        <v>3521</v>
      </c>
      <c r="Q31" s="4947" t="s">
        <v>75</v>
      </c>
      <c r="R31" s="4909" t="s">
        <v>3522</v>
      </c>
      <c r="S31" s="4947">
        <v>4</v>
      </c>
      <c r="T31" s="4947">
        <v>1885</v>
      </c>
      <c r="U31" s="4947">
        <v>1514.5</v>
      </c>
      <c r="V31" s="4947"/>
      <c r="W31" s="4947">
        <f>IFERROR((Table6[[#This Row],[Sales Amount]]-Table6[[#This Row],[Cost]])/Table6[[#This Row],[CNTR AMOUNT]],Table6[[#This Row],[Sales Amount]]-Table6[[#This Row],[Cost]])</f>
        <v>370.5</v>
      </c>
      <c r="X31" s="5111">
        <f>IFERROR(Table6[[#This Row],[Profit]]/Table6[[#This Row],[Cost]]," ")</f>
        <v>0.24463519313304721</v>
      </c>
      <c r="Y31" s="4947"/>
      <c r="Z31" s="4947"/>
      <c r="AA31" s="4934"/>
    </row>
    <row r="32" spans="1:27" s="507" customFormat="1">
      <c r="A32" s="4947" t="s">
        <v>468</v>
      </c>
      <c r="B32" s="4909" t="s">
        <v>3523</v>
      </c>
      <c r="C32" s="4947" t="s">
        <v>200</v>
      </c>
      <c r="D32" s="4836">
        <v>45251</v>
      </c>
      <c r="E32" s="4935">
        <v>45259</v>
      </c>
      <c r="F32" s="4909" t="s">
        <v>245</v>
      </c>
      <c r="G32" s="4835" t="s">
        <v>57</v>
      </c>
      <c r="H32" s="5069">
        <v>45260</v>
      </c>
      <c r="I32" s="4909" t="s">
        <v>115</v>
      </c>
      <c r="J32" s="4909" t="s">
        <v>32</v>
      </c>
      <c r="K32" s="4909" t="s">
        <v>3506</v>
      </c>
      <c r="L32" s="4977">
        <v>2375092</v>
      </c>
      <c r="M32" s="4988">
        <v>45261</v>
      </c>
      <c r="N32" s="4936">
        <v>45260</v>
      </c>
      <c r="O32" s="4628">
        <v>45260</v>
      </c>
      <c r="P32" s="4988" t="s">
        <v>3507</v>
      </c>
      <c r="Q32" s="4947" t="s">
        <v>75</v>
      </c>
      <c r="R32" s="4909" t="s">
        <v>3524</v>
      </c>
      <c r="S32" s="4947">
        <v>4</v>
      </c>
      <c r="T32" s="4947">
        <v>700</v>
      </c>
      <c r="U32" s="4947">
        <v>556</v>
      </c>
      <c r="V32" s="4947">
        <v>1</v>
      </c>
      <c r="W32" s="4947">
        <f>IFERROR((Table6[[#This Row],[Sales Amount]]-Table6[[#This Row],[Cost]])/Table6[[#This Row],[CNTR AMOUNT]],Table6[[#This Row],[Sales Amount]]-Table6[[#This Row],[Cost]])</f>
        <v>144</v>
      </c>
      <c r="X32" s="5111">
        <f>IFERROR(Table6[[#This Row],[Profit]]/Table6[[#This Row],[Cost]]," ")</f>
        <v>0.25899280575539568</v>
      </c>
      <c r="Y32" s="4947"/>
      <c r="Z32" s="4947"/>
      <c r="AA32" s="4934"/>
    </row>
    <row r="33" spans="1:27" s="543" customFormat="1">
      <c r="A33" s="4947" t="s">
        <v>468</v>
      </c>
      <c r="B33" s="5113" t="s">
        <v>3525</v>
      </c>
      <c r="C33" s="4947" t="s">
        <v>1518</v>
      </c>
      <c r="D33" s="4836">
        <v>45234</v>
      </c>
      <c r="E33" s="5107">
        <v>45234</v>
      </c>
      <c r="F33" s="4947" t="s">
        <v>260</v>
      </c>
      <c r="G33" s="4835" t="s">
        <v>3526</v>
      </c>
      <c r="H33" s="5069">
        <v>45239</v>
      </c>
      <c r="I33" s="5114">
        <v>0.33333333333333331</v>
      </c>
      <c r="J33" s="4947" t="s">
        <v>510</v>
      </c>
      <c r="K33" s="4947" t="s">
        <v>3527</v>
      </c>
      <c r="L33" s="4837" t="s">
        <v>162</v>
      </c>
      <c r="M33" s="5115">
        <v>45240</v>
      </c>
      <c r="N33" s="5115">
        <v>45238</v>
      </c>
      <c r="O33" s="4630">
        <v>45239</v>
      </c>
      <c r="P33" s="4947" t="s">
        <v>3528</v>
      </c>
      <c r="Q33" s="4947" t="s">
        <v>75</v>
      </c>
      <c r="R33" s="4909" t="s">
        <v>3529</v>
      </c>
      <c r="S33" s="4947">
        <v>4</v>
      </c>
      <c r="T33" s="4947">
        <v>1075</v>
      </c>
      <c r="U33" s="4947">
        <v>642.5</v>
      </c>
      <c r="V33" s="4947">
        <v>1</v>
      </c>
      <c r="W33" s="4947">
        <f>IFERROR((Table6[[#This Row],[Sales Amount]]-Table6[[#This Row],[Cost]])/Table6[[#This Row],[CNTR AMOUNT]],Table6[[#This Row],[Sales Amount]]-Table6[[#This Row],[Cost]])</f>
        <v>432.5</v>
      </c>
      <c r="X33" s="5111">
        <f>IFERROR(Table6[[#This Row],[Profit]]/Table6[[#This Row],[Cost]]," ")</f>
        <v>0.6731517509727627</v>
      </c>
      <c r="Y33" s="4947"/>
      <c r="Z33" s="4947"/>
      <c r="AA33" s="5116"/>
    </row>
    <row r="34" spans="1:27" s="543" customFormat="1">
      <c r="A34" s="4947" t="s">
        <v>468</v>
      </c>
      <c r="B34" s="5113" t="s">
        <v>3530</v>
      </c>
      <c r="C34" s="4947" t="s">
        <v>1518</v>
      </c>
      <c r="D34" s="4836">
        <v>45234</v>
      </c>
      <c r="E34" s="5107">
        <v>45234</v>
      </c>
      <c r="F34" s="4947" t="s">
        <v>260</v>
      </c>
      <c r="G34" s="4840" t="s">
        <v>3526</v>
      </c>
      <c r="H34" s="5069">
        <v>45240</v>
      </c>
      <c r="I34" s="5114">
        <v>0.33333333333333331</v>
      </c>
      <c r="J34" s="4947" t="s">
        <v>510</v>
      </c>
      <c r="K34" s="4947" t="s">
        <v>3527</v>
      </c>
      <c r="L34" s="4837" t="s">
        <v>162</v>
      </c>
      <c r="M34" s="5115">
        <v>45240</v>
      </c>
      <c r="N34" s="5115">
        <v>45239</v>
      </c>
      <c r="O34" s="4631">
        <v>45240</v>
      </c>
      <c r="P34" s="4908" t="s">
        <v>3531</v>
      </c>
      <c r="Q34" s="4947" t="s">
        <v>75</v>
      </c>
      <c r="R34" s="4909" t="s">
        <v>3532</v>
      </c>
      <c r="S34" s="4947">
        <v>4</v>
      </c>
      <c r="T34" s="4947">
        <v>1075</v>
      </c>
      <c r="U34" s="4947">
        <v>642.5</v>
      </c>
      <c r="V34" s="4947">
        <v>1</v>
      </c>
      <c r="W34" s="4947">
        <f>IFERROR((Table6[[#This Row],[Sales Amount]]-Table6[[#This Row],[Cost]])/Table6[[#This Row],[CNTR AMOUNT]],Table6[[#This Row],[Sales Amount]]-Table6[[#This Row],[Cost]])</f>
        <v>432.5</v>
      </c>
      <c r="X34" s="5111">
        <f>IFERROR(Table6[[#This Row],[Profit]]/Table6[[#This Row],[Cost]]," ")</f>
        <v>0.6731517509727627</v>
      </c>
      <c r="Y34" s="4947"/>
      <c r="Z34" s="4947"/>
      <c r="AA34" s="5116"/>
    </row>
    <row r="35" spans="1:27" s="760" customFormat="1" ht="17.25" hidden="1">
      <c r="A35" s="4864" t="s">
        <v>3533</v>
      </c>
      <c r="B35" s="4864" t="s">
        <v>3534</v>
      </c>
      <c r="C35" s="4864" t="s">
        <v>44</v>
      </c>
      <c r="D35" s="4833">
        <v>45235</v>
      </c>
      <c r="E35" s="4900">
        <v>45249</v>
      </c>
      <c r="F35" s="4864" t="s">
        <v>135</v>
      </c>
      <c r="G35" s="4834" t="s">
        <v>57</v>
      </c>
      <c r="H35" s="4834"/>
      <c r="I35" s="4834"/>
      <c r="J35" s="4864" t="s">
        <v>168</v>
      </c>
      <c r="K35" s="4871" t="s">
        <v>310</v>
      </c>
      <c r="L35" s="5117">
        <v>1292538</v>
      </c>
      <c r="M35" s="5098">
        <v>45251</v>
      </c>
      <c r="N35" s="5098">
        <v>45251</v>
      </c>
      <c r="O35" s="4632">
        <v>45251</v>
      </c>
      <c r="P35" s="4864" t="s">
        <v>3535</v>
      </c>
      <c r="Q35" s="4834" t="s">
        <v>89</v>
      </c>
      <c r="R35" s="5118" t="s">
        <v>51</v>
      </c>
      <c r="S35" s="4834"/>
      <c r="T35" s="4834"/>
      <c r="U35" s="4834"/>
      <c r="V35" s="4834"/>
      <c r="W35" s="4834">
        <f>IFERROR((Table6[[#This Row],[Sales Amount]]-Table6[[#This Row],[Cost]])/Table6[[#This Row],[CNTR AMOUNT]],Table6[[#This Row],[Sales Amount]]-Table6[[#This Row],[Cost]])</f>
        <v>0</v>
      </c>
      <c r="X35" s="4834" t="str">
        <f>IFERROR(Table6[[#This Row],[Profit]]/Table6[[#This Row],[Cost]]," ")</f>
        <v xml:space="preserve"> </v>
      </c>
      <c r="Y35" s="4834"/>
      <c r="Z35" s="4834"/>
      <c r="AA35" s="4986"/>
    </row>
    <row r="36" spans="1:27" s="760" customFormat="1" hidden="1">
      <c r="A36" s="4864" t="s">
        <v>3536</v>
      </c>
      <c r="B36" s="4890" t="s">
        <v>3537</v>
      </c>
      <c r="C36" s="4864" t="s">
        <v>44</v>
      </c>
      <c r="D36" s="4833">
        <v>45238</v>
      </c>
      <c r="E36" s="4900">
        <v>45249</v>
      </c>
      <c r="F36" s="4864" t="s">
        <v>135</v>
      </c>
      <c r="G36" s="4834" t="s">
        <v>57</v>
      </c>
      <c r="H36" s="4864"/>
      <c r="I36" s="4864"/>
      <c r="J36" s="4864" t="s">
        <v>168</v>
      </c>
      <c r="K36" s="4871" t="s">
        <v>310</v>
      </c>
      <c r="L36" s="4834">
        <v>2016648</v>
      </c>
      <c r="M36" s="5098">
        <v>45251</v>
      </c>
      <c r="N36" s="5098">
        <v>45251</v>
      </c>
      <c r="O36" s="4632">
        <v>45254</v>
      </c>
      <c r="P36" s="4864" t="s">
        <v>3538</v>
      </c>
      <c r="Q36" s="4834" t="s">
        <v>50</v>
      </c>
      <c r="R36" s="4834" t="s">
        <v>3539</v>
      </c>
      <c r="S36" s="4834"/>
      <c r="T36" s="4834"/>
      <c r="U36" s="4834"/>
      <c r="V36" s="4834"/>
      <c r="W36" s="4834">
        <f>IFERROR((Table6[[#This Row],[Sales Amount]]-Table6[[#This Row],[Cost]])/Table6[[#This Row],[CNTR AMOUNT]],Table6[[#This Row],[Sales Amount]]-Table6[[#This Row],[Cost]])</f>
        <v>0</v>
      </c>
      <c r="X36" s="4834" t="str">
        <f>IFERROR(Table6[[#This Row],[Profit]]/Table6[[#This Row],[Cost]]," ")</f>
        <v xml:space="preserve"> </v>
      </c>
      <c r="Y36" s="4834"/>
      <c r="Z36" s="4834"/>
      <c r="AA36" s="4986"/>
    </row>
    <row r="37" spans="1:27" s="3" customFormat="1" hidden="1">
      <c r="A37" s="4839" t="s">
        <v>329</v>
      </c>
      <c r="B37" s="4839" t="s">
        <v>3540</v>
      </c>
      <c r="C37" s="4839" t="s">
        <v>451</v>
      </c>
      <c r="D37" s="4859">
        <v>45233</v>
      </c>
      <c r="E37" s="4867">
        <v>45249</v>
      </c>
      <c r="F37" s="4839" t="s">
        <v>245</v>
      </c>
      <c r="G37" s="4839" t="s">
        <v>361</v>
      </c>
      <c r="H37" s="4990">
        <v>45251</v>
      </c>
      <c r="I37" s="4841" t="s">
        <v>115</v>
      </c>
      <c r="J37" s="4870" t="s">
        <v>1353</v>
      </c>
      <c r="K37" s="4839" t="s">
        <v>331</v>
      </c>
      <c r="L37" s="4841">
        <v>236483</v>
      </c>
      <c r="M37" s="4990">
        <v>45254</v>
      </c>
      <c r="N37" s="4957">
        <v>45251</v>
      </c>
      <c r="O37" s="4626">
        <v>45251</v>
      </c>
      <c r="P37" s="4861" t="s">
        <v>3541</v>
      </c>
      <c r="Q37" s="4870" t="s">
        <v>35</v>
      </c>
      <c r="R37" s="4870" t="s">
        <v>36</v>
      </c>
      <c r="S37" s="4839" t="s">
        <v>37</v>
      </c>
      <c r="T37" s="4895">
        <v>1100</v>
      </c>
      <c r="U37" s="4895">
        <v>910</v>
      </c>
      <c r="V37" s="4895"/>
      <c r="W37" s="4895">
        <f>IFERROR((Table6[[#This Row],[Sales Amount]]-Table6[[#This Row],[Cost]])/Table6[[#This Row],[CNTR AMOUNT]],Table6[[#This Row],[Sales Amount]]-Table6[[#This Row],[Cost]])</f>
        <v>190</v>
      </c>
      <c r="X37" s="4895">
        <f>IFERROR(Table6[[#This Row],[Profit]]/Table6[[#This Row],[Cost]]," ")</f>
        <v>0.2087912087912088</v>
      </c>
      <c r="Y37" s="4895"/>
      <c r="Z37" s="4895"/>
      <c r="AA37" s="4837"/>
    </row>
    <row r="38" spans="1:27" customFormat="1" ht="8.25" hidden="1" customHeight="1">
      <c r="A38" s="4839" t="s">
        <v>329</v>
      </c>
      <c r="B38" s="4839" t="s">
        <v>3542</v>
      </c>
      <c r="C38" s="4839" t="s">
        <v>451</v>
      </c>
      <c r="D38" s="4859">
        <v>45233</v>
      </c>
      <c r="E38" s="4867">
        <v>45244</v>
      </c>
      <c r="F38" s="4839" t="s">
        <v>245</v>
      </c>
      <c r="G38" s="4839" t="s">
        <v>361</v>
      </c>
      <c r="H38" s="4990">
        <v>45245</v>
      </c>
      <c r="I38" s="4841" t="s">
        <v>115</v>
      </c>
      <c r="J38" s="4870" t="s">
        <v>1353</v>
      </c>
      <c r="K38" s="4839" t="s">
        <v>331</v>
      </c>
      <c r="L38" s="4841">
        <v>767666</v>
      </c>
      <c r="M38" s="4990">
        <v>45247</v>
      </c>
      <c r="N38" s="4990">
        <v>45245</v>
      </c>
      <c r="O38" s="4626">
        <v>45246</v>
      </c>
      <c r="P38" s="4861" t="s">
        <v>3541</v>
      </c>
      <c r="Q38" s="4870" t="s">
        <v>35</v>
      </c>
      <c r="R38" s="4870" t="s">
        <v>36</v>
      </c>
      <c r="S38" s="4839" t="s">
        <v>37</v>
      </c>
      <c r="T38" s="4895">
        <v>1100</v>
      </c>
      <c r="U38" s="4895">
        <v>910</v>
      </c>
      <c r="V38" s="4895"/>
      <c r="W38" s="4895">
        <f>IFERROR((Table6[[#This Row],[Sales Amount]]-Table6[[#This Row],[Cost]])/Table6[[#This Row],[CNTR AMOUNT]],Table6[[#This Row],[Sales Amount]]-Table6[[#This Row],[Cost]])</f>
        <v>190</v>
      </c>
      <c r="X38" s="4895">
        <f>IFERROR(Table6[[#This Row],[Profit]]/Table6[[#This Row],[Cost]]," ")</f>
        <v>0.2087912087912088</v>
      </c>
      <c r="Y38" s="4895"/>
      <c r="Z38" s="4895"/>
      <c r="AA38" s="4892"/>
    </row>
    <row r="39" spans="1:27" customFormat="1" hidden="1">
      <c r="A39" s="4839" t="s">
        <v>329</v>
      </c>
      <c r="B39" s="4839" t="s">
        <v>3543</v>
      </c>
      <c r="C39" s="4839" t="s">
        <v>451</v>
      </c>
      <c r="D39" s="4859">
        <v>45233</v>
      </c>
      <c r="E39" s="4867">
        <v>45244</v>
      </c>
      <c r="F39" s="4839" t="s">
        <v>245</v>
      </c>
      <c r="G39" s="4839" t="s">
        <v>361</v>
      </c>
      <c r="H39" s="4990">
        <v>45245</v>
      </c>
      <c r="I39" s="4841" t="s">
        <v>212</v>
      </c>
      <c r="J39" s="4870" t="s">
        <v>1353</v>
      </c>
      <c r="K39" s="4839" t="s">
        <v>331</v>
      </c>
      <c r="L39" s="4841">
        <v>87793</v>
      </c>
      <c r="M39" s="4990">
        <v>45247</v>
      </c>
      <c r="N39" s="4990">
        <v>45245</v>
      </c>
      <c r="O39" s="4626">
        <v>45245</v>
      </c>
      <c r="P39" s="4861" t="s">
        <v>3541</v>
      </c>
      <c r="Q39" s="4870" t="s">
        <v>35</v>
      </c>
      <c r="R39" s="4870" t="s">
        <v>36</v>
      </c>
      <c r="S39" s="4839" t="s">
        <v>37</v>
      </c>
      <c r="T39" s="4895">
        <v>1100</v>
      </c>
      <c r="U39" s="4895">
        <v>910</v>
      </c>
      <c r="V39" s="4895"/>
      <c r="W39" s="4895">
        <f>IFERROR((Table6[[#This Row],[Sales Amount]]-Table6[[#This Row],[Cost]])/Table6[[#This Row],[CNTR AMOUNT]],Table6[[#This Row],[Sales Amount]]-Table6[[#This Row],[Cost]])</f>
        <v>190</v>
      </c>
      <c r="X39" s="4895">
        <f>IFERROR(Table6[[#This Row],[Profit]]/Table6[[#This Row],[Cost]]," ")</f>
        <v>0.2087912087912088</v>
      </c>
      <c r="Y39" s="4895"/>
      <c r="Z39" s="4895"/>
      <c r="AA39" s="4892"/>
    </row>
    <row r="40" spans="1:27" s="3" customFormat="1" ht="30" hidden="1">
      <c r="A40" s="4839" t="s">
        <v>694</v>
      </c>
      <c r="B40" s="4858">
        <v>6370166380</v>
      </c>
      <c r="C40" s="4839" t="s">
        <v>3544</v>
      </c>
      <c r="D40" s="5098">
        <v>45263</v>
      </c>
      <c r="E40" s="5098">
        <v>45283</v>
      </c>
      <c r="F40" s="4834" t="s">
        <v>45</v>
      </c>
      <c r="G40" s="4834" t="s">
        <v>361</v>
      </c>
      <c r="H40" s="5102">
        <v>45250</v>
      </c>
      <c r="I40" s="5119"/>
      <c r="J40" s="4839" t="s">
        <v>32</v>
      </c>
      <c r="K40" s="4834" t="s">
        <v>3249</v>
      </c>
      <c r="L40" s="5101" t="s">
        <v>542</v>
      </c>
      <c r="M40" s="5102">
        <v>45251</v>
      </c>
      <c r="N40" s="5102">
        <v>45250</v>
      </c>
      <c r="O40" s="4587">
        <v>45250</v>
      </c>
      <c r="P40" s="4864" t="s">
        <v>3545</v>
      </c>
      <c r="Q40" s="4870" t="s">
        <v>35</v>
      </c>
      <c r="R40" s="4834" t="s">
        <v>36</v>
      </c>
      <c r="S40" s="4834" t="s">
        <v>664</v>
      </c>
      <c r="T40" s="5120"/>
      <c r="U40" s="5120"/>
      <c r="V40" s="5120"/>
      <c r="W40" s="5120">
        <f>IFERROR((Table6[[#This Row],[Sales Amount]]-Table6[[#This Row],[Cost]])/Table6[[#This Row],[CNTR AMOUNT]],Table6[[#This Row],[Sales Amount]]-Table6[[#This Row],[Cost]])</f>
        <v>0</v>
      </c>
      <c r="X40" s="5121" t="str">
        <f>IFERROR(Table6[[#This Row],[Profit]]/Table6[[#This Row],[Cost]]," ")</f>
        <v xml:space="preserve"> </v>
      </c>
      <c r="Y40" s="5120"/>
      <c r="Z40" s="5120"/>
      <c r="AA40" s="4837"/>
    </row>
    <row r="41" spans="1:27" customFormat="1" ht="90" hidden="1">
      <c r="A41" s="4839" t="s">
        <v>694</v>
      </c>
      <c r="B41" s="4858" t="s">
        <v>3546</v>
      </c>
      <c r="C41" s="4839" t="s">
        <v>3547</v>
      </c>
      <c r="D41" s="5098">
        <v>45266</v>
      </c>
      <c r="E41" s="5098">
        <v>44931</v>
      </c>
      <c r="F41" s="4834" t="s">
        <v>45</v>
      </c>
      <c r="G41" s="4834" t="s">
        <v>57</v>
      </c>
      <c r="H41" s="5102" t="s">
        <v>3548</v>
      </c>
      <c r="I41" s="5119"/>
      <c r="J41" s="4870" t="s">
        <v>32</v>
      </c>
      <c r="K41" s="4834" t="s">
        <v>3249</v>
      </c>
      <c r="L41" s="5101" t="s">
        <v>542</v>
      </c>
      <c r="M41" s="5102"/>
      <c r="N41" s="4833" t="s">
        <v>3549</v>
      </c>
      <c r="O41" s="4587" t="s">
        <v>3550</v>
      </c>
      <c r="P41" s="4864" t="s">
        <v>3551</v>
      </c>
      <c r="Q41" s="4839" t="s">
        <v>35</v>
      </c>
      <c r="R41" s="4834" t="s">
        <v>36</v>
      </c>
      <c r="S41" s="4834" t="s">
        <v>664</v>
      </c>
      <c r="T41" s="5120"/>
      <c r="U41" s="5122">
        <v>1933</v>
      </c>
      <c r="V41" s="5120"/>
      <c r="W41" s="5120">
        <f>IFERROR((Table6[[#This Row],[Sales Amount]]-Table6[[#This Row],[Cost]])/Table6[[#This Row],[CNTR AMOUNT]],Table6[[#This Row],[Sales Amount]]-Table6[[#This Row],[Cost]])</f>
        <v>-1933</v>
      </c>
      <c r="X41" s="5121">
        <f>IFERROR(Table6[[#This Row],[Profit]]/Table6[[#This Row],[Cost]]," ")</f>
        <v>-1</v>
      </c>
      <c r="Y41" s="5120"/>
      <c r="Z41" s="5120"/>
      <c r="AA41" s="4892"/>
    </row>
    <row r="42" spans="1:27" customFormat="1">
      <c r="A42" s="4909" t="s">
        <v>3552</v>
      </c>
      <c r="B42" s="4909" t="s">
        <v>3553</v>
      </c>
      <c r="C42" s="4947" t="s">
        <v>44</v>
      </c>
      <c r="D42" s="4836">
        <v>45246</v>
      </c>
      <c r="E42" s="4935">
        <v>45251</v>
      </c>
      <c r="F42" s="4909" t="s">
        <v>93</v>
      </c>
      <c r="G42" s="4835" t="s">
        <v>302</v>
      </c>
      <c r="H42" s="4988">
        <v>45257</v>
      </c>
      <c r="I42" s="4909" t="s">
        <v>3199</v>
      </c>
      <c r="J42" s="4951" t="s">
        <v>32</v>
      </c>
      <c r="K42" s="4988" t="s">
        <v>3554</v>
      </c>
      <c r="L42" s="4947" t="s">
        <v>3555</v>
      </c>
      <c r="M42" s="4936">
        <v>45254</v>
      </c>
      <c r="N42" s="4936">
        <v>45254</v>
      </c>
      <c r="O42" s="4633">
        <v>45257</v>
      </c>
      <c r="P42" s="4909" t="s">
        <v>3556</v>
      </c>
      <c r="Q42" s="4947" t="s">
        <v>75</v>
      </c>
      <c r="R42" s="4909" t="s">
        <v>3557</v>
      </c>
      <c r="S42" s="4947">
        <v>4</v>
      </c>
      <c r="T42" s="4947">
        <v>1060</v>
      </c>
      <c r="U42" s="4947">
        <v>812</v>
      </c>
      <c r="V42" s="4947">
        <v>1</v>
      </c>
      <c r="W42" s="4947">
        <f>IFERROR((Table6[[#This Row],[Sales Amount]]-Table6[[#This Row],[Cost]])/Table6[[#This Row],[CNTR AMOUNT]],Table6[[#This Row],[Sales Amount]]-Table6[[#This Row],[Cost]])</f>
        <v>248</v>
      </c>
      <c r="X42" s="5123">
        <f>IFERROR(Table6[[#This Row],[Profit]]/Table6[[#This Row],[Cost]]," ")</f>
        <v>0.30541871921182268</v>
      </c>
      <c r="Y42" s="4947"/>
      <c r="Z42" s="4947"/>
      <c r="AA42" s="4892"/>
    </row>
    <row r="43" spans="1:27" s="1594" customFormat="1">
      <c r="A43" s="5118" t="s">
        <v>1735</v>
      </c>
      <c r="B43" s="5118" t="s">
        <v>3558</v>
      </c>
      <c r="C43" s="5118" t="s">
        <v>44</v>
      </c>
      <c r="D43" s="5124">
        <v>45225</v>
      </c>
      <c r="E43" s="5125">
        <v>45236</v>
      </c>
      <c r="F43" s="5118" t="s">
        <v>135</v>
      </c>
      <c r="G43" s="5118" t="s">
        <v>57</v>
      </c>
      <c r="H43" s="5124" t="s">
        <v>3559</v>
      </c>
      <c r="I43" s="5118"/>
      <c r="J43" s="5118" t="s">
        <v>32</v>
      </c>
      <c r="K43" s="5118" t="s">
        <v>2226</v>
      </c>
      <c r="L43" s="5118" t="s">
        <v>3560</v>
      </c>
      <c r="M43" s="5124">
        <v>45237</v>
      </c>
      <c r="N43" s="5124">
        <v>45237</v>
      </c>
      <c r="O43" s="4634">
        <v>45238</v>
      </c>
      <c r="P43" s="5118" t="s">
        <v>3561</v>
      </c>
      <c r="Q43" s="5118" t="s">
        <v>75</v>
      </c>
      <c r="R43" s="5118" t="s">
        <v>51</v>
      </c>
      <c r="S43" s="5118"/>
      <c r="T43" s="5118"/>
      <c r="U43" s="5118"/>
      <c r="V43" s="5118"/>
      <c r="W43" s="5118">
        <f>IFERROR((Table6[[#This Row],[Sales Amount]]-Table6[[#This Row],[Cost]])/Table6[[#This Row],[CNTR AMOUNT]],Table6[[#This Row],[Sales Amount]]-Table6[[#This Row],[Cost]])</f>
        <v>0</v>
      </c>
      <c r="X43" s="5118" t="str">
        <f>IFERROR(Table6[[#This Row],[Profit]]/Table6[[#This Row],[Cost]]," ")</f>
        <v xml:space="preserve"> </v>
      </c>
      <c r="Y43" s="5118"/>
      <c r="Z43" s="5118"/>
      <c r="AA43" s="5014"/>
    </row>
    <row r="44" spans="1:27" s="650" customFormat="1" hidden="1">
      <c r="A44" s="4839" t="s">
        <v>3562</v>
      </c>
      <c r="B44" s="4839" t="s">
        <v>3563</v>
      </c>
      <c r="C44" s="4839" t="s">
        <v>200</v>
      </c>
      <c r="D44" s="4957">
        <v>45255</v>
      </c>
      <c r="E44" s="4957">
        <v>45257</v>
      </c>
      <c r="F44" s="4839" t="s">
        <v>245</v>
      </c>
      <c r="G44" s="4839" t="s">
        <v>3564</v>
      </c>
      <c r="H44" s="4855">
        <v>45260</v>
      </c>
      <c r="I44" s="4841" t="s">
        <v>3565</v>
      </c>
      <c r="J44" s="4839" t="s">
        <v>859</v>
      </c>
      <c r="K44" s="4839" t="s">
        <v>3566</v>
      </c>
      <c r="L44" s="4841" t="s">
        <v>542</v>
      </c>
      <c r="M44" s="4855">
        <v>45260</v>
      </c>
      <c r="N44" s="4855">
        <v>45259</v>
      </c>
      <c r="O44" s="844">
        <v>45262</v>
      </c>
      <c r="P44" s="1698" t="s">
        <v>3567</v>
      </c>
      <c r="Q44" s="1697" t="s">
        <v>35</v>
      </c>
      <c r="R44" s="1696" t="s">
        <v>36</v>
      </c>
      <c r="S44" s="1696" t="s">
        <v>37</v>
      </c>
      <c r="T44" s="1977">
        <v>2095</v>
      </c>
      <c r="U44" s="1977">
        <v>1785</v>
      </c>
      <c r="V44" s="1977"/>
      <c r="W44" s="1977">
        <f>IFERROR((Table6[[#This Row],[Sales Amount]]-Table6[[#This Row],[Cost]])/Table6[[#This Row],[CNTR AMOUNT]],Table6[[#This Row],[Sales Amount]]-Table6[[#This Row],[Cost]])</f>
        <v>310</v>
      </c>
      <c r="X44" s="1980">
        <f>IFERROR(Table6[[#This Row],[Profit]]/Table6[[#This Row],[Cost]]," ")</f>
        <v>0.17366946778711484</v>
      </c>
      <c r="Y44" s="1977"/>
      <c r="Z44" s="1846"/>
    </row>
    <row r="45" spans="1:27" s="762" customFormat="1" hidden="1">
      <c r="A45" s="4839" t="s">
        <v>3562</v>
      </c>
      <c r="B45" s="4839" t="s">
        <v>3568</v>
      </c>
      <c r="C45" s="4839" t="s">
        <v>200</v>
      </c>
      <c r="D45" s="4859">
        <v>45204</v>
      </c>
      <c r="E45" s="4859">
        <v>45223</v>
      </c>
      <c r="F45" s="4839" t="s">
        <v>285</v>
      </c>
      <c r="G45" s="4839" t="s">
        <v>1037</v>
      </c>
      <c r="H45" s="5078">
        <v>45230</v>
      </c>
      <c r="I45" s="4901" t="s">
        <v>104</v>
      </c>
      <c r="J45" s="4870" t="s">
        <v>859</v>
      </c>
      <c r="K45" s="4839" t="s">
        <v>3569</v>
      </c>
      <c r="L45" s="4901" t="s">
        <v>542</v>
      </c>
      <c r="M45" s="5078">
        <v>45232</v>
      </c>
      <c r="N45" s="4957">
        <v>45229</v>
      </c>
      <c r="O45" s="1735">
        <v>45231</v>
      </c>
      <c r="P45" s="3248" t="s">
        <v>3570</v>
      </c>
      <c r="Q45" s="3306" t="s">
        <v>35</v>
      </c>
      <c r="R45" s="3297" t="s">
        <v>36</v>
      </c>
      <c r="S45" s="3297" t="s">
        <v>37</v>
      </c>
      <c r="T45" s="3298">
        <v>1910</v>
      </c>
      <c r="U45" s="3298">
        <v>1770</v>
      </c>
      <c r="V45" s="3298"/>
      <c r="W45" s="3298">
        <f>IFERROR((Table6[[#This Row],[Sales Amount]]-Table6[[#This Row],[Cost]])/Table6[[#This Row],[CNTR AMOUNT]],Table6[[#This Row],[Sales Amount]]-Table6[[#This Row],[Cost]])</f>
        <v>140</v>
      </c>
      <c r="X45" s="3298">
        <f>IFERROR(Table6[[#This Row],[Profit]]/Table6[[#This Row],[Cost]]," ")</f>
        <v>7.909604519774012E-2</v>
      </c>
      <c r="Y45" s="3298"/>
      <c r="Z45" s="3241"/>
    </row>
    <row r="46" spans="1:27" s="762" customFormat="1">
      <c r="A46" s="4947" t="s">
        <v>3571</v>
      </c>
      <c r="B46" s="4909" t="s">
        <v>3572</v>
      </c>
      <c r="C46" s="4947" t="s">
        <v>44</v>
      </c>
      <c r="D46" s="4836">
        <v>45238</v>
      </c>
      <c r="E46" s="4935">
        <v>45249</v>
      </c>
      <c r="F46" s="4947" t="s">
        <v>1671</v>
      </c>
      <c r="G46" s="4840" t="s">
        <v>57</v>
      </c>
      <c r="H46" s="4988" t="s">
        <v>3573</v>
      </c>
      <c r="I46" s="4909" t="s">
        <v>3574</v>
      </c>
      <c r="J46" s="4909" t="s">
        <v>32</v>
      </c>
      <c r="K46" s="4947" t="s">
        <v>2978</v>
      </c>
      <c r="L46" s="4829">
        <v>2016671</v>
      </c>
      <c r="M46" s="5108">
        <v>45251</v>
      </c>
      <c r="N46" s="5108">
        <v>45251</v>
      </c>
      <c r="O46" s="4630">
        <v>45253</v>
      </c>
      <c r="P46" s="4909" t="s">
        <v>3575</v>
      </c>
      <c r="Q46" s="4947" t="s">
        <v>75</v>
      </c>
      <c r="R46" s="4909" t="s">
        <v>3576</v>
      </c>
      <c r="S46" s="4947">
        <v>4</v>
      </c>
      <c r="T46" s="4947">
        <v>1710</v>
      </c>
      <c r="U46" s="4947">
        <v>1430</v>
      </c>
      <c r="V46" s="4947">
        <v>1</v>
      </c>
      <c r="W46" s="4947">
        <f>IFERROR((Table6[[#This Row],[Sales Amount]]-Table6[[#This Row],[Cost]])/Table6[[#This Row],[CNTR AMOUNT]],Table6[[#This Row],[Sales Amount]]-Table6[[#This Row],[Cost]])</f>
        <v>280</v>
      </c>
      <c r="X46" s="5111">
        <f>IFERROR(Table6[[#This Row],[Profit]]/Table6[[#This Row],[Cost]]," ")</f>
        <v>0.19580419580419581</v>
      </c>
      <c r="Y46" s="4947"/>
      <c r="Z46" s="4947"/>
    </row>
    <row r="47" spans="1:27" s="762" customFormat="1" hidden="1">
      <c r="A47" s="5126" t="s">
        <v>42</v>
      </c>
      <c r="B47" s="5126" t="s">
        <v>3577</v>
      </c>
      <c r="C47" s="4834" t="s">
        <v>28</v>
      </c>
      <c r="D47" s="4833">
        <v>45227</v>
      </c>
      <c r="E47" s="5127">
        <v>45235</v>
      </c>
      <c r="F47" s="5128" t="s">
        <v>2686</v>
      </c>
      <c r="G47" s="5126" t="s">
        <v>829</v>
      </c>
      <c r="H47" s="4871"/>
      <c r="I47" s="4871"/>
      <c r="J47" s="4871" t="s">
        <v>168</v>
      </c>
      <c r="K47" s="5126" t="s">
        <v>2226</v>
      </c>
      <c r="L47" s="4871" t="s">
        <v>3578</v>
      </c>
      <c r="M47" s="5129">
        <v>45237</v>
      </c>
      <c r="N47" s="5129">
        <v>45236</v>
      </c>
      <c r="O47" s="1960">
        <v>45238</v>
      </c>
      <c r="P47" s="1974" t="s">
        <v>3579</v>
      </c>
      <c r="Q47" s="1974" t="s">
        <v>50</v>
      </c>
      <c r="R47" s="1768" t="s">
        <v>51</v>
      </c>
      <c r="S47" s="1768"/>
      <c r="T47" s="4864"/>
      <c r="U47" s="1768"/>
      <c r="V47" s="1768"/>
      <c r="W47" s="1768">
        <f>IFERROR((Table6[[#This Row],[Sales Amount]]-Table6[[#This Row],[Cost]])/Table6[[#This Row],[CNTR AMOUNT]],Table6[[#This Row],[Sales Amount]]-Table6[[#This Row],[Cost]])</f>
        <v>0</v>
      </c>
      <c r="X47" s="1982" t="str">
        <f>IFERROR(Table6[[#This Row],[Profit]]/Table6[[#This Row],[Cost]]," ")</f>
        <v xml:space="preserve"> </v>
      </c>
      <c r="Y47" s="1768"/>
      <c r="Z47" s="1968"/>
    </row>
    <row r="48" spans="1:27" s="543" customFormat="1" hidden="1">
      <c r="A48" s="4834" t="s">
        <v>42</v>
      </c>
      <c r="B48" s="4834" t="s">
        <v>3580</v>
      </c>
      <c r="C48" s="4834" t="s">
        <v>28</v>
      </c>
      <c r="D48" s="4833">
        <v>45223</v>
      </c>
      <c r="E48" s="5127">
        <v>45235</v>
      </c>
      <c r="F48" s="4834" t="s">
        <v>990</v>
      </c>
      <c r="G48" s="4834" t="s">
        <v>57</v>
      </c>
      <c r="H48" s="4833"/>
      <c r="I48" s="4834"/>
      <c r="J48" s="4834" t="s">
        <v>168</v>
      </c>
      <c r="K48" s="4834" t="s">
        <v>2226</v>
      </c>
      <c r="L48" s="4834" t="s">
        <v>3581</v>
      </c>
      <c r="M48" s="4833">
        <v>45237</v>
      </c>
      <c r="N48" s="4833">
        <v>45236</v>
      </c>
      <c r="O48" s="1734">
        <v>45238</v>
      </c>
      <c r="P48" s="3287" t="s">
        <v>3582</v>
      </c>
      <c r="Q48" s="3316" t="s">
        <v>50</v>
      </c>
      <c r="R48" s="3316" t="s">
        <v>51</v>
      </c>
      <c r="S48" s="3316"/>
      <c r="T48" s="4834"/>
      <c r="U48" s="3316"/>
      <c r="V48" s="3316"/>
      <c r="W48" s="3316">
        <f>IFERROR((Table6[[#This Row],[Sales Amount]]-Table6[[#This Row],[Cost]])/Table6[[#This Row],[CNTR AMOUNT]],Table6[[#This Row],[Sales Amount]]-Table6[[#This Row],[Cost]])</f>
        <v>0</v>
      </c>
      <c r="X48" s="3316" t="str">
        <f>IFERROR(Table6[[#This Row],[Profit]]/Table6[[#This Row],[Cost]]," ")</f>
        <v xml:space="preserve"> </v>
      </c>
      <c r="Y48" s="3316"/>
      <c r="Z48" s="3300"/>
    </row>
    <row r="49" spans="1:26" s="543" customFormat="1" ht="75">
      <c r="A49" s="3317" t="s">
        <v>409</v>
      </c>
      <c r="B49" s="3317" t="s">
        <v>3583</v>
      </c>
      <c r="C49" s="3317" t="s">
        <v>794</v>
      </c>
      <c r="D49" s="3290">
        <v>45235</v>
      </c>
      <c r="E49" s="3318">
        <v>45237</v>
      </c>
      <c r="F49" s="3317" t="s">
        <v>135</v>
      </c>
      <c r="G49" s="3313" t="s">
        <v>3584</v>
      </c>
      <c r="H49" s="3319" t="s">
        <v>3585</v>
      </c>
      <c r="I49" s="3320" t="s">
        <v>3586</v>
      </c>
      <c r="J49" s="3317" t="s">
        <v>1914</v>
      </c>
      <c r="K49" s="3317" t="s">
        <v>3587</v>
      </c>
      <c r="L49" s="3317" t="s">
        <v>162</v>
      </c>
      <c r="M49" s="3321">
        <v>45240</v>
      </c>
      <c r="N49" s="3321">
        <v>45240</v>
      </c>
      <c r="O49" s="1744">
        <v>45244</v>
      </c>
      <c r="P49" s="4267" t="s">
        <v>3588</v>
      </c>
      <c r="Q49" s="3322" t="s">
        <v>75</v>
      </c>
      <c r="R49" s="4267" t="s">
        <v>3589</v>
      </c>
      <c r="S49" s="3322"/>
      <c r="T49" s="3317">
        <v>1837.5</v>
      </c>
      <c r="U49" s="3322">
        <v>1565</v>
      </c>
      <c r="V49" s="3322">
        <v>1</v>
      </c>
      <c r="W49" s="3322">
        <f>IFERROR((Table6[[#This Row],[Sales Amount]]-Table6[[#This Row],[Cost]])/Table6[[#This Row],[CNTR AMOUNT]],Table6[[#This Row],[Sales Amount]]-Table6[[#This Row],[Cost]])</f>
        <v>272.5</v>
      </c>
      <c r="X49" s="3322">
        <f>IFERROR(Table6[[#This Row],[Profit]]/Table6[[#This Row],[Cost]]," ")</f>
        <v>0.17412140575079874</v>
      </c>
      <c r="Y49" s="3322"/>
      <c r="Z49" s="3317"/>
    </row>
    <row r="50" spans="1:26" s="760" customFormat="1" ht="120">
      <c r="A50" s="694" t="s">
        <v>409</v>
      </c>
      <c r="B50" s="4128" t="s">
        <v>3590</v>
      </c>
      <c r="C50" s="694" t="s">
        <v>44</v>
      </c>
      <c r="D50" s="635">
        <v>45240</v>
      </c>
      <c r="E50" s="662">
        <v>45250</v>
      </c>
      <c r="F50" s="694" t="s">
        <v>45</v>
      </c>
      <c r="G50" s="4094" t="s">
        <v>3080</v>
      </c>
      <c r="H50" s="4231" t="s">
        <v>3591</v>
      </c>
      <c r="I50" s="4128" t="s">
        <v>3592</v>
      </c>
      <c r="J50" s="694" t="s">
        <v>3593</v>
      </c>
      <c r="K50" s="694" t="s">
        <v>3019</v>
      </c>
      <c r="L50" s="694">
        <v>1983855</v>
      </c>
      <c r="M50" s="842">
        <v>45252</v>
      </c>
      <c r="N50" s="842">
        <v>45252</v>
      </c>
      <c r="O50" s="4231">
        <v>45279</v>
      </c>
      <c r="P50" s="4128" t="s">
        <v>3594</v>
      </c>
      <c r="Q50" s="694" t="s">
        <v>75</v>
      </c>
      <c r="R50" s="4128" t="s">
        <v>3595</v>
      </c>
      <c r="S50" s="694">
        <v>4</v>
      </c>
      <c r="T50" s="694">
        <v>4051.75</v>
      </c>
      <c r="U50" s="1988">
        <f>2184.3+451+1086.75</f>
        <v>3722.05</v>
      </c>
      <c r="V50" s="1988">
        <f>Table6[[#This Row],[Sales Amount]]-Table6[[#This Row],[Cost]]</f>
        <v>329.69999999999982</v>
      </c>
      <c r="W50" s="694">
        <f>IFERROR((Table6[[#This Row],[Sales Amount]]-Table6[[#This Row],[Cost]])/Table6[[#This Row],[CNTR AMOUNT]],Table6[[#This Row],[Sales Amount]]-Table6[[#This Row],[Cost]])</f>
        <v>1</v>
      </c>
      <c r="X50" s="1989">
        <f>Table6[[#This Row],[CNTR AMOUNT]]/Table6[[#This Row],[Cost]]</f>
        <v>8.8580217890678464E-2</v>
      </c>
      <c r="Y50" s="694"/>
      <c r="Z50" s="694"/>
    </row>
    <row r="51" spans="1:26" s="543" customFormat="1" ht="60">
      <c r="A51" s="1254" t="s">
        <v>409</v>
      </c>
      <c r="B51" s="4119" t="s">
        <v>3596</v>
      </c>
      <c r="C51" s="1254" t="s">
        <v>28</v>
      </c>
      <c r="D51" s="1787">
        <v>45220</v>
      </c>
      <c r="E51" s="1790">
        <v>45238</v>
      </c>
      <c r="F51" s="1254" t="s">
        <v>93</v>
      </c>
      <c r="G51" s="1899" t="s">
        <v>302</v>
      </c>
      <c r="H51" s="1904" t="s">
        <v>3597</v>
      </c>
      <c r="I51" s="1319" t="s">
        <v>3598</v>
      </c>
      <c r="J51" s="1254" t="s">
        <v>32</v>
      </c>
      <c r="K51" s="1254" t="s">
        <v>407</v>
      </c>
      <c r="L51" s="1254"/>
      <c r="M51" s="1254" t="s">
        <v>3599</v>
      </c>
      <c r="N51" s="4268" t="s">
        <v>3600</v>
      </c>
      <c r="O51" s="1241">
        <v>45243</v>
      </c>
      <c r="P51" s="4269" t="s">
        <v>3601</v>
      </c>
      <c r="Q51" s="1862" t="s">
        <v>75</v>
      </c>
      <c r="R51" s="4269" t="s">
        <v>3602</v>
      </c>
      <c r="S51" s="1862">
        <v>4</v>
      </c>
      <c r="T51" s="4270">
        <v>2967.5</v>
      </c>
      <c r="U51" s="1862">
        <f>506+1756</f>
        <v>2262</v>
      </c>
      <c r="V51" s="1862">
        <v>1</v>
      </c>
      <c r="W51" s="1862">
        <f>IFERROR((Table6[[#This Row],[Sales Amount]]-Table6[[#This Row],[Cost]])/Table6[[#This Row],[CNTR AMOUNT]],Table6[[#This Row],[Sales Amount]]-Table6[[#This Row],[Cost]])</f>
        <v>705.5</v>
      </c>
      <c r="X51" s="1863">
        <f>IFERROR(Table6[[#This Row],[Profit]]/Table6[[#This Row],[Cost]]," ")</f>
        <v>0.31189213085764811</v>
      </c>
      <c r="Y51" s="1862"/>
      <c r="Z51" s="1829"/>
    </row>
    <row r="52" spans="1:26" s="845" customFormat="1" ht="60">
      <c r="A52" s="4947" t="s">
        <v>409</v>
      </c>
      <c r="B52" s="5130" t="s">
        <v>3603</v>
      </c>
      <c r="C52" s="4947" t="s">
        <v>44</v>
      </c>
      <c r="D52" s="4836">
        <v>45254</v>
      </c>
      <c r="E52" s="4935">
        <v>45259</v>
      </c>
      <c r="F52" s="4947" t="s">
        <v>93</v>
      </c>
      <c r="G52" s="4835" t="s">
        <v>302</v>
      </c>
      <c r="H52" s="4936" t="s">
        <v>3604</v>
      </c>
      <c r="I52" s="4951" t="s">
        <v>3605</v>
      </c>
      <c r="J52" s="4909" t="s">
        <v>32</v>
      </c>
      <c r="K52" s="4909" t="s">
        <v>2978</v>
      </c>
      <c r="L52" s="4921" t="s">
        <v>3606</v>
      </c>
      <c r="M52" s="5069">
        <v>45261</v>
      </c>
      <c r="N52" s="5069">
        <v>45261</v>
      </c>
      <c r="O52" s="1956">
        <v>45267</v>
      </c>
      <c r="P52" s="4142" t="s">
        <v>3607</v>
      </c>
      <c r="Q52" s="994" t="s">
        <v>75</v>
      </c>
      <c r="R52" s="4271" t="s">
        <v>3608</v>
      </c>
      <c r="S52" s="994">
        <v>4</v>
      </c>
      <c r="T52" s="994">
        <v>2420</v>
      </c>
      <c r="U52" s="994">
        <v>1690</v>
      </c>
      <c r="V52" s="994">
        <v>1</v>
      </c>
      <c r="W52" s="994">
        <f>IFERROR((Table6[[#This Row],[Sales Amount]]-Table6[[#This Row],[Cost]])/Table6[[#This Row],[CNTR AMOUNT]],Table6[[#This Row],[Sales Amount]]-Table6[[#This Row],[Cost]])</f>
        <v>730</v>
      </c>
      <c r="X52" s="880">
        <f>IFERROR(Table6[[#This Row],[Profit]]/Table6[[#This Row],[Cost]]," ")</f>
        <v>0.43195266272189348</v>
      </c>
      <c r="Y52" s="994"/>
      <c r="Z52" s="994"/>
    </row>
    <row r="53" spans="1:26" s="762" customFormat="1" hidden="1">
      <c r="A53" s="4834" t="s">
        <v>42</v>
      </c>
      <c r="B53" s="5128" t="s">
        <v>3609</v>
      </c>
      <c r="C53" s="4834" t="s">
        <v>755</v>
      </c>
      <c r="D53" s="4833">
        <v>45234</v>
      </c>
      <c r="E53" s="4900">
        <v>45243</v>
      </c>
      <c r="F53" s="4834" t="s">
        <v>151</v>
      </c>
      <c r="G53" s="4834" t="s">
        <v>829</v>
      </c>
      <c r="H53" s="4864"/>
      <c r="I53" s="4864"/>
      <c r="J53" s="4871" t="s">
        <v>168</v>
      </c>
      <c r="K53" s="5126" t="s">
        <v>310</v>
      </c>
      <c r="L53" s="4834" t="s">
        <v>3610</v>
      </c>
      <c r="M53" s="5098">
        <v>45245</v>
      </c>
      <c r="N53" s="5098">
        <v>45244</v>
      </c>
      <c r="O53" s="1852">
        <v>45247</v>
      </c>
      <c r="P53" s="1859" t="s">
        <v>3611</v>
      </c>
      <c r="Q53" s="1162" t="s">
        <v>50</v>
      </c>
      <c r="R53" s="962" t="s">
        <v>51</v>
      </c>
      <c r="S53" s="962"/>
      <c r="T53" s="962"/>
      <c r="U53" s="962"/>
      <c r="V53" s="962"/>
      <c r="W53" s="962">
        <f>IFERROR((Table6[[#This Row],[Sales Amount]]-Table6[[#This Row],[Cost]])/Table6[[#This Row],[CNTR AMOUNT]],Table6[[#This Row],[Sales Amount]]-Table6[[#This Row],[Cost]])</f>
        <v>0</v>
      </c>
      <c r="X53" s="962" t="str">
        <f>IFERROR(Table6[[#This Row],[Profit]]/Table6[[#This Row],[Cost]]," ")</f>
        <v xml:space="preserve"> </v>
      </c>
      <c r="Y53" s="962"/>
      <c r="Z53" s="962"/>
    </row>
    <row r="54" spans="1:26" s="762" customFormat="1" hidden="1">
      <c r="A54" s="4834" t="s">
        <v>42</v>
      </c>
      <c r="B54" s="4834" t="s">
        <v>3612</v>
      </c>
      <c r="C54" s="4834" t="s">
        <v>28</v>
      </c>
      <c r="D54" s="4833">
        <v>45218</v>
      </c>
      <c r="E54" s="5127">
        <v>45230</v>
      </c>
      <c r="F54" s="4834" t="s">
        <v>45</v>
      </c>
      <c r="G54" s="4834" t="s">
        <v>829</v>
      </c>
      <c r="H54" s="4833"/>
      <c r="I54" s="4834"/>
      <c r="J54" s="4834" t="s">
        <v>168</v>
      </c>
      <c r="K54" s="4834" t="s">
        <v>2226</v>
      </c>
      <c r="L54" s="4834" t="s">
        <v>3613</v>
      </c>
      <c r="M54" s="4833">
        <v>45232</v>
      </c>
      <c r="N54" s="4833">
        <v>45231</v>
      </c>
      <c r="O54" s="1758">
        <v>45233</v>
      </c>
      <c r="P54" s="724" t="s">
        <v>3614</v>
      </c>
      <c r="Q54" s="962" t="s">
        <v>50</v>
      </c>
      <c r="R54" s="962" t="s">
        <v>51</v>
      </c>
      <c r="S54" s="962"/>
      <c r="T54" s="962"/>
      <c r="U54" s="962"/>
      <c r="V54" s="962"/>
      <c r="W54" s="962">
        <f>IFERROR((Table6[[#This Row],[Sales Amount]]-Table6[[#This Row],[Cost]])/Table6[[#This Row],[CNTR AMOUNT]],Table6[[#This Row],[Sales Amount]]-Table6[[#This Row],[Cost]])</f>
        <v>0</v>
      </c>
      <c r="X54" s="962" t="str">
        <f>IFERROR(Table6[[#This Row],[Profit]]/Table6[[#This Row],[Cost]]," ")</f>
        <v xml:space="preserve"> </v>
      </c>
      <c r="Y54" s="962"/>
      <c r="Z54" s="962"/>
    </row>
    <row r="55" spans="1:26" s="26" customFormat="1" hidden="1">
      <c r="A55" s="3289" t="s">
        <v>42</v>
      </c>
      <c r="B55" s="3323" t="s">
        <v>3615</v>
      </c>
      <c r="C55" s="3283" t="s">
        <v>28</v>
      </c>
      <c r="D55" s="3301">
        <v>45239</v>
      </c>
      <c r="E55" s="3302">
        <v>45249</v>
      </c>
      <c r="F55" s="3289" t="s">
        <v>45</v>
      </c>
      <c r="G55" s="3300" t="s">
        <v>46</v>
      </c>
      <c r="H55" s="3289"/>
      <c r="I55" s="3289"/>
      <c r="J55" s="3289" t="s">
        <v>32</v>
      </c>
      <c r="K55" s="3283" t="s">
        <v>310</v>
      </c>
      <c r="L55" s="3300" t="s">
        <v>3616</v>
      </c>
      <c r="M55" s="3324">
        <v>45251</v>
      </c>
      <c r="N55" s="3324">
        <v>45249</v>
      </c>
      <c r="O55" s="1964">
        <v>45251</v>
      </c>
      <c r="P55" s="1102" t="s">
        <v>3617</v>
      </c>
      <c r="Q55" s="967" t="s">
        <v>50</v>
      </c>
      <c r="R55" s="967" t="s">
        <v>534</v>
      </c>
      <c r="S55" s="967"/>
      <c r="T55" s="967"/>
      <c r="U55" s="967"/>
      <c r="V55" s="967"/>
      <c r="W55" s="967">
        <f>IFERROR((Table6[[#This Row],[Sales Amount]]-Table6[[#This Row],[Cost]])/Table6[[#This Row],[CNTR AMOUNT]],Table6[[#This Row],[Sales Amount]]-Table6[[#This Row],[Cost]])</f>
        <v>0</v>
      </c>
      <c r="X55" s="967" t="str">
        <f>IFERROR(Table6[[#This Row],[Profit]]/Table6[[#This Row],[Cost]]," ")</f>
        <v xml:space="preserve"> </v>
      </c>
      <c r="Y55" s="962"/>
      <c r="Z55" s="962"/>
    </row>
    <row r="56" spans="1:26" s="760" customFormat="1" ht="45">
      <c r="A56" s="694" t="s">
        <v>409</v>
      </c>
      <c r="B56" s="4128" t="s">
        <v>3618</v>
      </c>
      <c r="C56" s="694" t="s">
        <v>794</v>
      </c>
      <c r="D56" s="635">
        <v>45242</v>
      </c>
      <c r="E56" s="662">
        <v>45254</v>
      </c>
      <c r="F56" s="694" t="s">
        <v>98</v>
      </c>
      <c r="G56" s="1508" t="s">
        <v>3619</v>
      </c>
      <c r="H56" s="4231" t="s">
        <v>3620</v>
      </c>
      <c r="I56" s="4128" t="s">
        <v>3621</v>
      </c>
      <c r="J56" s="694" t="s">
        <v>600</v>
      </c>
      <c r="K56" s="1920" t="s">
        <v>3622</v>
      </c>
      <c r="L56" s="4272" t="s">
        <v>3623</v>
      </c>
      <c r="M56" s="4231">
        <v>45255</v>
      </c>
      <c r="N56" s="679">
        <v>45257</v>
      </c>
      <c r="O56" s="1949">
        <v>45260</v>
      </c>
      <c r="P56" s="4128" t="s">
        <v>3624</v>
      </c>
      <c r="Q56" s="694" t="s">
        <v>75</v>
      </c>
      <c r="R56" s="4128" t="s">
        <v>3625</v>
      </c>
      <c r="S56" s="694">
        <v>4</v>
      </c>
      <c r="T56" s="694">
        <v>1140</v>
      </c>
      <c r="U56" s="694">
        <f>460+240+150</f>
        <v>850</v>
      </c>
      <c r="V56" s="694">
        <v>1</v>
      </c>
      <c r="W56" s="694">
        <f>IFERROR((Table6[[#This Row],[Sales Amount]]-Table6[[#This Row],[Cost]])/Table6[[#This Row],[CNTR AMOUNT]],Table6[[#This Row],[Sales Amount]]-Table6[[#This Row],[Cost]])</f>
        <v>290</v>
      </c>
      <c r="X56" s="1989">
        <f>IFERROR(Table6[[#This Row],[Profit]]/Table6[[#This Row],[Cost]]," ")</f>
        <v>0.3411764705882353</v>
      </c>
      <c r="Y56" s="2113"/>
      <c r="Z56" s="3273"/>
    </row>
    <row r="57" spans="1:26" s="762" customFormat="1" ht="30">
      <c r="A57" s="1782" t="s">
        <v>409</v>
      </c>
      <c r="B57" s="4266" t="s">
        <v>3626</v>
      </c>
      <c r="C57" s="1782" t="s">
        <v>44</v>
      </c>
      <c r="D57" s="1787">
        <v>45234</v>
      </c>
      <c r="E57" s="1792">
        <v>45242</v>
      </c>
      <c r="F57" s="1782" t="s">
        <v>45</v>
      </c>
      <c r="G57" s="1899" t="s">
        <v>302</v>
      </c>
      <c r="H57" s="1841" t="s">
        <v>3627</v>
      </c>
      <c r="I57" s="1800" t="s">
        <v>3628</v>
      </c>
      <c r="J57" s="1782" t="s">
        <v>32</v>
      </c>
      <c r="K57" s="1782" t="s">
        <v>407</v>
      </c>
      <c r="L57" s="1254" t="s">
        <v>3629</v>
      </c>
      <c r="M57" s="1935">
        <v>45244</v>
      </c>
      <c r="N57" s="1935">
        <v>45244</v>
      </c>
      <c r="O57" s="1241">
        <v>45246</v>
      </c>
      <c r="P57" s="4273" t="s">
        <v>3630</v>
      </c>
      <c r="Q57" s="1745" t="s">
        <v>75</v>
      </c>
      <c r="R57" s="4273" t="s">
        <v>3631</v>
      </c>
      <c r="S57" s="1745"/>
      <c r="T57" s="1745">
        <v>1650</v>
      </c>
      <c r="U57" s="1745">
        <v>1438</v>
      </c>
      <c r="V57" s="1745">
        <v>1</v>
      </c>
      <c r="W57" s="1745">
        <f>IFERROR((Table6[[#This Row],[Sales Amount]]-Table6[[#This Row],[Cost]])/Table6[[#This Row],[CNTR AMOUNT]],Table6[[#This Row],[Sales Amount]]-Table6[[#This Row],[Cost]])</f>
        <v>212</v>
      </c>
      <c r="X57" s="1978">
        <f>IFERROR(Table6[[#This Row],[Profit]]/Table6[[#This Row],[Cost]]," ")</f>
        <v>0.1474269819193324</v>
      </c>
      <c r="Y57" s="3325"/>
      <c r="Z57" s="3273"/>
    </row>
    <row r="58" spans="1:26" customFormat="1" hidden="1">
      <c r="A58" s="4864" t="s">
        <v>42</v>
      </c>
      <c r="B58" s="4864" t="s">
        <v>3632</v>
      </c>
      <c r="C58" s="4864" t="s">
        <v>44</v>
      </c>
      <c r="D58" s="4833">
        <v>45247</v>
      </c>
      <c r="E58" s="4900">
        <v>45266</v>
      </c>
      <c r="F58" s="4864" t="s">
        <v>86</v>
      </c>
      <c r="G58" s="4834" t="s">
        <v>829</v>
      </c>
      <c r="H58" s="4864"/>
      <c r="I58" s="4864"/>
      <c r="J58" s="4864" t="s">
        <v>2940</v>
      </c>
      <c r="K58" s="4871" t="s">
        <v>310</v>
      </c>
      <c r="L58" s="4834" t="s">
        <v>3633</v>
      </c>
      <c r="M58" s="5098">
        <v>45267</v>
      </c>
      <c r="N58" s="5098">
        <v>45267</v>
      </c>
      <c r="O58" s="1774">
        <v>45269</v>
      </c>
      <c r="P58" s="3287" t="s">
        <v>3634</v>
      </c>
      <c r="Q58" s="3316" t="s">
        <v>50</v>
      </c>
      <c r="R58" s="3306" t="s">
        <v>36</v>
      </c>
      <c r="S58" s="3316"/>
      <c r="T58" s="3316"/>
      <c r="U58" s="3316"/>
      <c r="V58" s="3316"/>
      <c r="W58" s="3316">
        <f>IFERROR((Table6[[#This Row],[Sales Amount]]-Table6[[#This Row],[Cost]])/Table6[[#This Row],[CNTR AMOUNT]],Table6[[#This Row],[Sales Amount]]-Table6[[#This Row],[Cost]])</f>
        <v>0</v>
      </c>
      <c r="X58" s="3316" t="str">
        <f>IFERROR(Table6[[#This Row],[Profit]]/Table6[[#This Row],[Cost]]," ")</f>
        <v xml:space="preserve"> </v>
      </c>
      <c r="Y58" s="3316"/>
      <c r="Z58" s="3300"/>
    </row>
    <row r="59" spans="1:26" s="762" customFormat="1" ht="15.75" hidden="1">
      <c r="A59" s="4834" t="s">
        <v>42</v>
      </c>
      <c r="B59" s="4834" t="s">
        <v>3635</v>
      </c>
      <c r="C59" s="5126" t="s">
        <v>28</v>
      </c>
      <c r="D59" s="4833">
        <v>45237</v>
      </c>
      <c r="E59" s="5127">
        <v>45246</v>
      </c>
      <c r="F59" s="4834" t="s">
        <v>3636</v>
      </c>
      <c r="G59" s="4834" t="s">
        <v>2206</v>
      </c>
      <c r="H59" s="4864"/>
      <c r="I59" s="4864"/>
      <c r="J59" s="4864" t="s">
        <v>168</v>
      </c>
      <c r="K59" s="4834" t="s">
        <v>310</v>
      </c>
      <c r="L59" s="5131">
        <v>1322164</v>
      </c>
      <c r="M59" s="5098">
        <v>45248</v>
      </c>
      <c r="N59" s="5098">
        <v>45246</v>
      </c>
      <c r="O59" s="1852">
        <v>45248</v>
      </c>
      <c r="P59" s="724" t="s">
        <v>3637</v>
      </c>
      <c r="Q59" s="962" t="s">
        <v>50</v>
      </c>
      <c r="R59" s="962" t="s">
        <v>51</v>
      </c>
      <c r="S59" s="962"/>
      <c r="T59" s="962"/>
      <c r="U59" s="962"/>
      <c r="V59" s="962"/>
      <c r="W59" s="962">
        <f>IFERROR((Table6[[#This Row],[Sales Amount]]-Table6[[#This Row],[Cost]])/Table6[[#This Row],[CNTR AMOUNT]],Table6[[#This Row],[Sales Amount]]-Table6[[#This Row],[Cost]])</f>
        <v>0</v>
      </c>
      <c r="X59" s="962" t="str">
        <f>IFERROR(Table6[[#This Row],[Profit]]/Table6[[#This Row],[Cost]]," ")</f>
        <v xml:space="preserve"> </v>
      </c>
      <c r="Y59" s="962"/>
      <c r="Z59" s="962"/>
    </row>
    <row r="60" spans="1:26" s="1695" customFormat="1" hidden="1">
      <c r="A60" s="4834" t="s">
        <v>42</v>
      </c>
      <c r="B60" s="4834" t="s">
        <v>3638</v>
      </c>
      <c r="C60" s="4834" t="s">
        <v>44</v>
      </c>
      <c r="D60" s="4833">
        <v>45219</v>
      </c>
      <c r="E60" s="5127">
        <v>45231</v>
      </c>
      <c r="F60" s="4834" t="s">
        <v>3639</v>
      </c>
      <c r="G60" s="4834" t="s">
        <v>2206</v>
      </c>
      <c r="H60" s="4833"/>
      <c r="I60" s="4834"/>
      <c r="J60" s="4834" t="s">
        <v>168</v>
      </c>
      <c r="K60" s="4834" t="s">
        <v>2226</v>
      </c>
      <c r="L60" s="4834" t="s">
        <v>3640</v>
      </c>
      <c r="M60" s="4833">
        <v>45233</v>
      </c>
      <c r="N60" s="4833">
        <v>45232</v>
      </c>
      <c r="O60" s="1734">
        <v>45234</v>
      </c>
      <c r="P60" s="3287" t="s">
        <v>3641</v>
      </c>
      <c r="Q60" s="3316" t="s">
        <v>50</v>
      </c>
      <c r="R60" s="3316" t="s">
        <v>51</v>
      </c>
      <c r="S60" s="3316"/>
      <c r="T60" s="3316"/>
      <c r="U60" s="3316"/>
      <c r="V60" s="3316"/>
      <c r="W60" s="3316">
        <f>IFERROR((Table6[[#This Row],[Sales Amount]]-Table6[[#This Row],[Cost]])/Table6[[#This Row],[CNTR AMOUNT]],Table6[[#This Row],[Sales Amount]]-Table6[[#This Row],[Cost]])</f>
        <v>0</v>
      </c>
      <c r="X60" s="3316" t="str">
        <f>IFERROR(Table6[[#This Row],[Profit]]/Table6[[#This Row],[Cost]]," ")</f>
        <v xml:space="preserve"> </v>
      </c>
      <c r="Y60" s="3316"/>
      <c r="Z60" s="3300"/>
    </row>
    <row r="61" spans="1:26" s="949" customFormat="1" ht="45">
      <c r="A61" s="4947" t="s">
        <v>409</v>
      </c>
      <c r="B61" s="4964" t="s">
        <v>3642</v>
      </c>
      <c r="C61" s="4947" t="s">
        <v>44</v>
      </c>
      <c r="D61" s="4836">
        <v>45254</v>
      </c>
      <c r="E61" s="4935">
        <v>45259</v>
      </c>
      <c r="F61" s="4947" t="s">
        <v>93</v>
      </c>
      <c r="G61" s="4848" t="s">
        <v>302</v>
      </c>
      <c r="H61" s="4936" t="s">
        <v>3643</v>
      </c>
      <c r="I61" s="4951" t="s">
        <v>3644</v>
      </c>
      <c r="J61" s="4909" t="s">
        <v>32</v>
      </c>
      <c r="K61" s="4947" t="s">
        <v>407</v>
      </c>
      <c r="L61" s="4921" t="s">
        <v>3645</v>
      </c>
      <c r="M61" s="5069">
        <v>45261</v>
      </c>
      <c r="N61" s="5069">
        <v>45261</v>
      </c>
      <c r="O61" s="1746">
        <v>45267</v>
      </c>
      <c r="P61" s="4274" t="s">
        <v>3646</v>
      </c>
      <c r="Q61" s="3325" t="s">
        <v>75</v>
      </c>
      <c r="R61" s="3326" t="s">
        <v>3647</v>
      </c>
      <c r="S61" s="3325">
        <v>4</v>
      </c>
      <c r="T61" s="3325">
        <v>2625</v>
      </c>
      <c r="U61" s="3325">
        <v>1855</v>
      </c>
      <c r="V61" s="3325">
        <v>1</v>
      </c>
      <c r="W61" s="3325">
        <f>IFERROR((Table6[[#This Row],[Sales Amount]]-Table6[[#This Row],[Cost]])/Table6[[#This Row],[CNTR AMOUNT]],Table6[[#This Row],[Sales Amount]]-Table6[[#This Row],[Cost]])</f>
        <v>770</v>
      </c>
      <c r="X61" s="3325">
        <f>IFERROR(Table6[[#This Row],[Profit]]/Table6[[#This Row],[Cost]]," ")</f>
        <v>0.41509433962264153</v>
      </c>
      <c r="Y61" s="3325"/>
      <c r="Z61" s="3273"/>
    </row>
    <row r="62" spans="1:26" s="1019" customFormat="1" ht="45">
      <c r="A62" s="4947" t="s">
        <v>409</v>
      </c>
      <c r="B62" s="4908" t="s">
        <v>3648</v>
      </c>
      <c r="C62" s="4947" t="s">
        <v>44</v>
      </c>
      <c r="D62" s="4836">
        <v>45234</v>
      </c>
      <c r="E62" s="5107">
        <v>45243</v>
      </c>
      <c r="F62" s="4947" t="s">
        <v>93</v>
      </c>
      <c r="G62" s="5132" t="s">
        <v>46</v>
      </c>
      <c r="H62" s="4931" t="s">
        <v>3649</v>
      </c>
      <c r="I62" s="5133" t="s">
        <v>3650</v>
      </c>
      <c r="J62" s="4947" t="s">
        <v>32</v>
      </c>
      <c r="K62" s="4947" t="s">
        <v>1422</v>
      </c>
      <c r="L62" s="5134" t="s">
        <v>3651</v>
      </c>
      <c r="M62" s="5115">
        <v>45245</v>
      </c>
      <c r="N62" s="5115">
        <v>45245</v>
      </c>
      <c r="O62" s="4630">
        <v>45248</v>
      </c>
      <c r="P62" s="4909" t="s">
        <v>3652</v>
      </c>
      <c r="Q62" s="4947" t="s">
        <v>75</v>
      </c>
      <c r="R62" s="4909" t="s">
        <v>3653</v>
      </c>
      <c r="S62" s="4947">
        <v>4</v>
      </c>
      <c r="T62" s="4947">
        <v>2875</v>
      </c>
      <c r="U62" s="4947">
        <v>2086</v>
      </c>
      <c r="V62" s="4947">
        <v>1</v>
      </c>
      <c r="W62" s="4947">
        <f>IFERROR((Table6[[#This Row],[Sales Amount]]-Table6[[#This Row],[Cost]])/Table6[[#This Row],[CNTR AMOUNT]],Table6[[#This Row],[Sales Amount]]-Table6[[#This Row],[Cost]])</f>
        <v>789</v>
      </c>
      <c r="X62" s="4947">
        <f>IFERROR(Table6[[#This Row],[Profit]]/Table6[[#This Row],[Cost]]," ")</f>
        <v>0.37823585810162991</v>
      </c>
      <c r="Y62" s="4947"/>
      <c r="Z62" s="4947"/>
    </row>
    <row r="63" spans="1:26" s="543" customFormat="1" hidden="1">
      <c r="A63" s="4834" t="s">
        <v>42</v>
      </c>
      <c r="B63" s="4834" t="s">
        <v>3654</v>
      </c>
      <c r="C63" s="4834" t="s">
        <v>755</v>
      </c>
      <c r="D63" s="4833">
        <v>45226</v>
      </c>
      <c r="E63" s="5127">
        <v>45235</v>
      </c>
      <c r="F63" s="4834" t="s">
        <v>3655</v>
      </c>
      <c r="G63" s="4834" t="s">
        <v>2206</v>
      </c>
      <c r="H63" s="4833"/>
      <c r="I63" s="4834"/>
      <c r="J63" s="4834" t="s">
        <v>168</v>
      </c>
      <c r="K63" s="4834" t="s">
        <v>310</v>
      </c>
      <c r="L63" s="4834" t="s">
        <v>3656</v>
      </c>
      <c r="M63" s="4833">
        <v>45237</v>
      </c>
      <c r="N63" s="4833">
        <v>45236</v>
      </c>
      <c r="O63" s="946">
        <v>45238</v>
      </c>
      <c r="P63" s="1768" t="s">
        <v>3657</v>
      </c>
      <c r="Q63" s="1700" t="s">
        <v>50</v>
      </c>
      <c r="R63" s="1700" t="s">
        <v>51</v>
      </c>
      <c r="S63" s="1700"/>
      <c r="T63" s="1700"/>
      <c r="U63" s="1700"/>
      <c r="V63" s="1700"/>
      <c r="W63" s="1700">
        <f>IFERROR((Table6[[#This Row],[Sales Amount]]-Table6[[#This Row],[Cost]])/Table6[[#This Row],[CNTR AMOUNT]],Table6[[#This Row],[Sales Amount]]-Table6[[#This Row],[Cost]])</f>
        <v>0</v>
      </c>
      <c r="X63" s="1700" t="str">
        <f>IFERROR(Table6[[#This Row],[Profit]]/Table6[[#This Row],[Cost]]," ")</f>
        <v xml:space="preserve"> </v>
      </c>
      <c r="Y63" s="1700"/>
      <c r="Z63" s="1769"/>
    </row>
    <row r="64" spans="1:26" s="949" customFormat="1" hidden="1">
      <c r="A64" s="4834" t="s">
        <v>42</v>
      </c>
      <c r="B64" s="4834" t="s">
        <v>3658</v>
      </c>
      <c r="C64" s="5126" t="s">
        <v>28</v>
      </c>
      <c r="D64" s="4833">
        <v>45240</v>
      </c>
      <c r="E64" s="5127">
        <v>45243</v>
      </c>
      <c r="F64" s="4834" t="s">
        <v>56</v>
      </c>
      <c r="G64" s="4834" t="s">
        <v>829</v>
      </c>
      <c r="H64" s="4864"/>
      <c r="I64" s="4864"/>
      <c r="J64" s="4871" t="s">
        <v>168</v>
      </c>
      <c r="K64" s="5126" t="s">
        <v>310</v>
      </c>
      <c r="L64" s="4834" t="s">
        <v>3659</v>
      </c>
      <c r="M64" s="5098">
        <v>45245</v>
      </c>
      <c r="N64" s="4884">
        <v>45241</v>
      </c>
      <c r="O64" s="1774">
        <v>45244</v>
      </c>
      <c r="P64" s="3287" t="s">
        <v>3660</v>
      </c>
      <c r="Q64" s="3316" t="s">
        <v>50</v>
      </c>
      <c r="R64" s="3316" t="s">
        <v>2143</v>
      </c>
      <c r="S64" s="3316"/>
      <c r="T64" s="3316"/>
      <c r="U64" s="3316"/>
      <c r="V64" s="3316"/>
      <c r="W64" s="3316">
        <f>IFERROR((Table6[[#This Row],[Sales Amount]]-Table6[[#This Row],[Cost]])/Table6[[#This Row],[CNTR AMOUNT]],Table6[[#This Row],[Sales Amount]]-Table6[[#This Row],[Cost]])</f>
        <v>0</v>
      </c>
      <c r="X64" s="3316" t="str">
        <f>IFERROR(Table6[[#This Row],[Profit]]/Table6[[#This Row],[Cost]]," ")</f>
        <v xml:space="preserve"> </v>
      </c>
      <c r="Y64" s="3316"/>
      <c r="Z64" s="3300"/>
    </row>
    <row r="65" spans="1:26" s="26" customFormat="1" hidden="1">
      <c r="A65" s="4834" t="s">
        <v>42</v>
      </c>
      <c r="B65" s="4834" t="s">
        <v>3661</v>
      </c>
      <c r="C65" s="4834" t="s">
        <v>755</v>
      </c>
      <c r="D65" s="4833">
        <v>45221</v>
      </c>
      <c r="E65" s="5127">
        <v>45231</v>
      </c>
      <c r="F65" s="4834" t="s">
        <v>45</v>
      </c>
      <c r="G65" s="4834" t="s">
        <v>829</v>
      </c>
      <c r="H65" s="4833"/>
      <c r="I65" s="4834"/>
      <c r="J65" s="4834" t="s">
        <v>168</v>
      </c>
      <c r="K65" s="4834" t="s">
        <v>2226</v>
      </c>
      <c r="L65" s="4834" t="s">
        <v>3662</v>
      </c>
      <c r="M65" s="4833">
        <v>45234</v>
      </c>
      <c r="N65" s="4833">
        <v>45232</v>
      </c>
      <c r="O65" s="1734">
        <v>45233</v>
      </c>
      <c r="P65" s="3287" t="s">
        <v>3663</v>
      </c>
      <c r="Q65" s="3316" t="s">
        <v>50</v>
      </c>
      <c r="R65" s="3316" t="s">
        <v>51</v>
      </c>
      <c r="S65" s="3316"/>
      <c r="T65" s="3316"/>
      <c r="U65" s="3316"/>
      <c r="V65" s="3316"/>
      <c r="W65" s="3316">
        <f>IFERROR((Table6[[#This Row],[Sales Amount]]-Table6[[#This Row],[Cost]])/Table6[[#This Row],[CNTR AMOUNT]],Table6[[#This Row],[Sales Amount]]-Table6[[#This Row],[Cost]])</f>
        <v>0</v>
      </c>
      <c r="X65" s="3316" t="str">
        <f>IFERROR(Table6[[#This Row],[Profit]]/Table6[[#This Row],[Cost]]," ")</f>
        <v xml:space="preserve"> </v>
      </c>
      <c r="Y65" s="3316"/>
      <c r="Z65" s="3300"/>
    </row>
    <row r="66" spans="1:26" customFormat="1" hidden="1">
      <c r="A66" s="4834" t="s">
        <v>42</v>
      </c>
      <c r="B66" s="4834" t="s">
        <v>3664</v>
      </c>
      <c r="C66" s="5126" t="s">
        <v>28</v>
      </c>
      <c r="D66" s="4833">
        <v>45234</v>
      </c>
      <c r="E66" s="5127">
        <v>45242</v>
      </c>
      <c r="F66" s="4834" t="s">
        <v>86</v>
      </c>
      <c r="G66" s="4834" t="s">
        <v>46</v>
      </c>
      <c r="H66" s="4864"/>
      <c r="I66" s="4864"/>
      <c r="J66" s="4864" t="s">
        <v>168</v>
      </c>
      <c r="K66" s="5126" t="s">
        <v>310</v>
      </c>
      <c r="L66" s="4834">
        <v>707262</v>
      </c>
      <c r="M66" s="5098">
        <v>45244</v>
      </c>
      <c r="N66" s="5098">
        <v>45244</v>
      </c>
      <c r="O66" s="1852">
        <v>45247</v>
      </c>
      <c r="P66" s="724" t="s">
        <v>3665</v>
      </c>
      <c r="Q66" s="962" t="s">
        <v>50</v>
      </c>
      <c r="R66" s="962" t="s">
        <v>534</v>
      </c>
      <c r="S66" s="962"/>
      <c r="T66" s="962"/>
      <c r="U66" s="962"/>
      <c r="V66" s="962"/>
      <c r="W66" s="962">
        <f>IFERROR((Table6[[#This Row],[Sales Amount]]-Table6[[#This Row],[Cost]])/Table6[[#This Row],[CNTR AMOUNT]],Table6[[#This Row],[Sales Amount]]-Table6[[#This Row],[Cost]])</f>
        <v>0</v>
      </c>
      <c r="X66" s="962" t="str">
        <f>IFERROR(Table6[[#This Row],[Profit]]/Table6[[#This Row],[Cost]]," ")</f>
        <v xml:space="preserve"> </v>
      </c>
      <c r="Y66" s="962"/>
      <c r="Z66" s="962"/>
    </row>
    <row r="67" spans="1:26" s="507" customFormat="1" ht="30">
      <c r="A67" s="4947" t="s">
        <v>409</v>
      </c>
      <c r="B67" s="4909" t="s">
        <v>3666</v>
      </c>
      <c r="C67" s="4947" t="s">
        <v>44</v>
      </c>
      <c r="D67" s="4836">
        <v>45234</v>
      </c>
      <c r="E67" s="5107">
        <v>45245</v>
      </c>
      <c r="F67" s="4947" t="s">
        <v>45</v>
      </c>
      <c r="G67" s="4840" t="s">
        <v>3080</v>
      </c>
      <c r="H67" s="4931" t="s">
        <v>3667</v>
      </c>
      <c r="I67" s="5133" t="s">
        <v>3668</v>
      </c>
      <c r="J67" s="4947" t="s">
        <v>3593</v>
      </c>
      <c r="K67" s="4909" t="s">
        <v>3019</v>
      </c>
      <c r="L67" s="4838">
        <v>1534158</v>
      </c>
      <c r="M67" s="5108">
        <v>45246</v>
      </c>
      <c r="N67" s="5108">
        <v>45246</v>
      </c>
      <c r="O67" s="4635">
        <v>45254</v>
      </c>
      <c r="P67" s="4909" t="s">
        <v>3669</v>
      </c>
      <c r="Q67" s="4947" t="s">
        <v>75</v>
      </c>
      <c r="R67" s="4909" t="s">
        <v>3670</v>
      </c>
      <c r="S67" s="4947">
        <v>4</v>
      </c>
      <c r="T67" s="5135">
        <v>1307.5</v>
      </c>
      <c r="U67" s="5109">
        <v>972.15</v>
      </c>
      <c r="V67" s="4947"/>
      <c r="W67" s="4947">
        <f>IFERROR((Table6[[#This Row],[Sales Amount]]-Table6[[#This Row],[Cost]])/Table6[[#This Row],[CNTR AMOUNT]],Table6[[#This Row],[Sales Amount]]-Table6[[#This Row],[Cost]])</f>
        <v>335.35</v>
      </c>
      <c r="X67" s="4947">
        <f>IFERROR(Table6[[#This Row],[Profit]]/Table6[[#This Row],[Cost]]," ")</f>
        <v>0.34495705395257936</v>
      </c>
      <c r="Y67" s="4947"/>
      <c r="Z67" s="4947"/>
    </row>
    <row r="68" spans="1:26" s="543" customFormat="1" hidden="1">
      <c r="A68" s="4834" t="s">
        <v>409</v>
      </c>
      <c r="B68" s="4834" t="s">
        <v>3671</v>
      </c>
      <c r="C68" s="4834" t="s">
        <v>44</v>
      </c>
      <c r="D68" s="4833">
        <v>45234</v>
      </c>
      <c r="E68" s="5127">
        <v>45241</v>
      </c>
      <c r="F68" s="4834" t="s">
        <v>45</v>
      </c>
      <c r="G68" s="4834" t="s">
        <v>801</v>
      </c>
      <c r="H68" s="4884"/>
      <c r="I68" s="4864"/>
      <c r="J68" s="4864" t="s">
        <v>168</v>
      </c>
      <c r="K68" s="4834" t="s">
        <v>310</v>
      </c>
      <c r="L68" s="800">
        <v>707285</v>
      </c>
      <c r="M68" s="4833">
        <v>45243</v>
      </c>
      <c r="N68" s="4833">
        <v>45243</v>
      </c>
      <c r="O68" s="1855">
        <v>45245</v>
      </c>
      <c r="P68" s="1798" t="s">
        <v>3672</v>
      </c>
      <c r="Q68" s="1148" t="s">
        <v>50</v>
      </c>
      <c r="R68" s="1148" t="s">
        <v>51</v>
      </c>
      <c r="S68" s="1148"/>
      <c r="T68" s="1148"/>
      <c r="U68" s="1148"/>
      <c r="V68" s="1148"/>
      <c r="W68" s="1148">
        <f>IFERROR((Table6[[#This Row],[Sales Amount]]-Table6[[#This Row],[Cost]])/Table6[[#This Row],[CNTR AMOUNT]],Table6[[#This Row],[Sales Amount]]-Table6[[#This Row],[Cost]])</f>
        <v>0</v>
      </c>
      <c r="X68" s="1148" t="str">
        <f>IFERROR(Table6[[#This Row],[Profit]]/Table6[[#This Row],[Cost]]," ")</f>
        <v xml:space="preserve"> </v>
      </c>
      <c r="Y68" s="1148"/>
      <c r="Z68" s="1148"/>
    </row>
    <row r="69" spans="1:26" s="543" customFormat="1" hidden="1">
      <c r="A69" s="4834" t="s">
        <v>42</v>
      </c>
      <c r="B69" s="4834" t="s">
        <v>3673</v>
      </c>
      <c r="C69" s="4834" t="s">
        <v>44</v>
      </c>
      <c r="D69" s="4833">
        <v>45234</v>
      </c>
      <c r="E69" s="5127">
        <f>7+$D69</f>
        <v>45241</v>
      </c>
      <c r="F69" s="4834" t="s">
        <v>86</v>
      </c>
      <c r="G69" s="4834" t="s">
        <v>46</v>
      </c>
      <c r="H69" s="4864"/>
      <c r="I69" s="4864"/>
      <c r="J69" s="4871" t="s">
        <v>168</v>
      </c>
      <c r="K69" s="5126" t="s">
        <v>310</v>
      </c>
      <c r="L69" s="4834" t="s">
        <v>3674</v>
      </c>
      <c r="M69" s="5098">
        <v>45244</v>
      </c>
      <c r="N69" s="5098">
        <v>45244</v>
      </c>
      <c r="O69" s="1774">
        <v>45247</v>
      </c>
      <c r="P69" s="3327" t="s">
        <v>3675</v>
      </c>
      <c r="Q69" s="3316" t="s">
        <v>50</v>
      </c>
      <c r="R69" s="3316" t="s">
        <v>51</v>
      </c>
      <c r="S69" s="3316"/>
      <c r="T69" s="3316"/>
      <c r="U69" s="3316"/>
      <c r="V69" s="3316"/>
      <c r="W69" s="3316">
        <f>IFERROR((Table6[[#This Row],[Sales Amount]]-Table6[[#This Row],[Cost]])/Table6[[#This Row],[CNTR AMOUNT]],Table6[[#This Row],[Sales Amount]]-Table6[[#This Row],[Cost]])</f>
        <v>0</v>
      </c>
      <c r="X69" s="3316" t="str">
        <f>IFERROR(Table6[[#This Row],[Profit]]/Table6[[#This Row],[Cost]]," ")</f>
        <v xml:space="preserve"> </v>
      </c>
      <c r="Y69" s="3316"/>
      <c r="Z69" s="3300"/>
    </row>
    <row r="70" spans="1:26" s="949" customFormat="1" hidden="1">
      <c r="A70" s="4839" t="s">
        <v>2618</v>
      </c>
      <c r="B70" s="4839" t="s">
        <v>3676</v>
      </c>
      <c r="C70" s="4870" t="s">
        <v>28</v>
      </c>
      <c r="D70" s="4859">
        <v>45259</v>
      </c>
      <c r="E70" s="4859">
        <v>45259</v>
      </c>
      <c r="F70" s="4839" t="s">
        <v>56</v>
      </c>
      <c r="G70" s="4839" t="s">
        <v>3677</v>
      </c>
      <c r="H70" s="4839" t="s">
        <v>1038</v>
      </c>
      <c r="I70" s="4839"/>
      <c r="J70" s="4839" t="s">
        <v>382</v>
      </c>
      <c r="K70" s="4839" t="s">
        <v>382</v>
      </c>
      <c r="L70" s="915" t="s">
        <v>542</v>
      </c>
      <c r="M70" s="5078">
        <v>45261</v>
      </c>
      <c r="N70" s="4957">
        <v>45260</v>
      </c>
      <c r="O70" s="1735">
        <v>45264</v>
      </c>
      <c r="P70" s="3259" t="s">
        <v>3678</v>
      </c>
      <c r="Q70" s="3306" t="s">
        <v>35</v>
      </c>
      <c r="R70" s="3297" t="s">
        <v>36</v>
      </c>
      <c r="S70" s="3297" t="s">
        <v>2622</v>
      </c>
      <c r="T70" s="3298">
        <v>50</v>
      </c>
      <c r="U70" s="3298"/>
      <c r="V70" s="3298"/>
      <c r="W70" s="3298">
        <f>IFERROR((Table6[[#This Row],[Sales Amount]]-Table6[[#This Row],[Cost]])/Table6[[#This Row],[CNTR AMOUNT]],Table6[[#This Row],[Sales Amount]]-Table6[[#This Row],[Cost]])</f>
        <v>50</v>
      </c>
      <c r="X70" s="3298" t="str">
        <f>IFERROR(Table6[[#This Row],[Profit]]/Table6[[#This Row],[Cost]]," ")</f>
        <v xml:space="preserve"> </v>
      </c>
      <c r="Y70" s="3298"/>
      <c r="Z70" s="3241"/>
    </row>
    <row r="71" spans="1:26" s="3" customFormat="1" hidden="1">
      <c r="A71" s="4839" t="s">
        <v>2618</v>
      </c>
      <c r="B71" s="4839" t="s">
        <v>3679</v>
      </c>
      <c r="C71" s="4870" t="s">
        <v>28</v>
      </c>
      <c r="D71" s="4859">
        <v>45241</v>
      </c>
      <c r="E71" s="4859">
        <v>45242</v>
      </c>
      <c r="F71" s="4839" t="s">
        <v>285</v>
      </c>
      <c r="G71" s="4870" t="s">
        <v>2620</v>
      </c>
      <c r="H71" s="5136"/>
      <c r="I71" s="4839"/>
      <c r="J71" s="4839" t="s">
        <v>382</v>
      </c>
      <c r="K71" s="4839" t="s">
        <v>382</v>
      </c>
      <c r="L71" s="5136" t="s">
        <v>1038</v>
      </c>
      <c r="M71" s="5136" t="s">
        <v>3680</v>
      </c>
      <c r="N71" s="4957">
        <v>45244</v>
      </c>
      <c r="O71" s="4626">
        <v>45244</v>
      </c>
      <c r="P71" s="4861" t="s">
        <v>3681</v>
      </c>
      <c r="Q71" s="4839" t="s">
        <v>35</v>
      </c>
      <c r="R71" s="4870" t="s">
        <v>36</v>
      </c>
      <c r="S71" s="4870" t="s">
        <v>2622</v>
      </c>
      <c r="T71" s="4895">
        <v>50</v>
      </c>
      <c r="U71" s="4895"/>
      <c r="V71" s="4895"/>
      <c r="W71" s="4895">
        <f>IFERROR((Table6[[#This Row],[Sales Amount]]-Table6[[#This Row],[Cost]])/Table6[[#This Row],[CNTR AMOUNT]],Table6[[#This Row],[Sales Amount]]-Table6[[#This Row],[Cost]])</f>
        <v>50</v>
      </c>
      <c r="X71" s="4895" t="str">
        <f>IFERROR(Table6[[#This Row],[Profit]]/Table6[[#This Row],[Cost]]," ")</f>
        <v xml:space="preserve"> </v>
      </c>
      <c r="Y71" s="4895"/>
      <c r="Z71" s="4895"/>
    </row>
    <row r="72" spans="1:26" customFormat="1" ht="30" hidden="1">
      <c r="A72" s="4834" t="s">
        <v>2396</v>
      </c>
      <c r="B72" s="4834" t="s">
        <v>3682</v>
      </c>
      <c r="C72" s="4834" t="s">
        <v>44</v>
      </c>
      <c r="D72" s="4833">
        <v>45251</v>
      </c>
      <c r="E72" s="4833">
        <v>45251</v>
      </c>
      <c r="F72" s="4834" t="s">
        <v>260</v>
      </c>
      <c r="G72" s="4834" t="s">
        <v>3683</v>
      </c>
      <c r="H72" s="5098">
        <v>45258</v>
      </c>
      <c r="I72" s="4834" t="s">
        <v>899</v>
      </c>
      <c r="J72" s="4834" t="s">
        <v>1478</v>
      </c>
      <c r="K72" s="4834" t="s">
        <v>3684</v>
      </c>
      <c r="L72" s="4834"/>
      <c r="M72" s="5098">
        <v>45258</v>
      </c>
      <c r="N72" s="5098">
        <v>45258</v>
      </c>
      <c r="O72" s="961">
        <v>45264</v>
      </c>
      <c r="P72" s="4275" t="s">
        <v>3685</v>
      </c>
      <c r="Q72" s="1700" t="s">
        <v>128</v>
      </c>
      <c r="R72" s="1700" t="s">
        <v>36</v>
      </c>
      <c r="S72" s="3316"/>
      <c r="T72" s="3316">
        <v>1725</v>
      </c>
      <c r="U72" s="3316">
        <f>497.6+497.6+337.6</f>
        <v>1332.8000000000002</v>
      </c>
      <c r="V72" s="3316">
        <v>3</v>
      </c>
      <c r="W72" s="3316">
        <f>IFERROR((Table6[[#This Row],[Sales Amount]]-Table6[[#This Row],[Cost]])/Table6[[#This Row],[CNTR AMOUNT]],Table6[[#This Row],[Sales Amount]]-Table6[[#This Row],[Cost]])</f>
        <v>130.73333333333326</v>
      </c>
      <c r="X72" s="3316">
        <f>IFERROR(Table6[[#This Row],[Profit]]/Table6[[#This Row],[Cost]]," ")</f>
        <v>9.8089235694277646E-2</v>
      </c>
      <c r="Y72" s="3316"/>
      <c r="Z72" s="3300"/>
    </row>
    <row r="73" spans="1:26" customFormat="1" ht="30" hidden="1">
      <c r="A73" s="4834" t="s">
        <v>2396</v>
      </c>
      <c r="B73" s="4834" t="s">
        <v>3686</v>
      </c>
      <c r="C73" s="4834" t="s">
        <v>44</v>
      </c>
      <c r="D73" s="4833">
        <v>45251</v>
      </c>
      <c r="E73" s="4833">
        <v>45251</v>
      </c>
      <c r="F73" s="4834" t="s">
        <v>260</v>
      </c>
      <c r="G73" s="4834" t="s">
        <v>3683</v>
      </c>
      <c r="H73" s="5098">
        <v>45258</v>
      </c>
      <c r="I73" s="4834" t="s">
        <v>899</v>
      </c>
      <c r="J73" s="4834" t="s">
        <v>1478</v>
      </c>
      <c r="K73" s="4834" t="s">
        <v>3684</v>
      </c>
      <c r="L73" s="4834"/>
      <c r="M73" s="5098">
        <v>45258</v>
      </c>
      <c r="N73" s="5098">
        <v>45258</v>
      </c>
      <c r="O73" s="1774">
        <v>45260</v>
      </c>
      <c r="P73" s="4276" t="s">
        <v>3687</v>
      </c>
      <c r="Q73" s="3316" t="s">
        <v>128</v>
      </c>
      <c r="R73" s="3316" t="s">
        <v>36</v>
      </c>
      <c r="S73" s="3316"/>
      <c r="T73" s="3316">
        <v>1725</v>
      </c>
      <c r="U73" s="3316">
        <f>497.6+497.6+337.6</f>
        <v>1332.8000000000002</v>
      </c>
      <c r="V73" s="3316">
        <v>3</v>
      </c>
      <c r="W73" s="3316">
        <f>IFERROR((Table6[[#This Row],[Sales Amount]]-Table6[[#This Row],[Cost]])/Table6[[#This Row],[CNTR AMOUNT]],Table6[[#This Row],[Sales Amount]]-Table6[[#This Row],[Cost]])</f>
        <v>130.73333333333326</v>
      </c>
      <c r="X73" s="3316">
        <f>IFERROR(Table6[[#This Row],[Profit]]/Table6[[#This Row],[Cost]]," ")</f>
        <v>9.8089235694277646E-2</v>
      </c>
      <c r="Y73" s="3316"/>
      <c r="Z73" s="3300"/>
    </row>
    <row r="74" spans="1:26" s="845" customFormat="1" ht="30" hidden="1">
      <c r="A74" s="4834" t="s">
        <v>2396</v>
      </c>
      <c r="B74" s="4834" t="s">
        <v>3688</v>
      </c>
      <c r="C74" s="4834" t="s">
        <v>44</v>
      </c>
      <c r="D74" s="4833">
        <v>45251</v>
      </c>
      <c r="E74" s="4833">
        <v>45251</v>
      </c>
      <c r="F74" s="4834" t="s">
        <v>260</v>
      </c>
      <c r="G74" s="4834" t="s">
        <v>3683</v>
      </c>
      <c r="H74" s="5098">
        <v>45258</v>
      </c>
      <c r="I74" s="4834" t="s">
        <v>899</v>
      </c>
      <c r="J74" s="4834" t="s">
        <v>1478</v>
      </c>
      <c r="K74" s="4834" t="s">
        <v>3684</v>
      </c>
      <c r="L74" s="4834"/>
      <c r="M74" s="5098">
        <v>45258</v>
      </c>
      <c r="N74" s="5098">
        <v>45258</v>
      </c>
      <c r="O74" s="4632">
        <v>45264</v>
      </c>
      <c r="P74" s="4890" t="s">
        <v>3685</v>
      </c>
      <c r="Q74" s="4834" t="s">
        <v>128</v>
      </c>
      <c r="R74" s="4834" t="s">
        <v>36</v>
      </c>
      <c r="S74" s="1806"/>
      <c r="T74" s="3316">
        <v>1725</v>
      </c>
      <c r="U74" s="3316">
        <f>497.6+497.6+337.6</f>
        <v>1332.8000000000002</v>
      </c>
      <c r="V74" s="3316">
        <v>3</v>
      </c>
      <c r="W74" s="3316">
        <f>IFERROR((Table6[[#This Row],[Sales Amount]]-Table6[[#This Row],[Cost]])/Table6[[#This Row],[CNTR AMOUNT]],Table6[[#This Row],[Sales Amount]]-Table6[[#This Row],[Cost]])</f>
        <v>130.73333333333326</v>
      </c>
      <c r="X74" s="3316">
        <f>IFERROR(Table6[[#This Row],[Profit]]/Table6[[#This Row],[Cost]]," ")</f>
        <v>9.8089235694277646E-2</v>
      </c>
      <c r="Y74" s="3316"/>
      <c r="Z74" s="3300"/>
    </row>
    <row r="75" spans="1:26" customFormat="1" hidden="1">
      <c r="A75" s="4864" t="s">
        <v>3343</v>
      </c>
      <c r="B75" s="4864" t="s">
        <v>3689</v>
      </c>
      <c r="C75" s="4864" t="s">
        <v>44</v>
      </c>
      <c r="D75" s="4833">
        <v>45242</v>
      </c>
      <c r="E75" s="4900">
        <v>45248</v>
      </c>
      <c r="F75" s="4864" t="s">
        <v>734</v>
      </c>
      <c r="G75" s="4834" t="s">
        <v>829</v>
      </c>
      <c r="H75" s="4864"/>
      <c r="I75" s="4864"/>
      <c r="J75" s="4864" t="s">
        <v>168</v>
      </c>
      <c r="K75" s="4871" t="s">
        <v>310</v>
      </c>
      <c r="L75" s="5048" t="s">
        <v>3690</v>
      </c>
      <c r="M75" s="5098">
        <v>45252</v>
      </c>
      <c r="N75" s="5098">
        <v>45252</v>
      </c>
      <c r="O75" s="961">
        <v>45254</v>
      </c>
      <c r="P75" s="1768" t="s">
        <v>3691</v>
      </c>
      <c r="Q75" s="958" t="s">
        <v>50</v>
      </c>
      <c r="R75" s="958" t="s">
        <v>534</v>
      </c>
      <c r="S75" s="3316"/>
      <c r="T75" s="3316"/>
      <c r="U75" s="3316"/>
      <c r="V75" s="3316"/>
      <c r="W75" s="3316">
        <f>IFERROR((Table6[[#This Row],[Sales Amount]]-Table6[[#This Row],[Cost]])/Table6[[#This Row],[CNTR AMOUNT]],Table6[[#This Row],[Sales Amount]]-Table6[[#This Row],[Cost]])</f>
        <v>0</v>
      </c>
      <c r="X75" s="3316" t="str">
        <f>IFERROR(Table6[[#This Row],[Profit]]/Table6[[#This Row],[Cost]]," ")</f>
        <v xml:space="preserve"> </v>
      </c>
      <c r="Y75" s="3316"/>
      <c r="Z75" s="3300"/>
    </row>
    <row r="76" spans="1:26" customFormat="1" hidden="1">
      <c r="A76" s="4839" t="s">
        <v>68</v>
      </c>
      <c r="B76" s="4839" t="s">
        <v>3692</v>
      </c>
      <c r="C76" s="4870" t="s">
        <v>28</v>
      </c>
      <c r="D76" s="4859">
        <v>45252</v>
      </c>
      <c r="E76" s="4867">
        <v>45270</v>
      </c>
      <c r="F76" s="4839" t="s">
        <v>45</v>
      </c>
      <c r="G76" s="4839" t="s">
        <v>46</v>
      </c>
      <c r="H76" s="5078">
        <v>45271</v>
      </c>
      <c r="I76" s="4841"/>
      <c r="J76" s="4839" t="s">
        <v>490</v>
      </c>
      <c r="K76" s="4901" t="s">
        <v>2671</v>
      </c>
      <c r="L76" s="4841" t="s">
        <v>3693</v>
      </c>
      <c r="M76" s="4990">
        <v>45271</v>
      </c>
      <c r="N76" s="4990">
        <v>45270</v>
      </c>
      <c r="O76" s="1808">
        <v>45271</v>
      </c>
      <c r="P76" s="3248" t="s">
        <v>3694</v>
      </c>
      <c r="Q76" s="3297" t="s">
        <v>35</v>
      </c>
      <c r="R76" s="3297" t="s">
        <v>36</v>
      </c>
      <c r="S76" s="3297" t="s">
        <v>67</v>
      </c>
      <c r="T76" s="3298">
        <v>2560</v>
      </c>
      <c r="U76" s="3298">
        <v>2130</v>
      </c>
      <c r="V76" s="3298">
        <v>4</v>
      </c>
      <c r="W76" s="3298">
        <f>IFERROR((Table6[[#This Row],[Sales Amount]]-Table6[[#This Row],[Cost]])/Table6[[#This Row],[CNTR AMOUNT]],Table6[[#This Row],[Sales Amount]]-Table6[[#This Row],[Cost]])</f>
        <v>107.5</v>
      </c>
      <c r="X76" s="3298">
        <f>IFERROR(Table6[[#This Row],[Profit]]/Table6[[#This Row],[Cost]]," ")</f>
        <v>5.0469483568075117E-2</v>
      </c>
      <c r="Y76" s="3298"/>
      <c r="Z76" s="3241"/>
    </row>
    <row r="77" spans="1:26" s="147" customFormat="1" hidden="1">
      <c r="A77" s="4839" t="s">
        <v>68</v>
      </c>
      <c r="B77" s="4839" t="s">
        <v>3695</v>
      </c>
      <c r="C77" s="4870" t="s">
        <v>28</v>
      </c>
      <c r="D77" s="4859">
        <v>45252</v>
      </c>
      <c r="E77" s="4867">
        <v>45270</v>
      </c>
      <c r="F77" s="4839" t="s">
        <v>45</v>
      </c>
      <c r="G77" s="4839" t="s">
        <v>46</v>
      </c>
      <c r="H77" s="5078">
        <v>45271</v>
      </c>
      <c r="I77" s="4841" t="s">
        <v>115</v>
      </c>
      <c r="J77" s="4839" t="s">
        <v>490</v>
      </c>
      <c r="K77" s="4901" t="s">
        <v>2671</v>
      </c>
      <c r="L77" s="4841" t="s">
        <v>3696</v>
      </c>
      <c r="M77" s="4990">
        <v>45271</v>
      </c>
      <c r="N77" s="5078">
        <v>45271</v>
      </c>
      <c r="O77" s="1808">
        <v>45271</v>
      </c>
      <c r="P77" s="3248" t="s">
        <v>3694</v>
      </c>
      <c r="Q77" s="3297" t="s">
        <v>35</v>
      </c>
      <c r="R77" s="3297" t="s">
        <v>36</v>
      </c>
      <c r="S77" s="3297" t="s">
        <v>67</v>
      </c>
      <c r="T77" s="3298">
        <v>2560</v>
      </c>
      <c r="U77" s="3298">
        <v>2130</v>
      </c>
      <c r="V77" s="3298">
        <v>4</v>
      </c>
      <c r="W77" s="3298">
        <f>IFERROR((Table6[[#This Row],[Sales Amount]]-Table6[[#This Row],[Cost]])/Table6[[#This Row],[CNTR AMOUNT]],Table6[[#This Row],[Sales Amount]]-Table6[[#This Row],[Cost]])</f>
        <v>107.5</v>
      </c>
      <c r="X77" s="3298">
        <f>IFERROR(Table6[[#This Row],[Profit]]/Table6[[#This Row],[Cost]]," ")</f>
        <v>5.0469483568075117E-2</v>
      </c>
      <c r="Y77" s="3298"/>
      <c r="Z77" s="3241"/>
    </row>
    <row r="78" spans="1:26" customFormat="1" hidden="1">
      <c r="A78" s="4839" t="s">
        <v>68</v>
      </c>
      <c r="B78" s="4839" t="s">
        <v>3697</v>
      </c>
      <c r="C78" s="4870" t="s">
        <v>28</v>
      </c>
      <c r="D78" s="4859">
        <v>45244</v>
      </c>
      <c r="E78" s="4867">
        <v>45260</v>
      </c>
      <c r="F78" s="4839" t="s">
        <v>45</v>
      </c>
      <c r="G78" s="4839" t="s">
        <v>46</v>
      </c>
      <c r="H78" s="5078">
        <v>45261</v>
      </c>
      <c r="I78" s="4841" t="s">
        <v>31</v>
      </c>
      <c r="J78" s="4839" t="s">
        <v>490</v>
      </c>
      <c r="K78" s="4901" t="s">
        <v>2671</v>
      </c>
      <c r="L78" s="4841" t="s">
        <v>3698</v>
      </c>
      <c r="M78" s="4990">
        <v>45262</v>
      </c>
      <c r="N78" s="4957">
        <v>45261</v>
      </c>
      <c r="O78" s="1735">
        <v>45261</v>
      </c>
      <c r="P78" s="3248" t="s">
        <v>3699</v>
      </c>
      <c r="Q78" s="3297" t="s">
        <v>35</v>
      </c>
      <c r="R78" s="3297" t="s">
        <v>36</v>
      </c>
      <c r="S78" s="3297" t="s">
        <v>67</v>
      </c>
      <c r="T78" s="3298">
        <v>1280</v>
      </c>
      <c r="U78" s="3298">
        <v>1100</v>
      </c>
      <c r="V78" s="3298">
        <v>2</v>
      </c>
      <c r="W78" s="3298">
        <f>IFERROR((Table6[[#This Row],[Sales Amount]]-Table6[[#This Row],[Cost]])/Table6[[#This Row],[CNTR AMOUNT]],Table6[[#This Row],[Sales Amount]]-Table6[[#This Row],[Cost]])</f>
        <v>90</v>
      </c>
      <c r="X78" s="3298">
        <f>IFERROR(Table6[[#This Row],[Profit]]/Table6[[#This Row],[Cost]]," ")</f>
        <v>8.1818181818181818E-2</v>
      </c>
      <c r="Y78" s="3298"/>
      <c r="Z78" s="3241"/>
    </row>
    <row r="79" spans="1:26" s="147" customFormat="1" hidden="1">
      <c r="A79" s="4839" t="s">
        <v>68</v>
      </c>
      <c r="B79" s="4839" t="s">
        <v>3700</v>
      </c>
      <c r="C79" s="4870" t="s">
        <v>28</v>
      </c>
      <c r="D79" s="4859">
        <v>45234</v>
      </c>
      <c r="E79" s="4867">
        <v>45245</v>
      </c>
      <c r="F79" s="4839" t="s">
        <v>45</v>
      </c>
      <c r="G79" s="4839" t="s">
        <v>46</v>
      </c>
      <c r="H79" s="5078">
        <v>45244</v>
      </c>
      <c r="I79" s="4901" t="s">
        <v>212</v>
      </c>
      <c r="J79" s="4839" t="s">
        <v>490</v>
      </c>
      <c r="K79" s="4901" t="s">
        <v>2671</v>
      </c>
      <c r="L79" s="4841" t="s">
        <v>3701</v>
      </c>
      <c r="M79" s="4990">
        <v>45245</v>
      </c>
      <c r="N79" s="4957">
        <v>45244</v>
      </c>
      <c r="O79" s="1736">
        <v>45244</v>
      </c>
      <c r="P79" s="718" t="s">
        <v>3702</v>
      </c>
      <c r="Q79" s="18" t="s">
        <v>35</v>
      </c>
      <c r="R79" s="18" t="s">
        <v>36</v>
      </c>
      <c r="S79" s="18" t="s">
        <v>67</v>
      </c>
      <c r="T79" s="84">
        <v>3065</v>
      </c>
      <c r="U79" s="84">
        <v>2340</v>
      </c>
      <c r="V79" s="84">
        <v>4</v>
      </c>
      <c r="W79" s="84">
        <f>IFERROR((Table6[[#This Row],[Sales Amount]]-Table6[[#This Row],[Cost]])/Table6[[#This Row],[CNTR AMOUNT]],Table6[[#This Row],[Sales Amount]]-Table6[[#This Row],[Cost]])</f>
        <v>181.25</v>
      </c>
      <c r="X79" s="84">
        <f>IFERROR(Table6[[#This Row],[Profit]]/Table6[[#This Row],[Cost]]," ")</f>
        <v>7.745726495726496E-2</v>
      </c>
      <c r="Y79" s="84"/>
      <c r="Z79" s="84"/>
    </row>
    <row r="80" spans="1:26" customFormat="1" hidden="1">
      <c r="A80" s="4839" t="s">
        <v>68</v>
      </c>
      <c r="B80" s="4839" t="s">
        <v>3703</v>
      </c>
      <c r="C80" s="4870" t="s">
        <v>28</v>
      </c>
      <c r="D80" s="4859">
        <v>45234</v>
      </c>
      <c r="E80" s="4867">
        <v>45245</v>
      </c>
      <c r="F80" s="4839" t="s">
        <v>45</v>
      </c>
      <c r="G80" s="4839" t="s">
        <v>46</v>
      </c>
      <c r="H80" s="5078">
        <v>45244</v>
      </c>
      <c r="I80" s="4901" t="s">
        <v>40</v>
      </c>
      <c r="J80" s="4839" t="s">
        <v>490</v>
      </c>
      <c r="K80" s="4901" t="s">
        <v>2671</v>
      </c>
      <c r="L80" s="4841" t="s">
        <v>3704</v>
      </c>
      <c r="M80" s="4990">
        <v>45244</v>
      </c>
      <c r="N80" s="4957">
        <v>45244</v>
      </c>
      <c r="O80" s="1966">
        <v>45244</v>
      </c>
      <c r="P80" s="718" t="s">
        <v>3705</v>
      </c>
      <c r="Q80" s="18" t="s">
        <v>35</v>
      </c>
      <c r="R80" s="710" t="s">
        <v>36</v>
      </c>
      <c r="S80" s="710" t="s">
        <v>67</v>
      </c>
      <c r="T80" s="85">
        <v>3065</v>
      </c>
      <c r="U80" s="85">
        <v>2340</v>
      </c>
      <c r="V80" s="85">
        <v>4</v>
      </c>
      <c r="W80" s="85">
        <f>IFERROR((Table6[[#This Row],[Sales Amount]]-Table6[[#This Row],[Cost]])/Table6[[#This Row],[CNTR AMOUNT]],Table6[[#This Row],[Sales Amount]]-Table6[[#This Row],[Cost]])</f>
        <v>181.25</v>
      </c>
      <c r="X80" s="85">
        <f>IFERROR(Table6[[#This Row],[Profit]]/Table6[[#This Row],[Cost]]," ")</f>
        <v>7.745726495726496E-2</v>
      </c>
      <c r="Y80" s="85"/>
      <c r="Z80" s="85"/>
    </row>
    <row r="81" spans="1:26" s="3" customFormat="1" hidden="1">
      <c r="A81" s="4839" t="s">
        <v>68</v>
      </c>
      <c r="B81" s="4839" t="s">
        <v>3706</v>
      </c>
      <c r="C81" s="4870" t="s">
        <v>28</v>
      </c>
      <c r="D81" s="4859">
        <v>45252</v>
      </c>
      <c r="E81" s="4867">
        <v>45270</v>
      </c>
      <c r="F81" s="4839" t="s">
        <v>45</v>
      </c>
      <c r="G81" s="4839" t="s">
        <v>46</v>
      </c>
      <c r="H81" s="5078">
        <v>45271</v>
      </c>
      <c r="I81" s="4841" t="s">
        <v>108</v>
      </c>
      <c r="J81" s="4839" t="s">
        <v>490</v>
      </c>
      <c r="K81" s="4901" t="s">
        <v>2671</v>
      </c>
      <c r="L81" s="4841" t="s">
        <v>3707</v>
      </c>
      <c r="M81" s="4990">
        <v>45271</v>
      </c>
      <c r="N81" s="5078">
        <v>45271</v>
      </c>
      <c r="O81" s="4625">
        <v>45271</v>
      </c>
      <c r="P81" s="4861" t="s">
        <v>3694</v>
      </c>
      <c r="Q81" s="4839" t="s">
        <v>35</v>
      </c>
      <c r="R81" s="4839" t="s">
        <v>36</v>
      </c>
      <c r="S81" s="4839" t="s">
        <v>67</v>
      </c>
      <c r="T81" s="4895">
        <v>2560</v>
      </c>
      <c r="U81" s="4895">
        <v>2130</v>
      </c>
      <c r="V81" s="4895">
        <v>4</v>
      </c>
      <c r="W81" s="4895">
        <f>IFERROR((Table6[[#This Row],[Sales Amount]]-Table6[[#This Row],[Cost]])/Table6[[#This Row],[CNTR AMOUNT]],Table6[[#This Row],[Sales Amount]]-Table6[[#This Row],[Cost]])</f>
        <v>107.5</v>
      </c>
      <c r="X81" s="4895">
        <f>IFERROR(Table6[[#This Row],[Profit]]/Table6[[#This Row],[Cost]]," ")</f>
        <v>5.0469483568075117E-2</v>
      </c>
      <c r="Y81" s="4895"/>
      <c r="Z81" s="4895"/>
    </row>
    <row r="82" spans="1:26" s="650" customFormat="1" hidden="1">
      <c r="A82" s="4839" t="s">
        <v>68</v>
      </c>
      <c r="B82" s="4839" t="s">
        <v>3708</v>
      </c>
      <c r="C82" s="4870" t="s">
        <v>28</v>
      </c>
      <c r="D82" s="4859">
        <v>45252</v>
      </c>
      <c r="E82" s="4867">
        <v>45270</v>
      </c>
      <c r="F82" s="4839" t="s">
        <v>45</v>
      </c>
      <c r="G82" s="4839" t="s">
        <v>46</v>
      </c>
      <c r="H82" s="5078">
        <v>45271</v>
      </c>
      <c r="I82" s="4841" t="s">
        <v>40</v>
      </c>
      <c r="J82" s="4839" t="s">
        <v>490</v>
      </c>
      <c r="K82" s="4901" t="s">
        <v>2671</v>
      </c>
      <c r="L82" s="4841" t="s">
        <v>3709</v>
      </c>
      <c r="M82" s="4990">
        <v>45271</v>
      </c>
      <c r="N82" s="4990">
        <v>45270</v>
      </c>
      <c r="O82" s="1640">
        <v>45271</v>
      </c>
      <c r="P82" s="1698" t="s">
        <v>3694</v>
      </c>
      <c r="Q82" s="1696" t="s">
        <v>35</v>
      </c>
      <c r="R82" s="1696" t="s">
        <v>36</v>
      </c>
      <c r="S82" s="1696" t="s">
        <v>67</v>
      </c>
      <c r="T82" s="1690">
        <v>2560</v>
      </c>
      <c r="U82" s="3298">
        <v>2130</v>
      </c>
      <c r="V82" s="3298">
        <v>4</v>
      </c>
      <c r="W82" s="3298">
        <f>IFERROR((Table6[[#This Row],[Sales Amount]]-Table6[[#This Row],[Cost]])/Table6[[#This Row],[CNTR AMOUNT]],Table6[[#This Row],[Sales Amount]]-Table6[[#This Row],[Cost]])</f>
        <v>107.5</v>
      </c>
      <c r="X82" s="3298">
        <f>IFERROR(Table6[[#This Row],[Profit]]/Table6[[#This Row],[Cost]]," ")</f>
        <v>5.0469483568075117E-2</v>
      </c>
      <c r="Y82" s="3298"/>
      <c r="Z82" s="3241"/>
    </row>
    <row r="83" spans="1:26" s="723" customFormat="1" hidden="1">
      <c r="A83" s="4839" t="s">
        <v>68</v>
      </c>
      <c r="B83" s="4839" t="s">
        <v>3710</v>
      </c>
      <c r="C83" s="4870" t="s">
        <v>28</v>
      </c>
      <c r="D83" s="4859">
        <v>45244</v>
      </c>
      <c r="E83" s="4867">
        <v>45255</v>
      </c>
      <c r="F83" s="4839" t="s">
        <v>45</v>
      </c>
      <c r="G83" s="4839" t="s">
        <v>46</v>
      </c>
      <c r="H83" s="5078">
        <v>45258</v>
      </c>
      <c r="I83" s="4841" t="s">
        <v>212</v>
      </c>
      <c r="J83" s="4839" t="s">
        <v>490</v>
      </c>
      <c r="K83" s="4901" t="s">
        <v>2671</v>
      </c>
      <c r="L83" s="4841">
        <v>111915</v>
      </c>
      <c r="M83" s="4990">
        <v>45258</v>
      </c>
      <c r="N83" s="5078">
        <v>45258</v>
      </c>
      <c r="O83" s="1853">
        <v>45258</v>
      </c>
      <c r="P83" s="718" t="s">
        <v>3699</v>
      </c>
      <c r="Q83" s="18" t="s">
        <v>35</v>
      </c>
      <c r="R83" s="4839" t="s">
        <v>36</v>
      </c>
      <c r="S83" s="18" t="s">
        <v>67</v>
      </c>
      <c r="T83" s="84">
        <v>1280</v>
      </c>
      <c r="U83" s="84">
        <v>1100</v>
      </c>
      <c r="V83" s="84">
        <v>2</v>
      </c>
      <c r="W83" s="84">
        <f>IFERROR((Table6[[#This Row],[Sales Amount]]-Table6[[#This Row],[Cost]])/Table6[[#This Row],[CNTR AMOUNT]],Table6[[#This Row],[Sales Amount]]-Table6[[#This Row],[Cost]])</f>
        <v>90</v>
      </c>
      <c r="X83" s="84">
        <f>IFERROR(Table6[[#This Row],[Profit]]/Table6[[#This Row],[Cost]]," ")</f>
        <v>8.1818181818181818E-2</v>
      </c>
      <c r="Y83" s="84"/>
      <c r="Z83" s="84"/>
    </row>
    <row r="84" spans="1:26" s="1536" customFormat="1" hidden="1">
      <c r="A84" s="4839" t="s">
        <v>68</v>
      </c>
      <c r="B84" s="4839" t="s">
        <v>3711</v>
      </c>
      <c r="C84" s="4870" t="s">
        <v>28</v>
      </c>
      <c r="D84" s="4859">
        <v>45234</v>
      </c>
      <c r="E84" s="4867">
        <v>45245</v>
      </c>
      <c r="F84" s="4839" t="s">
        <v>45</v>
      </c>
      <c r="G84" s="4839" t="s">
        <v>46</v>
      </c>
      <c r="H84" s="5078">
        <v>45245</v>
      </c>
      <c r="I84" s="4901" t="s">
        <v>108</v>
      </c>
      <c r="J84" s="4839" t="s">
        <v>490</v>
      </c>
      <c r="K84" s="4901" t="s">
        <v>2671</v>
      </c>
      <c r="L84" s="4841" t="s">
        <v>3712</v>
      </c>
      <c r="M84" s="5078">
        <v>45245</v>
      </c>
      <c r="N84" s="4957">
        <v>45244</v>
      </c>
      <c r="O84" s="1735">
        <v>45245</v>
      </c>
      <c r="P84" s="3248" t="s">
        <v>3702</v>
      </c>
      <c r="Q84" s="3297" t="s">
        <v>35</v>
      </c>
      <c r="R84" s="3297" t="s">
        <v>36</v>
      </c>
      <c r="S84" s="3297" t="s">
        <v>67</v>
      </c>
      <c r="T84" s="3298">
        <v>3065</v>
      </c>
      <c r="U84" s="3298">
        <v>2340</v>
      </c>
      <c r="V84" s="3298">
        <v>4</v>
      </c>
      <c r="W84" s="3298">
        <f>IFERROR((Table6[[#This Row],[Sales Amount]]-Table6[[#This Row],[Cost]])/Table6[[#This Row],[CNTR AMOUNT]],Table6[[#This Row],[Sales Amount]]-Table6[[#This Row],[Cost]])</f>
        <v>181.25</v>
      </c>
      <c r="X84" s="3298">
        <f>IFERROR(Table6[[#This Row],[Profit]]/Table6[[#This Row],[Cost]]," ")</f>
        <v>7.745726495726496E-2</v>
      </c>
      <c r="Y84" s="3298"/>
      <c r="Z84" s="3241"/>
    </row>
    <row r="85" spans="1:26" s="147" customFormat="1" hidden="1">
      <c r="A85" s="4839" t="s">
        <v>68</v>
      </c>
      <c r="B85" s="4839" t="s">
        <v>3713</v>
      </c>
      <c r="C85" s="4870" t="s">
        <v>28</v>
      </c>
      <c r="D85" s="4859">
        <v>45234</v>
      </c>
      <c r="E85" s="4867">
        <v>45245</v>
      </c>
      <c r="F85" s="4839" t="s">
        <v>45</v>
      </c>
      <c r="G85" s="4839" t="s">
        <v>46</v>
      </c>
      <c r="H85" s="5078">
        <v>45244</v>
      </c>
      <c r="I85" s="4901" t="s">
        <v>31</v>
      </c>
      <c r="J85" s="4839" t="s">
        <v>490</v>
      </c>
      <c r="K85" s="4901" t="s">
        <v>2671</v>
      </c>
      <c r="L85" s="4841">
        <v>262202</v>
      </c>
      <c r="M85" s="4990">
        <v>45244</v>
      </c>
      <c r="N85" s="4990">
        <v>45244</v>
      </c>
      <c r="O85" s="1736">
        <v>45244</v>
      </c>
      <c r="P85" s="718" t="s">
        <v>3702</v>
      </c>
      <c r="Q85" s="18" t="s">
        <v>35</v>
      </c>
      <c r="R85" s="18" t="s">
        <v>36</v>
      </c>
      <c r="S85" s="18" t="s">
        <v>67</v>
      </c>
      <c r="T85" s="84">
        <v>3065</v>
      </c>
      <c r="U85" s="84">
        <v>2340</v>
      </c>
      <c r="V85" s="84">
        <v>4</v>
      </c>
      <c r="W85" s="84">
        <f>IFERROR((Table6[[#This Row],[Sales Amount]]-Table6[[#This Row],[Cost]])/Table6[[#This Row],[CNTR AMOUNT]],Table6[[#This Row],[Sales Amount]]-Table6[[#This Row],[Cost]])</f>
        <v>181.25</v>
      </c>
      <c r="X85" s="84">
        <f>IFERROR(Table6[[#This Row],[Profit]]/Table6[[#This Row],[Cost]]," ")</f>
        <v>7.745726495726496E-2</v>
      </c>
      <c r="Y85" s="84"/>
      <c r="Z85" s="84"/>
    </row>
    <row r="86" spans="1:26" s="147" customFormat="1" hidden="1">
      <c r="A86" s="4834" t="s">
        <v>681</v>
      </c>
      <c r="B86" s="5137">
        <v>6369033510</v>
      </c>
      <c r="C86" s="4834" t="s">
        <v>28</v>
      </c>
      <c r="D86" s="4833">
        <v>45294</v>
      </c>
      <c r="E86" s="4833">
        <v>45294</v>
      </c>
      <c r="F86" s="4834" t="s">
        <v>45</v>
      </c>
      <c r="G86" s="4834" t="s">
        <v>3714</v>
      </c>
      <c r="H86" s="5098">
        <v>45238</v>
      </c>
      <c r="I86" s="4834"/>
      <c r="J86" s="4834" t="s">
        <v>859</v>
      </c>
      <c r="K86" s="4834" t="s">
        <v>3715</v>
      </c>
      <c r="L86" s="4834"/>
      <c r="M86" s="4834"/>
      <c r="N86" s="4834"/>
      <c r="O86" s="1806"/>
      <c r="P86" s="3287" t="s">
        <v>3716</v>
      </c>
      <c r="Q86" s="3316" t="s">
        <v>128</v>
      </c>
      <c r="R86" s="3316" t="s">
        <v>36</v>
      </c>
      <c r="S86" s="3316"/>
      <c r="T86" s="3316">
        <v>11050</v>
      </c>
      <c r="U86" s="3316">
        <f>913.75+8463</f>
        <v>9376.75</v>
      </c>
      <c r="V86" s="3316">
        <v>2</v>
      </c>
      <c r="W86" s="3316">
        <f>IFERROR((Table6[[#This Row],[Sales Amount]]-Table6[[#This Row],[Cost]])/Table6[[#This Row],[CNTR AMOUNT]],Table6[[#This Row],[Sales Amount]]-Table6[[#This Row],[Cost]])</f>
        <v>836.625</v>
      </c>
      <c r="X86" s="3316">
        <f>IFERROR(Table6[[#This Row],[Profit]]/Table6[[#This Row],[Cost]]," ")</f>
        <v>8.9223344975604552E-2</v>
      </c>
      <c r="Y86" s="3316"/>
      <c r="Z86" s="3300"/>
    </row>
    <row r="87" spans="1:26" s="745" customFormat="1" hidden="1">
      <c r="A87" s="4834" t="s">
        <v>681</v>
      </c>
      <c r="B87" s="5137">
        <v>6369033510</v>
      </c>
      <c r="C87" s="4834" t="s">
        <v>28</v>
      </c>
      <c r="D87" s="4833">
        <v>45294</v>
      </c>
      <c r="E87" s="4833">
        <v>45310</v>
      </c>
      <c r="F87" s="4834" t="s">
        <v>45</v>
      </c>
      <c r="G87" s="4834" t="s">
        <v>3714</v>
      </c>
      <c r="H87" s="5098">
        <v>45236</v>
      </c>
      <c r="I87" s="4834"/>
      <c r="J87" s="4834" t="s">
        <v>859</v>
      </c>
      <c r="K87" s="4834" t="s">
        <v>3715</v>
      </c>
      <c r="L87" s="4834"/>
      <c r="M87" s="4834"/>
      <c r="N87" s="4834"/>
      <c r="O87" s="1806"/>
      <c r="P87" s="3287" t="s">
        <v>3717</v>
      </c>
      <c r="Q87" s="3316" t="s">
        <v>128</v>
      </c>
      <c r="R87" s="3316" t="s">
        <v>36</v>
      </c>
      <c r="S87" s="3316"/>
      <c r="T87" s="3316">
        <v>11050</v>
      </c>
      <c r="U87" s="3316">
        <f>913.75+8463</f>
        <v>9376.75</v>
      </c>
      <c r="V87" s="3316">
        <v>2</v>
      </c>
      <c r="W87" s="3316">
        <f>IFERROR((Table6[[#This Row],[Sales Amount]]-Table6[[#This Row],[Cost]])/Table6[[#This Row],[CNTR AMOUNT]],Table6[[#This Row],[Sales Amount]]-Table6[[#This Row],[Cost]])</f>
        <v>836.625</v>
      </c>
      <c r="X87" s="3316">
        <f>IFERROR(Table6[[#This Row],[Profit]]/Table6[[#This Row],[Cost]]," ")</f>
        <v>8.9223344975604552E-2</v>
      </c>
      <c r="Y87" s="3316"/>
      <c r="Z87" s="3300"/>
    </row>
    <row r="88" spans="1:26" ht="60" hidden="1">
      <c r="A88" s="3275" t="s">
        <v>1477</v>
      </c>
      <c r="B88" s="3328">
        <v>6368934710</v>
      </c>
      <c r="C88" s="3275" t="s">
        <v>3241</v>
      </c>
      <c r="D88" s="3329">
        <v>45246</v>
      </c>
      <c r="E88" s="3280">
        <v>45261</v>
      </c>
      <c r="F88" s="3275" t="s">
        <v>45</v>
      </c>
      <c r="G88" s="3275" t="s">
        <v>46</v>
      </c>
      <c r="H88" s="3330" t="s">
        <v>3718</v>
      </c>
      <c r="I88" s="3331"/>
      <c r="J88" s="3275" t="s">
        <v>32</v>
      </c>
      <c r="K88" s="3241" t="s">
        <v>2124</v>
      </c>
      <c r="L88" s="3332" t="s">
        <v>542</v>
      </c>
      <c r="M88" s="3332" t="s">
        <v>3719</v>
      </c>
      <c r="N88" s="3295" t="s">
        <v>3720</v>
      </c>
      <c r="O88" s="797" t="s">
        <v>3720</v>
      </c>
      <c r="P88" s="3248" t="s">
        <v>3721</v>
      </c>
      <c r="Q88" s="3297" t="s">
        <v>35</v>
      </c>
      <c r="R88" s="3297" t="s">
        <v>36</v>
      </c>
      <c r="S88" s="3297" t="s">
        <v>664</v>
      </c>
      <c r="T88" s="3298"/>
      <c r="U88" s="3298"/>
      <c r="V88" s="3298"/>
      <c r="W88" s="3298">
        <f>IFERROR((Table6[[#This Row],[Sales Amount]]-Table6[[#This Row],[Cost]])/Table6[[#This Row],[CNTR AMOUNT]],Table6[[#This Row],[Sales Amount]]-Table6[[#This Row],[Cost]])</f>
        <v>0</v>
      </c>
      <c r="X88" s="3298" t="str">
        <f>IFERROR(Table6[[#This Row],[Profit]]/Table6[[#This Row],[Cost]]," ")</f>
        <v xml:space="preserve"> </v>
      </c>
      <c r="Y88" s="3298"/>
      <c r="Z88" s="3241"/>
    </row>
    <row r="89" spans="1:26" s="745" customFormat="1" ht="30">
      <c r="A89" s="694" t="s">
        <v>165</v>
      </c>
      <c r="B89" s="4193" t="s">
        <v>3722</v>
      </c>
      <c r="C89" s="694" t="s">
        <v>44</v>
      </c>
      <c r="D89" s="635">
        <v>45242</v>
      </c>
      <c r="E89" s="662">
        <v>45256</v>
      </c>
      <c r="F89" s="694" t="s">
        <v>245</v>
      </c>
      <c r="G89" s="4094" t="s">
        <v>3723</v>
      </c>
      <c r="H89" s="4193" t="s">
        <v>3724</v>
      </c>
      <c r="I89" s="4193" t="s">
        <v>899</v>
      </c>
      <c r="J89" s="4128" t="s">
        <v>440</v>
      </c>
      <c r="K89" s="4128" t="s">
        <v>3725</v>
      </c>
      <c r="L89" s="1180">
        <v>732240</v>
      </c>
      <c r="M89" s="679">
        <v>45259</v>
      </c>
      <c r="N89" s="679">
        <v>45259</v>
      </c>
      <c r="O89" s="679">
        <v>45279</v>
      </c>
      <c r="P89" s="900" t="s">
        <v>3726</v>
      </c>
      <c r="Q89" s="694" t="s">
        <v>75</v>
      </c>
      <c r="R89" s="4128" t="s">
        <v>3727</v>
      </c>
      <c r="S89" s="33">
        <v>4</v>
      </c>
      <c r="T89" s="120">
        <v>1675</v>
      </c>
      <c r="U89" s="120">
        <v>1472</v>
      </c>
      <c r="V89" s="120">
        <v>1</v>
      </c>
      <c r="W89" s="120">
        <f>IFERROR((Table6[[#This Row],[Sales Amount]]-Table6[[#This Row],[Cost]])/Table6[[#This Row],[CNTR AMOUNT]],Table6[[#This Row],[Sales Amount]]-Table6[[#This Row],[Cost]])</f>
        <v>203</v>
      </c>
      <c r="X89" s="1041">
        <f>IFERROR(Table6[[#This Row],[Profit]]/Table6[[#This Row],[Cost]]," ")</f>
        <v>0.13790760869565216</v>
      </c>
      <c r="Y89" s="33"/>
      <c r="Z89" s="33"/>
    </row>
    <row r="90" spans="1:26" s="723" customFormat="1" ht="60">
      <c r="A90" s="1254" t="s">
        <v>165</v>
      </c>
      <c r="B90" s="4119" t="s">
        <v>3728</v>
      </c>
      <c r="C90" s="1254" t="s">
        <v>28</v>
      </c>
      <c r="D90" s="1787">
        <v>45231</v>
      </c>
      <c r="E90" s="1790">
        <v>45231</v>
      </c>
      <c r="F90" s="1254" t="s">
        <v>260</v>
      </c>
      <c r="G90" s="4117" t="s">
        <v>3729</v>
      </c>
      <c r="H90" s="1842" t="s">
        <v>3730</v>
      </c>
      <c r="I90" s="1844" t="s">
        <v>3731</v>
      </c>
      <c r="J90" s="1254" t="s">
        <v>3732</v>
      </c>
      <c r="K90" s="4119" t="s">
        <v>3733</v>
      </c>
      <c r="L90" s="1254" t="s">
        <v>162</v>
      </c>
      <c r="M90" s="1943">
        <v>45239</v>
      </c>
      <c r="N90" s="1935">
        <v>45237</v>
      </c>
      <c r="O90" s="1967">
        <v>45239</v>
      </c>
      <c r="P90" s="4103" t="s">
        <v>3734</v>
      </c>
      <c r="Q90" s="1271" t="s">
        <v>75</v>
      </c>
      <c r="R90" s="4103" t="s">
        <v>3735</v>
      </c>
      <c r="S90" s="1271">
        <v>4</v>
      </c>
      <c r="T90" s="1271">
        <v>1940</v>
      </c>
      <c r="U90" s="1271">
        <v>1225</v>
      </c>
      <c r="V90" s="1271">
        <v>1</v>
      </c>
      <c r="W90" s="1271">
        <f>IFERROR((Table6[[#This Row],[Sales Amount]]-Table6[[#This Row],[Cost]])/Table6[[#This Row],[CNTR AMOUNT]],Table6[[#This Row],[Sales Amount]]-Table6[[#This Row],[Cost]])</f>
        <v>715</v>
      </c>
      <c r="X90" s="1271">
        <f>IFERROR(Table6[[#This Row],[Profit]]/Table6[[#This Row],[Cost]]," ")</f>
        <v>0.58367346938775511</v>
      </c>
      <c r="Y90" s="1271"/>
      <c r="Z90" s="1271"/>
    </row>
    <row r="91" spans="1:26" customFormat="1" ht="30">
      <c r="A91" s="3317" t="s">
        <v>165</v>
      </c>
      <c r="B91" s="4277" t="s">
        <v>3736</v>
      </c>
      <c r="C91" s="3317" t="s">
        <v>200</v>
      </c>
      <c r="D91" s="3290">
        <v>45228</v>
      </c>
      <c r="E91" s="3318">
        <v>45237</v>
      </c>
      <c r="F91" s="3317" t="s">
        <v>167</v>
      </c>
      <c r="G91" s="3313" t="s">
        <v>302</v>
      </c>
      <c r="H91" s="3319">
        <v>45240</v>
      </c>
      <c r="I91" s="3320" t="s">
        <v>618</v>
      </c>
      <c r="J91" s="3317" t="s">
        <v>32</v>
      </c>
      <c r="K91" s="3317" t="s">
        <v>2013</v>
      </c>
      <c r="L91" s="3320" t="s">
        <v>3737</v>
      </c>
      <c r="M91" s="3319">
        <v>45241</v>
      </c>
      <c r="N91" s="3319">
        <v>45240</v>
      </c>
      <c r="O91" s="1954">
        <v>45240</v>
      </c>
      <c r="P91" s="1073" t="s">
        <v>3738</v>
      </c>
      <c r="Q91" s="1064" t="s">
        <v>75</v>
      </c>
      <c r="R91" s="4099" t="s">
        <v>3739</v>
      </c>
      <c r="S91" s="1064">
        <v>4</v>
      </c>
      <c r="T91" s="1064">
        <v>1150</v>
      </c>
      <c r="U91" s="1064">
        <v>870</v>
      </c>
      <c r="V91" s="1064">
        <v>1</v>
      </c>
      <c r="W91" s="1064">
        <f>IFERROR((Table6[[#This Row],[Sales Amount]]-Table6[[#This Row],[Cost]])/Table6[[#This Row],[CNTR AMOUNT]],Table6[[#This Row],[Sales Amount]]-Table6[[#This Row],[Cost]])</f>
        <v>280</v>
      </c>
      <c r="X91" s="1814">
        <f>IFERROR(Table6[[#This Row],[Profit]]/Table6[[#This Row],[Cost]]," ")</f>
        <v>0.32183908045977011</v>
      </c>
      <c r="Y91" s="1219"/>
      <c r="Z91" s="1219"/>
    </row>
    <row r="92" spans="1:26" s="147" customFormat="1">
      <c r="A92" s="24" t="s">
        <v>165</v>
      </c>
      <c r="B92" s="4090" t="s">
        <v>3740</v>
      </c>
      <c r="C92" s="1219" t="s">
        <v>704</v>
      </c>
      <c r="D92" s="635">
        <v>45227</v>
      </c>
      <c r="E92" s="725">
        <v>45235</v>
      </c>
      <c r="F92" s="1219" t="s">
        <v>245</v>
      </c>
      <c r="G92" s="682" t="s">
        <v>3741</v>
      </c>
      <c r="H92" s="1250">
        <v>45237</v>
      </c>
      <c r="I92" s="1219" t="s">
        <v>899</v>
      </c>
      <c r="J92" s="1219" t="s">
        <v>440</v>
      </c>
      <c r="K92" s="4090" t="s">
        <v>3725</v>
      </c>
      <c r="L92" s="1219">
        <v>409983</v>
      </c>
      <c r="M92" s="1250">
        <v>45237</v>
      </c>
      <c r="N92" s="1250">
        <v>45237</v>
      </c>
      <c r="O92" s="1250">
        <v>45239</v>
      </c>
      <c r="P92" s="4140" t="s">
        <v>3742</v>
      </c>
      <c r="Q92" s="1219" t="s">
        <v>75</v>
      </c>
      <c r="R92" s="4090" t="s">
        <v>3743</v>
      </c>
      <c r="S92" s="1219">
        <v>4</v>
      </c>
      <c r="T92" s="1219">
        <v>865</v>
      </c>
      <c r="U92" s="1219">
        <v>671</v>
      </c>
      <c r="V92" s="1219">
        <v>1</v>
      </c>
      <c r="W92" s="1219">
        <f>IFERROR((Table6[[#This Row],[Sales Amount]]-Table6[[#This Row],[Cost]])/Table6[[#This Row],[CNTR AMOUNT]],Table6[[#This Row],[Sales Amount]]-Table6[[#This Row],[Cost]])</f>
        <v>194</v>
      </c>
      <c r="X92" s="1219">
        <f>IFERROR(Table6[[#This Row],[Profit]]/Table6[[#This Row],[Cost]]," ")</f>
        <v>0.28912071535022354</v>
      </c>
      <c r="Y92" s="1983"/>
      <c r="Z92" s="3317"/>
    </row>
    <row r="93" spans="1:26" s="1013" customFormat="1" ht="30">
      <c r="A93" s="1782" t="s">
        <v>165</v>
      </c>
      <c r="B93" s="4278" t="s">
        <v>3744</v>
      </c>
      <c r="C93" s="1782" t="s">
        <v>44</v>
      </c>
      <c r="D93" s="1787">
        <v>45235</v>
      </c>
      <c r="E93" s="1790">
        <v>45242</v>
      </c>
      <c r="F93" s="1782" t="s">
        <v>167</v>
      </c>
      <c r="G93" s="1901" t="s">
        <v>302</v>
      </c>
      <c r="H93" s="1795">
        <v>45250</v>
      </c>
      <c r="I93" s="4266" t="s">
        <v>926</v>
      </c>
      <c r="J93" s="1913" t="s">
        <v>168</v>
      </c>
      <c r="K93" s="1782" t="s">
        <v>3745</v>
      </c>
      <c r="L93" s="1930" t="s">
        <v>3746</v>
      </c>
      <c r="M93" s="1935">
        <v>45244</v>
      </c>
      <c r="N93" s="1935">
        <v>45247</v>
      </c>
      <c r="O93" s="1241">
        <v>45250</v>
      </c>
      <c r="P93" s="4273" t="s">
        <v>3747</v>
      </c>
      <c r="Q93" s="1745" t="s">
        <v>75</v>
      </c>
      <c r="R93" s="4273" t="s">
        <v>3748</v>
      </c>
      <c r="S93" s="1745">
        <v>4</v>
      </c>
      <c r="T93" s="1745">
        <v>1305</v>
      </c>
      <c r="U93" s="1745">
        <v>937</v>
      </c>
      <c r="V93" s="1745">
        <v>1</v>
      </c>
      <c r="W93" s="1745">
        <f>IFERROR((Table6[[#This Row],[Sales Amount]]-Table6[[#This Row],[Cost]])/Table6[[#This Row],[CNTR AMOUNT]],Table6[[#This Row],[Sales Amount]]-Table6[[#This Row],[Cost]])</f>
        <v>368</v>
      </c>
      <c r="X93" s="1981">
        <f>IFERROR(Table6[[#This Row],[Profit]]/Table6[[#This Row],[Cost]]," ")</f>
        <v>0.39274279615795088</v>
      </c>
      <c r="Y93" s="3325"/>
      <c r="Z93" s="3273"/>
    </row>
    <row r="94" spans="1:26" s="806" customFormat="1" ht="45">
      <c r="A94" s="4947" t="s">
        <v>165</v>
      </c>
      <c r="B94" s="4908" t="s">
        <v>3749</v>
      </c>
      <c r="C94" s="4947" t="s">
        <v>44</v>
      </c>
      <c r="D94" s="4836">
        <v>45245</v>
      </c>
      <c r="E94" s="4935">
        <v>45256</v>
      </c>
      <c r="F94" s="4947" t="s">
        <v>151</v>
      </c>
      <c r="G94" s="4840" t="s">
        <v>3750</v>
      </c>
      <c r="H94" s="4936" t="s">
        <v>3751</v>
      </c>
      <c r="I94" s="4951" t="s">
        <v>3752</v>
      </c>
      <c r="J94" s="4947" t="s">
        <v>435</v>
      </c>
      <c r="K94" s="4947" t="s">
        <v>3753</v>
      </c>
      <c r="L94" s="4909">
        <v>954781</v>
      </c>
      <c r="M94" s="5069">
        <v>45258</v>
      </c>
      <c r="N94" s="5069">
        <v>45258</v>
      </c>
      <c r="O94" s="4262">
        <v>45264</v>
      </c>
      <c r="P94" s="4909" t="s">
        <v>3754</v>
      </c>
      <c r="Q94" s="4947" t="s">
        <v>75</v>
      </c>
      <c r="R94" s="4909" t="s">
        <v>3755</v>
      </c>
      <c r="S94" s="4947">
        <v>4</v>
      </c>
      <c r="T94" s="4947">
        <v>1175</v>
      </c>
      <c r="U94" s="4947">
        <v>915</v>
      </c>
      <c r="V94" s="4947">
        <v>1</v>
      </c>
      <c r="W94" s="4947">
        <f>IFERROR((Table6[[#This Row],[Sales Amount]]-Table6[[#This Row],[Cost]])/Table6[[#This Row],[CNTR AMOUNT]],Table6[[#This Row],[Sales Amount]]-Table6[[#This Row],[Cost]])</f>
        <v>260</v>
      </c>
      <c r="X94" s="4947">
        <f>IFERROR(Table6[[#This Row],[Profit]]/Table6[[#This Row],[Cost]]," ")</f>
        <v>0.28415300546448086</v>
      </c>
      <c r="Y94" s="4947"/>
      <c r="Z94" s="4947"/>
    </row>
    <row r="95" spans="1:26" s="806" customFormat="1" ht="45">
      <c r="A95" s="4947" t="s">
        <v>165</v>
      </c>
      <c r="B95" s="4909" t="s">
        <v>3756</v>
      </c>
      <c r="C95" s="4947" t="s">
        <v>28</v>
      </c>
      <c r="D95" s="4836">
        <v>45243</v>
      </c>
      <c r="E95" s="4935">
        <v>45249</v>
      </c>
      <c r="F95" s="4947" t="s">
        <v>93</v>
      </c>
      <c r="G95" s="4835" t="s">
        <v>3757</v>
      </c>
      <c r="H95" s="5069">
        <v>45252</v>
      </c>
      <c r="I95" s="4909" t="s">
        <v>926</v>
      </c>
      <c r="J95" s="4909" t="s">
        <v>322</v>
      </c>
      <c r="K95" s="4909" t="s">
        <v>3758</v>
      </c>
      <c r="L95" s="4947">
        <v>2034848</v>
      </c>
      <c r="M95" s="4836">
        <v>45252</v>
      </c>
      <c r="N95" s="4836">
        <v>45252</v>
      </c>
      <c r="O95" s="4633">
        <v>45252</v>
      </c>
      <c r="P95" s="1647" t="s">
        <v>3759</v>
      </c>
      <c r="Q95" s="1745" t="s">
        <v>75</v>
      </c>
      <c r="R95" s="4273" t="s">
        <v>3760</v>
      </c>
      <c r="S95" s="1745">
        <v>4</v>
      </c>
      <c r="T95" s="1745">
        <v>1170</v>
      </c>
      <c r="U95" s="1745">
        <v>990</v>
      </c>
      <c r="V95" s="1745">
        <v>1</v>
      </c>
      <c r="W95" s="1745">
        <f>IFERROR((Table6[[#This Row],[Sales Amount]]-Table6[[#This Row],[Cost]])/Table6[[#This Row],[CNTR AMOUNT]],Table6[[#This Row],[Sales Amount]]-Table6[[#This Row],[Cost]])</f>
        <v>180</v>
      </c>
      <c r="X95" s="1745">
        <f>IFERROR(Table6[[#This Row],[Profit]]/Table6[[#This Row],[Cost]]," ")</f>
        <v>0.18181818181818182</v>
      </c>
      <c r="Y95" s="1745"/>
      <c r="Z95" s="859"/>
    </row>
    <row r="96" spans="1:26" s="147" customFormat="1" ht="60">
      <c r="A96" s="4947" t="s">
        <v>165</v>
      </c>
      <c r="B96" s="4909" t="s">
        <v>3761</v>
      </c>
      <c r="C96" s="4947" t="s">
        <v>44</v>
      </c>
      <c r="D96" s="4836">
        <v>45246</v>
      </c>
      <c r="E96" s="5107">
        <v>45246</v>
      </c>
      <c r="F96" s="4947" t="s">
        <v>260</v>
      </c>
      <c r="G96" s="4835" t="s">
        <v>3729</v>
      </c>
      <c r="H96" s="4936" t="s">
        <v>3762</v>
      </c>
      <c r="I96" s="4951" t="s">
        <v>3763</v>
      </c>
      <c r="J96" s="4947" t="s">
        <v>3732</v>
      </c>
      <c r="K96" s="4947" t="s">
        <v>3733</v>
      </c>
      <c r="L96" s="5138" t="s">
        <v>162</v>
      </c>
      <c r="M96" s="5139">
        <v>45254</v>
      </c>
      <c r="N96" s="5140">
        <v>45252</v>
      </c>
      <c r="O96" s="1241">
        <v>45257</v>
      </c>
      <c r="P96" s="4274" t="s">
        <v>3764</v>
      </c>
      <c r="Q96" s="3325" t="s">
        <v>75</v>
      </c>
      <c r="R96" s="4274" t="s">
        <v>3765</v>
      </c>
      <c r="S96" s="3325">
        <v>4</v>
      </c>
      <c r="T96" s="3325">
        <v>2850</v>
      </c>
      <c r="U96" s="3325">
        <v>1945</v>
      </c>
      <c r="V96" s="3325">
        <v>1</v>
      </c>
      <c r="W96" s="3325">
        <f>IFERROR((Table6[[#This Row],[Sales Amount]]-Table6[[#This Row],[Cost]])/Table6[[#This Row],[CNTR AMOUNT]],Table6[[#This Row],[Sales Amount]]-Table6[[#This Row],[Cost]])</f>
        <v>905</v>
      </c>
      <c r="X96" s="3325">
        <f>IFERROR(Table6[[#This Row],[Profit]]/Table6[[#This Row],[Cost]]," ")</f>
        <v>0.4652956298200514</v>
      </c>
      <c r="Y96" s="3325"/>
      <c r="Z96" s="3273"/>
    </row>
    <row r="97" spans="1:26" s="147" customFormat="1" ht="30">
      <c r="A97" s="4947" t="s">
        <v>165</v>
      </c>
      <c r="B97" s="4909" t="s">
        <v>3766</v>
      </c>
      <c r="C97" s="4947" t="s">
        <v>451</v>
      </c>
      <c r="D97" s="4836">
        <v>45228</v>
      </c>
      <c r="E97" s="5107">
        <v>45242</v>
      </c>
      <c r="F97" s="4947" t="s">
        <v>167</v>
      </c>
      <c r="G97" s="4840" t="s">
        <v>302</v>
      </c>
      <c r="H97" s="5069">
        <v>45244</v>
      </c>
      <c r="I97" s="4947" t="s">
        <v>108</v>
      </c>
      <c r="J97" s="4947" t="s">
        <v>32</v>
      </c>
      <c r="K97" s="4947" t="s">
        <v>2013</v>
      </c>
      <c r="L97" s="5141" t="s">
        <v>3767</v>
      </c>
      <c r="M97" s="5108">
        <v>45244</v>
      </c>
      <c r="N97" s="5108">
        <v>45244</v>
      </c>
      <c r="O97" s="1744">
        <v>45244</v>
      </c>
      <c r="P97" s="4274" t="s">
        <v>3768</v>
      </c>
      <c r="Q97" s="3325" t="s">
        <v>75</v>
      </c>
      <c r="R97" s="4274" t="s">
        <v>3769</v>
      </c>
      <c r="S97" s="3325">
        <v>4</v>
      </c>
      <c r="T97" s="3325">
        <v>1070</v>
      </c>
      <c r="U97" s="3325">
        <v>870</v>
      </c>
      <c r="V97" s="3325"/>
      <c r="W97" s="3325">
        <f>IFERROR((Table6[[#This Row],[Sales Amount]]-Table6[[#This Row],[Cost]])/Table6[[#This Row],[CNTR AMOUNT]],Table6[[#This Row],[Sales Amount]]-Table6[[#This Row],[Cost]])</f>
        <v>200</v>
      </c>
      <c r="X97" s="3333">
        <f>IFERROR(Table6[[#This Row],[Profit]]/Table6[[#This Row],[Cost]]," ")</f>
        <v>0.22988505747126436</v>
      </c>
      <c r="Y97" s="3325"/>
      <c r="Z97" s="3273"/>
    </row>
    <row r="98" spans="1:26" s="147" customFormat="1">
      <c r="A98" s="4947" t="s">
        <v>165</v>
      </c>
      <c r="B98" s="4947" t="s">
        <v>3770</v>
      </c>
      <c r="C98" s="4947" t="s">
        <v>200</v>
      </c>
      <c r="D98" s="4836">
        <v>45228</v>
      </c>
      <c r="E98" s="5107">
        <v>45242</v>
      </c>
      <c r="F98" s="4947" t="s">
        <v>167</v>
      </c>
      <c r="G98" s="4840" t="s">
        <v>302</v>
      </c>
      <c r="H98" s="5069">
        <v>45244</v>
      </c>
      <c r="I98" s="4947" t="s">
        <v>445</v>
      </c>
      <c r="J98" s="4947" t="s">
        <v>32</v>
      </c>
      <c r="K98" s="4947" t="s">
        <v>2013</v>
      </c>
      <c r="L98" s="4838">
        <v>873826</v>
      </c>
      <c r="M98" s="5108">
        <v>45244</v>
      </c>
      <c r="N98" s="5108">
        <v>45244</v>
      </c>
      <c r="O98" s="4630">
        <v>45244</v>
      </c>
      <c r="P98" s="4947" t="s">
        <v>3771</v>
      </c>
      <c r="Q98" s="4947" t="s">
        <v>75</v>
      </c>
      <c r="R98" s="4909" t="s">
        <v>3772</v>
      </c>
      <c r="S98" s="4947">
        <v>4</v>
      </c>
      <c r="T98" s="4947">
        <v>1070</v>
      </c>
      <c r="U98" s="4947">
        <v>870</v>
      </c>
      <c r="V98" s="4947"/>
      <c r="W98" s="4947">
        <f>IFERROR((Table6[[#This Row],[Sales Amount]]-Table6[[#This Row],[Cost]])/Table6[[#This Row],[CNTR AMOUNT]],Table6[[#This Row],[Sales Amount]]-Table6[[#This Row],[Cost]])</f>
        <v>200</v>
      </c>
      <c r="X98" s="5111">
        <f>IFERROR(Table6[[#This Row],[Profit]]/Table6[[#This Row],[Cost]]," ")</f>
        <v>0.22988505747126436</v>
      </c>
      <c r="Y98" s="4947"/>
      <c r="Z98" s="4947"/>
    </row>
    <row r="99" spans="1:26" s="147" customFormat="1" ht="30">
      <c r="A99" s="4947" t="s">
        <v>165</v>
      </c>
      <c r="B99" s="4908" t="s">
        <v>3773</v>
      </c>
      <c r="C99" s="4947" t="s">
        <v>44</v>
      </c>
      <c r="D99" s="4836">
        <v>45235</v>
      </c>
      <c r="E99" s="5107">
        <v>45242</v>
      </c>
      <c r="F99" s="4947" t="s">
        <v>167</v>
      </c>
      <c r="G99" s="4840" t="s">
        <v>302</v>
      </c>
      <c r="H99" s="5069">
        <v>45250</v>
      </c>
      <c r="I99" s="4909" t="s">
        <v>926</v>
      </c>
      <c r="J99" s="4934" t="s">
        <v>297</v>
      </c>
      <c r="K99" s="4934" t="s">
        <v>3774</v>
      </c>
      <c r="L99" s="5142" t="s">
        <v>3775</v>
      </c>
      <c r="M99" s="5108">
        <v>45244</v>
      </c>
      <c r="N99" s="5108">
        <v>45247</v>
      </c>
      <c r="O99" s="1241">
        <v>45250</v>
      </c>
      <c r="P99" s="4273" t="s">
        <v>3776</v>
      </c>
      <c r="Q99" s="1745" t="s">
        <v>75</v>
      </c>
      <c r="R99" s="4273" t="s">
        <v>3777</v>
      </c>
      <c r="S99" s="1745">
        <v>4</v>
      </c>
      <c r="T99" s="1745">
        <v>2465</v>
      </c>
      <c r="U99" s="1745">
        <v>1984.4</v>
      </c>
      <c r="V99" s="1745">
        <v>1</v>
      </c>
      <c r="W99" s="1745">
        <f>IFERROR((Table6[[#This Row],[Sales Amount]]-Table6[[#This Row],[Cost]])/Table6[[#This Row],[CNTR AMOUNT]],Table6[[#This Row],[Sales Amount]]-Table6[[#This Row],[Cost]])</f>
        <v>480.59999999999991</v>
      </c>
      <c r="X99" s="1978">
        <f>IFERROR(Table6[[#This Row],[Profit]]/Table6[[#This Row],[Cost]]," ")</f>
        <v>0.24218907478330975</v>
      </c>
      <c r="Y99" s="1745"/>
      <c r="Z99" s="859"/>
    </row>
    <row r="100" spans="1:26" s="147" customFormat="1" ht="30">
      <c r="A100" s="4838" t="s">
        <v>165</v>
      </c>
      <c r="B100" s="5138" t="s">
        <v>3778</v>
      </c>
      <c r="C100" s="4838" t="s">
        <v>200</v>
      </c>
      <c r="D100" s="4836">
        <v>45228</v>
      </c>
      <c r="E100" s="5107">
        <v>45237</v>
      </c>
      <c r="F100" s="4838" t="s">
        <v>167</v>
      </c>
      <c r="G100" s="4840" t="s">
        <v>302</v>
      </c>
      <c r="H100" s="5115">
        <v>45240</v>
      </c>
      <c r="I100" s="5134" t="s">
        <v>618</v>
      </c>
      <c r="J100" s="4838" t="s">
        <v>32</v>
      </c>
      <c r="K100" s="4838" t="s">
        <v>2013</v>
      </c>
      <c r="L100" s="5134" t="s">
        <v>3779</v>
      </c>
      <c r="M100" s="5115">
        <v>45241</v>
      </c>
      <c r="N100" s="5115">
        <v>45240</v>
      </c>
      <c r="O100" s="3334">
        <v>45240</v>
      </c>
      <c r="P100" s="4986" t="s">
        <v>3780</v>
      </c>
      <c r="Q100" s="4838" t="s">
        <v>75</v>
      </c>
      <c r="R100" s="4829" t="s">
        <v>3781</v>
      </c>
      <c r="S100" s="4838">
        <v>4</v>
      </c>
      <c r="T100" s="4838">
        <v>1150</v>
      </c>
      <c r="U100" s="4838">
        <v>870</v>
      </c>
      <c r="V100" s="4838">
        <v>1</v>
      </c>
      <c r="W100" s="4838">
        <f>IFERROR((Table6[[#This Row],[Sales Amount]]-Table6[[#This Row],[Cost]])/Table6[[#This Row],[CNTR AMOUNT]],Table6[[#This Row],[Sales Amount]]-Table6[[#This Row],[Cost]])</f>
        <v>280</v>
      </c>
      <c r="X100" s="5143">
        <f>IFERROR(Table6[[#This Row],[Profit]]/Table6[[#This Row],[Cost]]," ")</f>
        <v>0.32183908045977011</v>
      </c>
      <c r="Y100" s="4838"/>
      <c r="Z100" s="4838"/>
    </row>
    <row r="101" spans="1:26" s="1536" customFormat="1">
      <c r="A101" s="4838" t="s">
        <v>165</v>
      </c>
      <c r="B101" s="5138" t="s">
        <v>3782</v>
      </c>
      <c r="C101" s="4838" t="s">
        <v>200</v>
      </c>
      <c r="D101" s="4836">
        <v>45228</v>
      </c>
      <c r="E101" s="5107">
        <v>45237</v>
      </c>
      <c r="F101" s="4838" t="s">
        <v>167</v>
      </c>
      <c r="G101" s="4840" t="s">
        <v>302</v>
      </c>
      <c r="H101" s="5115">
        <v>45240</v>
      </c>
      <c r="I101" s="5134" t="s">
        <v>618</v>
      </c>
      <c r="J101" s="4838" t="s">
        <v>32</v>
      </c>
      <c r="K101" s="4838" t="s">
        <v>2013</v>
      </c>
      <c r="L101" s="5134" t="s">
        <v>3783</v>
      </c>
      <c r="M101" s="5115">
        <v>45241</v>
      </c>
      <c r="N101" s="5115">
        <v>45240</v>
      </c>
      <c r="O101" s="5115">
        <v>45240</v>
      </c>
      <c r="P101" s="4829" t="s">
        <v>3784</v>
      </c>
      <c r="Q101" s="4838" t="s">
        <v>75</v>
      </c>
      <c r="R101" s="4829" t="s">
        <v>3785</v>
      </c>
      <c r="S101" s="4838">
        <v>4</v>
      </c>
      <c r="T101" s="4838">
        <v>1070</v>
      </c>
      <c r="U101" s="4838">
        <v>870</v>
      </c>
      <c r="V101" s="4838">
        <v>1</v>
      </c>
      <c r="W101" s="4838">
        <f>IFERROR((Table6[[#This Row],[Sales Amount]]-Table6[[#This Row],[Cost]])/Table6[[#This Row],[CNTR AMOUNT]],Table6[[#This Row],[Sales Amount]]-Table6[[#This Row],[Cost]])</f>
        <v>200</v>
      </c>
      <c r="X101" s="5143">
        <f>IFERROR(Table6[[#This Row],[Profit]]/Table6[[#This Row],[Cost]]," ")</f>
        <v>0.22988505747126436</v>
      </c>
      <c r="Y101" s="4838"/>
      <c r="Z101" s="4838"/>
    </row>
    <row r="102" spans="1:26" s="147" customFormat="1">
      <c r="A102" s="4947" t="s">
        <v>165</v>
      </c>
      <c r="B102" s="4909" t="s">
        <v>3786</v>
      </c>
      <c r="C102" s="4947" t="s">
        <v>44</v>
      </c>
      <c r="D102" s="4836">
        <v>45243</v>
      </c>
      <c r="E102" s="4935">
        <v>45249</v>
      </c>
      <c r="F102" s="4947" t="s">
        <v>167</v>
      </c>
      <c r="G102" s="4840" t="s">
        <v>302</v>
      </c>
      <c r="H102" s="5069">
        <v>45254</v>
      </c>
      <c r="I102" s="4909" t="s">
        <v>445</v>
      </c>
      <c r="J102" s="4947" t="s">
        <v>32</v>
      </c>
      <c r="K102" s="4909" t="s">
        <v>3787</v>
      </c>
      <c r="L102" s="5144">
        <v>426569</v>
      </c>
      <c r="M102" s="5145">
        <v>45254</v>
      </c>
      <c r="N102" s="5146">
        <v>45254</v>
      </c>
      <c r="O102" s="807">
        <v>45254</v>
      </c>
      <c r="P102" s="4274" t="s">
        <v>3788</v>
      </c>
      <c r="Q102" s="3325" t="s">
        <v>75</v>
      </c>
      <c r="R102" s="4274" t="s">
        <v>3789</v>
      </c>
      <c r="S102" s="3325">
        <v>4</v>
      </c>
      <c r="T102" s="3325">
        <v>580</v>
      </c>
      <c r="U102" s="3325">
        <v>556</v>
      </c>
      <c r="V102" s="3325">
        <v>1</v>
      </c>
      <c r="W102" s="3325">
        <f>IFERROR((Table6[[#This Row],[Sales Amount]]-Table6[[#This Row],[Cost]])/Table6[[#This Row],[CNTR AMOUNT]],Table6[[#This Row],[Sales Amount]]-Table6[[#This Row],[Cost]])</f>
        <v>24</v>
      </c>
      <c r="X102" s="3325">
        <f>IFERROR(Table6[[#This Row],[Profit]]/Table6[[#This Row],[Cost]]," ")</f>
        <v>4.3165467625899283E-2</v>
      </c>
      <c r="Y102" s="3325"/>
      <c r="Z102" s="3273"/>
    </row>
    <row r="103" spans="1:26" s="1442" customFormat="1" ht="60">
      <c r="A103" s="3273" t="s">
        <v>165</v>
      </c>
      <c r="B103" s="4279" t="s">
        <v>3790</v>
      </c>
      <c r="C103" s="3273" t="s">
        <v>44</v>
      </c>
      <c r="D103" s="3290">
        <v>45235</v>
      </c>
      <c r="E103" s="3291">
        <v>45260</v>
      </c>
      <c r="F103" s="3273" t="s">
        <v>245</v>
      </c>
      <c r="G103" s="3313" t="s">
        <v>57</v>
      </c>
      <c r="H103" s="3290">
        <v>45265</v>
      </c>
      <c r="I103" s="4261" t="s">
        <v>618</v>
      </c>
      <c r="J103" s="4246" t="s">
        <v>297</v>
      </c>
      <c r="K103" s="3293" t="s">
        <v>3791</v>
      </c>
      <c r="L103" s="3335">
        <v>1490917</v>
      </c>
      <c r="M103" s="3336">
        <v>45263</v>
      </c>
      <c r="N103" s="3292">
        <v>45261</v>
      </c>
      <c r="O103" s="3337">
        <v>45265</v>
      </c>
      <c r="P103" s="4280" t="s">
        <v>3792</v>
      </c>
      <c r="Q103" s="3309" t="s">
        <v>75</v>
      </c>
      <c r="R103" s="3309" t="s">
        <v>36</v>
      </c>
      <c r="S103" s="3309"/>
      <c r="T103" s="3309">
        <v>1755</v>
      </c>
      <c r="U103" s="3309"/>
      <c r="V103" s="3309"/>
      <c r="W103" s="3309">
        <f>IFERROR((Table6[[#This Row],[Sales Amount]]-Table6[[#This Row],[Cost]])/Table6[[#This Row],[CNTR AMOUNT]],Table6[[#This Row],[Sales Amount]]-Table6[[#This Row],[Cost]])</f>
        <v>1755</v>
      </c>
      <c r="X103" s="3309" t="str">
        <f>IFERROR(Table6[[#This Row],[Profit]]/Table6[[#This Row],[Cost]]," ")</f>
        <v xml:space="preserve"> </v>
      </c>
      <c r="Y103" s="3309"/>
      <c r="Z103" s="3309"/>
    </row>
    <row r="104" spans="1:26" s="106" customFormat="1" ht="45">
      <c r="A104" s="1219" t="s">
        <v>165</v>
      </c>
      <c r="B104" s="1219" t="s">
        <v>3793</v>
      </c>
      <c r="C104" s="1219" t="s">
        <v>28</v>
      </c>
      <c r="D104" s="635">
        <v>45226</v>
      </c>
      <c r="E104" s="725">
        <v>45237</v>
      </c>
      <c r="F104" s="1219" t="s">
        <v>3794</v>
      </c>
      <c r="G104" s="682" t="s">
        <v>57</v>
      </c>
      <c r="H104" s="1250">
        <v>45240</v>
      </c>
      <c r="I104" s="1219" t="s">
        <v>178</v>
      </c>
      <c r="J104" s="1219" t="s">
        <v>297</v>
      </c>
      <c r="K104" s="1803" t="s">
        <v>3795</v>
      </c>
      <c r="L104" s="1804" t="s">
        <v>3796</v>
      </c>
      <c r="M104" s="1250">
        <v>45239</v>
      </c>
      <c r="N104" s="1250">
        <v>45239</v>
      </c>
      <c r="O104" s="1250">
        <v>45240</v>
      </c>
      <c r="P104" s="1219" t="s">
        <v>3797</v>
      </c>
      <c r="Q104" s="1219" t="s">
        <v>75</v>
      </c>
      <c r="R104" s="4090" t="s">
        <v>3798</v>
      </c>
      <c r="S104" s="1219">
        <v>4</v>
      </c>
      <c r="T104" s="1219">
        <v>1450</v>
      </c>
      <c r="U104" s="1219">
        <v>1253.0999999999999</v>
      </c>
      <c r="V104" s="1219">
        <v>1</v>
      </c>
      <c r="W104" s="1219">
        <f>IFERROR((Table6[[#This Row],[Sales Amount]]-Table6[[#This Row],[Cost]])/Table6[[#This Row],[CNTR AMOUNT]],Table6[[#This Row],[Sales Amount]]-Table6[[#This Row],[Cost]])</f>
        <v>196.90000000000009</v>
      </c>
      <c r="X104" s="1864">
        <f>IFERROR(Table6[[#This Row],[Profit]]/Table6[[#This Row],[Cost]]," ")</f>
        <v>0.15713031681430062</v>
      </c>
      <c r="Y104" s="1219"/>
      <c r="Z104" s="1219"/>
    </row>
    <row r="105" spans="1:26" s="106" customFormat="1" ht="60">
      <c r="A105" s="1254" t="s">
        <v>165</v>
      </c>
      <c r="B105" s="4281" t="s">
        <v>3799</v>
      </c>
      <c r="C105" s="1254" t="s">
        <v>28</v>
      </c>
      <c r="D105" s="1787">
        <v>45237</v>
      </c>
      <c r="E105" s="1790">
        <v>45237</v>
      </c>
      <c r="F105" s="1254" t="s">
        <v>245</v>
      </c>
      <c r="G105" s="4117" t="s">
        <v>3729</v>
      </c>
      <c r="H105" s="1842" t="s">
        <v>3800</v>
      </c>
      <c r="I105" s="1844" t="s">
        <v>3801</v>
      </c>
      <c r="J105" s="1254" t="s">
        <v>3732</v>
      </c>
      <c r="K105" s="1254" t="s">
        <v>3733</v>
      </c>
      <c r="L105" s="1319" t="s">
        <v>162</v>
      </c>
      <c r="M105" s="1850">
        <v>45245</v>
      </c>
      <c r="N105" s="1850">
        <v>45243</v>
      </c>
      <c r="O105" s="1241">
        <v>45246</v>
      </c>
      <c r="P105" s="4269" t="s">
        <v>3802</v>
      </c>
      <c r="Q105" s="1862" t="s">
        <v>75</v>
      </c>
      <c r="R105" s="4269" t="s">
        <v>3803</v>
      </c>
      <c r="S105" s="1862">
        <v>4</v>
      </c>
      <c r="T105" s="1862">
        <v>2270</v>
      </c>
      <c r="U105" s="1862">
        <v>1375</v>
      </c>
      <c r="V105" s="1862">
        <v>1</v>
      </c>
      <c r="W105" s="1862">
        <f>IFERROR((Table6[[#This Row],[Sales Amount]]-Table6[[#This Row],[Cost]])/Table6[[#This Row],[CNTR AMOUNT]],Table6[[#This Row],[Sales Amount]]-Table6[[#This Row],[Cost]])</f>
        <v>895</v>
      </c>
      <c r="X105" s="1862">
        <f>IFERROR(Table6[[#This Row],[Profit]]/Table6[[#This Row],[Cost]]," ")</f>
        <v>0.65090909090909088</v>
      </c>
      <c r="Y105" s="1862"/>
      <c r="Z105" s="1829"/>
    </row>
    <row r="106" spans="1:26" s="106" customFormat="1" ht="30">
      <c r="A106" s="4947" t="s">
        <v>165</v>
      </c>
      <c r="B106" s="4909" t="s">
        <v>3804</v>
      </c>
      <c r="C106" s="4947" t="s">
        <v>44</v>
      </c>
      <c r="D106" s="4836">
        <v>45235</v>
      </c>
      <c r="E106" s="5107">
        <v>45244</v>
      </c>
      <c r="F106" s="4947" t="s">
        <v>167</v>
      </c>
      <c r="G106" s="4840" t="s">
        <v>302</v>
      </c>
      <c r="H106" s="5069">
        <v>45246</v>
      </c>
      <c r="I106" s="5114">
        <v>0.39583333333333331</v>
      </c>
      <c r="J106" s="4947" t="s">
        <v>297</v>
      </c>
      <c r="K106" s="4909" t="s">
        <v>3805</v>
      </c>
      <c r="L106" s="4829" t="s">
        <v>3806</v>
      </c>
      <c r="M106" s="5147">
        <v>45246</v>
      </c>
      <c r="N106" s="5147">
        <v>45246</v>
      </c>
      <c r="O106" s="1958">
        <v>45246</v>
      </c>
      <c r="P106" s="4128" t="s">
        <v>3807</v>
      </c>
      <c r="Q106" s="694" t="s">
        <v>75</v>
      </c>
      <c r="R106" s="4128" t="s">
        <v>3808</v>
      </c>
      <c r="S106" s="694">
        <v>4</v>
      </c>
      <c r="T106" s="694">
        <v>1690</v>
      </c>
      <c r="U106" s="694">
        <v>1255.3499999999999</v>
      </c>
      <c r="V106" s="694">
        <v>1</v>
      </c>
      <c r="W106" s="694">
        <f>IFERROR((Table6[[#This Row],[Sales Amount]]-Table6[[#This Row],[Cost]])/Table6[[#This Row],[CNTR AMOUNT]],Table6[[#This Row],[Sales Amount]]-Table6[[#This Row],[Cost]])</f>
        <v>434.65000000000009</v>
      </c>
      <c r="X106" s="694">
        <f>IFERROR(Table6[[#This Row],[Profit]]/Table6[[#This Row],[Cost]]," ")</f>
        <v>0.34623810092802815</v>
      </c>
      <c r="Y106" s="694"/>
      <c r="Z106" s="694"/>
    </row>
    <row r="107" spans="1:26" s="147" customFormat="1" ht="30">
      <c r="A107" s="4947" t="s">
        <v>165</v>
      </c>
      <c r="B107" s="4909" t="s">
        <v>3809</v>
      </c>
      <c r="C107" s="4845" t="s">
        <v>44</v>
      </c>
      <c r="D107" s="4836">
        <v>45242</v>
      </c>
      <c r="E107" s="4935">
        <v>45258</v>
      </c>
      <c r="F107" s="4947" t="s">
        <v>245</v>
      </c>
      <c r="G107" s="4835" t="s">
        <v>3723</v>
      </c>
      <c r="H107" s="4908" t="s">
        <v>3724</v>
      </c>
      <c r="I107" s="4908" t="s">
        <v>899</v>
      </c>
      <c r="J107" s="4909" t="s">
        <v>440</v>
      </c>
      <c r="K107" s="4909" t="s">
        <v>3725</v>
      </c>
      <c r="L107" s="4947">
        <v>878643</v>
      </c>
      <c r="M107" s="5069">
        <v>45260</v>
      </c>
      <c r="N107" s="5069">
        <v>45260</v>
      </c>
      <c r="O107" s="4633">
        <v>45279</v>
      </c>
      <c r="P107" s="4951" t="s">
        <v>3810</v>
      </c>
      <c r="Q107" s="4947" t="s">
        <v>75</v>
      </c>
      <c r="R107" s="4909" t="s">
        <v>3811</v>
      </c>
      <c r="S107" s="4947">
        <v>4</v>
      </c>
      <c r="T107" s="4947">
        <v>1630</v>
      </c>
      <c r="U107" s="4947">
        <v>1294</v>
      </c>
      <c r="V107" s="4947">
        <v>1</v>
      </c>
      <c r="W107" s="4947">
        <f>IFERROR((Table6[[#This Row],[Sales Amount]]-Table6[[#This Row],[Cost]])/Table6[[#This Row],[CNTR AMOUNT]],Table6[[#This Row],[Sales Amount]]-Table6[[#This Row],[Cost]])</f>
        <v>336</v>
      </c>
      <c r="X107" s="5111">
        <f>IFERROR(Table6[[#This Row],[Profit]]/Table6[[#This Row],[Cost]]," ")</f>
        <v>0.25965996908809891</v>
      </c>
      <c r="Y107" s="4947"/>
      <c r="Z107" s="4947"/>
    </row>
    <row r="108" spans="1:26" s="1536" customFormat="1">
      <c r="A108" s="4838" t="s">
        <v>165</v>
      </c>
      <c r="B108" s="4829" t="s">
        <v>3812</v>
      </c>
      <c r="C108" s="4838" t="s">
        <v>200</v>
      </c>
      <c r="D108" s="4836">
        <v>45228</v>
      </c>
      <c r="E108" s="5107">
        <v>45237</v>
      </c>
      <c r="F108" s="4838" t="s">
        <v>167</v>
      </c>
      <c r="G108" s="4840" t="s">
        <v>302</v>
      </c>
      <c r="H108" s="5115">
        <v>45240</v>
      </c>
      <c r="I108" s="5134" t="s">
        <v>618</v>
      </c>
      <c r="J108" s="4838" t="s">
        <v>32</v>
      </c>
      <c r="K108" s="4838" t="s">
        <v>2013</v>
      </c>
      <c r="L108" s="4838" t="s">
        <v>3813</v>
      </c>
      <c r="M108" s="5108">
        <v>45241</v>
      </c>
      <c r="N108" s="5115">
        <v>45240</v>
      </c>
      <c r="O108" s="4631">
        <v>45240</v>
      </c>
      <c r="P108" s="4838" t="s">
        <v>3771</v>
      </c>
      <c r="Q108" s="4838" t="s">
        <v>75</v>
      </c>
      <c r="R108" s="4829" t="s">
        <v>3814</v>
      </c>
      <c r="S108" s="4838">
        <v>4</v>
      </c>
      <c r="T108" s="4838">
        <v>1070</v>
      </c>
      <c r="U108" s="4838">
        <v>870</v>
      </c>
      <c r="V108" s="4838">
        <v>1</v>
      </c>
      <c r="W108" s="4838">
        <f>IFERROR((Table6[[#This Row],[Sales Amount]]-Table6[[#This Row],[Cost]])/Table6[[#This Row],[CNTR AMOUNT]],Table6[[#This Row],[Sales Amount]]-Table6[[#This Row],[Cost]])</f>
        <v>200</v>
      </c>
      <c r="X108" s="5143">
        <f>IFERROR(Table6[[#This Row],[Profit]]/Table6[[#This Row],[Cost]]," ")</f>
        <v>0.22988505747126436</v>
      </c>
      <c r="Y108" s="4838"/>
      <c r="Z108" s="4838"/>
    </row>
    <row r="109" spans="1:26" s="806" customFormat="1">
      <c r="A109" s="4838" t="s">
        <v>165</v>
      </c>
      <c r="B109" s="5148" t="s">
        <v>3815</v>
      </c>
      <c r="C109" s="4838" t="s">
        <v>451</v>
      </c>
      <c r="D109" s="4836">
        <v>45228</v>
      </c>
      <c r="E109" s="5107">
        <v>45233</v>
      </c>
      <c r="F109" s="4838" t="s">
        <v>167</v>
      </c>
      <c r="G109" s="4840" t="s">
        <v>302</v>
      </c>
      <c r="H109" s="5108">
        <v>45236</v>
      </c>
      <c r="I109" s="4838"/>
      <c r="J109" s="4838" t="s">
        <v>32</v>
      </c>
      <c r="K109" s="4838" t="s">
        <v>2013</v>
      </c>
      <c r="L109" s="4838" t="s">
        <v>3816</v>
      </c>
      <c r="M109" s="5108">
        <v>45236</v>
      </c>
      <c r="N109" s="5108">
        <v>45236</v>
      </c>
      <c r="O109" s="5108">
        <v>45236</v>
      </c>
      <c r="P109" s="4838" t="s">
        <v>3771</v>
      </c>
      <c r="Q109" s="4838" t="s">
        <v>75</v>
      </c>
      <c r="R109" s="5148" t="s">
        <v>3817</v>
      </c>
      <c r="S109" s="4838">
        <v>4</v>
      </c>
      <c r="T109" s="4838">
        <v>1070</v>
      </c>
      <c r="U109" s="4838">
        <v>870</v>
      </c>
      <c r="V109" s="4838">
        <v>1</v>
      </c>
      <c r="W109" s="4838">
        <f>IFERROR((Table6[[#This Row],[Sales Amount]]-Table6[[#This Row],[Cost]])/Table6[[#This Row],[CNTR AMOUNT]],Table6[[#This Row],[Sales Amount]]-Table6[[#This Row],[Cost]])</f>
        <v>200</v>
      </c>
      <c r="X109" s="5143">
        <f>IFERROR(Table6[[#This Row],[Profit]]/Table6[[#This Row],[Cost]]," ")</f>
        <v>0.22988505747126436</v>
      </c>
      <c r="Y109" s="4838"/>
      <c r="Z109" s="4838"/>
    </row>
    <row r="110" spans="1:26" hidden="1">
      <c r="A110" s="1145" t="s">
        <v>622</v>
      </c>
      <c r="B110" s="1145" t="s">
        <v>3818</v>
      </c>
      <c r="C110" s="67" t="s">
        <v>28</v>
      </c>
      <c r="D110" s="4282">
        <v>45251</v>
      </c>
      <c r="E110" s="1491">
        <v>45256</v>
      </c>
      <c r="F110" s="1898" t="s">
        <v>45</v>
      </c>
      <c r="G110" s="1145" t="s">
        <v>46</v>
      </c>
      <c r="H110" s="1821">
        <v>45257</v>
      </c>
      <c r="I110" s="1145"/>
      <c r="J110" s="67" t="s">
        <v>32</v>
      </c>
      <c r="K110" s="1145" t="s">
        <v>1445</v>
      </c>
      <c r="L110" s="1820" t="s">
        <v>3819</v>
      </c>
      <c r="M110" s="1821">
        <v>45258</v>
      </c>
      <c r="N110" s="1821">
        <v>45257</v>
      </c>
      <c r="O110" s="1854">
        <v>45257</v>
      </c>
      <c r="P110" s="1748" t="s">
        <v>3820</v>
      </c>
      <c r="Q110" s="1325" t="s">
        <v>35</v>
      </c>
      <c r="R110" s="18" t="s">
        <v>36</v>
      </c>
      <c r="S110" s="1325" t="s">
        <v>67</v>
      </c>
      <c r="T110" s="94">
        <v>650</v>
      </c>
      <c r="U110" s="94">
        <v>550</v>
      </c>
      <c r="V110" s="94"/>
      <c r="W110" s="94">
        <f>IFERROR((Table6[[#This Row],[Sales Amount]]-Table6[[#This Row],[Cost]])/Table6[[#This Row],[CNTR AMOUNT]],Table6[[#This Row],[Sales Amount]]-Table6[[#This Row],[Cost]])</f>
        <v>100</v>
      </c>
      <c r="X110" s="94">
        <f>IFERROR(Table6[[#This Row],[Profit]]/Table6[[#This Row],[Cost]]," ")</f>
        <v>0.18181818181818182</v>
      </c>
      <c r="Y110" s="94"/>
      <c r="Z110" s="94"/>
    </row>
    <row r="111" spans="1:26" s="723" customFormat="1" hidden="1">
      <c r="A111" s="4839" t="s">
        <v>622</v>
      </c>
      <c r="B111" s="4839" t="s">
        <v>3821</v>
      </c>
      <c r="C111" s="4870" t="s">
        <v>28</v>
      </c>
      <c r="D111" s="4859">
        <v>45254</v>
      </c>
      <c r="E111" s="4867">
        <v>45279</v>
      </c>
      <c r="F111" s="4839" t="s">
        <v>29</v>
      </c>
      <c r="G111" s="4839" t="s">
        <v>57</v>
      </c>
      <c r="H111" s="4957">
        <v>45280</v>
      </c>
      <c r="I111" s="4839"/>
      <c r="J111" s="4870" t="s">
        <v>32</v>
      </c>
      <c r="K111" s="4839" t="s">
        <v>1445</v>
      </c>
      <c r="L111" s="4841">
        <v>3025501</v>
      </c>
      <c r="M111" s="4990">
        <v>45281</v>
      </c>
      <c r="N111" s="4957">
        <v>45279</v>
      </c>
      <c r="O111" s="1735">
        <v>45281</v>
      </c>
      <c r="P111" s="3248" t="s">
        <v>3822</v>
      </c>
      <c r="Q111" s="3297" t="s">
        <v>35</v>
      </c>
      <c r="R111" s="3297" t="s">
        <v>36</v>
      </c>
      <c r="S111" s="3297" t="s">
        <v>67</v>
      </c>
      <c r="T111" s="3298">
        <v>690</v>
      </c>
      <c r="U111" s="3298">
        <v>590</v>
      </c>
      <c r="V111" s="3298"/>
      <c r="W111" s="3298">
        <f>IFERROR((Table6[[#This Row],[Sales Amount]]-Table6[[#This Row],[Cost]])/Table6[[#This Row],[CNTR AMOUNT]],Table6[[#This Row],[Sales Amount]]-Table6[[#This Row],[Cost]])</f>
        <v>100</v>
      </c>
      <c r="X111" s="3298">
        <f>IFERROR(Table6[[#This Row],[Profit]]/Table6[[#This Row],[Cost]]," ")</f>
        <v>0.16949152542372881</v>
      </c>
      <c r="Y111" s="3298"/>
      <c r="Z111" s="3241"/>
    </row>
    <row r="112" spans="1:26" s="723" customFormat="1" ht="45" hidden="1">
      <c r="A112" s="3273" t="s">
        <v>263</v>
      </c>
      <c r="B112" s="3274" t="s">
        <v>3823</v>
      </c>
      <c r="C112" s="3273" t="s">
        <v>44</v>
      </c>
      <c r="D112" s="3338">
        <v>45242</v>
      </c>
      <c r="E112" s="3338">
        <v>45242</v>
      </c>
      <c r="F112" s="3274" t="s">
        <v>63</v>
      </c>
      <c r="G112" s="3313" t="s">
        <v>3824</v>
      </c>
      <c r="H112" s="3339">
        <v>45250</v>
      </c>
      <c r="I112" s="3274"/>
      <c r="J112" s="3273" t="s">
        <v>859</v>
      </c>
      <c r="K112" s="3273" t="s">
        <v>3825</v>
      </c>
      <c r="L112" s="3274"/>
      <c r="M112" s="3274"/>
      <c r="N112" s="3339">
        <v>45250</v>
      </c>
      <c r="O112" s="1955">
        <v>45250</v>
      </c>
      <c r="P112" s="3325" t="s">
        <v>3826</v>
      </c>
      <c r="Q112" s="3325" t="s">
        <v>128</v>
      </c>
      <c r="R112" s="3270" t="s">
        <v>36</v>
      </c>
      <c r="S112" s="3270"/>
      <c r="T112" s="3270">
        <v>2167.8000000000002</v>
      </c>
      <c r="U112" s="3270">
        <f>755+755+152.8</f>
        <v>1662.8</v>
      </c>
      <c r="V112" s="3325">
        <v>2</v>
      </c>
      <c r="W112" s="3325">
        <f>IFERROR((Table6[[#This Row],[Sales Amount]]-Table6[[#This Row],[Cost]])/Table6[[#This Row],[CNTR AMOUNT]],Table6[[#This Row],[Sales Amount]]-Table6[[#This Row],[Cost]])</f>
        <v>252.50000000000011</v>
      </c>
      <c r="X112" s="3340">
        <f>IFERROR(Table6[[#This Row],[Profit]]/Table6[[#This Row],[Cost]]," ")</f>
        <v>0.15185229732980521</v>
      </c>
      <c r="Y112" s="3325"/>
      <c r="Z112" s="3273"/>
    </row>
    <row r="113" spans="1:26" s="723" customFormat="1" ht="30" hidden="1">
      <c r="A113" s="694" t="s">
        <v>263</v>
      </c>
      <c r="B113" s="33" t="s">
        <v>3827</v>
      </c>
      <c r="C113" s="694" t="s">
        <v>44</v>
      </c>
      <c r="D113" s="1786">
        <v>45242</v>
      </c>
      <c r="E113" s="1786">
        <v>45242</v>
      </c>
      <c r="F113" s="33" t="s">
        <v>63</v>
      </c>
      <c r="G113" s="682" t="s">
        <v>3824</v>
      </c>
      <c r="H113" s="1793">
        <v>45251</v>
      </c>
      <c r="I113" s="33"/>
      <c r="J113" s="694" t="s">
        <v>859</v>
      </c>
      <c r="K113" s="694" t="s">
        <v>3825</v>
      </c>
      <c r="L113" s="33"/>
      <c r="M113" s="33"/>
      <c r="N113" s="1793">
        <v>45251</v>
      </c>
      <c r="O113" s="1793">
        <v>45251</v>
      </c>
      <c r="P113" s="694" t="s">
        <v>3828</v>
      </c>
      <c r="Q113" s="694" t="s">
        <v>128</v>
      </c>
      <c r="R113" s="120" t="s">
        <v>36</v>
      </c>
      <c r="S113" s="120"/>
      <c r="T113" s="120">
        <v>2167.8000000000002</v>
      </c>
      <c r="U113" s="120">
        <f>755+755+152.8</f>
        <v>1662.8</v>
      </c>
      <c r="V113" s="694">
        <v>2</v>
      </c>
      <c r="W113" s="694">
        <f>IFERROR((Table6[[#This Row],[Sales Amount]]-Table6[[#This Row],[Cost]])/Table6[[#This Row],[CNTR AMOUNT]],Table6[[#This Row],[Sales Amount]]-Table6[[#This Row],[Cost]])</f>
        <v>252.50000000000011</v>
      </c>
      <c r="X113" s="1810">
        <f>IFERROR(Table6[[#This Row],[Profit]]/Table6[[#This Row],[Cost]]," ")</f>
        <v>0.15185229732980521</v>
      </c>
      <c r="Y113" s="694"/>
      <c r="Z113" s="694"/>
    </row>
    <row r="114" spans="1:26" s="806" customFormat="1" ht="45">
      <c r="A114" s="1782" t="s">
        <v>3829</v>
      </c>
      <c r="B114" s="4266" t="s">
        <v>3830</v>
      </c>
      <c r="C114" s="1782" t="s">
        <v>451</v>
      </c>
      <c r="D114" s="1787">
        <v>45251</v>
      </c>
      <c r="E114" s="1792">
        <v>45261</v>
      </c>
      <c r="F114" s="1782" t="s">
        <v>167</v>
      </c>
      <c r="G114" s="4117" t="s">
        <v>302</v>
      </c>
      <c r="H114" s="1905">
        <v>45261</v>
      </c>
      <c r="I114" s="4266" t="s">
        <v>3831</v>
      </c>
      <c r="J114" s="4266" t="s">
        <v>32</v>
      </c>
      <c r="K114" s="1782" t="s">
        <v>635</v>
      </c>
      <c r="L114" s="663" t="s">
        <v>3832</v>
      </c>
      <c r="M114" s="1795">
        <v>45263</v>
      </c>
      <c r="N114" s="1795">
        <v>45261</v>
      </c>
      <c r="O114" s="2114">
        <v>45261</v>
      </c>
      <c r="P114" s="4273" t="s">
        <v>3833</v>
      </c>
      <c r="Q114" s="1745" t="s">
        <v>75</v>
      </c>
      <c r="R114" s="4273" t="s">
        <v>3834</v>
      </c>
      <c r="S114" s="1745">
        <v>4</v>
      </c>
      <c r="T114" s="1745">
        <v>760</v>
      </c>
      <c r="U114" s="4283">
        <f>580+110</f>
        <v>690</v>
      </c>
      <c r="V114" s="1745">
        <v>1</v>
      </c>
      <c r="W114" s="1745">
        <f>IFERROR((Table6[[#This Row],[Sales Amount]]-Table6[[#This Row],[Cost]])/Table6[[#This Row],[CNTR AMOUNT]],Table6[[#This Row],[Sales Amount]]-Table6[[#This Row],[Cost]])</f>
        <v>70</v>
      </c>
      <c r="X114" s="1978">
        <f>IFERROR(Table6[[#This Row],[Profit]]/Table6[[#This Row],[Cost]]," ")</f>
        <v>0.10144927536231885</v>
      </c>
      <c r="Y114" s="1745"/>
      <c r="Z114" s="859"/>
    </row>
    <row r="115" spans="1:26" s="147" customFormat="1" ht="30">
      <c r="A115" s="4909" t="s">
        <v>3835</v>
      </c>
      <c r="B115" s="4909" t="s">
        <v>3836</v>
      </c>
      <c r="C115" s="4947" t="s">
        <v>44</v>
      </c>
      <c r="D115" s="4836">
        <v>45250</v>
      </c>
      <c r="E115" s="4935">
        <v>45260</v>
      </c>
      <c r="F115" s="4909" t="s">
        <v>135</v>
      </c>
      <c r="G115" s="4835" t="s">
        <v>57</v>
      </c>
      <c r="H115" s="4988" t="s">
        <v>3837</v>
      </c>
      <c r="I115" s="4909" t="s">
        <v>3838</v>
      </c>
      <c r="J115" s="4909" t="s">
        <v>32</v>
      </c>
      <c r="K115" s="4909" t="s">
        <v>3839</v>
      </c>
      <c r="L115" s="4848">
        <v>2749536</v>
      </c>
      <c r="M115" s="4836">
        <v>45262</v>
      </c>
      <c r="N115" s="4988">
        <v>45262</v>
      </c>
      <c r="O115" s="1951">
        <v>45264</v>
      </c>
      <c r="P115" s="4274" t="s">
        <v>3840</v>
      </c>
      <c r="Q115" s="3325" t="s">
        <v>75</v>
      </c>
      <c r="R115" s="4274" t="s">
        <v>3841</v>
      </c>
      <c r="S115" s="3325">
        <v>4</v>
      </c>
      <c r="T115" s="4284">
        <v>1460</v>
      </c>
      <c r="U115" s="3341">
        <v>1185</v>
      </c>
      <c r="V115" s="3325">
        <v>1</v>
      </c>
      <c r="W115" s="3325">
        <f>IFERROR((Table6[[#This Row],[Sales Amount]]-Table6[[#This Row],[Cost]])/Table6[[#This Row],[CNTR AMOUNT]],Table6[[#This Row],[Sales Amount]]-Table6[[#This Row],[Cost]])</f>
        <v>275</v>
      </c>
      <c r="X115" s="3333">
        <f>IFERROR(Table6[[#This Row],[Profit]]/Table6[[#This Row],[Cost]]," ")</f>
        <v>0.2320675105485232</v>
      </c>
      <c r="Y115" s="3325"/>
      <c r="Z115" s="3273"/>
    </row>
    <row r="116" spans="1:26" s="147" customFormat="1" hidden="1">
      <c r="A116" s="3300" t="s">
        <v>1799</v>
      </c>
      <c r="B116" s="3300" t="s">
        <v>3842</v>
      </c>
      <c r="C116" s="3300" t="s">
        <v>3843</v>
      </c>
      <c r="D116" s="3324">
        <v>45240</v>
      </c>
      <c r="E116" s="3342">
        <v>45252</v>
      </c>
      <c r="F116" s="3300" t="s">
        <v>285</v>
      </c>
      <c r="G116" s="3300" t="s">
        <v>30</v>
      </c>
      <c r="H116" s="3304">
        <v>45258</v>
      </c>
      <c r="I116" s="3303" t="s">
        <v>108</v>
      </c>
      <c r="J116" s="3261" t="s">
        <v>32</v>
      </c>
      <c r="K116" s="3300" t="s">
        <v>3844</v>
      </c>
      <c r="L116" s="3303">
        <v>847359</v>
      </c>
      <c r="M116" s="3304">
        <v>45254</v>
      </c>
      <c r="N116" s="3343">
        <v>45254</v>
      </c>
      <c r="O116" s="1734">
        <v>45258</v>
      </c>
      <c r="P116" s="3287" t="s">
        <v>3845</v>
      </c>
      <c r="Q116" s="3306" t="s">
        <v>35</v>
      </c>
      <c r="R116" s="3297" t="s">
        <v>36</v>
      </c>
      <c r="S116" s="3297" t="s">
        <v>37</v>
      </c>
      <c r="T116" s="3344">
        <v>4090</v>
      </c>
      <c r="U116" s="3344">
        <v>3400</v>
      </c>
      <c r="V116" s="3344">
        <v>2</v>
      </c>
      <c r="W116" s="3344">
        <f>IFERROR((Table6[[#This Row],[Sales Amount]]-Table6[[#This Row],[Cost]])/Table6[[#This Row],[CNTR AMOUNT]],Table6[[#This Row],[Sales Amount]]-Table6[[#This Row],[Cost]])</f>
        <v>345</v>
      </c>
      <c r="X116" s="3345">
        <f>IFERROR(Table6[[#This Row],[Profit]]/Table6[[#This Row],[Cost]]," ")</f>
        <v>0.10147058823529412</v>
      </c>
      <c r="Y116" s="3344"/>
      <c r="Z116" s="3295"/>
    </row>
    <row r="117" spans="1:26" s="147" customFormat="1" hidden="1">
      <c r="A117" s="4834" t="s">
        <v>1799</v>
      </c>
      <c r="B117" s="4834" t="s">
        <v>3846</v>
      </c>
      <c r="C117" s="4834" t="s">
        <v>3843</v>
      </c>
      <c r="D117" s="5098">
        <v>45240</v>
      </c>
      <c r="E117" s="5104">
        <v>45252</v>
      </c>
      <c r="F117" s="4834" t="s">
        <v>285</v>
      </c>
      <c r="G117" s="4834" t="s">
        <v>30</v>
      </c>
      <c r="H117" s="5102">
        <v>45258</v>
      </c>
      <c r="I117" s="5101" t="s">
        <v>115</v>
      </c>
      <c r="J117" s="4870" t="s">
        <v>32</v>
      </c>
      <c r="K117" s="4834" t="s">
        <v>3844</v>
      </c>
      <c r="L117" s="5101">
        <v>322716</v>
      </c>
      <c r="M117" s="5102">
        <v>45254</v>
      </c>
      <c r="N117" s="5149">
        <v>45254</v>
      </c>
      <c r="O117" s="4833">
        <v>45258</v>
      </c>
      <c r="P117" s="4864" t="s">
        <v>3845</v>
      </c>
      <c r="Q117" s="4870" t="s">
        <v>35</v>
      </c>
      <c r="R117" s="4839" t="s">
        <v>36</v>
      </c>
      <c r="S117" s="4839" t="s">
        <v>37</v>
      </c>
      <c r="T117" s="5122">
        <v>4090</v>
      </c>
      <c r="U117" s="5122">
        <v>3400</v>
      </c>
      <c r="V117" s="5122">
        <v>2</v>
      </c>
      <c r="W117" s="5122">
        <f>IFERROR((Table6[[#This Row],[Sales Amount]]-Table6[[#This Row],[Cost]])/Table6[[#This Row],[CNTR AMOUNT]],Table6[[#This Row],[Sales Amount]]-Table6[[#This Row],[Cost]])</f>
        <v>345</v>
      </c>
      <c r="X117" s="5150">
        <f>IFERROR(Table6[[#This Row],[Profit]]/Table6[[#This Row],[Cost]]," ")</f>
        <v>0.10147058823529412</v>
      </c>
      <c r="Y117" s="5122"/>
      <c r="Z117" s="5122"/>
    </row>
    <row r="118" spans="1:26" s="723" customFormat="1" hidden="1">
      <c r="A118" s="1145" t="s">
        <v>61</v>
      </c>
      <c r="B118" s="1145" t="s">
        <v>3847</v>
      </c>
      <c r="C118" s="1145" t="s">
        <v>28</v>
      </c>
      <c r="D118" s="1153">
        <v>45219</v>
      </c>
      <c r="E118" s="1491">
        <v>45267</v>
      </c>
      <c r="F118" s="1145" t="s">
        <v>245</v>
      </c>
      <c r="G118" s="1145" t="s">
        <v>152</v>
      </c>
      <c r="H118" s="1821">
        <v>45268</v>
      </c>
      <c r="I118" s="1820" t="s">
        <v>261</v>
      </c>
      <c r="J118" s="67" t="s">
        <v>32</v>
      </c>
      <c r="K118" s="1145" t="s">
        <v>65</v>
      </c>
      <c r="L118" s="1820">
        <v>5907</v>
      </c>
      <c r="M118" s="1816">
        <v>45268</v>
      </c>
      <c r="N118" s="1817">
        <v>45268</v>
      </c>
      <c r="O118" s="1139">
        <v>45269</v>
      </c>
      <c r="P118" s="1973" t="s">
        <v>3848</v>
      </c>
      <c r="Q118" s="1696" t="s">
        <v>35</v>
      </c>
      <c r="R118" s="1696" t="s">
        <v>36</v>
      </c>
      <c r="S118" s="1696" t="s">
        <v>67</v>
      </c>
      <c r="T118" s="1690">
        <v>2080</v>
      </c>
      <c r="U118" s="1690">
        <v>1535</v>
      </c>
      <c r="V118" s="1690"/>
      <c r="W118" s="1690">
        <f>IFERROR((Table6[[#This Row],[Sales Amount]]-Table6[[#This Row],[Cost]])/Table6[[#This Row],[CNTR AMOUNT]],Table6[[#This Row],[Sales Amount]]-Table6[[#This Row],[Cost]])</f>
        <v>545</v>
      </c>
      <c r="X118" s="1690">
        <f>IFERROR(Table6[[#This Row],[Profit]]/Table6[[#This Row],[Cost]]," ")</f>
        <v>0.35504885993485341</v>
      </c>
      <c r="Y118" s="1690"/>
      <c r="Z118" s="484"/>
    </row>
    <row r="119" spans="1:26" s="147" customFormat="1" hidden="1">
      <c r="A119" s="4834" t="s">
        <v>3849</v>
      </c>
      <c r="B119" s="4834" t="s">
        <v>3850</v>
      </c>
      <c r="C119" s="4839" t="s">
        <v>28</v>
      </c>
      <c r="D119" s="5098">
        <v>45261</v>
      </c>
      <c r="E119" s="5104">
        <v>45271</v>
      </c>
      <c r="F119" s="4834" t="s">
        <v>167</v>
      </c>
      <c r="G119" s="4834" t="s">
        <v>361</v>
      </c>
      <c r="H119" s="4855">
        <v>45273</v>
      </c>
      <c r="I119" s="5101" t="s">
        <v>3851</v>
      </c>
      <c r="J119" s="4839" t="s">
        <v>1353</v>
      </c>
      <c r="K119" s="4839" t="s">
        <v>3852</v>
      </c>
      <c r="L119" s="5101">
        <v>403162</v>
      </c>
      <c r="M119" s="5102">
        <v>45274</v>
      </c>
      <c r="N119" s="4833">
        <v>45272</v>
      </c>
      <c r="O119" s="1734">
        <v>45273</v>
      </c>
      <c r="P119" s="3287" t="s">
        <v>3853</v>
      </c>
      <c r="Q119" s="3306" t="s">
        <v>35</v>
      </c>
      <c r="R119" s="3297" t="s">
        <v>36</v>
      </c>
      <c r="S119" s="3297" t="s">
        <v>37</v>
      </c>
      <c r="T119" s="3344">
        <v>1460</v>
      </c>
      <c r="U119" s="3344">
        <v>1062.4000000000001</v>
      </c>
      <c r="V119" s="3344"/>
      <c r="W119" s="3344">
        <f>IFERROR((Table6[[#This Row],[Sales Amount]]-Table6[[#This Row],[Cost]])/Table6[[#This Row],[CNTR AMOUNT]],Table6[[#This Row],[Sales Amount]]-Table6[[#This Row],[Cost]])</f>
        <v>397.59999999999991</v>
      </c>
      <c r="X119" s="3345">
        <f>IFERROR(Table6[[#This Row],[Profit]]/Table6[[#This Row],[Cost]]," ")</f>
        <v>0.37424698795180711</v>
      </c>
      <c r="Y119" s="3344"/>
      <c r="Z119" s="3295"/>
    </row>
    <row r="120" spans="1:26" s="147" customFormat="1" hidden="1">
      <c r="A120" s="3300" t="s">
        <v>122</v>
      </c>
      <c r="B120" s="3300" t="s">
        <v>3854</v>
      </c>
      <c r="C120" s="3300" t="s">
        <v>704</v>
      </c>
      <c r="D120" s="3301">
        <v>45243</v>
      </c>
      <c r="E120" s="3302">
        <v>45243</v>
      </c>
      <c r="F120" s="3300" t="s">
        <v>29</v>
      </c>
      <c r="G120" s="3300" t="s">
        <v>3855</v>
      </c>
      <c r="H120" s="3324">
        <v>45252</v>
      </c>
      <c r="I120" s="3300"/>
      <c r="J120" s="3300" t="s">
        <v>859</v>
      </c>
      <c r="K120" s="3300" t="s">
        <v>3856</v>
      </c>
      <c r="L120" s="3300"/>
      <c r="M120" s="3324">
        <v>45251</v>
      </c>
      <c r="N120" s="3324">
        <v>45252</v>
      </c>
      <c r="O120" s="1774">
        <v>45255</v>
      </c>
      <c r="P120" s="3287" t="s">
        <v>3857</v>
      </c>
      <c r="Q120" s="3316" t="s">
        <v>128</v>
      </c>
      <c r="R120" s="3316" t="s">
        <v>36</v>
      </c>
      <c r="S120" s="3316"/>
      <c r="T120" s="3316">
        <v>2650.57</v>
      </c>
      <c r="U120" s="3316">
        <v>90</v>
      </c>
      <c r="V120" s="3316"/>
      <c r="W120" s="3316">
        <f>IFERROR((Table6[[#This Row],[Sales Amount]]-Table6[[#This Row],[Cost]])/Table6[[#This Row],[CNTR AMOUNT]],Table6[[#This Row],[Sales Amount]]-Table6[[#This Row],[Cost]])</f>
        <v>2560.5700000000002</v>
      </c>
      <c r="X120" s="3316">
        <f>IFERROR(Table6[[#This Row],[Profit]]/Table6[[#This Row],[Cost]]," ")</f>
        <v>28.45077777777778</v>
      </c>
      <c r="Y120" s="3316"/>
      <c r="Z120" s="3300"/>
    </row>
    <row r="121" spans="1:26" s="147" customFormat="1" hidden="1">
      <c r="A121" s="1076" t="s">
        <v>122</v>
      </c>
      <c r="B121" s="1076" t="s">
        <v>3858</v>
      </c>
      <c r="C121" s="1076" t="s">
        <v>44</v>
      </c>
      <c r="D121" s="1078">
        <v>45245</v>
      </c>
      <c r="E121" s="1078">
        <v>45249</v>
      </c>
      <c r="F121" s="1076" t="s">
        <v>45</v>
      </c>
      <c r="G121" s="1076" t="s">
        <v>3859</v>
      </c>
      <c r="H121" s="1287">
        <v>45254</v>
      </c>
      <c r="I121" s="2095">
        <v>0.33333333333333331</v>
      </c>
      <c r="J121" s="1076" t="s">
        <v>859</v>
      </c>
      <c r="K121" s="1076" t="s">
        <v>3860</v>
      </c>
      <c r="L121" s="1076"/>
      <c r="M121" s="1287">
        <v>45250</v>
      </c>
      <c r="N121" s="1287">
        <v>45250</v>
      </c>
      <c r="O121" s="1287">
        <v>45257</v>
      </c>
      <c r="P121" s="715" t="s">
        <v>3861</v>
      </c>
      <c r="Q121" s="1076" t="s">
        <v>128</v>
      </c>
      <c r="R121" s="1076" t="s">
        <v>36</v>
      </c>
      <c r="S121" s="1076"/>
      <c r="T121" s="1076">
        <v>2676.14</v>
      </c>
      <c r="U121" s="1076">
        <f>1745+91+90</f>
        <v>1926</v>
      </c>
      <c r="V121" s="1076">
        <v>1</v>
      </c>
      <c r="W121" s="1076">
        <f>IFERROR((Table6[[#This Row],[Sales Amount]]-Table6[[#This Row],[Cost]])/Table6[[#This Row],[CNTR AMOUNT]],Table6[[#This Row],[Sales Amount]]-Table6[[#This Row],[Cost]])</f>
        <v>750.13999999999987</v>
      </c>
      <c r="X121" s="1076">
        <f>IFERROR(Table6[[#This Row],[Profit]]/Table6[[#This Row],[Cost]]," ")</f>
        <v>0.38948078920041529</v>
      </c>
      <c r="Y121" s="2096"/>
      <c r="Z121" s="1076"/>
    </row>
    <row r="122" spans="1:26" s="147" customFormat="1" ht="45">
      <c r="A122" s="4947" t="s">
        <v>319</v>
      </c>
      <c r="B122" s="4909" t="s">
        <v>3862</v>
      </c>
      <c r="C122" s="4947" t="s">
        <v>44</v>
      </c>
      <c r="D122" s="4836">
        <v>45237</v>
      </c>
      <c r="E122" s="5107">
        <v>45242</v>
      </c>
      <c r="F122" s="4947" t="s">
        <v>135</v>
      </c>
      <c r="G122" s="4840" t="s">
        <v>3113</v>
      </c>
      <c r="H122" s="5069">
        <v>45245</v>
      </c>
      <c r="I122" s="4921" t="s">
        <v>445</v>
      </c>
      <c r="J122" s="4909" t="s">
        <v>3863</v>
      </c>
      <c r="K122" s="4909" t="s">
        <v>3115</v>
      </c>
      <c r="L122" s="4838">
        <v>4567</v>
      </c>
      <c r="M122" s="5108">
        <v>45245</v>
      </c>
      <c r="N122" s="5108">
        <v>45244</v>
      </c>
      <c r="O122" s="5108">
        <v>45245</v>
      </c>
      <c r="P122" s="4909" t="s">
        <v>3864</v>
      </c>
      <c r="Q122" s="4947" t="s">
        <v>75</v>
      </c>
      <c r="R122" s="4909" t="s">
        <v>3865</v>
      </c>
      <c r="S122" s="4947">
        <v>4</v>
      </c>
      <c r="T122" s="4947">
        <v>1515</v>
      </c>
      <c r="U122" s="5109">
        <v>1078.75</v>
      </c>
      <c r="V122" s="4947">
        <v>1</v>
      </c>
      <c r="W122" s="4947">
        <f>IFERROR((Table6[[#This Row],[Sales Amount]]-Table6[[#This Row],[Cost]])/Table6[[#This Row],[CNTR AMOUNT]],Table6[[#This Row],[Sales Amount]]-Table6[[#This Row],[Cost]])</f>
        <v>436.25</v>
      </c>
      <c r="X122" s="4947">
        <f>IFERROR(Table6[[#This Row],[Profit]]/Table6[[#This Row],[Cost]]," ")</f>
        <v>0.40440324449594439</v>
      </c>
      <c r="Y122" s="4947"/>
      <c r="Z122" s="4947"/>
    </row>
    <row r="123" spans="1:26" s="147" customFormat="1" hidden="1">
      <c r="A123" s="2097" t="s">
        <v>3866</v>
      </c>
      <c r="B123" s="4285" t="s">
        <v>3867</v>
      </c>
      <c r="C123" s="2097" t="s">
        <v>44</v>
      </c>
      <c r="D123" s="1394">
        <v>45247</v>
      </c>
      <c r="E123" s="1837">
        <v>45262</v>
      </c>
      <c r="F123" s="2097" t="s">
        <v>45</v>
      </c>
      <c r="G123" s="1156" t="s">
        <v>829</v>
      </c>
      <c r="H123" s="2097"/>
      <c r="I123" s="2097"/>
      <c r="J123" s="1495" t="s">
        <v>32</v>
      </c>
      <c r="K123" s="2098" t="s">
        <v>310</v>
      </c>
      <c r="L123" s="1156" t="s">
        <v>3868</v>
      </c>
      <c r="M123" s="2099">
        <v>45264</v>
      </c>
      <c r="N123" s="2099">
        <v>45264</v>
      </c>
      <c r="O123" s="961">
        <v>45265</v>
      </c>
      <c r="P123" s="1768" t="s">
        <v>3869</v>
      </c>
      <c r="Q123" s="1700" t="s">
        <v>89</v>
      </c>
      <c r="R123" s="1700" t="s">
        <v>51</v>
      </c>
      <c r="S123" s="1700"/>
      <c r="T123" s="1700"/>
      <c r="U123" s="1700"/>
      <c r="V123" s="1700"/>
      <c r="W123" s="1700">
        <f>IFERROR((Table6[[#This Row],[Sales Amount]]-Table6[[#This Row],[Cost]])/Table6[[#This Row],[CNTR AMOUNT]],Table6[[#This Row],[Sales Amount]]-Table6[[#This Row],[Cost]])</f>
        <v>0</v>
      </c>
      <c r="X123" s="1700" t="str">
        <f>IFERROR(Table6[[#This Row],[Profit]]/Table6[[#This Row],[Cost]]," ")</f>
        <v xml:space="preserve"> </v>
      </c>
      <c r="Y123" s="1700"/>
      <c r="Z123" s="1769"/>
    </row>
    <row r="124" spans="1:26" s="147" customFormat="1" ht="15.75" hidden="1">
      <c r="A124" s="4864" t="s">
        <v>3866</v>
      </c>
      <c r="B124" s="4864" t="s">
        <v>3870</v>
      </c>
      <c r="C124" s="4864" t="s">
        <v>44</v>
      </c>
      <c r="D124" s="4833">
        <v>45240</v>
      </c>
      <c r="E124" s="4900">
        <f>7+$D124</f>
        <v>45247</v>
      </c>
      <c r="F124" s="4864" t="s">
        <v>45</v>
      </c>
      <c r="G124" s="4834" t="s">
        <v>829</v>
      </c>
      <c r="H124" s="4864"/>
      <c r="I124" s="4864"/>
      <c r="J124" s="4864" t="s">
        <v>168</v>
      </c>
      <c r="K124" s="4871" t="s">
        <v>310</v>
      </c>
      <c r="L124" s="4913" t="s">
        <v>3871</v>
      </c>
      <c r="M124" s="5098">
        <v>45249</v>
      </c>
      <c r="N124" s="4884">
        <v>45248</v>
      </c>
      <c r="O124" s="1774">
        <v>45250</v>
      </c>
      <c r="P124" s="3287" t="s">
        <v>3872</v>
      </c>
      <c r="Q124" s="3316" t="s">
        <v>50</v>
      </c>
      <c r="R124" s="3306" t="s">
        <v>36</v>
      </c>
      <c r="S124" s="3316"/>
      <c r="T124" s="3316"/>
      <c r="U124" s="3316"/>
      <c r="V124" s="3316"/>
      <c r="W124" s="3316">
        <f>IFERROR((Table6[[#This Row],[Sales Amount]]-Table6[[#This Row],[Cost]])/Table6[[#This Row],[CNTR AMOUNT]],Table6[[#This Row],[Sales Amount]]-Table6[[#This Row],[Cost]])</f>
        <v>0</v>
      </c>
      <c r="X124" s="3316" t="str">
        <f>IFERROR(Table6[[#This Row],[Profit]]/Table6[[#This Row],[Cost]]," ")</f>
        <v xml:space="preserve"> </v>
      </c>
      <c r="Y124" s="3316"/>
      <c r="Z124" s="3300"/>
    </row>
    <row r="125" spans="1:26" s="147" customFormat="1" ht="30">
      <c r="A125" s="4947" t="s">
        <v>941</v>
      </c>
      <c r="B125" s="4909" t="s">
        <v>3873</v>
      </c>
      <c r="C125" s="4947" t="s">
        <v>28</v>
      </c>
      <c r="D125" s="4836">
        <v>45231</v>
      </c>
      <c r="E125" s="5107">
        <v>45240</v>
      </c>
      <c r="F125" s="4947" t="s">
        <v>45</v>
      </c>
      <c r="G125" s="4840" t="s">
        <v>302</v>
      </c>
      <c r="H125" s="5069">
        <v>45244</v>
      </c>
      <c r="I125" s="4947" t="s">
        <v>445</v>
      </c>
      <c r="J125" s="4947" t="s">
        <v>32</v>
      </c>
      <c r="K125" s="5133" t="s">
        <v>966</v>
      </c>
      <c r="L125" s="5134" t="s">
        <v>3874</v>
      </c>
      <c r="M125" s="5115">
        <v>45242</v>
      </c>
      <c r="N125" s="5115">
        <v>45243</v>
      </c>
      <c r="O125" s="1744">
        <v>45244</v>
      </c>
      <c r="P125" s="4274" t="s">
        <v>3875</v>
      </c>
      <c r="Q125" s="3325" t="s">
        <v>75</v>
      </c>
      <c r="R125" s="4286" t="s">
        <v>3876</v>
      </c>
      <c r="S125" s="3325">
        <v>4</v>
      </c>
      <c r="T125" s="3325">
        <v>1355</v>
      </c>
      <c r="U125" s="3325">
        <v>996</v>
      </c>
      <c r="V125" s="3325">
        <v>1</v>
      </c>
      <c r="W125" s="3325">
        <f>IFERROR((Table6[[#This Row],[Sales Amount]]-Table6[[#This Row],[Cost]])/Table6[[#This Row],[CNTR AMOUNT]],Table6[[#This Row],[Sales Amount]]-Table6[[#This Row],[Cost]])</f>
        <v>359</v>
      </c>
      <c r="X125" s="3333">
        <f>IFERROR(Table6[[#This Row],[Profit]]/Table6[[#This Row],[Cost]]," ")</f>
        <v>0.36044176706827308</v>
      </c>
      <c r="Y125" s="3325"/>
      <c r="Z125" s="3273"/>
    </row>
    <row r="126" spans="1:26" s="806" customFormat="1" hidden="1">
      <c r="A126" s="4840" t="s">
        <v>32</v>
      </c>
      <c r="B126" s="4840" t="s">
        <v>3877</v>
      </c>
      <c r="C126" s="4840" t="s">
        <v>594</v>
      </c>
      <c r="D126" s="4836">
        <v>45244</v>
      </c>
      <c r="E126" s="4836">
        <v>45244</v>
      </c>
      <c r="F126" s="4840" t="s">
        <v>260</v>
      </c>
      <c r="G126" s="4840" t="s">
        <v>3683</v>
      </c>
      <c r="H126" s="4836">
        <v>45255</v>
      </c>
      <c r="I126" s="5151">
        <v>0.33333333333333331</v>
      </c>
      <c r="J126" s="4840" t="s">
        <v>510</v>
      </c>
      <c r="K126" s="4840" t="s">
        <v>3878</v>
      </c>
      <c r="L126" s="4840"/>
      <c r="M126" s="4836"/>
      <c r="N126" s="4836">
        <v>45250</v>
      </c>
      <c r="O126" s="4836">
        <v>45258</v>
      </c>
      <c r="P126" s="4947" t="s">
        <v>3879</v>
      </c>
      <c r="Q126" s="4840" t="s">
        <v>128</v>
      </c>
      <c r="R126" s="4835" t="s">
        <v>36</v>
      </c>
      <c r="S126" s="4840"/>
      <c r="T126" s="4840">
        <v>3305</v>
      </c>
      <c r="U126" s="4840">
        <v>2794.5</v>
      </c>
      <c r="V126" s="4840">
        <v>1</v>
      </c>
      <c r="W126" s="4840">
        <f>IFERROR((Table6[[#This Row],[Sales Amount]]-Table6[[#This Row],[Cost]])/Table6[[#This Row],[CNTR AMOUNT]],Table6[[#This Row],[Sales Amount]]-Table6[[#This Row],[Cost]])</f>
        <v>510.5</v>
      </c>
      <c r="X126" s="4840">
        <f>IFERROR(Table6[[#This Row],[Profit]]/Table6[[#This Row],[Cost]]," ")</f>
        <v>0.18268026480586866</v>
      </c>
      <c r="Y126" s="4840"/>
      <c r="Z126" s="4840"/>
    </row>
    <row r="127" spans="1:26" s="147" customFormat="1" hidden="1">
      <c r="A127" s="4839" t="s">
        <v>1035</v>
      </c>
      <c r="B127" s="4834" t="s">
        <v>3880</v>
      </c>
      <c r="C127" s="4839" t="s">
        <v>28</v>
      </c>
      <c r="D127" s="4859">
        <v>45253</v>
      </c>
      <c r="E127" s="4867">
        <v>45268</v>
      </c>
      <c r="F127" s="4839" t="s">
        <v>151</v>
      </c>
      <c r="G127" s="4839" t="s">
        <v>46</v>
      </c>
      <c r="H127" s="4859" t="s">
        <v>1038</v>
      </c>
      <c r="I127" s="4839"/>
      <c r="J127" s="4870" t="s">
        <v>32</v>
      </c>
      <c r="K127" s="4894" t="s">
        <v>162</v>
      </c>
      <c r="L127" s="4901" t="s">
        <v>3881</v>
      </c>
      <c r="M127" s="4855">
        <v>45271</v>
      </c>
      <c r="N127" s="4859">
        <v>45269</v>
      </c>
      <c r="O127" s="1379">
        <v>45269</v>
      </c>
      <c r="P127" s="4913" t="s">
        <v>3882</v>
      </c>
      <c r="Q127" s="4870" t="s">
        <v>35</v>
      </c>
      <c r="R127" s="4870" t="s">
        <v>36</v>
      </c>
      <c r="S127" s="4839" t="s">
        <v>1320</v>
      </c>
      <c r="T127" s="4895"/>
      <c r="U127" s="4895"/>
      <c r="V127" s="4895"/>
      <c r="W127" s="4895">
        <f>IFERROR((Table6[[#This Row],[Sales Amount]]-Table6[[#This Row],[Cost]])/Table6[[#This Row],[CNTR AMOUNT]],Table6[[#This Row],[Sales Amount]]-Table6[[#This Row],[Cost]])</f>
        <v>0</v>
      </c>
      <c r="X127" s="4895" t="str">
        <f>IFERROR(Table6[[#This Row],[Profit]]/Table6[[#This Row],[Cost]]," ")</f>
        <v xml:space="preserve"> </v>
      </c>
      <c r="Y127" s="4895"/>
      <c r="Z127" s="4895"/>
    </row>
    <row r="128" spans="1:26" s="1365" customFormat="1" hidden="1">
      <c r="A128" s="4839" t="s">
        <v>1035</v>
      </c>
      <c r="B128" s="4839" t="s">
        <v>3883</v>
      </c>
      <c r="C128" s="4839" t="s">
        <v>28</v>
      </c>
      <c r="D128" s="4859">
        <v>45254</v>
      </c>
      <c r="E128" s="4859">
        <v>45255</v>
      </c>
      <c r="F128" s="4839" t="s">
        <v>45</v>
      </c>
      <c r="G128" s="4839" t="s">
        <v>1037</v>
      </c>
      <c r="H128" s="4901" t="s">
        <v>1038</v>
      </c>
      <c r="I128" s="4839"/>
      <c r="J128" s="4870" t="s">
        <v>32</v>
      </c>
      <c r="K128" s="4894" t="s">
        <v>162</v>
      </c>
      <c r="L128" s="5136" t="s">
        <v>542</v>
      </c>
      <c r="M128" s="5152">
        <v>45260</v>
      </c>
      <c r="N128" s="4859">
        <v>45258</v>
      </c>
      <c r="O128" s="1807">
        <v>45260</v>
      </c>
      <c r="P128" s="718" t="s">
        <v>3884</v>
      </c>
      <c r="Q128" s="1062" t="s">
        <v>35</v>
      </c>
      <c r="R128" s="1062" t="s">
        <v>36</v>
      </c>
      <c r="S128" s="18" t="s">
        <v>1320</v>
      </c>
      <c r="T128" s="84"/>
      <c r="U128" s="84"/>
      <c r="V128" s="84"/>
      <c r="W128" s="84">
        <f>IFERROR((Table6[[#This Row],[Sales Amount]]-Table6[[#This Row],[Cost]])/Table6[[#This Row],[CNTR AMOUNT]],Table6[[#This Row],[Sales Amount]]-Table6[[#This Row],[Cost]])</f>
        <v>0</v>
      </c>
      <c r="X128" s="84" t="str">
        <f>IFERROR(Table6[[#This Row],[Profit]]/Table6[[#This Row],[Cost]]," ")</f>
        <v xml:space="preserve"> </v>
      </c>
      <c r="Y128" s="84"/>
      <c r="Z128" s="84"/>
    </row>
    <row r="129" spans="1:26" s="147" customFormat="1" hidden="1">
      <c r="A129" s="4839" t="s">
        <v>1035</v>
      </c>
      <c r="B129" s="4839" t="s">
        <v>3885</v>
      </c>
      <c r="C129" s="4870" t="s">
        <v>28</v>
      </c>
      <c r="D129" s="4859">
        <v>45251</v>
      </c>
      <c r="E129" s="4867">
        <v>45262</v>
      </c>
      <c r="F129" s="4839" t="s">
        <v>167</v>
      </c>
      <c r="G129" s="4839" t="s">
        <v>46</v>
      </c>
      <c r="H129" s="4901" t="s">
        <v>1038</v>
      </c>
      <c r="I129" s="4839"/>
      <c r="J129" s="4870" t="s">
        <v>32</v>
      </c>
      <c r="K129" s="4894" t="s">
        <v>162</v>
      </c>
      <c r="L129" s="4901">
        <v>322896</v>
      </c>
      <c r="M129" s="4990">
        <v>45264</v>
      </c>
      <c r="N129" s="4990">
        <v>45264</v>
      </c>
      <c r="O129" s="1736">
        <v>45264</v>
      </c>
      <c r="P129" s="1858" t="s">
        <v>3886</v>
      </c>
      <c r="Q129" s="1062" t="s">
        <v>35</v>
      </c>
      <c r="R129" s="1062" t="s">
        <v>36</v>
      </c>
      <c r="S129" s="18" t="s">
        <v>1320</v>
      </c>
      <c r="T129" s="84"/>
      <c r="U129" s="84"/>
      <c r="V129" s="84"/>
      <c r="W129" s="84">
        <f>IFERROR((Table6[[#This Row],[Sales Amount]]-Table6[[#This Row],[Cost]])/Table6[[#This Row],[CNTR AMOUNT]],Table6[[#This Row],[Sales Amount]]-Table6[[#This Row],[Cost]])</f>
        <v>0</v>
      </c>
      <c r="X129" s="84" t="str">
        <f>IFERROR(Table6[[#This Row],[Profit]]/Table6[[#This Row],[Cost]]," ")</f>
        <v xml:space="preserve"> </v>
      </c>
      <c r="Y129" s="84"/>
      <c r="Z129" s="84"/>
    </row>
    <row r="130" spans="1:26" hidden="1">
      <c r="A130" s="4839" t="s">
        <v>1035</v>
      </c>
      <c r="B130" s="4839" t="s">
        <v>3887</v>
      </c>
      <c r="C130" s="4870" t="s">
        <v>28</v>
      </c>
      <c r="D130" s="4859">
        <v>45239</v>
      </c>
      <c r="E130" s="4867">
        <v>45249</v>
      </c>
      <c r="F130" s="4839" t="s">
        <v>151</v>
      </c>
      <c r="G130" s="4839" t="s">
        <v>46</v>
      </c>
      <c r="H130" s="4839" t="s">
        <v>1038</v>
      </c>
      <c r="I130" s="4839"/>
      <c r="J130" s="1" t="s">
        <v>32</v>
      </c>
      <c r="K130" s="4894" t="s">
        <v>162</v>
      </c>
      <c r="L130" s="4901" t="s">
        <v>3888</v>
      </c>
      <c r="M130" s="4990">
        <v>45251</v>
      </c>
      <c r="N130" s="4990">
        <v>45251</v>
      </c>
      <c r="O130" s="1953">
        <v>45251</v>
      </c>
      <c r="P130" s="3248" t="s">
        <v>3889</v>
      </c>
      <c r="Q130" s="3306" t="s">
        <v>35</v>
      </c>
      <c r="R130" s="3306" t="s">
        <v>36</v>
      </c>
      <c r="S130" s="3297" t="s">
        <v>1320</v>
      </c>
      <c r="T130" s="3298"/>
      <c r="U130" s="3298"/>
      <c r="V130" s="3298"/>
      <c r="W130" s="3298">
        <f>IFERROR((Table6[[#This Row],[Sales Amount]]-Table6[[#This Row],[Cost]])/Table6[[#This Row],[CNTR AMOUNT]],Table6[[#This Row],[Sales Amount]]-Table6[[#This Row],[Cost]])</f>
        <v>0</v>
      </c>
      <c r="X130" s="3298" t="str">
        <f>IFERROR(Table6[[#This Row],[Profit]]/Table6[[#This Row],[Cost]]," ")</f>
        <v xml:space="preserve"> </v>
      </c>
      <c r="Y130" s="3298"/>
      <c r="Z130" s="3241"/>
    </row>
    <row r="131" spans="1:26" s="147" customFormat="1" hidden="1">
      <c r="A131" s="4834" t="s">
        <v>1035</v>
      </c>
      <c r="B131" s="4834" t="s">
        <v>3890</v>
      </c>
      <c r="C131" s="4870" t="s">
        <v>28</v>
      </c>
      <c r="D131" s="4833">
        <v>45247</v>
      </c>
      <c r="E131" s="4900">
        <v>45262</v>
      </c>
      <c r="F131" s="4834" t="s">
        <v>151</v>
      </c>
      <c r="G131" s="4833" t="s">
        <v>46</v>
      </c>
      <c r="H131" s="4901" t="s">
        <v>1038</v>
      </c>
      <c r="I131" s="4901"/>
      <c r="J131" s="4956" t="s">
        <v>32</v>
      </c>
      <c r="K131" s="4894" t="s">
        <v>162</v>
      </c>
      <c r="L131" s="4901" t="s">
        <v>3891</v>
      </c>
      <c r="M131" s="4990">
        <v>45264</v>
      </c>
      <c r="N131" s="5078">
        <v>45264</v>
      </c>
      <c r="O131" s="1758">
        <v>45265</v>
      </c>
      <c r="P131" s="1399" t="s">
        <v>3892</v>
      </c>
      <c r="Q131" s="1062" t="s">
        <v>35</v>
      </c>
      <c r="R131" s="1062" t="s">
        <v>36</v>
      </c>
      <c r="S131" s="18" t="s">
        <v>1320</v>
      </c>
      <c r="T131" s="647"/>
      <c r="U131" s="647"/>
      <c r="V131" s="647"/>
      <c r="W131" s="647">
        <f>IFERROR((Table6[[#This Row],[Sales Amount]]-Table6[[#This Row],[Cost]])/Table6[[#This Row],[CNTR AMOUNT]],Table6[[#This Row],[Sales Amount]]-Table6[[#This Row],[Cost]])</f>
        <v>0</v>
      </c>
      <c r="X131" s="647" t="str">
        <f>IFERROR(Table6[[#This Row],[Profit]]/Table6[[#This Row],[Cost]]," ")</f>
        <v xml:space="preserve"> </v>
      </c>
      <c r="Y131" s="647"/>
      <c r="Z131" s="647"/>
    </row>
    <row r="132" spans="1:26" hidden="1">
      <c r="A132" s="4839" t="s">
        <v>1035</v>
      </c>
      <c r="B132" s="4870" t="s">
        <v>3893</v>
      </c>
      <c r="C132" s="4870" t="s">
        <v>28</v>
      </c>
      <c r="D132" s="4859">
        <v>45239</v>
      </c>
      <c r="E132" s="4867">
        <v>45250</v>
      </c>
      <c r="F132" s="4839" t="s">
        <v>151</v>
      </c>
      <c r="G132" s="4839" t="s">
        <v>46</v>
      </c>
      <c r="H132" s="4839" t="s">
        <v>1038</v>
      </c>
      <c r="I132" s="4839"/>
      <c r="J132" s="4870" t="s">
        <v>32</v>
      </c>
      <c r="K132" s="4894" t="s">
        <v>162</v>
      </c>
      <c r="L132" s="4901" t="s">
        <v>3894</v>
      </c>
      <c r="M132" s="4990">
        <v>45252</v>
      </c>
      <c r="N132" s="4990">
        <v>45251</v>
      </c>
      <c r="O132" s="1736">
        <v>45252</v>
      </c>
      <c r="P132" s="718" t="s">
        <v>3889</v>
      </c>
      <c r="Q132" s="1062" t="s">
        <v>35</v>
      </c>
      <c r="R132" s="1062" t="s">
        <v>36</v>
      </c>
      <c r="S132" s="18" t="s">
        <v>1320</v>
      </c>
      <c r="T132" s="84"/>
      <c r="U132" s="84"/>
      <c r="V132" s="84"/>
      <c r="W132" s="84">
        <f>IFERROR((Table6[[#This Row],[Sales Amount]]-Table6[[#This Row],[Cost]])/Table6[[#This Row],[CNTR AMOUNT]],Table6[[#This Row],[Sales Amount]]-Table6[[#This Row],[Cost]])</f>
        <v>0</v>
      </c>
      <c r="X132" s="84" t="str">
        <f>IFERROR(Table6[[#This Row],[Profit]]/Table6[[#This Row],[Cost]]," ")</f>
        <v xml:space="preserve"> </v>
      </c>
      <c r="Y132" s="84"/>
      <c r="Z132" s="84"/>
    </row>
    <row r="133" spans="1:26" hidden="1">
      <c r="A133" s="3275" t="s">
        <v>1035</v>
      </c>
      <c r="B133" s="3261" t="s">
        <v>3895</v>
      </c>
      <c r="C133" s="3261" t="s">
        <v>28</v>
      </c>
      <c r="D133" s="3280">
        <v>45239</v>
      </c>
      <c r="E133" s="3346">
        <v>45249</v>
      </c>
      <c r="F133" s="3275" t="s">
        <v>151</v>
      </c>
      <c r="G133" s="3275" t="s">
        <v>46</v>
      </c>
      <c r="H133" s="3275" t="s">
        <v>1038</v>
      </c>
      <c r="I133" s="3275"/>
      <c r="J133" s="3261" t="s">
        <v>32</v>
      </c>
      <c r="K133" s="3278" t="s">
        <v>162</v>
      </c>
      <c r="L133" s="3347" t="s">
        <v>3896</v>
      </c>
      <c r="M133" s="4990">
        <v>45251</v>
      </c>
      <c r="N133" s="4957">
        <v>45250</v>
      </c>
      <c r="O133" s="1735">
        <v>45251</v>
      </c>
      <c r="P133" s="3248" t="s">
        <v>3889</v>
      </c>
      <c r="Q133" s="3306" t="s">
        <v>35</v>
      </c>
      <c r="R133" s="3306" t="s">
        <v>36</v>
      </c>
      <c r="S133" s="3297" t="s">
        <v>1320</v>
      </c>
      <c r="T133" s="3298"/>
      <c r="U133" s="3298"/>
      <c r="V133" s="3298"/>
      <c r="W133" s="3298">
        <f>IFERROR((Table6[[#This Row],[Sales Amount]]-Table6[[#This Row],[Cost]])/Table6[[#This Row],[CNTR AMOUNT]],Table6[[#This Row],[Sales Amount]]-Table6[[#This Row],[Cost]])</f>
        <v>0</v>
      </c>
      <c r="X133" s="3298" t="str">
        <f>IFERROR(Table6[[#This Row],[Profit]]/Table6[[#This Row],[Cost]]," ")</f>
        <v xml:space="preserve"> </v>
      </c>
      <c r="Y133" s="3298"/>
      <c r="Z133" s="3241"/>
    </row>
    <row r="134" spans="1:26" hidden="1">
      <c r="A134" s="18" t="s">
        <v>1035</v>
      </c>
      <c r="B134" s="1062" t="s">
        <v>3897</v>
      </c>
      <c r="C134" s="1062" t="s">
        <v>28</v>
      </c>
      <c r="D134" s="661">
        <v>45239</v>
      </c>
      <c r="E134" s="708">
        <v>45249</v>
      </c>
      <c r="F134" s="18" t="s">
        <v>151</v>
      </c>
      <c r="G134" s="18" t="s">
        <v>46</v>
      </c>
      <c r="H134" s="18" t="s">
        <v>1038</v>
      </c>
      <c r="I134" s="18"/>
      <c r="J134" s="1062" t="s">
        <v>32</v>
      </c>
      <c r="K134" s="1692" t="s">
        <v>162</v>
      </c>
      <c r="L134" s="1030" t="s">
        <v>3898</v>
      </c>
      <c r="M134" s="1771">
        <v>45251</v>
      </c>
      <c r="N134" s="982">
        <v>45250</v>
      </c>
      <c r="O134" s="1771">
        <v>45251</v>
      </c>
      <c r="P134" s="718" t="s">
        <v>3889</v>
      </c>
      <c r="Q134" s="1062" t="s">
        <v>35</v>
      </c>
      <c r="R134" s="1062" t="s">
        <v>36</v>
      </c>
      <c r="S134" s="18" t="s">
        <v>1320</v>
      </c>
      <c r="T134" s="84"/>
      <c r="U134" s="84"/>
      <c r="V134" s="84"/>
      <c r="W134" s="84">
        <f>IFERROR((Table6[[#This Row],[Sales Amount]]-Table6[[#This Row],[Cost]])/Table6[[#This Row],[CNTR AMOUNT]],Table6[[#This Row],[Sales Amount]]-Table6[[#This Row],[Cost]])</f>
        <v>0</v>
      </c>
      <c r="X134" s="84" t="str">
        <f>IFERROR(Table6[[#This Row],[Profit]]/Table6[[#This Row],[Cost]]," ")</f>
        <v xml:space="preserve"> </v>
      </c>
      <c r="Y134" s="84"/>
      <c r="Z134" s="84"/>
    </row>
    <row r="135" spans="1:26" s="1766" customFormat="1" hidden="1">
      <c r="A135" s="18" t="s">
        <v>1035</v>
      </c>
      <c r="B135" s="18" t="s">
        <v>3899</v>
      </c>
      <c r="C135" s="1699" t="s">
        <v>28</v>
      </c>
      <c r="D135" s="1638">
        <v>45232</v>
      </c>
      <c r="E135" s="1707">
        <v>45246</v>
      </c>
      <c r="F135" s="1062" t="s">
        <v>151</v>
      </c>
      <c r="G135" s="18" t="s">
        <v>46</v>
      </c>
      <c r="H135" s="1062" t="s">
        <v>1038</v>
      </c>
      <c r="I135" s="1062"/>
      <c r="J135" s="1062" t="s">
        <v>32</v>
      </c>
      <c r="K135" s="1692" t="s">
        <v>162</v>
      </c>
      <c r="L135" s="1030" t="s">
        <v>3900</v>
      </c>
      <c r="M135" s="1130">
        <v>45249</v>
      </c>
      <c r="N135" s="1130">
        <v>45248</v>
      </c>
      <c r="O135" s="1638">
        <v>45250</v>
      </c>
      <c r="P135" s="1161" t="s">
        <v>3901</v>
      </c>
      <c r="Q135" s="1062" t="s">
        <v>35</v>
      </c>
      <c r="R135" s="1062" t="s">
        <v>36</v>
      </c>
      <c r="S135" s="18" t="s">
        <v>1320</v>
      </c>
      <c r="T135" s="84"/>
      <c r="U135" s="84"/>
      <c r="V135" s="84"/>
      <c r="W135" s="84">
        <f>IFERROR((Table6[[#This Row],[Sales Amount]]-Table6[[#This Row],[Cost]])/Table6[[#This Row],[CNTR AMOUNT]],Table6[[#This Row],[Sales Amount]]-Table6[[#This Row],[Cost]])</f>
        <v>0</v>
      </c>
      <c r="X135" s="84" t="str">
        <f>IFERROR(Table6[[#This Row],[Profit]]/Table6[[#This Row],[Cost]]," ")</f>
        <v xml:space="preserve"> </v>
      </c>
      <c r="Y135" s="84"/>
      <c r="Z135" s="84"/>
    </row>
    <row r="136" spans="1:26" hidden="1">
      <c r="A136" s="1156" t="s">
        <v>1035</v>
      </c>
      <c r="B136" s="1881" t="s">
        <v>3902</v>
      </c>
      <c r="C136" s="67" t="s">
        <v>28</v>
      </c>
      <c r="D136" s="1394">
        <v>45247</v>
      </c>
      <c r="E136" s="1837">
        <v>45262</v>
      </c>
      <c r="F136" s="1156" t="s">
        <v>151</v>
      </c>
      <c r="G136" s="1394" t="s">
        <v>46</v>
      </c>
      <c r="H136" s="1772" t="s">
        <v>1038</v>
      </c>
      <c r="I136" s="1772"/>
      <c r="J136" s="1910" t="s">
        <v>32</v>
      </c>
      <c r="K136" s="1781" t="s">
        <v>162</v>
      </c>
      <c r="L136" s="1772" t="s">
        <v>3903</v>
      </c>
      <c r="M136" s="1821">
        <v>45264</v>
      </c>
      <c r="N136" s="1816">
        <v>45264</v>
      </c>
      <c r="O136" s="1855">
        <v>45265</v>
      </c>
      <c r="P136" s="1975" t="s">
        <v>3892</v>
      </c>
      <c r="Q136" s="1743" t="s">
        <v>35</v>
      </c>
      <c r="R136" s="1743" t="s">
        <v>36</v>
      </c>
      <c r="S136" s="1325" t="s">
        <v>1320</v>
      </c>
      <c r="T136" s="521"/>
      <c r="U136" s="521"/>
      <c r="V136" s="521"/>
      <c r="W136" s="521">
        <f>IFERROR((Table6[[#This Row],[Sales Amount]]-Table6[[#This Row],[Cost]])/Table6[[#This Row],[CNTR AMOUNT]],Table6[[#This Row],[Sales Amount]]-Table6[[#This Row],[Cost]])</f>
        <v>0</v>
      </c>
      <c r="X136" s="521" t="str">
        <f>IFERROR(Table6[[#This Row],[Profit]]/Table6[[#This Row],[Cost]]," ")</f>
        <v xml:space="preserve"> </v>
      </c>
      <c r="Y136" s="521"/>
      <c r="Z136" s="521"/>
    </row>
    <row r="137" spans="1:26" s="52" customFormat="1" hidden="1">
      <c r="A137" s="4839" t="s">
        <v>1035</v>
      </c>
      <c r="B137" s="4839" t="s">
        <v>3904</v>
      </c>
      <c r="C137" s="4870" t="s">
        <v>28</v>
      </c>
      <c r="D137" s="4859">
        <v>45251</v>
      </c>
      <c r="E137" s="4867">
        <v>45256</v>
      </c>
      <c r="F137" s="4839" t="s">
        <v>167</v>
      </c>
      <c r="G137" s="4839" t="s">
        <v>46</v>
      </c>
      <c r="H137" s="4901" t="s">
        <v>1038</v>
      </c>
      <c r="I137" s="4839"/>
      <c r="J137" s="4870" t="s">
        <v>32</v>
      </c>
      <c r="K137" s="4894" t="s">
        <v>162</v>
      </c>
      <c r="L137" s="5136" t="s">
        <v>3905</v>
      </c>
      <c r="M137" s="5152">
        <v>45261</v>
      </c>
      <c r="N137" s="4957">
        <v>45259</v>
      </c>
      <c r="O137" s="1735">
        <v>45260</v>
      </c>
      <c r="P137" s="3248" t="s">
        <v>3906</v>
      </c>
      <c r="Q137" s="3306" t="s">
        <v>35</v>
      </c>
      <c r="R137" s="3306" t="s">
        <v>36</v>
      </c>
      <c r="S137" s="3297" t="s">
        <v>1320</v>
      </c>
      <c r="T137" s="3298"/>
      <c r="U137" s="3298"/>
      <c r="V137" s="3298"/>
      <c r="W137" s="3298">
        <f>IFERROR((Table6[[#This Row],[Sales Amount]]-Table6[[#This Row],[Cost]])/Table6[[#This Row],[CNTR AMOUNT]],Table6[[#This Row],[Sales Amount]]-Table6[[#This Row],[Cost]])</f>
        <v>0</v>
      </c>
      <c r="X137" s="3298" t="str">
        <f>IFERROR(Table6[[#This Row],[Profit]]/Table6[[#This Row],[Cost]]," ")</f>
        <v xml:space="preserve"> </v>
      </c>
      <c r="Y137" s="3298"/>
      <c r="Z137" s="3241"/>
    </row>
    <row r="138" spans="1:26" s="52" customFormat="1" hidden="1">
      <c r="A138" s="4839" t="s">
        <v>1035</v>
      </c>
      <c r="B138" s="4839" t="s">
        <v>3907</v>
      </c>
      <c r="C138" s="4870" t="s">
        <v>28</v>
      </c>
      <c r="D138" s="4859">
        <v>45247</v>
      </c>
      <c r="E138" s="4867">
        <v>45250</v>
      </c>
      <c r="F138" s="4839" t="s">
        <v>151</v>
      </c>
      <c r="G138" s="4839" t="s">
        <v>1037</v>
      </c>
      <c r="H138" s="4901" t="s">
        <v>1038</v>
      </c>
      <c r="I138" s="4901"/>
      <c r="J138" s="4956" t="s">
        <v>32</v>
      </c>
      <c r="K138" s="4894" t="s">
        <v>162</v>
      </c>
      <c r="L138" s="4901" t="s">
        <v>542</v>
      </c>
      <c r="M138" s="5078">
        <v>45253</v>
      </c>
      <c r="N138" s="4957">
        <v>45251</v>
      </c>
      <c r="O138" s="1735">
        <v>45257</v>
      </c>
      <c r="P138" s="3248" t="s">
        <v>3908</v>
      </c>
      <c r="Q138" s="3306" t="s">
        <v>35</v>
      </c>
      <c r="R138" s="3306" t="s">
        <v>36</v>
      </c>
      <c r="S138" s="3297" t="s">
        <v>1320</v>
      </c>
      <c r="T138" s="3298"/>
      <c r="U138" s="3298"/>
      <c r="V138" s="3298"/>
      <c r="W138" s="3298">
        <f>IFERROR((Table6[[#This Row],[Sales Amount]]-Table6[[#This Row],[Cost]])/Table6[[#This Row],[CNTR AMOUNT]],Table6[[#This Row],[Sales Amount]]-Table6[[#This Row],[Cost]])</f>
        <v>0</v>
      </c>
      <c r="X138" s="3298" t="str">
        <f>IFERROR(Table6[[#This Row],[Profit]]/Table6[[#This Row],[Cost]]," ")</f>
        <v xml:space="preserve"> </v>
      </c>
      <c r="Y138" s="3298"/>
      <c r="Z138" s="3241"/>
    </row>
    <row r="139" spans="1:26" s="52" customFormat="1" hidden="1">
      <c r="A139" s="3275" t="s">
        <v>1035</v>
      </c>
      <c r="B139" s="3300" t="s">
        <v>3909</v>
      </c>
      <c r="C139" s="3275" t="s">
        <v>28</v>
      </c>
      <c r="D139" s="3280">
        <v>45253</v>
      </c>
      <c r="E139" s="3346">
        <v>45268</v>
      </c>
      <c r="F139" s="3300" t="s">
        <v>151</v>
      </c>
      <c r="G139" s="3275" t="s">
        <v>46</v>
      </c>
      <c r="H139" s="3301" t="s">
        <v>1038</v>
      </c>
      <c r="I139" s="3300"/>
      <c r="J139" s="3261" t="s">
        <v>32</v>
      </c>
      <c r="K139" s="3278" t="s">
        <v>162</v>
      </c>
      <c r="L139" s="3347" t="s">
        <v>3910</v>
      </c>
      <c r="M139" s="3301">
        <v>45271</v>
      </c>
      <c r="N139" s="3301">
        <v>45271</v>
      </c>
      <c r="O139" s="1734">
        <v>45272</v>
      </c>
      <c r="P139" s="3287" t="s">
        <v>3911</v>
      </c>
      <c r="Q139" s="3306" t="s">
        <v>35</v>
      </c>
      <c r="R139" s="3306" t="s">
        <v>36</v>
      </c>
      <c r="S139" s="3297" t="s">
        <v>1320</v>
      </c>
      <c r="T139" s="3344"/>
      <c r="U139" s="3344"/>
      <c r="V139" s="3344"/>
      <c r="W139" s="3344">
        <f>IFERROR((Table6[[#This Row],[Sales Amount]]-Table6[[#This Row],[Cost]])/Table6[[#This Row],[CNTR AMOUNT]],Table6[[#This Row],[Sales Amount]]-Table6[[#This Row],[Cost]])</f>
        <v>0</v>
      </c>
      <c r="X139" s="3344" t="str">
        <f>IFERROR(Table6[[#This Row],[Profit]]/Table6[[#This Row],[Cost]]," ")</f>
        <v xml:space="preserve"> </v>
      </c>
      <c r="Y139" s="3344"/>
      <c r="Z139" s="3295"/>
    </row>
    <row r="140" spans="1:26" s="52" customFormat="1" hidden="1">
      <c r="A140" s="18" t="s">
        <v>1035</v>
      </c>
      <c r="B140" s="1062" t="s">
        <v>3912</v>
      </c>
      <c r="C140" s="18" t="s">
        <v>28</v>
      </c>
      <c r="D140" s="661">
        <v>45253</v>
      </c>
      <c r="E140" s="708">
        <v>45266</v>
      </c>
      <c r="F140" s="18" t="s">
        <v>151</v>
      </c>
      <c r="G140" s="18" t="s">
        <v>46</v>
      </c>
      <c r="H140" s="661" t="s">
        <v>1038</v>
      </c>
      <c r="I140" s="18"/>
      <c r="J140" s="1062" t="s">
        <v>32</v>
      </c>
      <c r="K140" s="1692" t="s">
        <v>162</v>
      </c>
      <c r="L140" s="1030" t="s">
        <v>3913</v>
      </c>
      <c r="M140" s="1130">
        <v>45268</v>
      </c>
      <c r="N140" s="661">
        <v>45267</v>
      </c>
      <c r="O140" s="661">
        <v>45268</v>
      </c>
      <c r="P140" s="1161" t="s">
        <v>3882</v>
      </c>
      <c r="Q140" s="1062" t="s">
        <v>35</v>
      </c>
      <c r="R140" s="1062" t="s">
        <v>36</v>
      </c>
      <c r="S140" s="18" t="s">
        <v>1320</v>
      </c>
      <c r="T140" s="84"/>
      <c r="U140" s="84"/>
      <c r="V140" s="84"/>
      <c r="W140" s="84">
        <f>IFERROR((Table6[[#This Row],[Sales Amount]]-Table6[[#This Row],[Cost]])/Table6[[#This Row],[CNTR AMOUNT]],Table6[[#This Row],[Sales Amount]]-Table6[[#This Row],[Cost]])</f>
        <v>0</v>
      </c>
      <c r="X140" s="84" t="str">
        <f>IFERROR(Table6[[#This Row],[Profit]]/Table6[[#This Row],[Cost]]," ")</f>
        <v xml:space="preserve"> </v>
      </c>
      <c r="Y140" s="84"/>
      <c r="Z140" s="84"/>
    </row>
    <row r="141" spans="1:26" s="106" customFormat="1" hidden="1">
      <c r="A141" s="739" t="s">
        <v>1035</v>
      </c>
      <c r="B141" s="739" t="s">
        <v>3914</v>
      </c>
      <c r="C141" s="1757" t="s">
        <v>28</v>
      </c>
      <c r="D141" s="1785">
        <v>45244</v>
      </c>
      <c r="E141" s="1785">
        <v>45248</v>
      </c>
      <c r="F141" s="739" t="s">
        <v>151</v>
      </c>
      <c r="G141" s="739" t="s">
        <v>3915</v>
      </c>
      <c r="H141" s="1796" t="s">
        <v>1038</v>
      </c>
      <c r="I141" s="1796"/>
      <c r="J141" s="1799" t="s">
        <v>32</v>
      </c>
      <c r="K141" s="1802" t="s">
        <v>162</v>
      </c>
      <c r="L141" s="1927" t="s">
        <v>542</v>
      </c>
      <c r="M141" s="1937"/>
      <c r="N141" s="1840">
        <v>45251</v>
      </c>
      <c r="O141" s="1139">
        <v>45258</v>
      </c>
      <c r="P141" s="1698" t="s">
        <v>3916</v>
      </c>
      <c r="Q141" s="1697" t="s">
        <v>35</v>
      </c>
      <c r="R141" s="1697" t="s">
        <v>36</v>
      </c>
      <c r="S141" s="1696" t="s">
        <v>1320</v>
      </c>
      <c r="T141" s="1690"/>
      <c r="U141" s="1690"/>
      <c r="V141" s="1690"/>
      <c r="W141" s="1690">
        <f>IFERROR((Table6[[#This Row],[Sales Amount]]-Table6[[#This Row],[Cost]])/Table6[[#This Row],[CNTR AMOUNT]],Table6[[#This Row],[Sales Amount]]-Table6[[#This Row],[Cost]])</f>
        <v>0</v>
      </c>
      <c r="X141" s="1690" t="str">
        <f>IFERROR(Table6[[#This Row],[Profit]]/Table6[[#This Row],[Cost]]," ")</f>
        <v xml:space="preserve"> </v>
      </c>
      <c r="Y141" s="1690"/>
      <c r="Z141" s="484"/>
    </row>
    <row r="142" spans="1:26" s="1350" customFormat="1" hidden="1">
      <c r="A142" s="3275" t="s">
        <v>1035</v>
      </c>
      <c r="B142" s="3261" t="s">
        <v>3917</v>
      </c>
      <c r="C142" s="3275" t="s">
        <v>28</v>
      </c>
      <c r="D142" s="3280">
        <v>45253</v>
      </c>
      <c r="E142" s="3346">
        <v>45268</v>
      </c>
      <c r="F142" s="3275" t="s">
        <v>151</v>
      </c>
      <c r="G142" s="3275" t="s">
        <v>46</v>
      </c>
      <c r="H142" s="3280" t="s">
        <v>1038</v>
      </c>
      <c r="I142" s="3275"/>
      <c r="J142" s="3261" t="s">
        <v>32</v>
      </c>
      <c r="K142" s="3278" t="s">
        <v>162</v>
      </c>
      <c r="L142" s="3347" t="s">
        <v>3918</v>
      </c>
      <c r="M142" s="3329">
        <v>45271</v>
      </c>
      <c r="N142" s="3280">
        <v>45269</v>
      </c>
      <c r="O142" s="3280">
        <v>45269</v>
      </c>
      <c r="P142" s="3348" t="s">
        <v>3882</v>
      </c>
      <c r="Q142" s="3261" t="s">
        <v>35</v>
      </c>
      <c r="R142" s="3261" t="s">
        <v>36</v>
      </c>
      <c r="S142" s="3275" t="s">
        <v>1320</v>
      </c>
      <c r="T142" s="3241"/>
      <c r="U142" s="3241"/>
      <c r="V142" s="3241"/>
      <c r="W142" s="3241">
        <f>IFERROR((Table6[[#This Row],[Sales Amount]]-Table6[[#This Row],[Cost]])/Table6[[#This Row],[CNTR AMOUNT]],Table6[[#This Row],[Sales Amount]]-Table6[[#This Row],[Cost]])</f>
        <v>0</v>
      </c>
      <c r="X142" s="3241" t="str">
        <f>IFERROR(Table6[[#This Row],[Profit]]/Table6[[#This Row],[Cost]]," ")</f>
        <v xml:space="preserve"> </v>
      </c>
      <c r="Y142" s="3241"/>
      <c r="Z142" s="3241"/>
    </row>
    <row r="143" spans="1:26" s="117" customFormat="1" hidden="1">
      <c r="A143" s="4839" t="s">
        <v>1035</v>
      </c>
      <c r="B143" s="4839" t="s">
        <v>3919</v>
      </c>
      <c r="C143" s="4851" t="s">
        <v>28</v>
      </c>
      <c r="D143" s="4877">
        <v>45232</v>
      </c>
      <c r="E143" s="5076">
        <v>45246</v>
      </c>
      <c r="F143" s="4870" t="s">
        <v>151</v>
      </c>
      <c r="G143" s="4839" t="s">
        <v>46</v>
      </c>
      <c r="H143" s="4839" t="s">
        <v>1038</v>
      </c>
      <c r="I143" s="4870"/>
      <c r="J143" s="4870" t="s">
        <v>32</v>
      </c>
      <c r="K143" s="4894" t="s">
        <v>162</v>
      </c>
      <c r="L143" s="4901" t="s">
        <v>3920</v>
      </c>
      <c r="M143" s="4855">
        <v>45249</v>
      </c>
      <c r="N143" s="4855">
        <v>45248</v>
      </c>
      <c r="O143" s="4877">
        <v>45250</v>
      </c>
      <c r="P143" s="4913" t="s">
        <v>3901</v>
      </c>
      <c r="Q143" s="4870" t="s">
        <v>35</v>
      </c>
      <c r="R143" s="4870" t="s">
        <v>36</v>
      </c>
      <c r="S143" s="4839" t="s">
        <v>1320</v>
      </c>
      <c r="T143" s="4895"/>
      <c r="U143" s="4895"/>
      <c r="V143" s="4895"/>
      <c r="W143" s="4895">
        <f>IFERROR((Table6[[#This Row],[Sales Amount]]-Table6[[#This Row],[Cost]])/Table6[[#This Row],[CNTR AMOUNT]],Table6[[#This Row],[Sales Amount]]-Table6[[#This Row],[Cost]])</f>
        <v>0</v>
      </c>
      <c r="X143" s="4895" t="str">
        <f>IFERROR(Table6[[#This Row],[Profit]]/Table6[[#This Row],[Cost]]," ")</f>
        <v xml:space="preserve"> </v>
      </c>
      <c r="Y143" s="4895"/>
      <c r="Z143" s="4895"/>
    </row>
    <row r="144" spans="1:26" s="52" customFormat="1" hidden="1">
      <c r="A144" s="1769" t="s">
        <v>1035</v>
      </c>
      <c r="B144" s="1769" t="s">
        <v>3921</v>
      </c>
      <c r="C144" s="1757" t="s">
        <v>28</v>
      </c>
      <c r="D144" s="1840">
        <v>45247</v>
      </c>
      <c r="E144" s="1893">
        <v>45262</v>
      </c>
      <c r="F144" s="1769" t="s">
        <v>151</v>
      </c>
      <c r="G144" s="1840" t="s">
        <v>46</v>
      </c>
      <c r="H144" s="1796" t="s">
        <v>1038</v>
      </c>
      <c r="I144" s="1796"/>
      <c r="J144" s="1799" t="s">
        <v>32</v>
      </c>
      <c r="K144" s="1802" t="s">
        <v>162</v>
      </c>
      <c r="L144" s="1796" t="s">
        <v>3922</v>
      </c>
      <c r="M144" s="1866">
        <v>45264</v>
      </c>
      <c r="N144" s="1794">
        <v>45264</v>
      </c>
      <c r="O144" s="1840">
        <v>45265</v>
      </c>
      <c r="P144" s="1968" t="s">
        <v>3892</v>
      </c>
      <c r="Q144" s="1757" t="s">
        <v>35</v>
      </c>
      <c r="R144" s="1757" t="s">
        <v>36</v>
      </c>
      <c r="S144" s="739" t="s">
        <v>1320</v>
      </c>
      <c r="T144" s="1693"/>
      <c r="U144" s="1693"/>
      <c r="V144" s="1693"/>
      <c r="W144" s="1693">
        <f>IFERROR((Table6[[#This Row],[Sales Amount]]-Table6[[#This Row],[Cost]])/Table6[[#This Row],[CNTR AMOUNT]],Table6[[#This Row],[Sales Amount]]-Table6[[#This Row],[Cost]])</f>
        <v>0</v>
      </c>
      <c r="X144" s="1693" t="str">
        <f>IFERROR(Table6[[#This Row],[Profit]]/Table6[[#This Row],[Cost]]," ")</f>
        <v xml:space="preserve"> </v>
      </c>
      <c r="Y144" s="1693"/>
      <c r="Z144" s="1693"/>
    </row>
    <row r="145" spans="1:30" s="147" customFormat="1" hidden="1">
      <c r="A145" s="4839" t="s">
        <v>1035</v>
      </c>
      <c r="B145" s="4834" t="s">
        <v>3923</v>
      </c>
      <c r="C145" s="4839" t="s">
        <v>28</v>
      </c>
      <c r="D145" s="4859">
        <v>45253</v>
      </c>
      <c r="E145" s="4867">
        <v>45268</v>
      </c>
      <c r="F145" s="4834" t="s">
        <v>151</v>
      </c>
      <c r="G145" s="4839" t="s">
        <v>46</v>
      </c>
      <c r="H145" s="4833" t="s">
        <v>1038</v>
      </c>
      <c r="I145" s="4834"/>
      <c r="J145" s="4870" t="s">
        <v>32</v>
      </c>
      <c r="K145" s="4894" t="s">
        <v>162</v>
      </c>
      <c r="L145" s="5153" t="s">
        <v>3924</v>
      </c>
      <c r="M145" s="4833">
        <v>45270</v>
      </c>
      <c r="N145" s="4833">
        <v>45269</v>
      </c>
      <c r="O145" s="4833">
        <v>45272</v>
      </c>
      <c r="P145" s="4913" t="s">
        <v>3911</v>
      </c>
      <c r="Q145" s="4870" t="s">
        <v>35</v>
      </c>
      <c r="R145" s="4870" t="s">
        <v>36</v>
      </c>
      <c r="S145" s="4839" t="s">
        <v>1320</v>
      </c>
      <c r="T145" s="5122"/>
      <c r="U145" s="5122"/>
      <c r="V145" s="5122"/>
      <c r="W145" s="5122">
        <f>IFERROR((Table6[[#This Row],[Sales Amount]]-Table6[[#This Row],[Cost]])/Table6[[#This Row],[CNTR AMOUNT]],Table6[[#This Row],[Sales Amount]]-Table6[[#This Row],[Cost]])</f>
        <v>0</v>
      </c>
      <c r="X145" s="5122" t="str">
        <f>IFERROR(Table6[[#This Row],[Profit]]/Table6[[#This Row],[Cost]]," ")</f>
        <v xml:space="preserve"> </v>
      </c>
      <c r="Y145" s="5122"/>
      <c r="Z145" s="5122"/>
    </row>
    <row r="146" spans="1:30" s="806" customFormat="1" hidden="1">
      <c r="A146" s="1145" t="s">
        <v>1035</v>
      </c>
      <c r="B146" s="1145" t="s">
        <v>3925</v>
      </c>
      <c r="C146" s="67" t="s">
        <v>28</v>
      </c>
      <c r="D146" s="1153">
        <v>45256</v>
      </c>
      <c r="E146" s="1491">
        <v>45265</v>
      </c>
      <c r="F146" s="1145" t="s">
        <v>151</v>
      </c>
      <c r="G146" s="1145" t="s">
        <v>46</v>
      </c>
      <c r="H146" s="1772" t="s">
        <v>1038</v>
      </c>
      <c r="I146" s="1772"/>
      <c r="J146" s="1910" t="s">
        <v>32</v>
      </c>
      <c r="K146" s="1781" t="s">
        <v>162</v>
      </c>
      <c r="L146" s="1772" t="s">
        <v>3926</v>
      </c>
      <c r="M146" s="1821">
        <v>45267</v>
      </c>
      <c r="N146" s="1817">
        <v>45265</v>
      </c>
      <c r="O146" s="1139">
        <v>45266</v>
      </c>
      <c r="P146" s="1698" t="s">
        <v>3927</v>
      </c>
      <c r="Q146" s="1697" t="s">
        <v>35</v>
      </c>
      <c r="R146" s="1697" t="s">
        <v>36</v>
      </c>
      <c r="S146" s="1696" t="s">
        <v>1320</v>
      </c>
      <c r="T146" s="1690"/>
      <c r="U146" s="1690"/>
      <c r="V146" s="1690"/>
      <c r="W146" s="1690">
        <f>IFERROR((Table6[[#This Row],[Sales Amount]]-Table6[[#This Row],[Cost]])/Table6[[#This Row],[CNTR AMOUNT]],Table6[[#This Row],[Sales Amount]]-Table6[[#This Row],[Cost]])</f>
        <v>0</v>
      </c>
      <c r="X146" s="1690" t="str">
        <f>IFERROR(Table6[[#This Row],[Profit]]/Table6[[#This Row],[Cost]]," ")</f>
        <v xml:space="preserve"> </v>
      </c>
      <c r="Y146" s="1690"/>
      <c r="Z146" s="484"/>
    </row>
    <row r="147" spans="1:30" s="147" customFormat="1" hidden="1">
      <c r="A147" s="3275" t="s">
        <v>1035</v>
      </c>
      <c r="B147" s="3275" t="s">
        <v>3928</v>
      </c>
      <c r="C147" s="3261" t="s">
        <v>28</v>
      </c>
      <c r="D147" s="3280">
        <v>45256</v>
      </c>
      <c r="E147" s="3346">
        <v>45265</v>
      </c>
      <c r="F147" s="3275" t="s">
        <v>151</v>
      </c>
      <c r="G147" s="3275" t="s">
        <v>46</v>
      </c>
      <c r="H147" s="3347" t="s">
        <v>1038</v>
      </c>
      <c r="I147" s="3347"/>
      <c r="J147" s="3349" t="s">
        <v>32</v>
      </c>
      <c r="K147" s="3278" t="s">
        <v>162</v>
      </c>
      <c r="L147" s="3347" t="s">
        <v>3929</v>
      </c>
      <c r="M147" s="3350">
        <v>45267</v>
      </c>
      <c r="N147" s="3279">
        <v>45266</v>
      </c>
      <c r="O147" s="1735">
        <v>45266</v>
      </c>
      <c r="P147" s="3248" t="s">
        <v>3927</v>
      </c>
      <c r="Q147" s="3306" t="s">
        <v>35</v>
      </c>
      <c r="R147" s="3306" t="s">
        <v>36</v>
      </c>
      <c r="S147" s="3297" t="s">
        <v>1320</v>
      </c>
      <c r="T147" s="3298"/>
      <c r="U147" s="3298"/>
      <c r="V147" s="3298"/>
      <c r="W147" s="3298">
        <f>IFERROR((Table6[[#This Row],[Sales Amount]]-Table6[[#This Row],[Cost]])/Table6[[#This Row],[CNTR AMOUNT]],Table6[[#This Row],[Sales Amount]]-Table6[[#This Row],[Cost]])</f>
        <v>0</v>
      </c>
      <c r="X147" s="3298" t="str">
        <f>IFERROR(Table6[[#This Row],[Profit]]/Table6[[#This Row],[Cost]]," ")</f>
        <v xml:space="preserve"> </v>
      </c>
      <c r="Y147" s="3298"/>
      <c r="Z147" s="3241"/>
    </row>
    <row r="148" spans="1:30" hidden="1">
      <c r="A148" s="18" t="s">
        <v>1035</v>
      </c>
      <c r="B148" s="18" t="s">
        <v>3930</v>
      </c>
      <c r="C148" s="1062" t="s">
        <v>28</v>
      </c>
      <c r="D148" s="1638">
        <v>45232</v>
      </c>
      <c r="E148" s="1707">
        <v>45246</v>
      </c>
      <c r="F148" s="1062" t="s">
        <v>151</v>
      </c>
      <c r="G148" s="18" t="s">
        <v>46</v>
      </c>
      <c r="H148" s="18" t="s">
        <v>1038</v>
      </c>
      <c r="I148" s="1062"/>
      <c r="J148" s="1062" t="s">
        <v>32</v>
      </c>
      <c r="K148" s="1692" t="s">
        <v>162</v>
      </c>
      <c r="L148" s="1030" t="s">
        <v>3931</v>
      </c>
      <c r="M148" s="1130">
        <v>45249</v>
      </c>
      <c r="N148" s="1130">
        <v>45248</v>
      </c>
      <c r="O148" s="1130">
        <v>45248</v>
      </c>
      <c r="P148" s="656" t="s">
        <v>3901</v>
      </c>
      <c r="Q148" s="1062" t="s">
        <v>35</v>
      </c>
      <c r="R148" s="1062" t="s">
        <v>36</v>
      </c>
      <c r="S148" s="18" t="s">
        <v>1320</v>
      </c>
      <c r="T148" s="84"/>
      <c r="U148" s="84"/>
      <c r="V148" s="84"/>
      <c r="W148" s="84">
        <f>IFERROR((Table6[[#This Row],[Sales Amount]]-Table6[[#This Row],[Cost]])/Table6[[#This Row],[CNTR AMOUNT]],Table6[[#This Row],[Sales Amount]]-Table6[[#This Row],[Cost]])</f>
        <v>0</v>
      </c>
      <c r="X148" s="84" t="str">
        <f>IFERROR(Table6[[#This Row],[Profit]]/Table6[[#This Row],[Cost]]," ")</f>
        <v xml:space="preserve"> </v>
      </c>
      <c r="Y148" s="84"/>
      <c r="Z148" s="84"/>
    </row>
    <row r="149" spans="1:30" s="723" customFormat="1" hidden="1">
      <c r="A149" s="18" t="s">
        <v>1035</v>
      </c>
      <c r="B149" s="962" t="s">
        <v>3932</v>
      </c>
      <c r="C149" s="18" t="s">
        <v>28</v>
      </c>
      <c r="D149" s="661">
        <v>45253</v>
      </c>
      <c r="E149" s="708">
        <v>45272</v>
      </c>
      <c r="F149" s="962" t="s">
        <v>151</v>
      </c>
      <c r="G149" s="18" t="s">
        <v>46</v>
      </c>
      <c r="H149" s="661" t="s">
        <v>1038</v>
      </c>
      <c r="I149" s="962"/>
      <c r="J149" s="1062" t="s">
        <v>32</v>
      </c>
      <c r="K149" s="1692" t="s">
        <v>162</v>
      </c>
      <c r="L149" s="1030" t="s">
        <v>3933</v>
      </c>
      <c r="M149" s="1281">
        <v>45274</v>
      </c>
      <c r="N149" s="1128">
        <v>45273</v>
      </c>
      <c r="O149" s="1128">
        <v>45273</v>
      </c>
      <c r="P149" s="1161" t="s">
        <v>3882</v>
      </c>
      <c r="Q149" s="1062" t="s">
        <v>35</v>
      </c>
      <c r="R149" s="1062" t="s">
        <v>36</v>
      </c>
      <c r="S149" s="18" t="s">
        <v>1320</v>
      </c>
      <c r="T149" s="647"/>
      <c r="U149" s="647"/>
      <c r="V149" s="647"/>
      <c r="W149" s="647">
        <f>IFERROR((Table6[[#This Row],[Sales Amount]]-Table6[[#This Row],[Cost]])/Table6[[#This Row],[CNTR AMOUNT]],Table6[[#This Row],[Sales Amount]]-Table6[[#This Row],[Cost]])</f>
        <v>0</v>
      </c>
      <c r="X149" s="647" t="str">
        <f>IFERROR(Table6[[#This Row],[Profit]]/Table6[[#This Row],[Cost]]," ")</f>
        <v xml:space="preserve"> </v>
      </c>
      <c r="Y149" s="647"/>
      <c r="Z149" s="647"/>
    </row>
    <row r="150" spans="1:30" s="1766" customFormat="1" hidden="1">
      <c r="A150" s="18" t="s">
        <v>1035</v>
      </c>
      <c r="B150" s="962" t="s">
        <v>3934</v>
      </c>
      <c r="C150" s="18" t="s">
        <v>28</v>
      </c>
      <c r="D150" s="661">
        <v>45253</v>
      </c>
      <c r="E150" s="708">
        <v>45268</v>
      </c>
      <c r="F150" s="962" t="s">
        <v>151</v>
      </c>
      <c r="G150" s="18" t="s">
        <v>46</v>
      </c>
      <c r="H150" s="1128" t="s">
        <v>1038</v>
      </c>
      <c r="I150" s="962"/>
      <c r="J150" s="1062" t="s">
        <v>32</v>
      </c>
      <c r="K150" s="1692" t="s">
        <v>162</v>
      </c>
      <c r="L150" s="1030" t="s">
        <v>3935</v>
      </c>
      <c r="M150" s="1128">
        <v>45270</v>
      </c>
      <c r="N150" s="1128">
        <v>45269</v>
      </c>
      <c r="O150" s="1128">
        <v>45271</v>
      </c>
      <c r="P150" s="1168" t="s">
        <v>3911</v>
      </c>
      <c r="Q150" s="1376" t="s">
        <v>35</v>
      </c>
      <c r="R150" s="1376" t="s">
        <v>36</v>
      </c>
      <c r="S150" s="710" t="s">
        <v>1320</v>
      </c>
      <c r="T150" s="850"/>
      <c r="U150" s="850"/>
      <c r="V150" s="850"/>
      <c r="W150" s="850">
        <f>IFERROR((Table6[[#This Row],[Sales Amount]]-Table6[[#This Row],[Cost]])/Table6[[#This Row],[CNTR AMOUNT]],Table6[[#This Row],[Sales Amount]]-Table6[[#This Row],[Cost]])</f>
        <v>0</v>
      </c>
      <c r="X150" s="850" t="str">
        <f>IFERROR(Table6[[#This Row],[Profit]]/Table6[[#This Row],[Cost]]," ")</f>
        <v xml:space="preserve"> </v>
      </c>
      <c r="Y150" s="850"/>
      <c r="Z150" s="850"/>
    </row>
    <row r="151" spans="1:30" hidden="1">
      <c r="A151" s="18" t="s">
        <v>1035</v>
      </c>
      <c r="B151" s="1062" t="s">
        <v>3936</v>
      </c>
      <c r="C151" s="1062" t="s">
        <v>28</v>
      </c>
      <c r="D151" s="661">
        <v>45239</v>
      </c>
      <c r="E151" s="708">
        <v>45250</v>
      </c>
      <c r="F151" s="18" t="s">
        <v>151</v>
      </c>
      <c r="G151" s="18" t="s">
        <v>46</v>
      </c>
      <c r="H151" s="18" t="s">
        <v>1038</v>
      </c>
      <c r="I151" s="18"/>
      <c r="J151" s="1062" t="s">
        <v>32</v>
      </c>
      <c r="K151" s="1692" t="s">
        <v>162</v>
      </c>
      <c r="L151" s="1030" t="s">
        <v>3937</v>
      </c>
      <c r="M151" s="1771">
        <v>45252</v>
      </c>
      <c r="N151" s="1771">
        <v>45251</v>
      </c>
      <c r="O151" s="1957">
        <v>45252</v>
      </c>
      <c r="P151" s="4861" t="s">
        <v>3889</v>
      </c>
      <c r="Q151" s="4870" t="s">
        <v>35</v>
      </c>
      <c r="R151" s="4870" t="s">
        <v>36</v>
      </c>
      <c r="S151" s="4839" t="s">
        <v>1320</v>
      </c>
      <c r="T151" s="4895"/>
      <c r="U151" s="4895"/>
      <c r="V151" s="4895"/>
      <c r="W151" s="4895">
        <f>IFERROR((Table6[[#This Row],[Sales Amount]]-Table6[[#This Row],[Cost]])/Table6[[#This Row],[CNTR AMOUNT]],Table6[[#This Row],[Sales Amount]]-Table6[[#This Row],[Cost]])</f>
        <v>0</v>
      </c>
      <c r="X151" s="4895" t="str">
        <f>IFERROR(Table6[[#This Row],[Profit]]/Table6[[#This Row],[Cost]]," ")</f>
        <v xml:space="preserve"> </v>
      </c>
      <c r="Y151" s="4895"/>
      <c r="Z151" s="4895"/>
    </row>
    <row r="152" spans="1:30" s="745" customFormat="1" hidden="1">
      <c r="A152" s="4839" t="s">
        <v>1035</v>
      </c>
      <c r="B152" s="4870" t="s">
        <v>3938</v>
      </c>
      <c r="C152" s="4870" t="s">
        <v>28</v>
      </c>
      <c r="D152" s="4859">
        <v>45239</v>
      </c>
      <c r="E152" s="4867">
        <v>45250</v>
      </c>
      <c r="F152" s="4839" t="s">
        <v>151</v>
      </c>
      <c r="G152" s="4839" t="s">
        <v>46</v>
      </c>
      <c r="H152" s="4839" t="s">
        <v>1038</v>
      </c>
      <c r="I152" s="4839"/>
      <c r="J152" s="4870" t="s">
        <v>32</v>
      </c>
      <c r="K152" s="4894" t="s">
        <v>162</v>
      </c>
      <c r="L152" s="4901" t="s">
        <v>3939</v>
      </c>
      <c r="M152" s="4990">
        <v>45252</v>
      </c>
      <c r="N152" s="4990">
        <v>45252</v>
      </c>
      <c r="O152" s="4957">
        <v>45252</v>
      </c>
      <c r="P152" s="1495" t="s">
        <v>3889</v>
      </c>
      <c r="Q152" s="67" t="s">
        <v>35</v>
      </c>
      <c r="R152" s="1062" t="s">
        <v>36</v>
      </c>
      <c r="S152" s="1145" t="s">
        <v>1320</v>
      </c>
      <c r="T152" s="16"/>
      <c r="U152" s="16"/>
      <c r="V152" s="16"/>
      <c r="W152" s="16">
        <f>IFERROR((Table6[[#This Row],[Sales Amount]]-Table6[[#This Row],[Cost]])/Table6[[#This Row],[CNTR AMOUNT]],Table6[[#This Row],[Sales Amount]]-Table6[[#This Row],[Cost]])</f>
        <v>0</v>
      </c>
      <c r="X152" s="16" t="str">
        <f>IFERROR(Table6[[#This Row],[Profit]]/Table6[[#This Row],[Cost]]," ")</f>
        <v xml:space="preserve"> </v>
      </c>
      <c r="Y152" s="16"/>
      <c r="Z152" s="16"/>
    </row>
    <row r="153" spans="1:30" s="1536" customFormat="1" hidden="1">
      <c r="A153" s="18" t="s">
        <v>1035</v>
      </c>
      <c r="B153" s="18" t="s">
        <v>3940</v>
      </c>
      <c r="C153" s="1062" t="s">
        <v>28</v>
      </c>
      <c r="D153" s="661">
        <v>45247</v>
      </c>
      <c r="E153" s="708">
        <v>45247</v>
      </c>
      <c r="F153" s="18" t="s">
        <v>135</v>
      </c>
      <c r="G153" s="18" t="s">
        <v>1037</v>
      </c>
      <c r="H153" s="1030" t="s">
        <v>1038</v>
      </c>
      <c r="I153" s="1030"/>
      <c r="J153" s="1747" t="s">
        <v>32</v>
      </c>
      <c r="K153" s="1692" t="s">
        <v>162</v>
      </c>
      <c r="L153" s="1780" t="s">
        <v>542</v>
      </c>
      <c r="M153" s="1849">
        <v>45254</v>
      </c>
      <c r="N153" s="982">
        <v>45252</v>
      </c>
      <c r="O153" s="982">
        <v>45252</v>
      </c>
      <c r="P153" s="718" t="s">
        <v>3941</v>
      </c>
      <c r="Q153" s="18" t="s">
        <v>35</v>
      </c>
      <c r="R153" s="18" t="s">
        <v>36</v>
      </c>
      <c r="S153" s="18" t="s">
        <v>1320</v>
      </c>
      <c r="T153" s="84"/>
      <c r="U153" s="84"/>
      <c r="V153" s="84"/>
      <c r="W153" s="84">
        <f>IFERROR((Table6[[#This Row],[Sales Amount]]-Table6[[#This Row],[Cost]])/Table6[[#This Row],[CNTR AMOUNT]],Table6[[#This Row],[Sales Amount]]-Table6[[#This Row],[Cost]])</f>
        <v>0</v>
      </c>
      <c r="X153" s="84" t="str">
        <f>IFERROR(Table6[[#This Row],[Profit]]/Table6[[#This Row],[Cost]]," ")</f>
        <v xml:space="preserve"> </v>
      </c>
      <c r="Y153" s="84"/>
      <c r="Z153" s="84"/>
    </row>
    <row r="154" spans="1:30" s="1766" customFormat="1" hidden="1">
      <c r="A154" s="18" t="s">
        <v>1035</v>
      </c>
      <c r="B154" s="18" t="s">
        <v>3942</v>
      </c>
      <c r="C154" s="1062" t="s">
        <v>28</v>
      </c>
      <c r="D154" s="1638">
        <v>45232</v>
      </c>
      <c r="E154" s="1707">
        <v>45246</v>
      </c>
      <c r="F154" s="1062" t="s">
        <v>151</v>
      </c>
      <c r="G154" s="18" t="s">
        <v>46</v>
      </c>
      <c r="H154" s="18" t="s">
        <v>1038</v>
      </c>
      <c r="I154" s="1062"/>
      <c r="J154" s="1062" t="s">
        <v>32</v>
      </c>
      <c r="K154" s="1692" t="s">
        <v>162</v>
      </c>
      <c r="L154" s="1030" t="s">
        <v>3943</v>
      </c>
      <c r="M154" s="1130">
        <v>45248</v>
      </c>
      <c r="N154" s="1130">
        <v>45248</v>
      </c>
      <c r="O154" s="1130">
        <v>45248</v>
      </c>
      <c r="P154" s="656" t="s">
        <v>3901</v>
      </c>
      <c r="Q154" s="1062" t="s">
        <v>35</v>
      </c>
      <c r="R154" s="1062" t="s">
        <v>36</v>
      </c>
      <c r="S154" s="18" t="s">
        <v>1320</v>
      </c>
      <c r="T154" s="84"/>
      <c r="U154" s="84"/>
      <c r="V154" s="84"/>
      <c r="W154" s="84">
        <f>IFERROR((Table6[[#This Row],[Sales Amount]]-Table6[[#This Row],[Cost]])/Table6[[#This Row],[CNTR AMOUNT]],Table6[[#This Row],[Sales Amount]]-Table6[[#This Row],[Cost]])</f>
        <v>0</v>
      </c>
      <c r="X154" s="84" t="str">
        <f>IFERROR(Table6[[#This Row],[Profit]]/Table6[[#This Row],[Cost]]," ")</f>
        <v xml:space="preserve"> </v>
      </c>
      <c r="Y154" s="84"/>
      <c r="Z154" s="84"/>
    </row>
    <row r="155" spans="1:30" hidden="1">
      <c r="A155" s="1145" t="s">
        <v>1035</v>
      </c>
      <c r="B155" s="1156" t="s">
        <v>3944</v>
      </c>
      <c r="C155" s="1145" t="s">
        <v>28</v>
      </c>
      <c r="D155" s="1153">
        <v>45253</v>
      </c>
      <c r="E155" s="1491">
        <v>45268</v>
      </c>
      <c r="F155" s="1156" t="s">
        <v>151</v>
      </c>
      <c r="G155" s="1145" t="s">
        <v>46</v>
      </c>
      <c r="H155" s="1394" t="s">
        <v>1038</v>
      </c>
      <c r="I155" s="1156"/>
      <c r="J155" s="67" t="s">
        <v>32</v>
      </c>
      <c r="K155" s="1781" t="s">
        <v>162</v>
      </c>
      <c r="L155" s="1772" t="s">
        <v>3945</v>
      </c>
      <c r="M155" s="1394">
        <v>45271</v>
      </c>
      <c r="N155" s="1394">
        <v>45271</v>
      </c>
      <c r="O155" s="946">
        <v>45272</v>
      </c>
      <c r="P155" s="1973" t="s">
        <v>3911</v>
      </c>
      <c r="Q155" s="1697" t="s">
        <v>35</v>
      </c>
      <c r="R155" s="1697" t="s">
        <v>36</v>
      </c>
      <c r="S155" s="1696" t="s">
        <v>1320</v>
      </c>
      <c r="T155" s="1694"/>
      <c r="U155" s="1694"/>
      <c r="V155" s="1694"/>
      <c r="W155" s="1694">
        <f>IFERROR((Table6[[#This Row],[Sales Amount]]-Table6[[#This Row],[Cost]])/Table6[[#This Row],[CNTR AMOUNT]],Table6[[#This Row],[Sales Amount]]-Table6[[#This Row],[Cost]])</f>
        <v>0</v>
      </c>
      <c r="X155" s="1694" t="str">
        <f>IFERROR(Table6[[#This Row],[Profit]]/Table6[[#This Row],[Cost]]," ")</f>
        <v xml:space="preserve"> </v>
      </c>
      <c r="Y155" s="1694"/>
      <c r="Z155" s="1693"/>
    </row>
    <row r="156" spans="1:30" s="36" customFormat="1" ht="90">
      <c r="A156" s="4947" t="s">
        <v>2489</v>
      </c>
      <c r="B156" s="4909" t="s">
        <v>3946</v>
      </c>
      <c r="C156" s="4947" t="s">
        <v>44</v>
      </c>
      <c r="D156" s="4836">
        <v>45244</v>
      </c>
      <c r="E156" s="4935">
        <v>45258</v>
      </c>
      <c r="F156" s="4845" t="s">
        <v>167</v>
      </c>
      <c r="G156" s="4850" t="s">
        <v>958</v>
      </c>
      <c r="H156" s="5069">
        <v>45260</v>
      </c>
      <c r="I156" s="4947" t="s">
        <v>445</v>
      </c>
      <c r="J156" s="4909" t="s">
        <v>247</v>
      </c>
      <c r="K156" s="4908" t="s">
        <v>3947</v>
      </c>
      <c r="L156" s="5154" t="s">
        <v>3948</v>
      </c>
      <c r="M156" s="5069">
        <v>45261</v>
      </c>
      <c r="N156" s="5069">
        <v>45260</v>
      </c>
      <c r="O156" s="1951">
        <v>45260</v>
      </c>
      <c r="P156" s="4274" t="s">
        <v>3949</v>
      </c>
      <c r="Q156" s="3325" t="s">
        <v>75</v>
      </c>
      <c r="R156" s="4274" t="s">
        <v>3950</v>
      </c>
      <c r="S156" s="3325">
        <v>4</v>
      </c>
      <c r="T156" s="4287">
        <v>1047.5</v>
      </c>
      <c r="U156" s="3325">
        <v>823.5</v>
      </c>
      <c r="V156" s="3325"/>
      <c r="W156" s="3325">
        <f>IFERROR((Table6[[#This Row],[Sales Amount]]-Table6[[#This Row],[Cost]])/Table6[[#This Row],[CNTR AMOUNT]],Table6[[#This Row],[Sales Amount]]-Table6[[#This Row],[Cost]])</f>
        <v>224</v>
      </c>
      <c r="X156" s="3325">
        <f>IFERROR(Table6[[#This Row],[Profit]]/Table6[[#This Row],[Cost]]," ")</f>
        <v>0.27200971463266543</v>
      </c>
      <c r="Y156" s="3325"/>
      <c r="Z156" s="3273"/>
    </row>
    <row r="157" spans="1:30" ht="45">
      <c r="A157" s="4947" t="s">
        <v>2505</v>
      </c>
      <c r="B157" s="5113" t="s">
        <v>3951</v>
      </c>
      <c r="C157" s="4947" t="s">
        <v>200</v>
      </c>
      <c r="D157" s="4836">
        <v>45215</v>
      </c>
      <c r="E157" s="5107">
        <v>45241</v>
      </c>
      <c r="F157" s="4947" t="s">
        <v>29</v>
      </c>
      <c r="G157" s="4840" t="s">
        <v>57</v>
      </c>
      <c r="H157" s="5069">
        <v>45243</v>
      </c>
      <c r="I157" s="4947" t="s">
        <v>445</v>
      </c>
      <c r="J157" s="4947" t="s">
        <v>32</v>
      </c>
      <c r="K157" s="4909" t="s">
        <v>3952</v>
      </c>
      <c r="L157" s="4838">
        <v>9718898</v>
      </c>
      <c r="M157" s="5108">
        <v>45242</v>
      </c>
      <c r="N157" s="5108">
        <v>45241</v>
      </c>
      <c r="O157" s="1744">
        <v>45243</v>
      </c>
      <c r="P157" s="4274" t="s">
        <v>3953</v>
      </c>
      <c r="Q157" s="3325" t="s">
        <v>75</v>
      </c>
      <c r="R157" s="4274" t="s">
        <v>3954</v>
      </c>
      <c r="S157" s="3325">
        <v>4</v>
      </c>
      <c r="T157" s="3325">
        <v>1675</v>
      </c>
      <c r="U157" s="3325">
        <v>1319</v>
      </c>
      <c r="V157" s="3325">
        <v>1</v>
      </c>
      <c r="W157" s="3325">
        <f>IFERROR((Table6[[#This Row],[Sales Amount]]-Table6[[#This Row],[Cost]])/Table6[[#This Row],[CNTR AMOUNT]],Table6[[#This Row],[Sales Amount]]-Table6[[#This Row],[Cost]])</f>
        <v>356</v>
      </c>
      <c r="X157" s="3333">
        <f>IFERROR(Table6[[#This Row],[Profit]]/Table6[[#This Row],[Cost]]," ")</f>
        <v>0.26990144048521608</v>
      </c>
      <c r="Y157" s="3325"/>
      <c r="Z157" s="3273"/>
    </row>
    <row r="158" spans="1:30">
      <c r="A158" s="3273" t="s">
        <v>2505</v>
      </c>
      <c r="B158" s="3312" t="s">
        <v>3955</v>
      </c>
      <c r="C158" s="3273" t="s">
        <v>704</v>
      </c>
      <c r="D158" s="3290">
        <v>45235</v>
      </c>
      <c r="E158" s="3318">
        <v>45245</v>
      </c>
      <c r="F158" s="3273" t="s">
        <v>173</v>
      </c>
      <c r="G158" s="3313" t="s">
        <v>46</v>
      </c>
      <c r="H158" s="3292">
        <v>45247</v>
      </c>
      <c r="I158" s="4246" t="s">
        <v>3956</v>
      </c>
      <c r="J158" s="3273" t="s">
        <v>32</v>
      </c>
      <c r="K158" s="4246" t="s">
        <v>3952</v>
      </c>
      <c r="L158" s="745">
        <v>371084</v>
      </c>
      <c r="M158" s="3321">
        <v>45247</v>
      </c>
      <c r="N158" s="3321">
        <v>45246</v>
      </c>
      <c r="O158" s="1744">
        <v>45247</v>
      </c>
      <c r="P158" s="4274" t="s">
        <v>3957</v>
      </c>
      <c r="Q158" s="3325" t="s">
        <v>75</v>
      </c>
      <c r="R158" s="4274" t="s">
        <v>3958</v>
      </c>
      <c r="S158" s="3325">
        <v>4</v>
      </c>
      <c r="T158" s="3325">
        <v>1150</v>
      </c>
      <c r="U158" s="3325">
        <v>756</v>
      </c>
      <c r="V158" s="3325">
        <v>1</v>
      </c>
      <c r="W158" s="3325">
        <f>IFERROR((Table6[[#This Row],[Sales Amount]]-Table6[[#This Row],[Cost]])/Table6[[#This Row],[CNTR AMOUNT]],Table6[[#This Row],[Sales Amount]]-Table6[[#This Row],[Cost]])</f>
        <v>394</v>
      </c>
      <c r="X158" s="3333">
        <f>IFERROR(Table6[[#This Row],[Profit]]/Table6[[#This Row],[Cost]]," ")</f>
        <v>0.52116402116402116</v>
      </c>
      <c r="Y158" s="3325"/>
      <c r="Z158" s="3273"/>
    </row>
    <row r="159" spans="1:30">
      <c r="A159" s="4947" t="s">
        <v>2505</v>
      </c>
      <c r="B159" s="5113" t="s">
        <v>3959</v>
      </c>
      <c r="C159" s="4947" t="s">
        <v>704</v>
      </c>
      <c r="D159" s="4836">
        <v>45235</v>
      </c>
      <c r="E159" s="5107">
        <v>45245</v>
      </c>
      <c r="F159" s="4947" t="s">
        <v>173</v>
      </c>
      <c r="G159" s="4840" t="s">
        <v>46</v>
      </c>
      <c r="H159" s="5069">
        <v>45247</v>
      </c>
      <c r="I159" s="4909" t="s">
        <v>445</v>
      </c>
      <c r="J159" s="4947" t="s">
        <v>32</v>
      </c>
      <c r="K159" s="4909" t="s">
        <v>3952</v>
      </c>
      <c r="L159" s="4838">
        <v>548102</v>
      </c>
      <c r="M159" s="5108">
        <v>45247</v>
      </c>
      <c r="N159" s="5108">
        <v>45247</v>
      </c>
      <c r="O159" s="5108">
        <v>45247</v>
      </c>
      <c r="P159" s="4909" t="s">
        <v>3960</v>
      </c>
      <c r="Q159" s="4947" t="s">
        <v>75</v>
      </c>
      <c r="R159" s="4909" t="s">
        <v>3961</v>
      </c>
      <c r="S159" s="4947">
        <v>4</v>
      </c>
      <c r="T159" s="4947">
        <v>950</v>
      </c>
      <c r="U159" s="4947">
        <v>756</v>
      </c>
      <c r="V159" s="4947">
        <v>1</v>
      </c>
      <c r="W159" s="4947">
        <f>IFERROR((Table6[[#This Row],[Sales Amount]]-Table6[[#This Row],[Cost]])/Table6[[#This Row],[CNTR AMOUNT]],Table6[[#This Row],[Sales Amount]]-Table6[[#This Row],[Cost]])</f>
        <v>194</v>
      </c>
      <c r="X159" s="5111">
        <f>IFERROR(Table6[[#This Row],[Profit]]/Table6[[#This Row],[Cost]]," ")</f>
        <v>0.25661375661375663</v>
      </c>
      <c r="Y159" s="4947"/>
      <c r="Z159" s="4947"/>
      <c r="AD159" s="5122"/>
    </row>
    <row r="160" spans="1:30" ht="90">
      <c r="A160" s="859" t="s">
        <v>2847</v>
      </c>
      <c r="B160" s="4265" t="s">
        <v>3962</v>
      </c>
      <c r="C160" s="859" t="s">
        <v>28</v>
      </c>
      <c r="D160" s="1788">
        <v>45237</v>
      </c>
      <c r="E160" s="1836">
        <v>45242</v>
      </c>
      <c r="F160" s="859" t="s">
        <v>93</v>
      </c>
      <c r="G160" s="1839" t="s">
        <v>2849</v>
      </c>
      <c r="H160" s="843">
        <v>45245</v>
      </c>
      <c r="I160" s="1845">
        <v>0.33333333333333331</v>
      </c>
      <c r="J160" s="859" t="s">
        <v>322</v>
      </c>
      <c r="K160" s="4265" t="s">
        <v>3963</v>
      </c>
      <c r="L160" s="1929" t="s">
        <v>3964</v>
      </c>
      <c r="M160" s="1851">
        <v>45244</v>
      </c>
      <c r="N160" s="1851">
        <v>45244</v>
      </c>
      <c r="O160" s="1857">
        <v>45245</v>
      </c>
      <c r="P160" s="4265" t="s">
        <v>3965</v>
      </c>
      <c r="Q160" s="859" t="s">
        <v>75</v>
      </c>
      <c r="R160" s="4273" t="s">
        <v>3966</v>
      </c>
      <c r="S160" s="859">
        <v>4</v>
      </c>
      <c r="T160" s="859">
        <v>1262.5</v>
      </c>
      <c r="U160" s="859">
        <v>932.5</v>
      </c>
      <c r="V160" s="859">
        <v>1</v>
      </c>
      <c r="W160" s="859">
        <f>IFERROR((Table6[[#This Row],[Sales Amount]]-Table6[[#This Row],[Cost]])/Table6[[#This Row],[CNTR AMOUNT]],Table6[[#This Row],[Sales Amount]]-Table6[[#This Row],[Cost]])</f>
        <v>330</v>
      </c>
      <c r="X160" s="859">
        <f>IFERROR(Table6[[#This Row],[Profit]]/Table6[[#This Row],[Cost]]," ")</f>
        <v>0.35388739946380698</v>
      </c>
      <c r="Y160" s="859"/>
      <c r="Z160" s="859"/>
    </row>
    <row r="161" spans="1:26" s="806" customFormat="1" ht="60">
      <c r="A161" s="694" t="s">
        <v>2847</v>
      </c>
      <c r="B161" s="4128" t="s">
        <v>3967</v>
      </c>
      <c r="C161" s="694" t="s">
        <v>28</v>
      </c>
      <c r="D161" s="635">
        <v>45237</v>
      </c>
      <c r="E161" s="725">
        <v>45242</v>
      </c>
      <c r="F161" s="694" t="s">
        <v>93</v>
      </c>
      <c r="G161" s="682" t="s">
        <v>2849</v>
      </c>
      <c r="H161" s="679">
        <v>45245</v>
      </c>
      <c r="I161" s="1797">
        <v>0.5</v>
      </c>
      <c r="J161" s="694" t="s">
        <v>322</v>
      </c>
      <c r="K161" s="694" t="s">
        <v>2850</v>
      </c>
      <c r="L161" s="1847" t="s">
        <v>3968</v>
      </c>
      <c r="M161" s="1250">
        <v>45244</v>
      </c>
      <c r="N161" s="1250">
        <v>45244</v>
      </c>
      <c r="O161" s="4288">
        <v>45246</v>
      </c>
      <c r="P161" s="4128" t="s">
        <v>3969</v>
      </c>
      <c r="Q161" s="694" t="s">
        <v>75</v>
      </c>
      <c r="R161" s="4128" t="s">
        <v>3970</v>
      </c>
      <c r="S161" s="694">
        <v>4</v>
      </c>
      <c r="T161" s="694">
        <v>1355</v>
      </c>
      <c r="U161" s="694">
        <v>940</v>
      </c>
      <c r="V161" s="694">
        <v>1</v>
      </c>
      <c r="W161" s="694">
        <f>IFERROR((Table6[[#This Row],[Sales Amount]]-Table6[[#This Row],[Cost]])/Table6[[#This Row],[CNTR AMOUNT]],Table6[[#This Row],[Sales Amount]]-Table6[[#This Row],[Cost]])</f>
        <v>415</v>
      </c>
      <c r="X161" s="694">
        <f>IFERROR(Table6[[#This Row],[Profit]]/Table6[[#This Row],[Cost]]," ")</f>
        <v>0.44148936170212766</v>
      </c>
      <c r="Y161" s="694"/>
      <c r="Z161" s="694"/>
    </row>
    <row r="162" spans="1:26" s="806" customFormat="1" ht="75">
      <c r="A162" s="1054" t="s">
        <v>2847</v>
      </c>
      <c r="B162" s="4289" t="s">
        <v>3971</v>
      </c>
      <c r="C162" s="1054" t="s">
        <v>28</v>
      </c>
      <c r="D162" s="1779">
        <v>45237</v>
      </c>
      <c r="E162" s="1818">
        <v>45242</v>
      </c>
      <c r="F162" s="1054" t="s">
        <v>93</v>
      </c>
      <c r="G162" s="1784" t="s">
        <v>2849</v>
      </c>
      <c r="H162" s="1843">
        <v>45246</v>
      </c>
      <c r="I162" s="1909">
        <v>0.33333333333333331</v>
      </c>
      <c r="J162" s="1054" t="s">
        <v>322</v>
      </c>
      <c r="K162" s="1054" t="s">
        <v>2850</v>
      </c>
      <c r="L162" s="1932" t="s">
        <v>3972</v>
      </c>
      <c r="M162" s="1819">
        <v>45244</v>
      </c>
      <c r="N162" s="1819">
        <v>45244</v>
      </c>
      <c r="O162" s="4290">
        <v>45246</v>
      </c>
      <c r="P162" s="4289" t="s">
        <v>3973</v>
      </c>
      <c r="Q162" s="4289" t="s">
        <v>75</v>
      </c>
      <c r="R162" s="4289" t="s">
        <v>3974</v>
      </c>
      <c r="S162" s="1054">
        <v>4</v>
      </c>
      <c r="T162" s="1054">
        <v>1335</v>
      </c>
      <c r="U162" s="1054">
        <v>990</v>
      </c>
      <c r="V162" s="1054">
        <v>1</v>
      </c>
      <c r="W162" s="1054">
        <f>IFERROR((Table6[[#This Row],[Sales Amount]]-Table6[[#This Row],[Cost]])/Table6[[#This Row],[CNTR AMOUNT]],Table6[[#This Row],[Sales Amount]]-Table6[[#This Row],[Cost]])</f>
        <v>345</v>
      </c>
      <c r="X162" s="1054">
        <f>IFERROR(Table6[[#This Row],[Profit]]/Table6[[#This Row],[Cost]]," ")</f>
        <v>0.34848484848484851</v>
      </c>
      <c r="Y162" s="1054"/>
      <c r="Z162" s="1054"/>
    </row>
    <row r="163" spans="1:26" s="806" customFormat="1" ht="90">
      <c r="A163" s="859" t="s">
        <v>2847</v>
      </c>
      <c r="B163" s="4265" t="s">
        <v>3975</v>
      </c>
      <c r="C163" s="859" t="s">
        <v>28</v>
      </c>
      <c r="D163" s="1788">
        <v>45237</v>
      </c>
      <c r="E163" s="1791">
        <v>45242</v>
      </c>
      <c r="F163" s="859" t="s">
        <v>93</v>
      </c>
      <c r="G163" s="1839" t="s">
        <v>2849</v>
      </c>
      <c r="H163" s="843">
        <v>45246</v>
      </c>
      <c r="I163" s="1845">
        <v>0.5</v>
      </c>
      <c r="J163" s="4291" t="s">
        <v>322</v>
      </c>
      <c r="K163" s="859" t="s">
        <v>2850</v>
      </c>
      <c r="L163" s="1929" t="s">
        <v>3976</v>
      </c>
      <c r="M163" s="1851">
        <v>45244</v>
      </c>
      <c r="N163" s="1851">
        <v>45244</v>
      </c>
      <c r="O163" s="1241">
        <v>45247</v>
      </c>
      <c r="P163" s="4273" t="s">
        <v>3977</v>
      </c>
      <c r="Q163" s="1745" t="s">
        <v>75</v>
      </c>
      <c r="R163" s="4273" t="s">
        <v>3978</v>
      </c>
      <c r="S163" s="1745">
        <v>4</v>
      </c>
      <c r="T163" s="1745">
        <v>1470</v>
      </c>
      <c r="U163" s="1745">
        <v>1085</v>
      </c>
      <c r="V163" s="1745">
        <v>1</v>
      </c>
      <c r="W163" s="1745">
        <f>IFERROR((Table6[[#This Row],[Sales Amount]]-Table6[[#This Row],[Cost]])/Table6[[#This Row],[CNTR AMOUNT]],Table6[[#This Row],[Sales Amount]]-Table6[[#This Row],[Cost]])</f>
        <v>385</v>
      </c>
      <c r="X163" s="1745">
        <f>IFERROR(Table6[[#This Row],[Profit]]/Table6[[#This Row],[Cost]]," ")</f>
        <v>0.35483870967741937</v>
      </c>
      <c r="Y163" s="1745"/>
      <c r="Z163" s="859"/>
    </row>
    <row r="164" spans="1:26" s="52" customFormat="1" hidden="1">
      <c r="A164" s="18" t="s">
        <v>1945</v>
      </c>
      <c r="B164" s="18" t="s">
        <v>3979</v>
      </c>
      <c r="C164" s="1062" t="s">
        <v>28</v>
      </c>
      <c r="D164" s="661">
        <v>45243</v>
      </c>
      <c r="E164" s="708">
        <v>45249</v>
      </c>
      <c r="F164" s="18" t="s">
        <v>98</v>
      </c>
      <c r="G164" s="18" t="s">
        <v>46</v>
      </c>
      <c r="H164" s="1771">
        <v>45251</v>
      </c>
      <c r="I164" s="1116" t="s">
        <v>115</v>
      </c>
      <c r="J164" s="18" t="s">
        <v>3980</v>
      </c>
      <c r="K164" s="18" t="s">
        <v>3981</v>
      </c>
      <c r="L164" s="1116">
        <v>718459</v>
      </c>
      <c r="M164" s="1771">
        <v>45252</v>
      </c>
      <c r="N164" s="1771">
        <v>45251</v>
      </c>
      <c r="O164" s="1771">
        <v>45251</v>
      </c>
      <c r="P164" s="718" t="s">
        <v>3982</v>
      </c>
      <c r="Q164" s="18" t="s">
        <v>35</v>
      </c>
      <c r="R164" s="1062" t="s">
        <v>36</v>
      </c>
      <c r="S164" s="18" t="s">
        <v>67</v>
      </c>
      <c r="T164" s="84">
        <v>615</v>
      </c>
      <c r="U164" s="84">
        <v>446</v>
      </c>
      <c r="V164" s="84"/>
      <c r="W164" s="84">
        <f>IFERROR((Table6[[#This Row],[Sales Amount]]-Table6[[#This Row],[Cost]])/Table6[[#This Row],[CNTR AMOUNT]],Table6[[#This Row],[Sales Amount]]-Table6[[#This Row],[Cost]])</f>
        <v>169</v>
      </c>
      <c r="X164" s="84">
        <f>IFERROR(Table6[[#This Row],[Profit]]/Table6[[#This Row],[Cost]]," ")</f>
        <v>0.37892376681614348</v>
      </c>
      <c r="Y164" s="499"/>
      <c r="Z164" s="3241"/>
    </row>
    <row r="165" spans="1:26" s="1536" customFormat="1" hidden="1">
      <c r="A165" s="18" t="s">
        <v>1945</v>
      </c>
      <c r="B165" s="18" t="s">
        <v>3983</v>
      </c>
      <c r="C165" s="18" t="s">
        <v>28</v>
      </c>
      <c r="D165" s="661">
        <v>45257</v>
      </c>
      <c r="E165" s="708">
        <v>45269</v>
      </c>
      <c r="F165" s="18" t="s">
        <v>151</v>
      </c>
      <c r="G165" s="18" t="s">
        <v>3984</v>
      </c>
      <c r="H165" s="661"/>
      <c r="I165" s="18"/>
      <c r="J165" s="18" t="s">
        <v>596</v>
      </c>
      <c r="K165" s="18" t="s">
        <v>3985</v>
      </c>
      <c r="L165" s="1116" t="s">
        <v>3986</v>
      </c>
      <c r="M165" s="1130">
        <v>45271</v>
      </c>
      <c r="N165" s="661"/>
      <c r="O165" s="661"/>
      <c r="P165" s="718" t="s">
        <v>3987</v>
      </c>
      <c r="Q165" s="18" t="s">
        <v>35</v>
      </c>
      <c r="R165" s="18" t="s">
        <v>3988</v>
      </c>
      <c r="S165" s="18" t="s">
        <v>67</v>
      </c>
      <c r="T165" s="647"/>
      <c r="U165" s="647"/>
      <c r="V165" s="647"/>
      <c r="W165" s="647">
        <f>IFERROR((Table6[[#This Row],[Sales Amount]]-Table6[[#This Row],[Cost]])/Table6[[#This Row],[CNTR AMOUNT]],Table6[[#This Row],[Sales Amount]]-Table6[[#This Row],[Cost]])</f>
        <v>0</v>
      </c>
      <c r="X165" s="647" t="str">
        <f>IFERROR(Table6[[#This Row],[Profit]]/Table6[[#This Row],[Cost]]," ")</f>
        <v xml:space="preserve"> </v>
      </c>
      <c r="Y165" s="797"/>
      <c r="Z165" s="3295"/>
    </row>
    <row r="166" spans="1:26" s="147" customFormat="1" hidden="1">
      <c r="A166" s="1430" t="s">
        <v>1945</v>
      </c>
      <c r="B166" s="1430" t="s">
        <v>3989</v>
      </c>
      <c r="C166" s="1430" t="s">
        <v>451</v>
      </c>
      <c r="D166" s="1832">
        <v>45236</v>
      </c>
      <c r="E166" s="1431">
        <v>45257</v>
      </c>
      <c r="F166" s="1430" t="s">
        <v>98</v>
      </c>
      <c r="G166" s="1430" t="s">
        <v>46</v>
      </c>
      <c r="H166" s="1867">
        <v>45260</v>
      </c>
      <c r="I166" s="1527" t="s">
        <v>178</v>
      </c>
      <c r="J166" s="1430" t="s">
        <v>3980</v>
      </c>
      <c r="K166" s="1430" t="s">
        <v>3981</v>
      </c>
      <c r="L166" s="1924" t="s">
        <v>3990</v>
      </c>
      <c r="M166" s="1868">
        <v>45260</v>
      </c>
      <c r="N166" s="1869" t="s">
        <v>3991</v>
      </c>
      <c r="O166" s="1869">
        <v>45260</v>
      </c>
      <c r="P166" s="726" t="s">
        <v>3992</v>
      </c>
      <c r="Q166" s="1430" t="s">
        <v>35</v>
      </c>
      <c r="R166" s="1430" t="s">
        <v>36</v>
      </c>
      <c r="S166" s="1430" t="s">
        <v>67</v>
      </c>
      <c r="T166" s="1689">
        <v>857.5</v>
      </c>
      <c r="U166" s="1689">
        <v>446</v>
      </c>
      <c r="V166" s="1689"/>
      <c r="W166" s="1689">
        <f>IFERROR((Table6[[#This Row],[Sales Amount]]-Table6[[#This Row],[Cost]])/Table6[[#This Row],[CNTR AMOUNT]],Table6[[#This Row],[Sales Amount]]-Table6[[#This Row],[Cost]])</f>
        <v>411.5</v>
      </c>
      <c r="X166" s="1689">
        <f>IFERROR(Table6[[#This Row],[Profit]]/Table6[[#This Row],[Cost]]," ")</f>
        <v>0.92264573991031396</v>
      </c>
      <c r="Y166" s="85"/>
      <c r="Z166" s="85"/>
    </row>
    <row r="167" spans="1:26" s="147" customFormat="1" hidden="1">
      <c r="A167" s="4839" t="s">
        <v>1945</v>
      </c>
      <c r="B167" s="4839" t="s">
        <v>3993</v>
      </c>
      <c r="C167" s="4839" t="s">
        <v>28</v>
      </c>
      <c r="D167" s="4859">
        <v>45234</v>
      </c>
      <c r="E167" s="4867">
        <v>45241</v>
      </c>
      <c r="F167" s="4839" t="s">
        <v>167</v>
      </c>
      <c r="G167" s="4839" t="s">
        <v>46</v>
      </c>
      <c r="H167" s="4839" t="s">
        <v>3994</v>
      </c>
      <c r="I167" s="4839"/>
      <c r="J167" s="4839" t="s">
        <v>3995</v>
      </c>
      <c r="K167" s="4839" t="s">
        <v>3996</v>
      </c>
      <c r="L167" s="4839"/>
      <c r="M167" s="5155" t="s">
        <v>3997</v>
      </c>
      <c r="N167" s="5136" t="s">
        <v>3998</v>
      </c>
      <c r="O167" s="4839"/>
      <c r="P167" s="4861" t="s">
        <v>3999</v>
      </c>
      <c r="Q167" s="4839" t="s">
        <v>35</v>
      </c>
      <c r="R167" s="4839" t="s">
        <v>36</v>
      </c>
      <c r="S167" s="4839" t="s">
        <v>67</v>
      </c>
      <c r="T167" s="4895">
        <v>45</v>
      </c>
      <c r="U167" s="4895"/>
      <c r="V167" s="4895"/>
      <c r="W167" s="4895">
        <f>IFERROR((Table6[[#This Row],[Sales Amount]]-Table6[[#This Row],[Cost]])/Table6[[#This Row],[CNTR AMOUNT]],Table6[[#This Row],[Sales Amount]]-Table6[[#This Row],[Cost]])</f>
        <v>45</v>
      </c>
      <c r="X167" s="4895" t="str">
        <f>IFERROR(Table6[[#This Row],[Profit]]/Table6[[#This Row],[Cost]]," ")</f>
        <v xml:space="preserve"> </v>
      </c>
      <c r="Y167" s="4895"/>
      <c r="Z167" s="4895"/>
    </row>
    <row r="168" spans="1:26" s="147" customFormat="1" hidden="1">
      <c r="A168" s="1430" t="s">
        <v>1945</v>
      </c>
      <c r="B168" s="1430" t="s">
        <v>4000</v>
      </c>
      <c r="C168" s="1430" t="s">
        <v>794</v>
      </c>
      <c r="D168" s="1832">
        <v>45240</v>
      </c>
      <c r="E168" s="1431">
        <v>45251</v>
      </c>
      <c r="F168" s="1430" t="s">
        <v>151</v>
      </c>
      <c r="G168" s="1430" t="s">
        <v>4001</v>
      </c>
      <c r="H168" s="1868">
        <v>45251</v>
      </c>
      <c r="I168" s="1430"/>
      <c r="J168" s="1430" t="s">
        <v>490</v>
      </c>
      <c r="K168" s="1916" t="s">
        <v>4002</v>
      </c>
      <c r="L168" s="1925" t="s">
        <v>4003</v>
      </c>
      <c r="M168" s="1868">
        <v>45252</v>
      </c>
      <c r="N168" s="1944">
        <v>45251</v>
      </c>
      <c r="O168" s="1869">
        <v>45251</v>
      </c>
      <c r="P168" s="726" t="s">
        <v>4004</v>
      </c>
      <c r="Q168" s="1430" t="s">
        <v>35</v>
      </c>
      <c r="R168" s="1775" t="s">
        <v>36</v>
      </c>
      <c r="S168" s="1430" t="s">
        <v>67</v>
      </c>
      <c r="T168" s="1689">
        <v>655</v>
      </c>
      <c r="U168" s="1689">
        <v>467</v>
      </c>
      <c r="V168" s="1689"/>
      <c r="W168" s="1689">
        <f>IFERROR((Table6[[#This Row],[Sales Amount]]-Table6[[#This Row],[Cost]])/Table6[[#This Row],[CNTR AMOUNT]],Table6[[#This Row],[Sales Amount]]-Table6[[#This Row],[Cost]])</f>
        <v>188</v>
      </c>
      <c r="X168" s="1689">
        <f>IFERROR(Table6[[#This Row],[Profit]]/Table6[[#This Row],[Cost]]," ")</f>
        <v>0.40256959314775159</v>
      </c>
      <c r="Y168" s="1689"/>
      <c r="Z168" s="1689"/>
    </row>
    <row r="169" spans="1:26" s="147" customFormat="1" hidden="1">
      <c r="A169" s="18" t="s">
        <v>1945</v>
      </c>
      <c r="B169" s="18" t="s">
        <v>4005</v>
      </c>
      <c r="C169" s="18" t="s">
        <v>28</v>
      </c>
      <c r="D169" s="661">
        <v>45254</v>
      </c>
      <c r="E169" s="708">
        <v>45261</v>
      </c>
      <c r="F169" s="18" t="s">
        <v>151</v>
      </c>
      <c r="G169" s="18" t="s">
        <v>3984</v>
      </c>
      <c r="H169" s="18"/>
      <c r="I169" s="18"/>
      <c r="J169" s="18" t="s">
        <v>596</v>
      </c>
      <c r="K169" s="18" t="s">
        <v>3985</v>
      </c>
      <c r="L169" s="1116" t="s">
        <v>4006</v>
      </c>
      <c r="M169" s="1771">
        <v>45264</v>
      </c>
      <c r="N169" s="982">
        <v>45264</v>
      </c>
      <c r="O169" s="18"/>
      <c r="P169" s="718" t="s">
        <v>4007</v>
      </c>
      <c r="Q169" s="18" t="s">
        <v>35</v>
      </c>
      <c r="R169" s="18" t="s">
        <v>3988</v>
      </c>
      <c r="S169" s="18" t="s">
        <v>67</v>
      </c>
      <c r="T169" s="84"/>
      <c r="U169" s="84"/>
      <c r="V169" s="84"/>
      <c r="W169" s="84">
        <f>IFERROR((Table6[[#This Row],[Sales Amount]]-Table6[[#This Row],[Cost]])/Table6[[#This Row],[CNTR AMOUNT]],Table6[[#This Row],[Sales Amount]]-Table6[[#This Row],[Cost]])</f>
        <v>0</v>
      </c>
      <c r="X169" s="84" t="str">
        <f>IFERROR(Table6[[#This Row],[Profit]]/Table6[[#This Row],[Cost]]," ")</f>
        <v xml:space="preserve"> </v>
      </c>
      <c r="Y169" s="84"/>
      <c r="Z169" s="84"/>
    </row>
    <row r="170" spans="1:26" s="723" customFormat="1" hidden="1">
      <c r="A170" s="2011" t="s">
        <v>4008</v>
      </c>
      <c r="B170" s="2012" t="s">
        <v>4009</v>
      </c>
      <c r="C170" s="2011" t="s">
        <v>4010</v>
      </c>
      <c r="D170" s="2013">
        <v>45250</v>
      </c>
      <c r="E170" s="2013">
        <v>45250</v>
      </c>
      <c r="F170" s="2011" t="s">
        <v>1508</v>
      </c>
      <c r="G170" s="2014" t="s">
        <v>1508</v>
      </c>
      <c r="H170" s="2015"/>
      <c r="I170" s="2011"/>
      <c r="J170" s="2011" t="s">
        <v>4011</v>
      </c>
      <c r="K170" s="2011" t="s">
        <v>310</v>
      </c>
      <c r="L170" s="2011"/>
      <c r="M170" s="2015" t="s">
        <v>162</v>
      </c>
      <c r="N170" s="2015" t="s">
        <v>162</v>
      </c>
      <c r="O170" s="2015" t="s">
        <v>162</v>
      </c>
      <c r="P170" s="2011"/>
      <c r="Q170" s="2011" t="s">
        <v>50</v>
      </c>
      <c r="R170" s="2011" t="s">
        <v>534</v>
      </c>
      <c r="S170" s="2011"/>
      <c r="T170" s="2011"/>
      <c r="U170" s="2011"/>
      <c r="V170" s="2011"/>
      <c r="W170" s="2011">
        <f>IFERROR((Table6[[#This Row],[Sales Amount]]-Table6[[#This Row],[Cost]])/Table6[[#This Row],[CNTR AMOUNT]],Table6[[#This Row],[Sales Amount]]-Table6[[#This Row],[Cost]])</f>
        <v>0</v>
      </c>
      <c r="X170" s="2016" t="str">
        <f>IFERROR(Table6[[#This Row],[Profit]]/Table6[[#This Row],[Cost]]," ")</f>
        <v xml:space="preserve"> </v>
      </c>
      <c r="Y170" s="2011"/>
      <c r="Z170" s="2011"/>
    </row>
    <row r="171" spans="1:26" s="723" customFormat="1" hidden="1">
      <c r="A171" s="724" t="s">
        <v>2204</v>
      </c>
      <c r="B171" s="724" t="s">
        <v>4012</v>
      </c>
      <c r="C171" s="1151" t="s">
        <v>28</v>
      </c>
      <c r="D171" s="1128">
        <v>45239</v>
      </c>
      <c r="E171" s="1149">
        <v>45252</v>
      </c>
      <c r="F171" s="724" t="s">
        <v>2292</v>
      </c>
      <c r="G171" s="962" t="s">
        <v>46</v>
      </c>
      <c r="H171" s="724"/>
      <c r="I171" s="724"/>
      <c r="J171" s="724" t="s">
        <v>168</v>
      </c>
      <c r="K171" s="724" t="s">
        <v>2226</v>
      </c>
      <c r="L171" s="962">
        <v>171744</v>
      </c>
      <c r="M171" s="1163">
        <v>45254</v>
      </c>
      <c r="N171" s="1163">
        <v>45254</v>
      </c>
      <c r="O171" s="1163">
        <v>45257</v>
      </c>
      <c r="P171" s="1151" t="s">
        <v>4013</v>
      </c>
      <c r="Q171" s="962" t="s">
        <v>50</v>
      </c>
      <c r="R171" s="962" t="s">
        <v>534</v>
      </c>
      <c r="S171" s="962"/>
      <c r="T171" s="962"/>
      <c r="U171" s="962"/>
      <c r="V171" s="962"/>
      <c r="W171" s="962">
        <f>IFERROR((Table6[[#This Row],[Sales Amount]]-Table6[[#This Row],[Cost]])/Table6[[#This Row],[CNTR AMOUNT]],Table6[[#This Row],[Sales Amount]]-Table6[[#This Row],[Cost]])</f>
        <v>0</v>
      </c>
      <c r="X171" s="962" t="str">
        <f>IFERROR(Table6[[#This Row],[Profit]]/Table6[[#This Row],[Cost]]," ")</f>
        <v xml:space="preserve"> </v>
      </c>
      <c r="Y171" s="962"/>
      <c r="Z171" s="962"/>
    </row>
    <row r="172" spans="1:26" s="147" customFormat="1" hidden="1">
      <c r="A172" s="1798" t="s">
        <v>2566</v>
      </c>
      <c r="B172" s="1798" t="s">
        <v>4014</v>
      </c>
      <c r="C172" s="1798" t="s">
        <v>44</v>
      </c>
      <c r="D172" s="1789">
        <v>45241</v>
      </c>
      <c r="E172" s="1835">
        <v>45250</v>
      </c>
      <c r="F172" s="1798" t="s">
        <v>135</v>
      </c>
      <c r="G172" s="1148" t="s">
        <v>829</v>
      </c>
      <c r="H172" s="2033"/>
      <c r="I172" s="1798"/>
      <c r="J172" s="1798" t="s">
        <v>168</v>
      </c>
      <c r="K172" s="2034" t="s">
        <v>310</v>
      </c>
      <c r="L172" s="1798" t="s">
        <v>4015</v>
      </c>
      <c r="M172" s="2033">
        <v>45250</v>
      </c>
      <c r="N172" s="2033">
        <v>45250</v>
      </c>
      <c r="O172" s="848">
        <v>45252</v>
      </c>
      <c r="P172" s="2011" t="s">
        <v>4016</v>
      </c>
      <c r="Q172" s="2011" t="s">
        <v>50</v>
      </c>
      <c r="R172" s="2011" t="s">
        <v>51</v>
      </c>
      <c r="S172" s="2011"/>
      <c r="T172" s="2011"/>
      <c r="U172" s="2011"/>
      <c r="V172" s="2011"/>
      <c r="W172" s="2011">
        <f>IFERROR((Table6[[#This Row],[Sales Amount]]-Table6[[#This Row],[Cost]])/Table6[[#This Row],[CNTR AMOUNT]],Table6[[#This Row],[Sales Amount]]-Table6[[#This Row],[Cost]])</f>
        <v>0</v>
      </c>
      <c r="X172" s="2011" t="str">
        <f>IFERROR(Table6[[#This Row],[Profit]]/Table6[[#This Row],[Cost]]," ")</f>
        <v xml:space="preserve"> </v>
      </c>
      <c r="Y172" s="2011"/>
      <c r="Z172" s="2011"/>
    </row>
    <row r="173" spans="1:26" s="106" customFormat="1" hidden="1">
      <c r="A173" s="4861" t="s">
        <v>2566</v>
      </c>
      <c r="B173" s="4861" t="s">
        <v>4017</v>
      </c>
      <c r="C173" s="4864" t="s">
        <v>44</v>
      </c>
      <c r="D173" s="4957">
        <v>45252</v>
      </c>
      <c r="E173" s="5071">
        <v>45280</v>
      </c>
      <c r="F173" s="4861" t="s">
        <v>2389</v>
      </c>
      <c r="G173" s="4839" t="s">
        <v>2206</v>
      </c>
      <c r="H173" s="4839"/>
      <c r="I173" s="4839"/>
      <c r="J173" s="4882" t="s">
        <v>32</v>
      </c>
      <c r="K173" s="4861" t="s">
        <v>310</v>
      </c>
      <c r="L173" s="4861">
        <v>2689699</v>
      </c>
      <c r="M173" s="4863">
        <v>45282</v>
      </c>
      <c r="N173" s="4863">
        <v>45281</v>
      </c>
      <c r="O173" s="2035">
        <v>45282</v>
      </c>
      <c r="P173" s="4913" t="s">
        <v>4018</v>
      </c>
      <c r="Q173" s="4839" t="s">
        <v>50</v>
      </c>
      <c r="R173" s="4839" t="s">
        <v>51</v>
      </c>
      <c r="S173" s="4839"/>
      <c r="T173" s="4913"/>
      <c r="U173" s="4913"/>
      <c r="V173" s="4913"/>
      <c r="W173" s="4913"/>
      <c r="X173" s="4913"/>
      <c r="Y173" s="4913"/>
      <c r="Z173" s="4913"/>
    </row>
    <row r="174" spans="1:26" s="106" customFormat="1" hidden="1">
      <c r="A174" s="4864" t="s">
        <v>2566</v>
      </c>
      <c r="B174" s="4864" t="s">
        <v>4019</v>
      </c>
      <c r="C174" s="4861" t="s">
        <v>28</v>
      </c>
      <c r="D174" s="4833">
        <v>45240</v>
      </c>
      <c r="E174" s="4900">
        <v>45250</v>
      </c>
      <c r="F174" s="4864" t="s">
        <v>2292</v>
      </c>
      <c r="G174" s="4839" t="s">
        <v>46</v>
      </c>
      <c r="H174" s="4884"/>
      <c r="I174" s="4864"/>
      <c r="J174" s="4864" t="s">
        <v>168</v>
      </c>
      <c r="K174" s="4871" t="s">
        <v>310</v>
      </c>
      <c r="L174" s="4834" t="s">
        <v>4020</v>
      </c>
      <c r="M174" s="4833">
        <v>45254</v>
      </c>
      <c r="N174" s="4833">
        <v>45254</v>
      </c>
      <c r="O174" s="1758">
        <v>45257</v>
      </c>
      <c r="P174" s="2036" t="s">
        <v>4021</v>
      </c>
      <c r="Q174" s="800" t="s">
        <v>50</v>
      </c>
      <c r="R174" s="1700" t="s">
        <v>51</v>
      </c>
      <c r="S174" s="1700"/>
      <c r="T174" s="1700"/>
      <c r="U174" s="1700"/>
      <c r="V174" s="1700"/>
      <c r="W174" s="1700">
        <f>IFERROR((Table6[[#This Row],[Sales Amount]]-Table6[[#This Row],[Cost]])/Table6[[#This Row],[CNTR AMOUNT]],Table6[[#This Row],[Sales Amount]]-Table6[[#This Row],[Cost]])</f>
        <v>0</v>
      </c>
      <c r="X174" s="1700" t="str">
        <f>IFERROR(Table6[[#This Row],[Profit]]/Table6[[#This Row],[Cost]]," ")</f>
        <v xml:space="preserve"> </v>
      </c>
      <c r="Y174" s="1700"/>
      <c r="Z174" s="1769"/>
    </row>
    <row r="175" spans="1:26" s="106" customFormat="1" hidden="1">
      <c r="A175" s="4864" t="s">
        <v>4022</v>
      </c>
      <c r="B175" s="4864" t="s">
        <v>4023</v>
      </c>
      <c r="C175" s="4864" t="s">
        <v>44</v>
      </c>
      <c r="D175" s="4833">
        <v>45238</v>
      </c>
      <c r="E175" s="4900">
        <v>45248</v>
      </c>
      <c r="F175" s="4864" t="s">
        <v>135</v>
      </c>
      <c r="G175" s="4834" t="s">
        <v>829</v>
      </c>
      <c r="H175" s="4884"/>
      <c r="I175" s="4864"/>
      <c r="J175" s="4871" t="s">
        <v>168</v>
      </c>
      <c r="K175" s="4871" t="s">
        <v>310</v>
      </c>
      <c r="L175" s="3300" t="s">
        <v>4024</v>
      </c>
      <c r="M175" s="3301">
        <v>45250</v>
      </c>
      <c r="N175" s="3351">
        <v>45250</v>
      </c>
      <c r="O175" s="2019">
        <v>45251</v>
      </c>
      <c r="P175" s="1102" t="s">
        <v>4025</v>
      </c>
      <c r="Q175" s="1806" t="s">
        <v>50</v>
      </c>
      <c r="R175" s="3316" t="s">
        <v>51</v>
      </c>
      <c r="S175" s="3316"/>
      <c r="T175" s="3316"/>
      <c r="U175" s="3316"/>
      <c r="V175" s="3316"/>
      <c r="W175" s="3316">
        <f>IFERROR((Table6[[#This Row],[Sales Amount]]-Table6[[#This Row],[Cost]])/Table6[[#This Row],[CNTR AMOUNT]],Table6[[#This Row],[Sales Amount]]-Table6[[#This Row],[Cost]])</f>
        <v>0</v>
      </c>
      <c r="X175" s="3316" t="str">
        <f>IFERROR(Table6[[#This Row],[Profit]]/Table6[[#This Row],[Cost]]," ")</f>
        <v xml:space="preserve"> </v>
      </c>
      <c r="Y175" s="3316"/>
      <c r="Z175" s="3300"/>
    </row>
    <row r="176" spans="1:26" s="36" customFormat="1">
      <c r="A176" s="4838" t="s">
        <v>468</v>
      </c>
      <c r="B176" s="4829" t="s">
        <v>4026</v>
      </c>
      <c r="C176" s="4838" t="s">
        <v>1518</v>
      </c>
      <c r="D176" s="5108">
        <v>45249</v>
      </c>
      <c r="E176" s="5156">
        <v>45256</v>
      </c>
      <c r="F176" s="4838" t="s">
        <v>98</v>
      </c>
      <c r="G176" s="5147" t="s">
        <v>302</v>
      </c>
      <c r="H176" s="4838" t="s">
        <v>4027</v>
      </c>
      <c r="I176" s="4838"/>
      <c r="J176" s="4829" t="s">
        <v>32</v>
      </c>
      <c r="K176" s="4838" t="s">
        <v>310</v>
      </c>
      <c r="L176" s="4838" t="s">
        <v>4028</v>
      </c>
      <c r="M176" s="5108">
        <v>45259</v>
      </c>
      <c r="N176" s="5108">
        <v>45257</v>
      </c>
      <c r="O176" s="5157">
        <v>45259</v>
      </c>
      <c r="P176" s="4829" t="s">
        <v>4029</v>
      </c>
      <c r="Q176" s="3322" t="s">
        <v>75</v>
      </c>
      <c r="R176" s="4837" t="s">
        <v>4030</v>
      </c>
      <c r="S176" s="1983"/>
      <c r="T176" s="3322">
        <v>6540</v>
      </c>
      <c r="U176" s="3322">
        <f>689+450</f>
        <v>1139</v>
      </c>
      <c r="V176" s="3322"/>
      <c r="W176" s="3322">
        <f>IFERROR((Table6[[#This Row],[Sales Amount]]-Table6[[#This Row],[Cost]])/Table6[[#This Row],[CNTR AMOUNT]],Table6[[#This Row],[Sales Amount]]-Table6[[#This Row],[Cost]])</f>
        <v>5401</v>
      </c>
      <c r="X176" s="3352">
        <f>IFERROR(Table6[[#This Row],[Profit]]/Table6[[#This Row],[Cost]]," ")</f>
        <v>4.7418788410886741</v>
      </c>
      <c r="Y176" s="3322"/>
      <c r="Z176" s="3317"/>
    </row>
    <row r="177" spans="1:26" s="723" customFormat="1" hidden="1">
      <c r="A177" s="3289" t="s">
        <v>3533</v>
      </c>
      <c r="B177" s="4864" t="s">
        <v>4031</v>
      </c>
      <c r="C177" s="3258" t="s">
        <v>28</v>
      </c>
      <c r="D177" s="3301">
        <v>45243</v>
      </c>
      <c r="E177" s="3302">
        <v>45251</v>
      </c>
      <c r="F177" s="3289" t="s">
        <v>135</v>
      </c>
      <c r="G177" s="3300" t="s">
        <v>57</v>
      </c>
      <c r="H177" s="3289"/>
      <c r="I177" s="3289"/>
      <c r="J177" s="3289" t="s">
        <v>168</v>
      </c>
      <c r="K177" s="3283" t="s">
        <v>310</v>
      </c>
      <c r="L177" s="3300">
        <v>2116145</v>
      </c>
      <c r="M177" s="3324">
        <v>45255</v>
      </c>
      <c r="N177" s="3324">
        <v>45253</v>
      </c>
      <c r="O177" s="3324">
        <v>45255</v>
      </c>
      <c r="P177" s="3353" t="s">
        <v>4032</v>
      </c>
      <c r="Q177" s="3300" t="s">
        <v>50</v>
      </c>
      <c r="R177" s="1769" t="s">
        <v>534</v>
      </c>
      <c r="S177" s="3300"/>
      <c r="T177" s="3300"/>
      <c r="U177" s="3300"/>
      <c r="V177" s="3300"/>
      <c r="W177" s="3300">
        <f>IFERROR((Table6[[#This Row],[Sales Amount]]-Table6[[#This Row],[Cost]])/Table6[[#This Row],[CNTR AMOUNT]],Table6[[#This Row],[Sales Amount]]-Table6[[#This Row],[Cost]])</f>
        <v>0</v>
      </c>
      <c r="X177" s="3300" t="str">
        <f>IFERROR(Table6[[#This Row],[Profit]]/Table6[[#This Row],[Cost]]," ")</f>
        <v xml:space="preserve"> </v>
      </c>
      <c r="Y177" s="3300"/>
      <c r="Z177" s="3300"/>
    </row>
    <row r="178" spans="1:26" s="723" customFormat="1" hidden="1">
      <c r="A178" s="724" t="s">
        <v>4033</v>
      </c>
      <c r="B178" s="1798" t="s">
        <v>4034</v>
      </c>
      <c r="C178" s="724" t="s">
        <v>44</v>
      </c>
      <c r="D178" s="1128">
        <v>45237</v>
      </c>
      <c r="E178" s="1149">
        <v>45252</v>
      </c>
      <c r="F178" s="724" t="s">
        <v>770</v>
      </c>
      <c r="G178" s="962" t="s">
        <v>829</v>
      </c>
      <c r="H178" s="724"/>
      <c r="I178" s="724"/>
      <c r="J178" s="724" t="s">
        <v>168</v>
      </c>
      <c r="K178" s="1151" t="s">
        <v>310</v>
      </c>
      <c r="L178" s="962" t="s">
        <v>4035</v>
      </c>
      <c r="M178" s="1163">
        <v>45254</v>
      </c>
      <c r="N178" s="1163">
        <v>45252</v>
      </c>
      <c r="O178" s="1163">
        <v>45254</v>
      </c>
      <c r="P178" s="724" t="s">
        <v>4036</v>
      </c>
      <c r="Q178" s="962" t="s">
        <v>50</v>
      </c>
      <c r="R178" s="962" t="s">
        <v>534</v>
      </c>
      <c r="S178" s="962"/>
      <c r="T178" s="962"/>
      <c r="U178" s="962"/>
      <c r="V178" s="962"/>
      <c r="W178" s="962">
        <f>IFERROR((Table6[[#This Row],[Sales Amount]]-Table6[[#This Row],[Cost]])/Table6[[#This Row],[CNTR AMOUNT]],Table6[[#This Row],[Sales Amount]]-Table6[[#This Row],[Cost]])</f>
        <v>0</v>
      </c>
      <c r="X178" s="962" t="str">
        <f>IFERROR(Table6[[#This Row],[Profit]]/Table6[[#This Row],[Cost]]," ")</f>
        <v xml:space="preserve"> </v>
      </c>
      <c r="Y178" s="962"/>
      <c r="Z178" s="962"/>
    </row>
    <row r="179" spans="1:26" s="147" customFormat="1" hidden="1">
      <c r="A179" s="1764" t="s">
        <v>409</v>
      </c>
      <c r="B179" s="4292" t="s">
        <v>4037</v>
      </c>
      <c r="C179" s="1764" t="s">
        <v>44</v>
      </c>
      <c r="D179" s="1886">
        <v>45240</v>
      </c>
      <c r="E179" s="1892">
        <v>45249</v>
      </c>
      <c r="F179" s="1764" t="s">
        <v>151</v>
      </c>
      <c r="G179" s="1765" t="s">
        <v>302</v>
      </c>
      <c r="H179" s="4293"/>
      <c r="I179" s="4292"/>
      <c r="J179" s="1764" t="s">
        <v>32</v>
      </c>
      <c r="K179" s="4292" t="s">
        <v>310</v>
      </c>
      <c r="L179" s="4294" t="s">
        <v>4038</v>
      </c>
      <c r="M179" s="1934">
        <v>45251</v>
      </c>
      <c r="N179" s="1934">
        <v>45251</v>
      </c>
      <c r="O179" s="1952">
        <v>45257</v>
      </c>
      <c r="P179" s="4292" t="s">
        <v>4039</v>
      </c>
      <c r="Q179" s="1764" t="s">
        <v>50</v>
      </c>
      <c r="R179" s="1765" t="s">
        <v>51</v>
      </c>
      <c r="S179" s="1764"/>
      <c r="T179" s="1764"/>
      <c r="U179" s="1764"/>
      <c r="V179" s="1764"/>
      <c r="W179" s="1764">
        <f>IFERROR((Table6[[#This Row],[Sales Amount]]-Table6[[#This Row],[Cost]])/Table6[[#This Row],[CNTR AMOUNT]],Table6[[#This Row],[Sales Amount]]-Table6[[#This Row],[Cost]])</f>
        <v>0</v>
      </c>
      <c r="X179" s="1764" t="str">
        <f>IFERROR(Table6[[#This Row],[Profit]]/Table6[[#This Row],[Cost]]," ")</f>
        <v xml:space="preserve"> </v>
      </c>
      <c r="Y179" s="1764"/>
      <c r="Z179" s="1764"/>
    </row>
    <row r="180" spans="1:26" s="147" customFormat="1" hidden="1">
      <c r="A180" s="724" t="s">
        <v>42</v>
      </c>
      <c r="B180" s="724" t="s">
        <v>4040</v>
      </c>
      <c r="C180" s="724" t="s">
        <v>44</v>
      </c>
      <c r="D180" s="1128">
        <v>45255</v>
      </c>
      <c r="E180" s="1149">
        <v>45265</v>
      </c>
      <c r="F180" s="724" t="s">
        <v>3639</v>
      </c>
      <c r="G180" s="962" t="s">
        <v>57</v>
      </c>
      <c r="H180" s="1128"/>
      <c r="I180" s="962"/>
      <c r="J180" s="724" t="s">
        <v>32</v>
      </c>
      <c r="K180" s="724" t="s">
        <v>310</v>
      </c>
      <c r="L180" s="724">
        <v>2575125</v>
      </c>
      <c r="M180" s="2037">
        <v>45267</v>
      </c>
      <c r="N180" s="2037">
        <v>45267</v>
      </c>
      <c r="O180" s="1128"/>
      <c r="P180" s="724" t="s">
        <v>4041</v>
      </c>
      <c r="Q180" s="962" t="s">
        <v>50</v>
      </c>
      <c r="R180" s="962" t="s">
        <v>51</v>
      </c>
      <c r="S180" s="962"/>
      <c r="T180" s="962"/>
      <c r="U180" s="962"/>
      <c r="V180" s="962"/>
      <c r="W180" s="962">
        <f>IFERROR((Table6[[#This Row],[Sales Amount]]-Table6[[#This Row],[Cost]])/Table6[[#This Row],[CNTR AMOUNT]],Table6[[#This Row],[Sales Amount]]-Table6[[#This Row],[Cost]])</f>
        <v>0</v>
      </c>
      <c r="X180" s="962" t="str">
        <f>IFERROR(Table6[[#This Row],[Profit]]/Table6[[#This Row],[Cost]]," ")</f>
        <v xml:space="preserve"> </v>
      </c>
      <c r="Y180" s="962"/>
      <c r="Z180" s="962"/>
    </row>
    <row r="181" spans="1:26" s="147" customFormat="1" hidden="1">
      <c r="A181" s="2011" t="s">
        <v>42</v>
      </c>
      <c r="B181" s="2011" t="s">
        <v>4042</v>
      </c>
      <c r="C181" s="2011" t="s">
        <v>44</v>
      </c>
      <c r="D181" s="2038">
        <v>45249</v>
      </c>
      <c r="E181" s="2039">
        <v>45259</v>
      </c>
      <c r="F181" s="2011" t="s">
        <v>3639</v>
      </c>
      <c r="G181" s="2014" t="s">
        <v>57</v>
      </c>
      <c r="H181" s="2011"/>
      <c r="I181" s="2011"/>
      <c r="J181" s="1662" t="s">
        <v>32</v>
      </c>
      <c r="K181" s="1684" t="s">
        <v>310</v>
      </c>
      <c r="L181" s="2040">
        <v>2401832</v>
      </c>
      <c r="M181" s="2041">
        <v>45261</v>
      </c>
      <c r="N181" s="2042">
        <v>45260</v>
      </c>
      <c r="O181" s="2014"/>
      <c r="P181" s="2011" t="s">
        <v>4043</v>
      </c>
      <c r="Q181" s="2014" t="s">
        <v>50</v>
      </c>
      <c r="R181" s="2014" t="s">
        <v>51</v>
      </c>
      <c r="S181" s="2014"/>
      <c r="T181" s="2014"/>
      <c r="U181" s="2014"/>
      <c r="V181" s="2014"/>
      <c r="W181" s="2014">
        <f>IFERROR((Table6[[#This Row],[Sales Amount]]-Table6[[#This Row],[Cost]])/Table6[[#This Row],[CNTR AMOUNT]],Table6[[#This Row],[Sales Amount]]-Table6[[#This Row],[Cost]])</f>
        <v>0</v>
      </c>
      <c r="X181" s="2014" t="str">
        <f>IFERROR(Table6[[#This Row],[Profit]]/Table6[[#This Row],[Cost]]," ")</f>
        <v xml:space="preserve"> </v>
      </c>
      <c r="Y181" s="2014"/>
      <c r="Z181" s="2014"/>
    </row>
    <row r="182" spans="1:26" s="147" customFormat="1" hidden="1">
      <c r="A182" s="1764" t="s">
        <v>42</v>
      </c>
      <c r="B182" s="1764" t="s">
        <v>4044</v>
      </c>
      <c r="C182" s="1764" t="s">
        <v>44</v>
      </c>
      <c r="D182" s="1886">
        <v>45244</v>
      </c>
      <c r="E182" s="1892">
        <v>45253</v>
      </c>
      <c r="F182" s="1764" t="s">
        <v>45</v>
      </c>
      <c r="G182" s="1765" t="s">
        <v>46</v>
      </c>
      <c r="H182" s="1764"/>
      <c r="I182" s="1764"/>
      <c r="J182" s="1911" t="s">
        <v>32</v>
      </c>
      <c r="K182" s="1912" t="s">
        <v>310</v>
      </c>
      <c r="L182" s="1764" t="s">
        <v>4045</v>
      </c>
      <c r="M182" s="1933">
        <v>45255</v>
      </c>
      <c r="N182" s="1933">
        <v>45254</v>
      </c>
      <c r="O182" s="1938">
        <v>45257</v>
      </c>
      <c r="P182" s="1764" t="s">
        <v>4046</v>
      </c>
      <c r="Q182" s="1765" t="s">
        <v>50</v>
      </c>
      <c r="R182" s="1765" t="s">
        <v>51</v>
      </c>
      <c r="S182" s="1765"/>
      <c r="T182" s="1765"/>
      <c r="U182" s="1765"/>
      <c r="V182" s="1765"/>
      <c r="W182" s="1765">
        <f>IFERROR((Table6[[#This Row],[Sales Amount]]-Table6[[#This Row],[Cost]])/Table6[[#This Row],[CNTR AMOUNT]],Table6[[#This Row],[Sales Amount]]-Table6[[#This Row],[Cost]])</f>
        <v>0</v>
      </c>
      <c r="X182" s="1765" t="str">
        <f>IFERROR(Table6[[#This Row],[Profit]]/Table6[[#This Row],[Cost]]," ")</f>
        <v xml:space="preserve"> </v>
      </c>
      <c r="Y182" s="1765"/>
      <c r="Z182" s="1765"/>
    </row>
    <row r="183" spans="1:26" s="147" customFormat="1" hidden="1">
      <c r="A183" s="1765" t="s">
        <v>409</v>
      </c>
      <c r="B183" s="1765" t="s">
        <v>4047</v>
      </c>
      <c r="C183" s="1765" t="s">
        <v>44</v>
      </c>
      <c r="D183" s="1886">
        <v>45222</v>
      </c>
      <c r="E183" s="1894">
        <v>45231</v>
      </c>
      <c r="F183" s="1765" t="s">
        <v>45</v>
      </c>
      <c r="G183" s="1765" t="s">
        <v>302</v>
      </c>
      <c r="H183" s="1886"/>
      <c r="I183" s="1765"/>
      <c r="J183" s="1765" t="s">
        <v>32</v>
      </c>
      <c r="K183" s="1765" t="s">
        <v>310</v>
      </c>
      <c r="L183" s="1765" t="s">
        <v>4048</v>
      </c>
      <c r="M183" s="1886">
        <v>45234</v>
      </c>
      <c r="N183" s="1886">
        <v>45232</v>
      </c>
      <c r="O183" s="1886">
        <v>45233</v>
      </c>
      <c r="P183" s="1972" t="s">
        <v>4049</v>
      </c>
      <c r="Q183" s="1809" t="s">
        <v>89</v>
      </c>
      <c r="R183" s="1809" t="s">
        <v>51</v>
      </c>
      <c r="S183" s="1809"/>
      <c r="T183" s="1809"/>
      <c r="U183" s="1809"/>
      <c r="V183" s="1809"/>
      <c r="W183" s="1809">
        <f>IFERROR((Table6[[#This Row],[Sales Amount]]-Table6[[#This Row],[Cost]])/Table6[[#This Row],[CNTR AMOUNT]],Table6[[#This Row],[Sales Amount]]-Table6[[#This Row],[Cost]])</f>
        <v>0</v>
      </c>
      <c r="X183" s="1809" t="str">
        <f>IFERROR(Table6[[#This Row],[Profit]]/Table6[[#This Row],[Cost]]," ")</f>
        <v xml:space="preserve"> </v>
      </c>
      <c r="Y183" s="1809"/>
      <c r="Z183" s="1809"/>
    </row>
    <row r="184" spans="1:26" s="147" customFormat="1" hidden="1">
      <c r="A184" s="5158" t="s">
        <v>42</v>
      </c>
      <c r="B184" s="5158" t="s">
        <v>4050</v>
      </c>
      <c r="C184" s="5158" t="s">
        <v>44</v>
      </c>
      <c r="D184" s="5159">
        <v>45255</v>
      </c>
      <c r="E184" s="5160">
        <f>7+$D184</f>
        <v>45262</v>
      </c>
      <c r="F184" s="5158" t="s">
        <v>45</v>
      </c>
      <c r="G184" s="5161" t="s">
        <v>669</v>
      </c>
      <c r="H184" s="5159"/>
      <c r="I184" s="5161"/>
      <c r="J184" s="5158" t="s">
        <v>32</v>
      </c>
      <c r="K184" s="5158" t="s">
        <v>310</v>
      </c>
      <c r="L184" s="5158" t="s">
        <v>4051</v>
      </c>
      <c r="M184" s="5162">
        <v>45264</v>
      </c>
      <c r="N184" s="5162">
        <v>45263</v>
      </c>
      <c r="O184" s="5163">
        <v>45264</v>
      </c>
      <c r="P184" s="5158" t="s">
        <v>4052</v>
      </c>
      <c r="Q184" s="5161" t="s">
        <v>50</v>
      </c>
      <c r="R184" s="4870" t="s">
        <v>36</v>
      </c>
      <c r="S184" s="5161"/>
      <c r="T184" s="5161"/>
      <c r="U184" s="5161"/>
      <c r="V184" s="5161"/>
      <c r="W184" s="5161">
        <f>IFERROR((Table6[[#This Row],[Sales Amount]]-Table6[[#This Row],[Cost]])/Table6[[#This Row],[CNTR AMOUNT]],Table6[[#This Row],[Sales Amount]]-Table6[[#This Row],[Cost]])</f>
        <v>0</v>
      </c>
      <c r="X184" s="5161" t="str">
        <f>IFERROR(Table6[[#This Row],[Profit]]/Table6[[#This Row],[Cost]]," ")</f>
        <v xml:space="preserve"> </v>
      </c>
      <c r="Y184" s="5161"/>
      <c r="Z184" s="5161"/>
    </row>
    <row r="185" spans="1:26" s="147" customFormat="1" hidden="1">
      <c r="A185" s="1878"/>
      <c r="B185" s="1878"/>
      <c r="C185" s="1878"/>
      <c r="D185" s="1887"/>
      <c r="E185" s="1895"/>
      <c r="F185" s="1878"/>
      <c r="G185" s="1749"/>
      <c r="H185" s="2051"/>
      <c r="I185" s="1878"/>
      <c r="J185" s="1685"/>
      <c r="K185" s="1917"/>
      <c r="L185" s="1931"/>
      <c r="M185" s="1890"/>
      <c r="N185" s="1890"/>
      <c r="O185" s="1749"/>
      <c r="P185" s="1878"/>
      <c r="Q185" s="1749"/>
      <c r="R185" s="1749"/>
      <c r="S185" s="1749"/>
      <c r="T185" s="1749"/>
      <c r="U185" s="1749"/>
      <c r="V185" s="1749"/>
      <c r="W185" s="1749"/>
      <c r="X185" s="1749" t="str">
        <f>IFERROR(Table6[[#This Row],[Profit]]/Table6[[#This Row],[Cost]]," ")</f>
        <v xml:space="preserve"> </v>
      </c>
      <c r="Y185" s="1749"/>
      <c r="Z185" s="1749"/>
    </row>
    <row r="186" spans="1:26" s="147" customFormat="1" hidden="1">
      <c r="A186" s="724" t="s">
        <v>42</v>
      </c>
      <c r="B186" s="4112" t="s">
        <v>4053</v>
      </c>
      <c r="C186" s="724" t="s">
        <v>44</v>
      </c>
      <c r="D186" s="1128">
        <v>45247</v>
      </c>
      <c r="E186" s="1149">
        <v>45262</v>
      </c>
      <c r="F186" s="724" t="s">
        <v>45</v>
      </c>
      <c r="G186" s="962" t="s">
        <v>46</v>
      </c>
      <c r="H186" s="724"/>
      <c r="I186" s="724"/>
      <c r="J186" s="718" t="s">
        <v>32</v>
      </c>
      <c r="K186" s="1151" t="s">
        <v>310</v>
      </c>
      <c r="L186" s="1161">
        <v>645663</v>
      </c>
      <c r="M186" s="1163">
        <v>45264</v>
      </c>
      <c r="N186" s="1163">
        <v>45264</v>
      </c>
      <c r="O186" s="2043">
        <v>45267</v>
      </c>
      <c r="P186" s="1102" t="s">
        <v>4054</v>
      </c>
      <c r="Q186" s="967" t="s">
        <v>50</v>
      </c>
      <c r="R186" s="967" t="s">
        <v>51</v>
      </c>
      <c r="S186" s="967"/>
      <c r="T186" s="967"/>
      <c r="U186" s="967"/>
      <c r="V186" s="967"/>
      <c r="W186" s="967">
        <f>IFERROR((Table6[[#This Row],[Sales Amount]]-Table6[[#This Row],[Cost]])/Table6[[#This Row],[CNTR AMOUNT]],Table6[[#This Row],[Sales Amount]]-Table6[[#This Row],[Cost]])</f>
        <v>0</v>
      </c>
      <c r="X186" s="967" t="str">
        <f>IFERROR(Table6[[#This Row],[Profit]]/Table6[[#This Row],[Cost]]," ")</f>
        <v xml:space="preserve"> </v>
      </c>
      <c r="Y186" s="967"/>
      <c r="Z186" s="967"/>
    </row>
    <row r="187" spans="1:26" s="147" customFormat="1" hidden="1">
      <c r="A187" s="4864" t="s">
        <v>42</v>
      </c>
      <c r="B187" s="4864" t="s">
        <v>4055</v>
      </c>
      <c r="C187" s="4864" t="s">
        <v>44</v>
      </c>
      <c r="D187" s="4833">
        <v>45244</v>
      </c>
      <c r="E187" s="4900">
        <v>45253</v>
      </c>
      <c r="F187" s="4864" t="s">
        <v>45</v>
      </c>
      <c r="G187" s="4834" t="s">
        <v>46</v>
      </c>
      <c r="H187" s="4864"/>
      <c r="I187" s="4864"/>
      <c r="J187" s="4864" t="s">
        <v>168</v>
      </c>
      <c r="K187" s="4871" t="s">
        <v>310</v>
      </c>
      <c r="L187" s="4864" t="s">
        <v>4056</v>
      </c>
      <c r="M187" s="5164">
        <v>45256</v>
      </c>
      <c r="N187" s="5164">
        <v>45254</v>
      </c>
      <c r="O187" s="5165">
        <v>45257</v>
      </c>
      <c r="P187" s="5166" t="s">
        <v>4057</v>
      </c>
      <c r="Q187" s="4834" t="s">
        <v>50</v>
      </c>
      <c r="R187" s="4834" t="s">
        <v>51</v>
      </c>
      <c r="S187" s="4834"/>
      <c r="T187" s="4834"/>
      <c r="U187" s="4834"/>
      <c r="V187" s="4834"/>
      <c r="W187" s="4834">
        <f>IFERROR((Table6[[#This Row],[Sales Amount]]-Table6[[#This Row],[Cost]])/Table6[[#This Row],[CNTR AMOUNT]],Table6[[#This Row],[Sales Amount]]-Table6[[#This Row],[Cost]])</f>
        <v>0</v>
      </c>
      <c r="X187" s="4834" t="str">
        <f>IFERROR(Table6[[#This Row],[Profit]]/Table6[[#This Row],[Cost]]," ")</f>
        <v xml:space="preserve"> </v>
      </c>
      <c r="Y187" s="4834"/>
      <c r="Z187" s="4834"/>
    </row>
    <row r="188" spans="1:26" s="147" customFormat="1" hidden="1">
      <c r="A188" s="1828" t="s">
        <v>42</v>
      </c>
      <c r="B188" s="1828" t="s">
        <v>4058</v>
      </c>
      <c r="C188" s="1828" t="s">
        <v>44</v>
      </c>
      <c r="D188" s="1831">
        <v>45234</v>
      </c>
      <c r="E188" s="1834">
        <v>45242</v>
      </c>
      <c r="F188" s="1828" t="s">
        <v>86</v>
      </c>
      <c r="G188" s="1828" t="s">
        <v>46</v>
      </c>
      <c r="H188" s="1860"/>
      <c r="I188" s="1860"/>
      <c r="J188" s="1914" t="s">
        <v>168</v>
      </c>
      <c r="K188" s="1919" t="s">
        <v>310</v>
      </c>
      <c r="L188" s="1828" t="s">
        <v>4059</v>
      </c>
      <c r="M188" s="1939">
        <v>45244</v>
      </c>
      <c r="N188" s="1939">
        <v>45243</v>
      </c>
      <c r="O188" s="1939">
        <v>45246</v>
      </c>
      <c r="P188" s="1971" t="s">
        <v>4060</v>
      </c>
      <c r="Q188" s="1828" t="s">
        <v>50</v>
      </c>
      <c r="R188" s="1475" t="s">
        <v>534</v>
      </c>
      <c r="S188" s="1828"/>
      <c r="T188" s="1828"/>
      <c r="U188" s="1828"/>
      <c r="V188" s="1828"/>
      <c r="W188" s="1828">
        <f>IFERROR((Table6[[#This Row],[Sales Amount]]-Table6[[#This Row],[Cost]])/Table6[[#This Row],[CNTR AMOUNT]],Table6[[#This Row],[Sales Amount]]-Table6[[#This Row],[Cost]])</f>
        <v>0</v>
      </c>
      <c r="X188" s="1828" t="str">
        <f>IFERROR(Table6[[#This Row],[Profit]]/Table6[[#This Row],[Cost]]," ")</f>
        <v xml:space="preserve"> </v>
      </c>
      <c r="Y188" s="1828"/>
      <c r="Z188" s="1828"/>
    </row>
    <row r="189" spans="1:26" hidden="1">
      <c r="A189" s="1764" t="s">
        <v>42</v>
      </c>
      <c r="B189" s="1764" t="s">
        <v>4061</v>
      </c>
      <c r="C189" s="1764" t="s">
        <v>44</v>
      </c>
      <c r="D189" s="1886">
        <v>45247</v>
      </c>
      <c r="E189" s="1892">
        <v>45262</v>
      </c>
      <c r="F189" s="1764" t="s">
        <v>45</v>
      </c>
      <c r="G189" s="1765" t="s">
        <v>46</v>
      </c>
      <c r="H189" s="1764"/>
      <c r="I189" s="1764"/>
      <c r="J189" s="1911" t="s">
        <v>32</v>
      </c>
      <c r="K189" s="1912" t="s">
        <v>310</v>
      </c>
      <c r="L189" s="1764" t="s">
        <v>4062</v>
      </c>
      <c r="M189" s="1938">
        <v>45264</v>
      </c>
      <c r="N189" s="1938">
        <v>45262</v>
      </c>
      <c r="O189" s="1938">
        <v>45264</v>
      </c>
      <c r="P189" s="1764" t="s">
        <v>4063</v>
      </c>
      <c r="Q189" s="1765" t="s">
        <v>50</v>
      </c>
      <c r="R189" s="1765" t="s">
        <v>51</v>
      </c>
      <c r="S189" s="1765"/>
      <c r="T189" s="1765"/>
      <c r="U189" s="1765"/>
      <c r="V189" s="1765"/>
      <c r="W189" s="1765">
        <f>IFERROR((Table6[[#This Row],[Sales Amount]]-Table6[[#This Row],[Cost]])/Table6[[#This Row],[CNTR AMOUNT]],Table6[[#This Row],[Sales Amount]]-Table6[[#This Row],[Cost]])</f>
        <v>0</v>
      </c>
      <c r="X189" s="1765" t="str">
        <f>IFERROR(Table6[[#This Row],[Profit]]/Table6[[#This Row],[Cost]]," ")</f>
        <v xml:space="preserve"> </v>
      </c>
      <c r="Y189" s="1765"/>
      <c r="Z189" s="1765"/>
    </row>
    <row r="190" spans="1:26" hidden="1">
      <c r="A190" s="724" t="s">
        <v>42</v>
      </c>
      <c r="B190" s="724" t="s">
        <v>4064</v>
      </c>
      <c r="C190" s="1151" t="s">
        <v>28</v>
      </c>
      <c r="D190" s="1128">
        <v>45239</v>
      </c>
      <c r="E190" s="1149">
        <v>45250</v>
      </c>
      <c r="F190" s="724" t="s">
        <v>45</v>
      </c>
      <c r="G190" s="962" t="s">
        <v>46</v>
      </c>
      <c r="H190" s="724"/>
      <c r="I190" s="724"/>
      <c r="J190" s="724" t="s">
        <v>168</v>
      </c>
      <c r="K190" s="1151" t="s">
        <v>310</v>
      </c>
      <c r="L190" s="2044" t="s">
        <v>4065</v>
      </c>
      <c r="M190" s="1163">
        <v>45252</v>
      </c>
      <c r="N190" s="1163">
        <v>45251</v>
      </c>
      <c r="O190" s="1163">
        <v>45252</v>
      </c>
      <c r="P190" s="724" t="s">
        <v>4066</v>
      </c>
      <c r="Q190" s="962" t="s">
        <v>50</v>
      </c>
      <c r="R190" s="962" t="s">
        <v>51</v>
      </c>
      <c r="S190" s="962"/>
      <c r="T190" s="962"/>
      <c r="U190" s="962"/>
      <c r="V190" s="962"/>
      <c r="W190" s="962">
        <f>IFERROR((Table6[[#This Row],[Sales Amount]]-Table6[[#This Row],[Cost]])/Table6[[#This Row],[CNTR AMOUNT]],Table6[[#This Row],[Sales Amount]]-Table6[[#This Row],[Cost]])</f>
        <v>0</v>
      </c>
      <c r="X190" s="962" t="str">
        <f>IFERROR(Table6[[#This Row],[Profit]]/Table6[[#This Row],[Cost]]," ")</f>
        <v xml:space="preserve"> </v>
      </c>
      <c r="Y190" s="962"/>
      <c r="Z190" s="962"/>
    </row>
    <row r="191" spans="1:26" hidden="1">
      <c r="A191" s="3289" t="s">
        <v>42</v>
      </c>
      <c r="B191" s="3354" t="s">
        <v>4067</v>
      </c>
      <c r="C191" s="3289" t="s">
        <v>44</v>
      </c>
      <c r="D191" s="3301">
        <v>45255</v>
      </c>
      <c r="E191" s="3302">
        <v>45266</v>
      </c>
      <c r="F191" s="3289" t="s">
        <v>45</v>
      </c>
      <c r="G191" s="3300" t="s">
        <v>669</v>
      </c>
      <c r="H191" s="3301"/>
      <c r="I191" s="3300"/>
      <c r="J191" s="3289" t="s">
        <v>32</v>
      </c>
      <c r="K191" s="3289" t="s">
        <v>310</v>
      </c>
      <c r="L191" s="3289" t="s">
        <v>4068</v>
      </c>
      <c r="M191" s="3351">
        <v>45269</v>
      </c>
      <c r="N191" s="3351">
        <v>45268</v>
      </c>
      <c r="O191" s="2038">
        <v>45271</v>
      </c>
      <c r="P191" s="3289" t="s">
        <v>4069</v>
      </c>
      <c r="Q191" s="1769" t="s">
        <v>50</v>
      </c>
      <c r="R191" s="800" t="s">
        <v>51</v>
      </c>
      <c r="S191" s="1769"/>
      <c r="T191" s="1769"/>
      <c r="U191" s="1769"/>
      <c r="V191" s="1769"/>
      <c r="W191" s="1769">
        <f>IFERROR((Table6[[#This Row],[Sales Amount]]-Table6[[#This Row],[Cost]])/Table6[[#This Row],[CNTR AMOUNT]],Table6[[#This Row],[Sales Amount]]-Table6[[#This Row],[Cost]])</f>
        <v>0</v>
      </c>
      <c r="X191" s="1769" t="str">
        <f>IFERROR(Table6[[#This Row],[Profit]]/Table6[[#This Row],[Cost]]," ")</f>
        <v xml:space="preserve"> </v>
      </c>
      <c r="Y191" s="1769"/>
      <c r="Z191" s="1769"/>
    </row>
    <row r="192" spans="1:26" s="723" customFormat="1" hidden="1">
      <c r="A192" s="724" t="s">
        <v>42</v>
      </c>
      <c r="B192" s="724" t="s">
        <v>4070</v>
      </c>
      <c r="C192" s="1151" t="s">
        <v>28</v>
      </c>
      <c r="D192" s="1128">
        <v>45239</v>
      </c>
      <c r="E192" s="1149">
        <v>45250</v>
      </c>
      <c r="F192" s="724" t="s">
        <v>45</v>
      </c>
      <c r="G192" s="962" t="s">
        <v>46</v>
      </c>
      <c r="H192" s="724"/>
      <c r="I192" s="724"/>
      <c r="J192" s="1151" t="s">
        <v>168</v>
      </c>
      <c r="K192" s="1151" t="s">
        <v>310</v>
      </c>
      <c r="L192" s="962" t="s">
        <v>4071</v>
      </c>
      <c r="M192" s="1163">
        <v>45252</v>
      </c>
      <c r="N192" s="1163">
        <v>45251</v>
      </c>
      <c r="O192" s="1163">
        <v>45252</v>
      </c>
      <c r="P192" s="724" t="s">
        <v>4072</v>
      </c>
      <c r="Q192" s="962" t="s">
        <v>50</v>
      </c>
      <c r="R192" s="962" t="s">
        <v>534</v>
      </c>
      <c r="S192" s="962"/>
      <c r="T192" s="962"/>
      <c r="U192" s="962"/>
      <c r="V192" s="962"/>
      <c r="W192" s="962">
        <f>IFERROR((Table6[[#This Row],[Sales Amount]]-Table6[[#This Row],[Cost]])/Table6[[#This Row],[CNTR AMOUNT]],Table6[[#This Row],[Sales Amount]]-Table6[[#This Row],[Cost]])</f>
        <v>0</v>
      </c>
      <c r="X192" s="962" t="str">
        <f>IFERROR(Table6[[#This Row],[Profit]]/Table6[[#This Row],[Cost]]," ")</f>
        <v xml:space="preserve"> </v>
      </c>
      <c r="Y192" s="2020"/>
      <c r="Z192" s="962"/>
    </row>
    <row r="193" spans="1:26" s="106" customFormat="1" ht="40.15" hidden="1" customHeight="1">
      <c r="A193" s="1827" t="s">
        <v>42</v>
      </c>
      <c r="B193" s="1827" t="s">
        <v>4073</v>
      </c>
      <c r="C193" s="1884" t="s">
        <v>28</v>
      </c>
      <c r="D193" s="1830">
        <v>45239</v>
      </c>
      <c r="E193" s="1833">
        <v>45249</v>
      </c>
      <c r="F193" s="1827" t="s">
        <v>45</v>
      </c>
      <c r="G193" s="1838" t="s">
        <v>46</v>
      </c>
      <c r="H193" s="1827"/>
      <c r="I193" s="1827"/>
      <c r="J193" s="1884" t="s">
        <v>168</v>
      </c>
      <c r="K193" s="1884" t="s">
        <v>310</v>
      </c>
      <c r="L193" s="1838" t="s">
        <v>4074</v>
      </c>
      <c r="M193" s="1942">
        <v>45251</v>
      </c>
      <c r="N193" s="1942">
        <v>45250</v>
      </c>
      <c r="O193" s="1965">
        <v>45252</v>
      </c>
      <c r="P193" s="1827" t="s">
        <v>4075</v>
      </c>
      <c r="Q193" s="1877" t="s">
        <v>50</v>
      </c>
      <c r="R193" s="1877" t="s">
        <v>51</v>
      </c>
      <c r="S193" s="1877"/>
      <c r="T193" s="1877"/>
      <c r="U193" s="1877"/>
      <c r="V193" s="1877"/>
      <c r="W193" s="1877">
        <f>IFERROR((Table6[[#This Row],[Sales Amount]]-Table6[[#This Row],[Cost]])/Table6[[#This Row],[CNTR AMOUNT]],Table6[[#This Row],[Sales Amount]]-Table6[[#This Row],[Cost]])</f>
        <v>0</v>
      </c>
      <c r="X193" s="1877" t="str">
        <f>IFERROR(Table6[[#This Row],[Profit]]/Table6[[#This Row],[Cost]]," ")</f>
        <v xml:space="preserve"> </v>
      </c>
      <c r="Y193" s="1877"/>
      <c r="Z193" s="1877"/>
    </row>
    <row r="194" spans="1:26" s="147" customFormat="1" hidden="1">
      <c r="A194" s="1860" t="s">
        <v>42</v>
      </c>
      <c r="B194" s="1860" t="s">
        <v>4076</v>
      </c>
      <c r="C194" s="1883" t="s">
        <v>44</v>
      </c>
      <c r="D194" s="1889">
        <v>45246</v>
      </c>
      <c r="E194" s="1897">
        <v>45250</v>
      </c>
      <c r="F194" s="1883" t="s">
        <v>1017</v>
      </c>
      <c r="G194" s="1902" t="s">
        <v>829</v>
      </c>
      <c r="H194" s="1883"/>
      <c r="I194" s="1883"/>
      <c r="J194" s="1915" t="s">
        <v>32</v>
      </c>
      <c r="K194" s="1922" t="s">
        <v>310</v>
      </c>
      <c r="L194" s="1902" t="s">
        <v>4077</v>
      </c>
      <c r="M194" s="1941">
        <v>45252</v>
      </c>
      <c r="N194" s="1941">
        <v>45252</v>
      </c>
      <c r="O194" s="1962">
        <v>45254</v>
      </c>
      <c r="P194" s="1883" t="s">
        <v>4078</v>
      </c>
      <c r="Q194" s="1765" t="s">
        <v>50</v>
      </c>
      <c r="R194" s="1062" t="s">
        <v>36</v>
      </c>
      <c r="S194" s="1765"/>
      <c r="T194" s="1765"/>
      <c r="U194" s="1765"/>
      <c r="V194" s="1765"/>
      <c r="W194" s="1765">
        <f>IFERROR((Table6[[#This Row],[Sales Amount]]-Table6[[#This Row],[Cost]])/Table6[[#This Row],[CNTR AMOUNT]],Table6[[#This Row],[Sales Amount]]-Table6[[#This Row],[Cost]])</f>
        <v>0</v>
      </c>
      <c r="X194" s="1765" t="str">
        <f>IFERROR(Table6[[#This Row],[Profit]]/Table6[[#This Row],[Cost]]," ")</f>
        <v xml:space="preserve"> </v>
      </c>
      <c r="Y194" s="1765"/>
      <c r="Z194" s="1765"/>
    </row>
    <row r="195" spans="1:26" s="1365" customFormat="1" hidden="1">
      <c r="A195" s="4864" t="s">
        <v>42</v>
      </c>
      <c r="B195" s="4864" t="s">
        <v>4079</v>
      </c>
      <c r="C195" s="2021" t="s">
        <v>44</v>
      </c>
      <c r="D195" s="1128">
        <v>45247</v>
      </c>
      <c r="E195" s="1149">
        <v>45265</v>
      </c>
      <c r="F195" s="724" t="s">
        <v>45</v>
      </c>
      <c r="G195" s="962" t="s">
        <v>46</v>
      </c>
      <c r="H195" s="724"/>
      <c r="I195" s="724"/>
      <c r="J195" s="718" t="s">
        <v>32</v>
      </c>
      <c r="K195" s="1151" t="s">
        <v>310</v>
      </c>
      <c r="L195" s="724" t="s">
        <v>4080</v>
      </c>
      <c r="M195" s="1163">
        <v>45267</v>
      </c>
      <c r="N195" s="2022">
        <v>45266</v>
      </c>
      <c r="O195" s="1163">
        <v>45268</v>
      </c>
      <c r="P195" s="724" t="s">
        <v>4081</v>
      </c>
      <c r="Q195" s="962" t="s">
        <v>50</v>
      </c>
      <c r="R195" s="962" t="s">
        <v>534</v>
      </c>
      <c r="S195" s="962"/>
      <c r="T195" s="962"/>
      <c r="U195" s="962"/>
      <c r="V195" s="962"/>
      <c r="W195" s="962">
        <f>IFERROR((Table6[[#This Row],[Sales Amount]]-Table6[[#This Row],[Cost]])/Table6[[#This Row],[CNTR AMOUNT]],Table6[[#This Row],[Sales Amount]]-Table6[[#This Row],[Cost]])</f>
        <v>0</v>
      </c>
      <c r="X195" s="962" t="str">
        <f>IFERROR(Table6[[#This Row],[Profit]]/Table6[[#This Row],[Cost]]," ")</f>
        <v xml:space="preserve"> </v>
      </c>
      <c r="Y195" s="962"/>
      <c r="Z195" s="962"/>
    </row>
    <row r="196" spans="1:26" s="1365" customFormat="1" hidden="1">
      <c r="A196" s="1798" t="s">
        <v>42</v>
      </c>
      <c r="B196" s="1798" t="s">
        <v>4082</v>
      </c>
      <c r="C196" s="724" t="s">
        <v>44</v>
      </c>
      <c r="D196" s="1128">
        <v>45255</v>
      </c>
      <c r="E196" s="1149">
        <v>45265</v>
      </c>
      <c r="F196" s="724" t="s">
        <v>3639</v>
      </c>
      <c r="G196" s="962" t="s">
        <v>57</v>
      </c>
      <c r="H196" s="1128"/>
      <c r="I196" s="962"/>
      <c r="J196" s="724" t="s">
        <v>32</v>
      </c>
      <c r="K196" s="724" t="s">
        <v>310</v>
      </c>
      <c r="L196" s="724">
        <v>2575001</v>
      </c>
      <c r="M196" s="2037">
        <v>45267</v>
      </c>
      <c r="N196" s="2037">
        <v>45266</v>
      </c>
      <c r="O196" s="1128">
        <v>45268</v>
      </c>
      <c r="P196" s="724" t="s">
        <v>4083</v>
      </c>
      <c r="Q196" s="962" t="s">
        <v>50</v>
      </c>
      <c r="R196" s="962" t="s">
        <v>51</v>
      </c>
      <c r="S196" s="962"/>
      <c r="T196" s="962"/>
      <c r="U196" s="962"/>
      <c r="V196" s="962"/>
      <c r="W196" s="962">
        <f>IFERROR((Table6[[#This Row],[Sales Amount]]-Table6[[#This Row],[Cost]])/Table6[[#This Row],[CNTR AMOUNT]],Table6[[#This Row],[Sales Amount]]-Table6[[#This Row],[Cost]])</f>
        <v>0</v>
      </c>
      <c r="X196" s="962" t="str">
        <f>IFERROR(Table6[[#This Row],[Profit]]/Table6[[#This Row],[Cost]]," ")</f>
        <v xml:space="preserve"> </v>
      </c>
      <c r="Y196" s="962"/>
      <c r="Z196" s="962"/>
    </row>
    <row r="197" spans="1:26" s="723" customFormat="1" hidden="1">
      <c r="A197" s="724" t="s">
        <v>42</v>
      </c>
      <c r="B197" s="2048" t="s">
        <v>4084</v>
      </c>
      <c r="C197" s="724" t="s">
        <v>44</v>
      </c>
      <c r="D197" s="1128">
        <v>45247</v>
      </c>
      <c r="E197" s="1149">
        <v>45262</v>
      </c>
      <c r="F197" s="724" t="s">
        <v>45</v>
      </c>
      <c r="G197" s="962" t="s">
        <v>46</v>
      </c>
      <c r="H197" s="724"/>
      <c r="I197" s="724"/>
      <c r="J197" s="718" t="s">
        <v>32</v>
      </c>
      <c r="K197" s="1151" t="s">
        <v>310</v>
      </c>
      <c r="L197" s="724">
        <v>638952</v>
      </c>
      <c r="M197" s="1163">
        <v>45264</v>
      </c>
      <c r="N197" s="1163">
        <v>45263</v>
      </c>
      <c r="O197" s="2043">
        <v>45265</v>
      </c>
      <c r="P197" s="724" t="s">
        <v>4085</v>
      </c>
      <c r="Q197" s="962" t="s">
        <v>50</v>
      </c>
      <c r="R197" s="962" t="s">
        <v>51</v>
      </c>
      <c r="S197" s="962"/>
      <c r="T197" s="962"/>
      <c r="U197" s="962"/>
      <c r="V197" s="962"/>
      <c r="W197" s="962">
        <f>IFERROR((Table6[[#This Row],[Sales Amount]]-Table6[[#This Row],[Cost]])/Table6[[#This Row],[CNTR AMOUNT]],Table6[[#This Row],[Sales Amount]]-Table6[[#This Row],[Cost]])</f>
        <v>0</v>
      </c>
      <c r="X197" s="962" t="str">
        <f>IFERROR(Table6[[#This Row],[Profit]]/Table6[[#This Row],[Cost]]," ")</f>
        <v xml:space="preserve"> </v>
      </c>
      <c r="Y197" s="962"/>
      <c r="Z197" s="962"/>
    </row>
    <row r="198" spans="1:26" s="1365" customFormat="1" hidden="1">
      <c r="A198" s="1879" t="s">
        <v>42</v>
      </c>
      <c r="B198" s="1879" t="s">
        <v>4086</v>
      </c>
      <c r="C198" s="1879" t="s">
        <v>44</v>
      </c>
      <c r="D198" s="1885">
        <v>45240</v>
      </c>
      <c r="E198" s="1896">
        <v>45251</v>
      </c>
      <c r="F198" s="1879" t="s">
        <v>3639</v>
      </c>
      <c r="G198" s="1877" t="s">
        <v>2206</v>
      </c>
      <c r="H198" s="1879"/>
      <c r="I198" s="1879"/>
      <c r="J198" s="1879" t="s">
        <v>168</v>
      </c>
      <c r="K198" s="1921" t="s">
        <v>310</v>
      </c>
      <c r="L198" s="1879">
        <v>1826127</v>
      </c>
      <c r="M198" s="1940">
        <v>45255</v>
      </c>
      <c r="N198" s="1940">
        <v>45254</v>
      </c>
      <c r="O198" s="1961">
        <v>45257</v>
      </c>
      <c r="P198" s="1879" t="s">
        <v>4087</v>
      </c>
      <c r="Q198" s="1877" t="s">
        <v>50</v>
      </c>
      <c r="R198" s="1877" t="s">
        <v>51</v>
      </c>
      <c r="S198" s="1877"/>
      <c r="T198" s="1877"/>
      <c r="U198" s="1877"/>
      <c r="V198" s="1877"/>
      <c r="W198" s="1877">
        <f>IFERROR((Table6[[#This Row],[Sales Amount]]-Table6[[#This Row],[Cost]])/Table6[[#This Row],[CNTR AMOUNT]],Table6[[#This Row],[Sales Amount]]-Table6[[#This Row],[Cost]])</f>
        <v>0</v>
      </c>
      <c r="X198" s="1877" t="str">
        <f>IFERROR(Table6[[#This Row],[Profit]]/Table6[[#This Row],[Cost]]," ")</f>
        <v xml:space="preserve"> </v>
      </c>
      <c r="Y198" s="1877"/>
      <c r="Z198" s="1877"/>
    </row>
    <row r="199" spans="1:26" s="1365" customFormat="1" hidden="1">
      <c r="A199" s="4864" t="s">
        <v>42</v>
      </c>
      <c r="B199" s="4864" t="s">
        <v>4088</v>
      </c>
      <c r="C199" s="4864" t="s">
        <v>44</v>
      </c>
      <c r="D199" s="4833">
        <v>45240</v>
      </c>
      <c r="E199" s="4900">
        <v>45250</v>
      </c>
      <c r="F199" s="4864" t="s">
        <v>3639</v>
      </c>
      <c r="G199" s="4834" t="s">
        <v>2206</v>
      </c>
      <c r="H199" s="4864"/>
      <c r="I199" s="4864"/>
      <c r="J199" s="4864" t="s">
        <v>168</v>
      </c>
      <c r="K199" s="4871" t="s">
        <v>310</v>
      </c>
      <c r="L199" s="4834">
        <v>1826007</v>
      </c>
      <c r="M199" s="5098">
        <v>45255</v>
      </c>
      <c r="N199" s="5098">
        <v>45252</v>
      </c>
      <c r="O199" s="5167">
        <v>45254</v>
      </c>
      <c r="P199" s="4864" t="s">
        <v>4089</v>
      </c>
      <c r="Q199" s="4834" t="s">
        <v>50</v>
      </c>
      <c r="R199" s="4834" t="s">
        <v>51</v>
      </c>
      <c r="S199" s="4834"/>
      <c r="T199" s="4834"/>
      <c r="U199" s="4834"/>
      <c r="V199" s="4834"/>
      <c r="W199" s="4834">
        <f>IFERROR((Table6[[#This Row],[Sales Amount]]-Table6[[#This Row],[Cost]])/Table6[[#This Row],[CNTR AMOUNT]],Table6[[#This Row],[Sales Amount]]-Table6[[#This Row],[Cost]])</f>
        <v>0</v>
      </c>
      <c r="X199" s="4834" t="str">
        <f>IFERROR(Table6[[#This Row],[Profit]]/Table6[[#This Row],[Cost]]," ")</f>
        <v xml:space="preserve"> </v>
      </c>
      <c r="Y199" s="4834"/>
      <c r="Z199" s="4834"/>
    </row>
    <row r="200" spans="1:26" s="723" customFormat="1" hidden="1">
      <c r="A200" s="1769" t="s">
        <v>42</v>
      </c>
      <c r="B200" s="1769" t="s">
        <v>4090</v>
      </c>
      <c r="C200" s="2045" t="s">
        <v>28</v>
      </c>
      <c r="D200" s="1840">
        <v>45234</v>
      </c>
      <c r="E200" s="2046">
        <v>45243</v>
      </c>
      <c r="F200" s="1769" t="s">
        <v>3636</v>
      </c>
      <c r="G200" s="1769" t="s">
        <v>2206</v>
      </c>
      <c r="H200" s="1968"/>
      <c r="I200" s="1968"/>
      <c r="J200" s="1968" t="s">
        <v>168</v>
      </c>
      <c r="K200" s="1769" t="s">
        <v>310</v>
      </c>
      <c r="L200" s="1769">
        <v>1322082</v>
      </c>
      <c r="M200" s="2047">
        <v>45246</v>
      </c>
      <c r="N200" s="2047">
        <v>45244</v>
      </c>
      <c r="O200" s="2049">
        <v>45247</v>
      </c>
      <c r="P200" s="1968" t="s">
        <v>4091</v>
      </c>
      <c r="Q200" s="1769" t="s">
        <v>50</v>
      </c>
      <c r="R200" s="1769" t="s">
        <v>51</v>
      </c>
      <c r="S200" s="1769"/>
      <c r="T200" s="1769"/>
      <c r="U200" s="1769"/>
      <c r="V200" s="1769"/>
      <c r="W200" s="1769">
        <f>IFERROR((Table6[[#This Row],[Sales Amount]]-Table6[[#This Row],[Cost]])/Table6[[#This Row],[CNTR AMOUNT]],Table6[[#This Row],[Sales Amount]]-Table6[[#This Row],[Cost]])</f>
        <v>0</v>
      </c>
      <c r="X200" s="1769" t="str">
        <f>IFERROR(Table6[[#This Row],[Profit]]/Table6[[#This Row],[Cost]]," ")</f>
        <v xml:space="preserve"> </v>
      </c>
      <c r="Y200" s="1769"/>
      <c r="Z200" s="1769"/>
    </row>
    <row r="201" spans="1:26" hidden="1">
      <c r="A201" s="724" t="s">
        <v>42</v>
      </c>
      <c r="B201" s="724" t="s">
        <v>4092</v>
      </c>
      <c r="C201" s="724" t="s">
        <v>44</v>
      </c>
      <c r="D201" s="1128">
        <v>45255</v>
      </c>
      <c r="E201" s="1149">
        <v>45265</v>
      </c>
      <c r="F201" s="724" t="s">
        <v>3639</v>
      </c>
      <c r="G201" s="962" t="s">
        <v>57</v>
      </c>
      <c r="H201" s="1128"/>
      <c r="I201" s="962"/>
      <c r="J201" s="724" t="s">
        <v>32</v>
      </c>
      <c r="K201" s="724" t="s">
        <v>310</v>
      </c>
      <c r="L201" s="724">
        <v>2574951</v>
      </c>
      <c r="M201" s="2037">
        <v>45267</v>
      </c>
      <c r="N201" s="2037">
        <v>45267</v>
      </c>
      <c r="O201" s="1128">
        <v>45269</v>
      </c>
      <c r="P201" s="724" t="s">
        <v>4093</v>
      </c>
      <c r="Q201" s="962" t="s">
        <v>50</v>
      </c>
      <c r="R201" s="962" t="s">
        <v>51</v>
      </c>
      <c r="S201" s="962"/>
      <c r="T201" s="962"/>
      <c r="U201" s="962"/>
      <c r="V201" s="962"/>
      <c r="W201" s="962">
        <f>IFERROR((Table6[[#This Row],[Sales Amount]]-Table6[[#This Row],[Cost]])/Table6[[#This Row],[CNTR AMOUNT]],Table6[[#This Row],[Sales Amount]]-Table6[[#This Row],[Cost]])</f>
        <v>0</v>
      </c>
      <c r="X201" s="962" t="str">
        <f>IFERROR(Table6[[#This Row],[Profit]]/Table6[[#This Row],[Cost]]," ")</f>
        <v xml:space="preserve"> </v>
      </c>
      <c r="Y201" s="962"/>
      <c r="Z201" s="962"/>
    </row>
    <row r="202" spans="1:26" s="1365" customFormat="1" hidden="1">
      <c r="A202" s="724" t="s">
        <v>42</v>
      </c>
      <c r="B202" s="724" t="s">
        <v>4094</v>
      </c>
      <c r="C202" s="724" t="s">
        <v>44</v>
      </c>
      <c r="D202" s="1128">
        <v>45247</v>
      </c>
      <c r="E202" s="1149">
        <v>45262</v>
      </c>
      <c r="F202" s="724" t="s">
        <v>86</v>
      </c>
      <c r="G202" s="962" t="s">
        <v>829</v>
      </c>
      <c r="H202" s="724"/>
      <c r="I202" s="724"/>
      <c r="J202" s="718" t="s">
        <v>32</v>
      </c>
      <c r="K202" s="1151" t="s">
        <v>310</v>
      </c>
      <c r="L202" s="962" t="s">
        <v>4095</v>
      </c>
      <c r="M202" s="1163">
        <v>45264</v>
      </c>
      <c r="N202" s="1163">
        <v>45628</v>
      </c>
      <c r="O202" s="1163">
        <v>45264</v>
      </c>
      <c r="P202" s="724" t="s">
        <v>4096</v>
      </c>
      <c r="Q202" s="962" t="s">
        <v>50</v>
      </c>
      <c r="R202" s="962" t="s">
        <v>534</v>
      </c>
      <c r="S202" s="962"/>
      <c r="T202" s="962"/>
      <c r="U202" s="962"/>
      <c r="V202" s="962"/>
      <c r="W202" s="962">
        <f>IFERROR((Table6[[#This Row],[Sales Amount]]-Table6[[#This Row],[Cost]])/Table6[[#This Row],[CNTR AMOUNT]],Table6[[#This Row],[Sales Amount]]-Table6[[#This Row],[Cost]])</f>
        <v>0</v>
      </c>
      <c r="X202" s="962" t="str">
        <f>IFERROR(Table6[[#This Row],[Profit]]/Table6[[#This Row],[Cost]]," ")</f>
        <v xml:space="preserve"> </v>
      </c>
      <c r="Y202" s="962"/>
      <c r="Z202" s="962"/>
    </row>
    <row r="203" spans="1:26" s="1365" customFormat="1" hidden="1">
      <c r="A203" s="1765" t="s">
        <v>42</v>
      </c>
      <c r="B203" s="2153" t="s">
        <v>4097</v>
      </c>
      <c r="C203" s="1765" t="s">
        <v>44</v>
      </c>
      <c r="D203" s="1886">
        <v>45223</v>
      </c>
      <c r="E203" s="1894">
        <v>45235</v>
      </c>
      <c r="F203" s="1765" t="s">
        <v>990</v>
      </c>
      <c r="G203" s="1765" t="s">
        <v>57</v>
      </c>
      <c r="H203" s="1886"/>
      <c r="I203" s="1765"/>
      <c r="J203" s="1765" t="s">
        <v>168</v>
      </c>
      <c r="K203" s="1765" t="s">
        <v>2226</v>
      </c>
      <c r="L203" s="1765" t="s">
        <v>4098</v>
      </c>
      <c r="M203" s="1886">
        <v>45237</v>
      </c>
      <c r="N203" s="1886">
        <v>45236</v>
      </c>
      <c r="O203" s="1886">
        <v>45239</v>
      </c>
      <c r="P203" s="1764" t="s">
        <v>4099</v>
      </c>
      <c r="Q203" s="1765" t="s">
        <v>50</v>
      </c>
      <c r="R203" s="1765" t="s">
        <v>51</v>
      </c>
      <c r="S203" s="1765"/>
      <c r="T203" s="1765"/>
      <c r="U203" s="1765"/>
      <c r="V203" s="1765"/>
      <c r="W203" s="1765">
        <f>IFERROR((Table6[[#This Row],[Sales Amount]]-Table6[[#This Row],[Cost]])/Table6[[#This Row],[CNTR AMOUNT]],Table6[[#This Row],[Sales Amount]]-Table6[[#This Row],[Cost]])</f>
        <v>0</v>
      </c>
      <c r="X203" s="1765" t="str">
        <f>IFERROR(Table6[[#This Row],[Profit]]/Table6[[#This Row],[Cost]]," ")</f>
        <v xml:space="preserve"> </v>
      </c>
      <c r="Y203" s="1765"/>
      <c r="Z203" s="1765"/>
    </row>
    <row r="204" spans="1:26" s="1365" customFormat="1" hidden="1">
      <c r="A204" s="1798" t="s">
        <v>409</v>
      </c>
      <c r="B204" s="1798" t="s">
        <v>4100</v>
      </c>
      <c r="C204" s="1798" t="s">
        <v>28</v>
      </c>
      <c r="D204" s="1789">
        <v>45242</v>
      </c>
      <c r="E204" s="1835">
        <v>45253</v>
      </c>
      <c r="F204" s="1798" t="s">
        <v>45</v>
      </c>
      <c r="G204" s="1148" t="s">
        <v>801</v>
      </c>
      <c r="H204" s="2033"/>
      <c r="I204" s="1798"/>
      <c r="J204" s="1798" t="s">
        <v>2940</v>
      </c>
      <c r="K204" s="1798" t="s">
        <v>310</v>
      </c>
      <c r="L204" s="1798">
        <v>555203</v>
      </c>
      <c r="M204" s="2033">
        <v>45256</v>
      </c>
      <c r="N204" s="2033">
        <v>45254</v>
      </c>
      <c r="O204" s="1789"/>
      <c r="P204" s="1798" t="s">
        <v>4101</v>
      </c>
      <c r="Q204" s="1148" t="s">
        <v>89</v>
      </c>
      <c r="R204" s="1148" t="s">
        <v>51</v>
      </c>
      <c r="S204" s="1148"/>
      <c r="T204" s="1148"/>
      <c r="U204" s="1148"/>
      <c r="V204" s="1148"/>
      <c r="W204" s="1148">
        <f>IFERROR((Table6[[#This Row],[Sales Amount]]-Table6[[#This Row],[Cost]])/Table6[[#This Row],[CNTR AMOUNT]],Table6[[#This Row],[Sales Amount]]-Table6[[#This Row],[Cost]])</f>
        <v>0</v>
      </c>
      <c r="X204" s="1148" t="str">
        <f>IFERROR(Table6[[#This Row],[Profit]]/Table6[[#This Row],[Cost]]," ")</f>
        <v xml:space="preserve"> </v>
      </c>
      <c r="Y204" s="1148"/>
      <c r="Z204" s="1148"/>
    </row>
    <row r="205" spans="1:26" s="1365" customFormat="1" hidden="1">
      <c r="A205" s="1877" t="s">
        <v>42</v>
      </c>
      <c r="B205" s="1877" t="s">
        <v>4102</v>
      </c>
      <c r="C205" s="1877" t="s">
        <v>755</v>
      </c>
      <c r="D205" s="1885">
        <v>45221</v>
      </c>
      <c r="E205" s="1891">
        <v>45238</v>
      </c>
      <c r="F205" s="1877" t="s">
        <v>45</v>
      </c>
      <c r="G205" s="1877" t="s">
        <v>829</v>
      </c>
      <c r="H205" s="1885"/>
      <c r="I205" s="1877"/>
      <c r="J205" s="1877" t="s">
        <v>168</v>
      </c>
      <c r="K205" s="1877" t="s">
        <v>2226</v>
      </c>
      <c r="L205" s="1877" t="s">
        <v>4103</v>
      </c>
      <c r="M205" s="1885">
        <v>45240</v>
      </c>
      <c r="N205" s="1885">
        <v>45239</v>
      </c>
      <c r="O205" s="1950">
        <v>45241</v>
      </c>
      <c r="P205" s="1879" t="s">
        <v>4104</v>
      </c>
      <c r="Q205" s="1877" t="s">
        <v>50</v>
      </c>
      <c r="R205" s="1877" t="s">
        <v>51</v>
      </c>
      <c r="S205" s="1877"/>
      <c r="T205" s="1877"/>
      <c r="U205" s="1877"/>
      <c r="V205" s="1877"/>
      <c r="W205" s="1877">
        <f>IFERROR((Table6[[#This Row],[Sales Amount]]-Table6[[#This Row],[Cost]])/Table6[[#This Row],[CNTR AMOUNT]],Table6[[#This Row],[Sales Amount]]-Table6[[#This Row],[Cost]])</f>
        <v>0</v>
      </c>
      <c r="X205" s="1877" t="str">
        <f>IFERROR(Table6[[#This Row],[Profit]]/Table6[[#This Row],[Cost]]," ")</f>
        <v xml:space="preserve"> </v>
      </c>
      <c r="Y205" s="1877"/>
      <c r="Z205" s="1877"/>
    </row>
    <row r="206" spans="1:26" s="1365" customFormat="1" hidden="1">
      <c r="A206" s="724" t="s">
        <v>42</v>
      </c>
      <c r="B206" s="724" t="s">
        <v>4105</v>
      </c>
      <c r="C206" s="724" t="s">
        <v>44</v>
      </c>
      <c r="D206" s="1128">
        <v>45247</v>
      </c>
      <c r="E206" s="1149">
        <v>45268</v>
      </c>
      <c r="F206" s="724" t="s">
        <v>45</v>
      </c>
      <c r="G206" s="962" t="s">
        <v>46</v>
      </c>
      <c r="H206" s="724"/>
      <c r="I206" s="724"/>
      <c r="J206" s="718" t="s">
        <v>32</v>
      </c>
      <c r="K206" s="1151" t="s">
        <v>310</v>
      </c>
      <c r="L206" s="723" t="s">
        <v>4106</v>
      </c>
      <c r="M206" s="1163">
        <v>45266</v>
      </c>
      <c r="N206" s="1163">
        <v>45265</v>
      </c>
      <c r="O206" s="1163">
        <v>45267</v>
      </c>
      <c r="P206" s="724" t="s">
        <v>4107</v>
      </c>
      <c r="Q206" s="962" t="s">
        <v>50</v>
      </c>
      <c r="R206" s="1769" t="s">
        <v>51</v>
      </c>
      <c r="S206" s="962"/>
      <c r="T206" s="962"/>
      <c r="U206" s="962"/>
      <c r="V206" s="962"/>
      <c r="W206" s="962">
        <f>IFERROR((Table6[[#This Row],[Sales Amount]]-Table6[[#This Row],[Cost]])/Table6[[#This Row],[CNTR AMOUNT]],Table6[[#This Row],[Sales Amount]]-Table6[[#This Row],[Cost]])</f>
        <v>0</v>
      </c>
      <c r="X206" s="962" t="str">
        <f>IFERROR(Table6[[#This Row],[Profit]]/Table6[[#This Row],[Cost]]," ")</f>
        <v xml:space="preserve"> </v>
      </c>
      <c r="Y206" s="962"/>
      <c r="Z206" s="962"/>
    </row>
    <row r="207" spans="1:26" s="1365" customFormat="1" hidden="1">
      <c r="A207" s="1764" t="s">
        <v>3343</v>
      </c>
      <c r="B207" s="1764" t="s">
        <v>4108</v>
      </c>
      <c r="C207" s="1764" t="s">
        <v>44</v>
      </c>
      <c r="D207" s="1886">
        <v>45240</v>
      </c>
      <c r="E207" s="1892">
        <v>45249</v>
      </c>
      <c r="F207" s="1764" t="s">
        <v>45</v>
      </c>
      <c r="G207" s="1765" t="s">
        <v>46</v>
      </c>
      <c r="H207" s="1764"/>
      <c r="I207" s="1764"/>
      <c r="J207" s="1912" t="s">
        <v>168</v>
      </c>
      <c r="K207" s="1912" t="s">
        <v>310</v>
      </c>
      <c r="L207" s="1928" t="s">
        <v>4109</v>
      </c>
      <c r="M207" s="1938">
        <v>45251</v>
      </c>
      <c r="N207" s="1938">
        <v>45249</v>
      </c>
      <c r="O207" s="1938">
        <v>45251</v>
      </c>
      <c r="P207" s="1764" t="s">
        <v>4110</v>
      </c>
      <c r="Q207" s="1765" t="s">
        <v>50</v>
      </c>
      <c r="R207" s="1765" t="s">
        <v>534</v>
      </c>
      <c r="S207" s="1765"/>
      <c r="T207" s="1765"/>
      <c r="U207" s="1765"/>
      <c r="V207" s="1765"/>
      <c r="W207" s="1765">
        <f>IFERROR((Table6[[#This Row],[Sales Amount]]-Table6[[#This Row],[Cost]])/Table6[[#This Row],[CNTR AMOUNT]],Table6[[#This Row],[Sales Amount]]-Table6[[#This Row],[Cost]])</f>
        <v>0</v>
      </c>
      <c r="X207" s="1765" t="str">
        <f>IFERROR(Table6[[#This Row],[Profit]]/Table6[[#This Row],[Cost]]," ")</f>
        <v xml:space="preserve"> </v>
      </c>
      <c r="Y207" s="1765"/>
      <c r="Z207" s="1765"/>
    </row>
    <row r="208" spans="1:26" s="1365" customFormat="1" hidden="1">
      <c r="A208" s="1764" t="s">
        <v>3343</v>
      </c>
      <c r="B208" s="1764" t="s">
        <v>4111</v>
      </c>
      <c r="C208" s="1764" t="s">
        <v>44</v>
      </c>
      <c r="D208" s="1886">
        <v>45247</v>
      </c>
      <c r="E208" s="1892">
        <v>45264</v>
      </c>
      <c r="F208" s="1764" t="s">
        <v>45</v>
      </c>
      <c r="G208" s="1765" t="s">
        <v>829</v>
      </c>
      <c r="H208" s="1764"/>
      <c r="I208" s="1764"/>
      <c r="J208" s="1911" t="s">
        <v>32</v>
      </c>
      <c r="K208" s="1912" t="s">
        <v>310</v>
      </c>
      <c r="L208" s="1764" t="s">
        <v>4112</v>
      </c>
      <c r="M208" s="1938">
        <v>45266</v>
      </c>
      <c r="N208" s="1938">
        <v>45265</v>
      </c>
      <c r="O208" s="1938">
        <v>45267</v>
      </c>
      <c r="P208" s="1764" t="s">
        <v>4113</v>
      </c>
      <c r="Q208" s="1765" t="s">
        <v>50</v>
      </c>
      <c r="R208" s="1765" t="s">
        <v>51</v>
      </c>
      <c r="S208" s="1765"/>
      <c r="T208" s="1765"/>
      <c r="U208" s="1765"/>
      <c r="V208" s="1765"/>
      <c r="W208" s="1765">
        <f>IFERROR((Table6[[#This Row],[Sales Amount]]-Table6[[#This Row],[Cost]])/Table6[[#This Row],[CNTR AMOUNT]],Table6[[#This Row],[Sales Amount]]-Table6[[#This Row],[Cost]])</f>
        <v>0</v>
      </c>
      <c r="X208" s="1765" t="str">
        <f>IFERROR(Table6[[#This Row],[Profit]]/Table6[[#This Row],[Cost]]," ")</f>
        <v xml:space="preserve"> </v>
      </c>
      <c r="Y208" s="1765"/>
      <c r="Z208" s="1765"/>
    </row>
    <row r="209" spans="1:26" s="1365" customFormat="1" hidden="1">
      <c r="A209" s="1764" t="s">
        <v>3343</v>
      </c>
      <c r="B209" s="1765" t="s">
        <v>4114</v>
      </c>
      <c r="C209" s="2059" t="s">
        <v>28</v>
      </c>
      <c r="D209" s="1886">
        <v>45223</v>
      </c>
      <c r="E209" s="1894">
        <v>45231</v>
      </c>
      <c r="F209" s="1765" t="s">
        <v>45</v>
      </c>
      <c r="G209" s="1765" t="s">
        <v>46</v>
      </c>
      <c r="H209" s="1765"/>
      <c r="I209" s="1765"/>
      <c r="J209" s="1764" t="s">
        <v>168</v>
      </c>
      <c r="K209" s="2059" t="s">
        <v>310</v>
      </c>
      <c r="L209" s="2060" t="s">
        <v>4115</v>
      </c>
      <c r="M209" s="2086">
        <v>45234</v>
      </c>
      <c r="N209" s="2086">
        <v>45232</v>
      </c>
      <c r="O209" s="2087">
        <v>45236</v>
      </c>
      <c r="P209" s="1764" t="s">
        <v>4116</v>
      </c>
      <c r="Q209" s="1765" t="s">
        <v>50</v>
      </c>
      <c r="R209" s="1765" t="s">
        <v>51</v>
      </c>
      <c r="S209" s="1765"/>
      <c r="T209" s="1765"/>
      <c r="U209" s="1765"/>
      <c r="V209" s="1765"/>
      <c r="W209" s="1765">
        <f>IFERROR((Table6[[#This Row],[Sales Amount]]-Table6[[#This Row],[Cost]])/Table6[[#This Row],[CNTR AMOUNT]],Table6[[#This Row],[Sales Amount]]-Table6[[#This Row],[Cost]])</f>
        <v>0</v>
      </c>
      <c r="X209" s="1765" t="str">
        <f>IFERROR(Table6[[#This Row],[Profit]]/Table6[[#This Row],[Cost]]," ")</f>
        <v xml:space="preserve"> </v>
      </c>
      <c r="Y209" s="1765"/>
      <c r="Z209" s="1765"/>
    </row>
    <row r="210" spans="1:26" s="1365" customFormat="1" hidden="1">
      <c r="A210" s="1879" t="s">
        <v>3343</v>
      </c>
      <c r="B210" s="2061" t="s">
        <v>4117</v>
      </c>
      <c r="C210" s="1877" t="s">
        <v>28</v>
      </c>
      <c r="D210" s="1885">
        <v>45230</v>
      </c>
      <c r="E210" s="1891">
        <v>45236</v>
      </c>
      <c r="F210" s="1877" t="s">
        <v>734</v>
      </c>
      <c r="G210" s="1877" t="s">
        <v>302</v>
      </c>
      <c r="H210" s="1885"/>
      <c r="I210" s="1877"/>
      <c r="J210" s="1877" t="s">
        <v>2940</v>
      </c>
      <c r="K210" s="1877" t="s">
        <v>310</v>
      </c>
      <c r="L210" s="1475" t="s">
        <v>4118</v>
      </c>
      <c r="M210" s="1885">
        <v>45239</v>
      </c>
      <c r="N210" s="1885">
        <v>45237</v>
      </c>
      <c r="O210" s="1950">
        <v>45240</v>
      </c>
      <c r="P210" s="1879" t="s">
        <v>4119</v>
      </c>
      <c r="Q210" s="1838" t="s">
        <v>50</v>
      </c>
      <c r="R210" s="1838" t="s">
        <v>51</v>
      </c>
      <c r="S210" s="1838"/>
      <c r="T210" s="1838"/>
      <c r="U210" s="1838"/>
      <c r="V210" s="1838"/>
      <c r="W210" s="1838">
        <f>IFERROR((Table6[[#This Row],[Sales Amount]]-Table6[[#This Row],[Cost]])/Table6[[#This Row],[CNTR AMOUNT]],Table6[[#This Row],[Sales Amount]]-Table6[[#This Row],[Cost]])</f>
        <v>0</v>
      </c>
      <c r="X210" s="1838" t="str">
        <f>IFERROR(Table6[[#This Row],[Profit]]/Table6[[#This Row],[Cost]]," ")</f>
        <v xml:space="preserve"> </v>
      </c>
      <c r="Y210" s="1838"/>
      <c r="Z210" s="1838"/>
    </row>
    <row r="211" spans="1:26" s="1365" customFormat="1" hidden="1">
      <c r="A211" s="1972" t="s">
        <v>3343</v>
      </c>
      <c r="B211" s="4295" t="s">
        <v>4120</v>
      </c>
      <c r="C211" s="1972" t="s">
        <v>44</v>
      </c>
      <c r="D211" s="2064">
        <v>45256</v>
      </c>
      <c r="E211" s="2065">
        <v>45262</v>
      </c>
      <c r="F211" s="1972" t="s">
        <v>734</v>
      </c>
      <c r="G211" s="1809" t="s">
        <v>669</v>
      </c>
      <c r="H211" s="2066"/>
      <c r="I211" s="1972"/>
      <c r="J211" s="1972" t="s">
        <v>32</v>
      </c>
      <c r="K211" s="1972" t="s">
        <v>310</v>
      </c>
      <c r="L211" s="2067" t="s">
        <v>4121</v>
      </c>
      <c r="M211" s="2066">
        <v>45266</v>
      </c>
      <c r="N211" s="2066">
        <v>45264</v>
      </c>
      <c r="O211" s="2068">
        <v>45266</v>
      </c>
      <c r="P211" s="1972" t="s">
        <v>4122</v>
      </c>
      <c r="Q211" s="1972" t="s">
        <v>50</v>
      </c>
      <c r="R211" s="1972" t="s">
        <v>51</v>
      </c>
      <c r="S211" s="1972"/>
      <c r="T211" s="1972"/>
      <c r="U211" s="1972"/>
      <c r="V211" s="1972"/>
      <c r="W211" s="1972">
        <f>IFERROR((Table6[[#This Row],[Sales Amount]]-Table6[[#This Row],[Cost]])/Table6[[#This Row],[CNTR AMOUNT]],Table6[[#This Row],[Sales Amount]]-Table6[[#This Row],[Cost]])</f>
        <v>0</v>
      </c>
      <c r="X211" s="3355" t="str">
        <f>IFERROR(Table6[[#This Row],[Profit]]/Table6[[#This Row],[Cost]]," ")</f>
        <v xml:space="preserve"> </v>
      </c>
      <c r="Y211" s="3356"/>
      <c r="Z211" s="3356"/>
    </row>
    <row r="212" spans="1:26" s="723" customFormat="1" hidden="1">
      <c r="A212" s="1764" t="s">
        <v>3343</v>
      </c>
      <c r="B212" s="1765" t="s">
        <v>4123</v>
      </c>
      <c r="C212" s="1765" t="s">
        <v>994</v>
      </c>
      <c r="D212" s="1886">
        <v>45230</v>
      </c>
      <c r="E212" s="1894">
        <v>45234</v>
      </c>
      <c r="F212" s="1765" t="s">
        <v>734</v>
      </c>
      <c r="G212" s="1765" t="s">
        <v>302</v>
      </c>
      <c r="H212" s="1886"/>
      <c r="I212" s="1765"/>
      <c r="J212" s="1765" t="s">
        <v>2940</v>
      </c>
      <c r="K212" s="1765" t="s">
        <v>310</v>
      </c>
      <c r="L212" s="1765" t="s">
        <v>4124</v>
      </c>
      <c r="M212" s="1886">
        <v>45236</v>
      </c>
      <c r="N212" s="1886">
        <v>45236</v>
      </c>
      <c r="O212" s="1886">
        <v>45238</v>
      </c>
      <c r="P212" s="1764" t="s">
        <v>4125</v>
      </c>
      <c r="Q212" s="1765" t="s">
        <v>50</v>
      </c>
      <c r="R212" s="1765" t="s">
        <v>51</v>
      </c>
      <c r="S212" s="1765"/>
      <c r="T212" s="1765"/>
      <c r="U212" s="1765"/>
      <c r="V212" s="1765"/>
      <c r="W212" s="1765">
        <f>IFERROR((Table6[[#This Row],[Sales Amount]]-Table6[[#This Row],[Cost]])/Table6[[#This Row],[CNTR AMOUNT]],Table6[[#This Row],[Sales Amount]]-Table6[[#This Row],[Cost]])</f>
        <v>0</v>
      </c>
      <c r="X212" s="1765" t="str">
        <f>IFERROR(Table6[[#This Row],[Profit]]/Table6[[#This Row],[Cost]]," ")</f>
        <v xml:space="preserve"> </v>
      </c>
      <c r="Y212" s="1765"/>
      <c r="Z212" s="1765"/>
    </row>
    <row r="213" spans="1:26" s="723" customFormat="1" hidden="1">
      <c r="A213" s="1764" t="s">
        <v>3343</v>
      </c>
      <c r="B213" s="4292" t="s">
        <v>4126</v>
      </c>
      <c r="C213" s="1764" t="s">
        <v>44</v>
      </c>
      <c r="D213" s="1886">
        <v>45247</v>
      </c>
      <c r="E213" s="1892">
        <v>45262</v>
      </c>
      <c r="F213" s="1764" t="s">
        <v>86</v>
      </c>
      <c r="G213" s="1765" t="s">
        <v>829</v>
      </c>
      <c r="H213" s="1764"/>
      <c r="I213" s="1764"/>
      <c r="J213" s="1911" t="s">
        <v>32</v>
      </c>
      <c r="K213" s="1912" t="s">
        <v>310</v>
      </c>
      <c r="L213" s="1765" t="s">
        <v>4127</v>
      </c>
      <c r="M213" s="1938">
        <v>45264</v>
      </c>
      <c r="N213" s="1938">
        <v>45263</v>
      </c>
      <c r="O213" s="2063">
        <v>45266</v>
      </c>
      <c r="P213" s="1764" t="s">
        <v>4128</v>
      </c>
      <c r="Q213" s="1765" t="s">
        <v>50</v>
      </c>
      <c r="R213" s="1765" t="s">
        <v>51</v>
      </c>
      <c r="S213" s="1765"/>
      <c r="T213" s="1765"/>
      <c r="U213" s="1765"/>
      <c r="V213" s="1765"/>
      <c r="W213" s="1765">
        <f>IFERROR((Table6[[#This Row],[Sales Amount]]-Table6[[#This Row],[Cost]])/Table6[[#This Row],[CNTR AMOUNT]],Table6[[#This Row],[Sales Amount]]-Table6[[#This Row],[Cost]])</f>
        <v>0</v>
      </c>
      <c r="X213" s="1765" t="str">
        <f>IFERROR(Table6[[#This Row],[Profit]]/Table6[[#This Row],[Cost]]," ")</f>
        <v xml:space="preserve"> </v>
      </c>
      <c r="Y213" s="1765"/>
      <c r="Z213" s="1765"/>
    </row>
    <row r="214" spans="1:26" s="1766" customFormat="1" hidden="1">
      <c r="A214" s="1764" t="s">
        <v>3343</v>
      </c>
      <c r="B214" s="1764" t="s">
        <v>4129</v>
      </c>
      <c r="C214" s="1764" t="s">
        <v>44</v>
      </c>
      <c r="D214" s="1886">
        <v>45254</v>
      </c>
      <c r="E214" s="1892">
        <v>45272</v>
      </c>
      <c r="F214" s="1764" t="s">
        <v>45</v>
      </c>
      <c r="G214" s="1765" t="s">
        <v>669</v>
      </c>
      <c r="H214" s="2069"/>
      <c r="I214" s="1764"/>
      <c r="J214" s="1595" t="s">
        <v>32</v>
      </c>
      <c r="K214" s="1764" t="s">
        <v>310</v>
      </c>
      <c r="L214" s="1764" t="s">
        <v>4130</v>
      </c>
      <c r="M214" s="2069">
        <v>45274</v>
      </c>
      <c r="N214" s="2069">
        <v>45273</v>
      </c>
      <c r="O214" s="2069">
        <v>45274</v>
      </c>
      <c r="P214" s="1764" t="s">
        <v>4131</v>
      </c>
      <c r="Q214" s="1764" t="s">
        <v>50</v>
      </c>
      <c r="R214" s="1764" t="s">
        <v>51</v>
      </c>
      <c r="S214" s="1764"/>
      <c r="T214" s="1764"/>
      <c r="U214" s="1764"/>
      <c r="V214" s="1764"/>
      <c r="W214" s="1764">
        <f>IFERROR((Table6[[#This Row],[Sales Amount]]-Table6[[#This Row],[Cost]])/Table6[[#This Row],[CNTR AMOUNT]],Table6[[#This Row],[Sales Amount]]-Table6[[#This Row],[Cost]])</f>
        <v>0</v>
      </c>
      <c r="X214" s="2070" t="str">
        <f>IFERROR(Table6[[#This Row],[Profit]]/Table6[[#This Row],[Cost]]," ")</f>
        <v xml:space="preserve"> </v>
      </c>
      <c r="Y214" s="1764"/>
      <c r="Z214" s="1764"/>
    </row>
    <row r="215" spans="1:26" s="1536" customFormat="1" hidden="1">
      <c r="A215" s="1764" t="s">
        <v>3343</v>
      </c>
      <c r="B215" s="1765" t="s">
        <v>4132</v>
      </c>
      <c r="C215" s="1765" t="s">
        <v>44</v>
      </c>
      <c r="D215" s="1886">
        <v>45236</v>
      </c>
      <c r="E215" s="1894">
        <v>45242</v>
      </c>
      <c r="F215" s="1765" t="s">
        <v>734</v>
      </c>
      <c r="G215" s="1765" t="s">
        <v>829</v>
      </c>
      <c r="H215" s="1764"/>
      <c r="I215" s="1764"/>
      <c r="J215" s="1912" t="s">
        <v>168</v>
      </c>
      <c r="K215" s="2059" t="s">
        <v>310</v>
      </c>
      <c r="L215" s="2062" t="s">
        <v>4133</v>
      </c>
      <c r="M215" s="1938">
        <v>45245</v>
      </c>
      <c r="N215" s="1938">
        <v>45243</v>
      </c>
      <c r="O215" s="1938">
        <v>45244</v>
      </c>
      <c r="P215" s="1764" t="s">
        <v>4134</v>
      </c>
      <c r="Q215" s="1765" t="s">
        <v>50</v>
      </c>
      <c r="R215" s="1765" t="s">
        <v>51</v>
      </c>
      <c r="S215" s="1765"/>
      <c r="T215" s="1765"/>
      <c r="U215" s="1765"/>
      <c r="V215" s="1765"/>
      <c r="W215" s="1765">
        <f>IFERROR((Table6[[#This Row],[Sales Amount]]-Table6[[#This Row],[Cost]])/Table6[[#This Row],[CNTR AMOUNT]],Table6[[#This Row],[Sales Amount]]-Table6[[#This Row],[Cost]])</f>
        <v>0</v>
      </c>
      <c r="X215" s="1765" t="str">
        <f>IFERROR(Table6[[#This Row],[Profit]]/Table6[[#This Row],[Cost]]," ")</f>
        <v xml:space="preserve"> </v>
      </c>
      <c r="Y215" s="1765"/>
      <c r="Z215" s="1765"/>
    </row>
    <row r="216" spans="1:26" hidden="1">
      <c r="A216" s="484" t="s">
        <v>68</v>
      </c>
      <c r="B216" s="1875" t="s">
        <v>3700</v>
      </c>
      <c r="C216" s="1882" t="s">
        <v>28</v>
      </c>
      <c r="D216" s="1888">
        <v>45235</v>
      </c>
      <c r="E216" s="1888">
        <v>45246</v>
      </c>
      <c r="F216" s="484" t="s">
        <v>45</v>
      </c>
      <c r="G216" s="1875" t="s">
        <v>489</v>
      </c>
      <c r="H216" s="1906" t="s">
        <v>4135</v>
      </c>
      <c r="I216" s="484"/>
      <c r="J216" s="1875"/>
      <c r="K216" s="1918" t="s">
        <v>2671</v>
      </c>
      <c r="L216" s="7"/>
      <c r="M216" s="484"/>
      <c r="N216" s="1945"/>
      <c r="O216" s="1959"/>
      <c r="P216" s="1969" t="s">
        <v>4136</v>
      </c>
      <c r="Q216" s="484" t="s">
        <v>35</v>
      </c>
      <c r="R216" s="484" t="s">
        <v>810</v>
      </c>
      <c r="S216" s="484" t="s">
        <v>4137</v>
      </c>
      <c r="T216" s="484"/>
      <c r="U216" s="484"/>
      <c r="V216" s="484"/>
      <c r="W216" s="484">
        <f>IFERROR((Table6[[#This Row],[Sales Amount]]-Table6[[#This Row],[Cost]])/Table6[[#This Row],[CNTR AMOUNT]],Table6[[#This Row],[Sales Amount]]-Table6[[#This Row],[Cost]])</f>
        <v>0</v>
      </c>
      <c r="X216" s="484" t="str">
        <f>IFERROR(Table6[[#This Row],[Profit]]/Table6[[#This Row],[Cost]]," ")</f>
        <v xml:space="preserve"> </v>
      </c>
      <c r="Y216" s="484"/>
      <c r="Z216" s="484"/>
    </row>
    <row r="217" spans="1:26" s="1767" customFormat="1" hidden="1">
      <c r="A217" s="4895" t="s">
        <v>68</v>
      </c>
      <c r="B217" s="5168" t="s">
        <v>3703</v>
      </c>
      <c r="C217" s="4872" t="s">
        <v>28</v>
      </c>
      <c r="D217" s="5169">
        <v>45235</v>
      </c>
      <c r="E217" s="5169">
        <v>45246</v>
      </c>
      <c r="F217" s="4895" t="s">
        <v>45</v>
      </c>
      <c r="G217" s="5168" t="s">
        <v>489</v>
      </c>
      <c r="H217" s="5170" t="s">
        <v>4135</v>
      </c>
      <c r="I217" s="4895"/>
      <c r="J217" s="5168"/>
      <c r="K217" s="5171" t="s">
        <v>2671</v>
      </c>
      <c r="L217" s="4895"/>
      <c r="M217" s="4895"/>
      <c r="N217" s="5172"/>
      <c r="O217" s="4895"/>
      <c r="P217" s="5173" t="s">
        <v>4136</v>
      </c>
      <c r="Q217" s="4895" t="s">
        <v>35</v>
      </c>
      <c r="R217" s="4895" t="s">
        <v>810</v>
      </c>
      <c r="S217" s="4895" t="s">
        <v>4137</v>
      </c>
      <c r="T217" s="4895"/>
      <c r="U217" s="4895"/>
      <c r="V217" s="4895"/>
      <c r="W217" s="4895">
        <f>IFERROR((Table6[[#This Row],[Sales Amount]]-Table6[[#This Row],[Cost]])/Table6[[#This Row],[CNTR AMOUNT]],Table6[[#This Row],[Sales Amount]]-Table6[[#This Row],[Cost]])</f>
        <v>0</v>
      </c>
      <c r="X217" s="4895" t="str">
        <f>IFERROR(Table6[[#This Row],[Profit]]/Table6[[#This Row],[Cost]]," ")</f>
        <v xml:space="preserve"> </v>
      </c>
      <c r="Y217" s="4895"/>
      <c r="Z217" s="4895"/>
    </row>
    <row r="218" spans="1:26" s="147" customFormat="1" hidden="1">
      <c r="A218" s="94" t="s">
        <v>68</v>
      </c>
      <c r="B218" s="1876" t="s">
        <v>3711</v>
      </c>
      <c r="C218" s="500" t="s">
        <v>28</v>
      </c>
      <c r="D218" s="501">
        <v>45235</v>
      </c>
      <c r="E218" s="501">
        <v>45246</v>
      </c>
      <c r="F218" s="94" t="s">
        <v>45</v>
      </c>
      <c r="G218" s="1876" t="s">
        <v>489</v>
      </c>
      <c r="H218" s="1907" t="s">
        <v>4135</v>
      </c>
      <c r="I218" s="94"/>
      <c r="J218" s="1876"/>
      <c r="K218" s="1923" t="s">
        <v>2671</v>
      </c>
      <c r="L218" s="7"/>
      <c r="M218" s="94"/>
      <c r="N218" s="1947"/>
      <c r="O218" s="94"/>
      <c r="P218" s="1976" t="s">
        <v>4136</v>
      </c>
      <c r="Q218" s="94" t="s">
        <v>35</v>
      </c>
      <c r="R218" s="94" t="s">
        <v>810</v>
      </c>
      <c r="S218" s="94" t="s">
        <v>4137</v>
      </c>
      <c r="T218" s="94"/>
      <c r="U218" s="94"/>
      <c r="V218" s="94"/>
      <c r="W218" s="94">
        <f>IFERROR((Table6[[#This Row],[Sales Amount]]-Table6[[#This Row],[Cost]])/Table6[[#This Row],[CNTR AMOUNT]],Table6[[#This Row],[Sales Amount]]-Table6[[#This Row],[Cost]])</f>
        <v>0</v>
      </c>
      <c r="X218" s="94" t="str">
        <f>IFERROR(Table6[[#This Row],[Profit]]/Table6[[#This Row],[Cost]]," ")</f>
        <v xml:space="preserve"> </v>
      </c>
      <c r="Y218" s="94"/>
      <c r="Z218" s="94"/>
    </row>
    <row r="219" spans="1:26" s="147" customFormat="1" hidden="1">
      <c r="A219" s="84" t="s">
        <v>68</v>
      </c>
      <c r="B219" s="1880" t="s">
        <v>3713</v>
      </c>
      <c r="C219" s="512" t="s">
        <v>28</v>
      </c>
      <c r="D219" s="651">
        <v>45235</v>
      </c>
      <c r="E219" s="651">
        <v>45246</v>
      </c>
      <c r="F219" s="85" t="s">
        <v>45</v>
      </c>
      <c r="G219" s="1880" t="s">
        <v>489</v>
      </c>
      <c r="H219" s="1873" t="s">
        <v>4135</v>
      </c>
      <c r="I219" s="85"/>
      <c r="J219" s="1880"/>
      <c r="K219" s="1029" t="s">
        <v>2671</v>
      </c>
      <c r="L219" s="85"/>
      <c r="M219" s="85"/>
      <c r="N219" s="1946"/>
      <c r="O219" s="85"/>
      <c r="P219" s="1970" t="s">
        <v>4136</v>
      </c>
      <c r="Q219" s="85" t="s">
        <v>35</v>
      </c>
      <c r="R219" s="85" t="s">
        <v>810</v>
      </c>
      <c r="S219" s="85" t="s">
        <v>4137</v>
      </c>
      <c r="T219" s="85"/>
      <c r="U219" s="85"/>
      <c r="V219" s="85"/>
      <c r="W219" s="85">
        <f>IFERROR((Table6[[#This Row],[Sales Amount]]-Table6[[#This Row],[Cost]])/Table6[[#This Row],[CNTR AMOUNT]],Table6[[#This Row],[Sales Amount]]-Table6[[#This Row],[Cost]])</f>
        <v>0</v>
      </c>
      <c r="X219" s="85" t="str">
        <f>IFERROR(Table6[[#This Row],[Profit]]/Table6[[#This Row],[Cost]]," ")</f>
        <v xml:space="preserve"> </v>
      </c>
      <c r="Y219" s="85"/>
      <c r="Z219" s="85"/>
    </row>
    <row r="220" spans="1:26" s="1536" customFormat="1" hidden="1">
      <c r="A220" s="1690"/>
      <c r="B220" s="4895"/>
      <c r="C220" s="4872"/>
      <c r="D220" s="5169"/>
      <c r="E220" s="5169"/>
      <c r="F220" s="4895"/>
      <c r="G220" s="4895"/>
      <c r="H220" s="4895"/>
      <c r="I220" s="4895"/>
      <c r="J220" s="4872"/>
      <c r="K220" s="4895"/>
      <c r="L220" s="4895"/>
      <c r="M220" s="4895"/>
      <c r="N220" s="4895"/>
      <c r="O220" s="4895"/>
      <c r="P220" s="4874"/>
      <c r="Q220" s="4895"/>
      <c r="R220" s="4895"/>
      <c r="S220" s="4895"/>
      <c r="T220" s="4895"/>
      <c r="U220" s="4895"/>
      <c r="V220" s="4895"/>
      <c r="W220" s="4895">
        <f>IFERROR((Table6[[#This Row],[Sales Amount]]-Table6[[#This Row],[Cost]])/Table6[[#This Row],[CNTR AMOUNT]],Table6[[#This Row],[Sales Amount]]-Table6[[#This Row],[Cost]])</f>
        <v>0</v>
      </c>
      <c r="X220" s="4895" t="str">
        <f>IFERROR(Table6[[#This Row],[Profit]]/Table6[[#This Row],[Cost]]," ")</f>
        <v xml:space="preserve"> </v>
      </c>
      <c r="Y220" s="4895"/>
      <c r="Z220" s="4895"/>
    </row>
    <row r="221" spans="1:26" s="147" customFormat="1" hidden="1">
      <c r="A221" s="977" t="s">
        <v>254</v>
      </c>
      <c r="B221" s="3275" t="s">
        <v>4138</v>
      </c>
      <c r="C221" s="3261" t="s">
        <v>28</v>
      </c>
      <c r="D221" s="3280">
        <v>45282</v>
      </c>
      <c r="E221" s="3346">
        <v>45288</v>
      </c>
      <c r="F221" s="3275" t="s">
        <v>29</v>
      </c>
      <c r="G221" s="3275" t="s">
        <v>152</v>
      </c>
      <c r="H221" s="3347" t="s">
        <v>4139</v>
      </c>
      <c r="I221" s="3357" t="s">
        <v>4140</v>
      </c>
      <c r="J221" s="3275" t="s">
        <v>4141</v>
      </c>
      <c r="K221" s="3275" t="s">
        <v>4142</v>
      </c>
      <c r="L221" s="3357">
        <v>1381</v>
      </c>
      <c r="M221" s="3350">
        <v>45288</v>
      </c>
      <c r="N221" s="3279">
        <v>45654</v>
      </c>
      <c r="O221" s="3350">
        <v>45293</v>
      </c>
      <c r="P221" s="3348" t="s">
        <v>4143</v>
      </c>
      <c r="Q221" s="3261" t="s">
        <v>35</v>
      </c>
      <c r="R221" s="3275" t="s">
        <v>36</v>
      </c>
      <c r="S221" s="3275" t="s">
        <v>37</v>
      </c>
      <c r="T221" s="3067">
        <v>3010</v>
      </c>
      <c r="U221" s="3067">
        <v>2300.5100000000002</v>
      </c>
      <c r="V221" s="3067"/>
      <c r="W221" s="3067">
        <f>IFERROR((Table6[[#This Row],[Sales Amount]]-Table6[[#This Row],[Cost]])/Table6[[#This Row],[CNTR AMOUNT]],Table6[[#This Row],[Sales Amount]]-Table6[[#This Row],[Cost]])</f>
        <v>709.48999999999978</v>
      </c>
      <c r="X221" s="3067">
        <f>IFERROR(Table6[[#This Row],[Profit]]/Table6[[#This Row],[Cost]]," ")</f>
        <v>0.30840552746999567</v>
      </c>
      <c r="Y221" s="3067"/>
      <c r="Z221" s="3067"/>
    </row>
    <row r="222" spans="1:26" s="147" customFormat="1" hidden="1">
      <c r="A222" s="710" t="s">
        <v>61</v>
      </c>
      <c r="B222" s="710" t="s">
        <v>4144</v>
      </c>
      <c r="C222" s="1376" t="s">
        <v>28</v>
      </c>
      <c r="D222" s="1110">
        <v>45286</v>
      </c>
      <c r="E222" s="1066">
        <v>45301</v>
      </c>
      <c r="F222" s="710" t="s">
        <v>245</v>
      </c>
      <c r="G222" s="710" t="s">
        <v>152</v>
      </c>
      <c r="H222" s="1986">
        <v>45304</v>
      </c>
      <c r="I222" s="1117" t="s">
        <v>108</v>
      </c>
      <c r="J222" s="1376" t="s">
        <v>32</v>
      </c>
      <c r="K222" s="710" t="s">
        <v>65</v>
      </c>
      <c r="L222" s="1117">
        <v>3460</v>
      </c>
      <c r="M222" s="2004">
        <v>45302</v>
      </c>
      <c r="N222" s="1985">
        <v>45302</v>
      </c>
      <c r="O222" s="1985">
        <v>45304</v>
      </c>
      <c r="P222" s="727" t="s">
        <v>4145</v>
      </c>
      <c r="Q222" s="710" t="s">
        <v>35</v>
      </c>
      <c r="R222" s="710" t="s">
        <v>36</v>
      </c>
      <c r="S222" s="710" t="s">
        <v>67</v>
      </c>
      <c r="T222" s="85">
        <v>2100</v>
      </c>
      <c r="U222" s="85">
        <v>2125</v>
      </c>
      <c r="V222" s="85"/>
      <c r="W222" s="85">
        <f>IFERROR((Table6[[#This Row],[Sales Amount]]-Table6[[#This Row],[Cost]])/Table6[[#This Row],[CNTR AMOUNT]],Table6[[#This Row],[Sales Amount]]-Table6[[#This Row],[Cost]])</f>
        <v>-25</v>
      </c>
      <c r="X222" s="85">
        <f>IFERROR(Table6[[#This Row],[Profit]]/Table6[[#This Row],[Cost]]," ")</f>
        <v>-1.1764705882352941E-2</v>
      </c>
      <c r="Y222" s="85"/>
      <c r="Z222" s="85"/>
    </row>
    <row r="223" spans="1:26" s="745" customFormat="1" ht="90">
      <c r="A223" s="4838" t="s">
        <v>4146</v>
      </c>
      <c r="B223" s="4970" t="s">
        <v>4147</v>
      </c>
      <c r="C223" s="4838" t="s">
        <v>794</v>
      </c>
      <c r="D223" s="5108">
        <v>45258</v>
      </c>
      <c r="E223" s="5156">
        <v>45258</v>
      </c>
      <c r="F223" s="4921" t="s">
        <v>135</v>
      </c>
      <c r="G223" s="5138" t="s">
        <v>4148</v>
      </c>
      <c r="H223" s="5108"/>
      <c r="I223" s="4838"/>
      <c r="J223" s="4829" t="s">
        <v>125</v>
      </c>
      <c r="K223" s="4838" t="s">
        <v>4149</v>
      </c>
      <c r="L223" s="4838"/>
      <c r="M223" s="5147" t="s">
        <v>4150</v>
      </c>
      <c r="N223" s="5108">
        <v>45271</v>
      </c>
      <c r="O223" s="5108">
        <v>45272</v>
      </c>
      <c r="P223" s="4829" t="s">
        <v>4151</v>
      </c>
      <c r="Q223" s="4838" t="s">
        <v>75</v>
      </c>
      <c r="R223" s="4921" t="s">
        <v>4152</v>
      </c>
      <c r="S223" s="4838">
        <v>4</v>
      </c>
      <c r="T223" s="5174">
        <v>3659.14</v>
      </c>
      <c r="U223" s="4838">
        <f>1997+650+71.14+20+255.3+451.99</f>
        <v>3445.4300000000003</v>
      </c>
      <c r="V223" s="4838">
        <v>1</v>
      </c>
      <c r="W223" s="4838">
        <f>IFERROR((Table6[[#This Row],[Sales Amount]]-Table6[[#This Row],[Cost]])/Table6[[#This Row],[CNTR AMOUNT]],Table6[[#This Row],[Sales Amount]]-Table6[[#This Row],[Cost]])</f>
        <v>213.70999999999958</v>
      </c>
      <c r="X223" s="5143">
        <f>IFERROR(Table6[[#This Row],[Profit]]/Table6[[#This Row],[Cost]]," ")</f>
        <v>6.2027090958167649E-2</v>
      </c>
      <c r="Y223" s="4838"/>
      <c r="Z223" s="4838"/>
    </row>
    <row r="224" spans="1:26" s="723" customFormat="1" hidden="1">
      <c r="A224" s="1700" t="s">
        <v>821</v>
      </c>
      <c r="B224" s="1769" t="s">
        <v>4153</v>
      </c>
      <c r="C224" s="1769" t="s">
        <v>28</v>
      </c>
      <c r="D224" s="1840">
        <v>45212</v>
      </c>
      <c r="E224" s="2046">
        <v>45229</v>
      </c>
      <c r="F224" s="1769" t="s">
        <v>45</v>
      </c>
      <c r="G224" s="1769" t="s">
        <v>829</v>
      </c>
      <c r="H224" s="1840"/>
      <c r="I224" s="1769"/>
      <c r="J224" s="1769" t="s">
        <v>168</v>
      </c>
      <c r="K224" s="1769" t="s">
        <v>310</v>
      </c>
      <c r="L224" s="1769" t="s">
        <v>4154</v>
      </c>
      <c r="M224" s="1840">
        <v>45231</v>
      </c>
      <c r="N224" s="1840">
        <v>45231</v>
      </c>
      <c r="O224" s="2100">
        <v>45232</v>
      </c>
      <c r="P224" s="1968" t="s">
        <v>4155</v>
      </c>
      <c r="Q224" s="1769" t="s">
        <v>50</v>
      </c>
      <c r="R224" s="1769" t="s">
        <v>534</v>
      </c>
      <c r="S224" s="1769"/>
      <c r="T224" s="1769"/>
      <c r="U224" s="1769"/>
      <c r="V224" s="1769"/>
      <c r="W224" s="1769">
        <f>IFERROR((Table6[[#This Row],[Sales Amount]]-Table6[[#This Row],[Cost]])/Table6[[#This Row],[CNTR AMOUNT]],Table6[[#This Row],[Sales Amount]]-Table6[[#This Row],[Cost]])</f>
        <v>0</v>
      </c>
      <c r="X224" s="1769" t="str">
        <f>IFERROR(Table6[[#This Row],[Profit]]/Table6[[#This Row],[Cost]]," ")</f>
        <v xml:space="preserve"> </v>
      </c>
      <c r="Y224" s="1769"/>
      <c r="Z224" s="1769"/>
    </row>
    <row r="225" spans="1:26" s="1569" customFormat="1" hidden="1">
      <c r="A225" s="3358" t="s">
        <v>821</v>
      </c>
      <c r="B225" s="3356" t="s">
        <v>4156</v>
      </c>
      <c r="C225" s="3356" t="s">
        <v>44</v>
      </c>
      <c r="D225" s="3359">
        <v>45238</v>
      </c>
      <c r="E225" s="3360">
        <v>45246</v>
      </c>
      <c r="F225" s="3356" t="s">
        <v>45</v>
      </c>
      <c r="G225" s="3361" t="s">
        <v>46</v>
      </c>
      <c r="H225" s="3358"/>
      <c r="I225" s="3356"/>
      <c r="J225" s="3356" t="s">
        <v>168</v>
      </c>
      <c r="K225" s="3356" t="s">
        <v>2226</v>
      </c>
      <c r="L225" s="3362" t="s">
        <v>4157</v>
      </c>
      <c r="M225" s="3359">
        <v>45248</v>
      </c>
      <c r="N225" s="3359">
        <v>45247</v>
      </c>
      <c r="O225" s="3359">
        <v>45249</v>
      </c>
      <c r="P225" s="3356" t="s">
        <v>4158</v>
      </c>
      <c r="Q225" s="3361" t="s">
        <v>50</v>
      </c>
      <c r="R225" s="3361" t="s">
        <v>51</v>
      </c>
      <c r="S225" s="3361"/>
      <c r="T225" s="3361"/>
      <c r="U225" s="3361"/>
      <c r="V225" s="3361"/>
      <c r="W225" s="3361">
        <f>IFERROR((Table6[[#This Row],[Sales Amount]]-Table6[[#This Row],[Cost]])/Table6[[#This Row],[CNTR AMOUNT]],Table6[[#This Row],[Sales Amount]]-Table6[[#This Row],[Cost]])</f>
        <v>0</v>
      </c>
      <c r="X225" s="3363" t="str">
        <f>IFERROR(Table6[[#This Row],[Profit]]/Table6[[#This Row],[Cost]]," ")</f>
        <v xml:space="preserve"> </v>
      </c>
      <c r="Y225" s="3361"/>
      <c r="Z225" s="3361"/>
    </row>
    <row r="226" spans="1:26" s="1536" customFormat="1" hidden="1">
      <c r="A226" s="1765" t="s">
        <v>821</v>
      </c>
      <c r="B226" s="1765" t="s">
        <v>4159</v>
      </c>
      <c r="C226" s="1765" t="s">
        <v>755</v>
      </c>
      <c r="D226" s="1886">
        <v>45223</v>
      </c>
      <c r="E226" s="1894">
        <v>45230</v>
      </c>
      <c r="F226" s="1765" t="s">
        <v>734</v>
      </c>
      <c r="G226" s="1765" t="s">
        <v>829</v>
      </c>
      <c r="H226" s="1886"/>
      <c r="I226" s="1765"/>
      <c r="J226" s="1765" t="s">
        <v>2940</v>
      </c>
      <c r="K226" s="1765" t="s">
        <v>310</v>
      </c>
      <c r="L226" s="1765" t="s">
        <v>4160</v>
      </c>
      <c r="M226" s="1886">
        <v>45232</v>
      </c>
      <c r="N226" s="1886">
        <v>45231</v>
      </c>
      <c r="O226" s="1886">
        <v>45233</v>
      </c>
      <c r="P226" s="1764" t="s">
        <v>4161</v>
      </c>
      <c r="Q226" s="1765" t="s">
        <v>50</v>
      </c>
      <c r="R226" s="1765" t="s">
        <v>534</v>
      </c>
      <c r="S226" s="1765"/>
      <c r="T226" s="1765"/>
      <c r="U226" s="1765"/>
      <c r="V226" s="1765"/>
      <c r="W226" s="1765">
        <f>IFERROR((Table6[[#This Row],[Sales Amount]]-Table6[[#This Row],[Cost]])/Table6[[#This Row],[CNTR AMOUNT]],Table6[[#This Row],[Sales Amount]]-Table6[[#This Row],[Cost]])</f>
        <v>0</v>
      </c>
      <c r="X226" s="1765" t="str">
        <f>IFERROR(Table6[[#This Row],[Profit]]/Table6[[#This Row],[Cost]]," ")</f>
        <v xml:space="preserve"> </v>
      </c>
      <c r="Y226" s="1765"/>
      <c r="Z226" s="1765"/>
    </row>
    <row r="227" spans="1:26" s="147" customFormat="1" hidden="1">
      <c r="A227" s="1879" t="s">
        <v>821</v>
      </c>
      <c r="B227" s="1877" t="s">
        <v>4162</v>
      </c>
      <c r="C227" s="2053" t="s">
        <v>28</v>
      </c>
      <c r="D227" s="1885">
        <v>45229</v>
      </c>
      <c r="E227" s="1891">
        <f>7+$D227</f>
        <v>45236</v>
      </c>
      <c r="F227" s="1877" t="s">
        <v>734</v>
      </c>
      <c r="G227" s="1877" t="s">
        <v>46</v>
      </c>
      <c r="H227" s="1877"/>
      <c r="I227" s="1877"/>
      <c r="J227" s="1921" t="s">
        <v>168</v>
      </c>
      <c r="K227" s="2053" t="s">
        <v>310</v>
      </c>
      <c r="L227" s="2054" t="s">
        <v>4163</v>
      </c>
      <c r="M227" s="2055">
        <v>45239</v>
      </c>
      <c r="N227" s="2055">
        <v>45238</v>
      </c>
      <c r="O227" s="2056">
        <v>45241</v>
      </c>
      <c r="P227" s="1879" t="s">
        <v>4164</v>
      </c>
      <c r="Q227" s="1877" t="s">
        <v>50</v>
      </c>
      <c r="R227" s="1877" t="s">
        <v>51</v>
      </c>
      <c r="S227" s="1877"/>
      <c r="T227" s="1877"/>
      <c r="U227" s="1877"/>
      <c r="V227" s="1877"/>
      <c r="W227" s="1877">
        <f>IFERROR((Table6[[#This Row],[Sales Amount]]-Table6[[#This Row],[Cost]])/Table6[[#This Row],[CNTR AMOUNT]],Table6[[#This Row],[Sales Amount]]-Table6[[#This Row],[Cost]])</f>
        <v>0</v>
      </c>
      <c r="X227" s="1877" t="str">
        <f>IFERROR(Table6[[#This Row],[Profit]]/Table6[[#This Row],[Cost]]," ")</f>
        <v xml:space="preserve"> </v>
      </c>
      <c r="Y227" s="1877"/>
      <c r="Z227" s="1877"/>
    </row>
    <row r="228" spans="1:26" s="1536" customFormat="1" hidden="1">
      <c r="A228" s="5018" t="s">
        <v>821</v>
      </c>
      <c r="B228" s="5018" t="s">
        <v>4165</v>
      </c>
      <c r="C228" s="5018" t="s">
        <v>44</v>
      </c>
      <c r="D228" s="5175">
        <v>45243</v>
      </c>
      <c r="E228" s="5160">
        <v>45248</v>
      </c>
      <c r="F228" s="5018" t="s">
        <v>734</v>
      </c>
      <c r="G228" s="5176" t="s">
        <v>829</v>
      </c>
      <c r="H228" s="5018"/>
      <c r="I228" s="5018"/>
      <c r="J228" s="5018" t="s">
        <v>168</v>
      </c>
      <c r="K228" s="5013" t="s">
        <v>310</v>
      </c>
      <c r="L228" s="5084" t="s">
        <v>4166</v>
      </c>
      <c r="M228" s="5177">
        <v>45252</v>
      </c>
      <c r="N228" s="5177">
        <v>45252</v>
      </c>
      <c r="O228" s="5177">
        <v>45254</v>
      </c>
      <c r="P228" s="5018" t="s">
        <v>4167</v>
      </c>
      <c r="Q228" s="5176" t="s">
        <v>50</v>
      </c>
      <c r="R228" s="5176" t="s">
        <v>51</v>
      </c>
      <c r="S228" s="5176"/>
      <c r="T228" s="5176"/>
      <c r="U228" s="5176"/>
      <c r="V228" s="5176"/>
      <c r="W228" s="5176">
        <f>IFERROR((Table6[[#This Row],[Sales Amount]]-Table6[[#This Row],[Cost]])/Table6[[#This Row],[CNTR AMOUNT]],Table6[[#This Row],[Sales Amount]]-Table6[[#This Row],[Cost]])</f>
        <v>0</v>
      </c>
      <c r="X228" s="5176" t="str">
        <f>IFERROR(Table6[[#This Row],[Profit]]/Table6[[#This Row],[Cost]]," ")</f>
        <v xml:space="preserve"> </v>
      </c>
      <c r="Y228" s="5176"/>
      <c r="Z228" s="5176"/>
    </row>
    <row r="229" spans="1:26" hidden="1">
      <c r="A229" s="1883" t="s">
        <v>821</v>
      </c>
      <c r="B229" s="1883" t="s">
        <v>4168</v>
      </c>
      <c r="C229" s="1922" t="s">
        <v>28</v>
      </c>
      <c r="D229" s="1889">
        <v>45240</v>
      </c>
      <c r="E229" s="1897">
        <v>45248</v>
      </c>
      <c r="F229" s="1883" t="s">
        <v>734</v>
      </c>
      <c r="G229" s="1902" t="s">
        <v>46</v>
      </c>
      <c r="H229" s="1883"/>
      <c r="I229" s="1883"/>
      <c r="J229" s="1883" t="s">
        <v>168</v>
      </c>
      <c r="K229" s="1922" t="s">
        <v>310</v>
      </c>
      <c r="L229" s="2057" t="s">
        <v>4169</v>
      </c>
      <c r="M229" s="2058">
        <v>45252</v>
      </c>
      <c r="N229" s="2058">
        <v>45251</v>
      </c>
      <c r="O229" s="2086">
        <v>45254</v>
      </c>
      <c r="P229" s="1883" t="s">
        <v>4170</v>
      </c>
      <c r="Q229" s="1902" t="s">
        <v>50</v>
      </c>
      <c r="R229" s="1902" t="s">
        <v>51</v>
      </c>
      <c r="S229" s="1902"/>
      <c r="T229" s="1902"/>
      <c r="U229" s="1902"/>
      <c r="V229" s="1902"/>
      <c r="W229" s="1902">
        <f>IFERROR((Table6[[#This Row],[Sales Amount]]-Table6[[#This Row],[Cost]])/Table6[[#This Row],[CNTR AMOUNT]],Table6[[#This Row],[Sales Amount]]-Table6[[#This Row],[Cost]])</f>
        <v>0</v>
      </c>
      <c r="X229" s="1902" t="str">
        <f>IFERROR(Table6[[#This Row],[Profit]]/Table6[[#This Row],[Cost]]," ")</f>
        <v xml:space="preserve"> </v>
      </c>
      <c r="Y229" s="1902"/>
      <c r="Z229" s="1902"/>
    </row>
    <row r="230" spans="1:26" s="1536" customFormat="1" hidden="1">
      <c r="A230" s="1764" t="s">
        <v>732</v>
      </c>
      <c r="B230" s="1764" t="s">
        <v>4171</v>
      </c>
      <c r="C230" s="1912" t="s">
        <v>28</v>
      </c>
      <c r="D230" s="1886">
        <v>45237</v>
      </c>
      <c r="E230" s="1894">
        <v>45247</v>
      </c>
      <c r="F230" s="1764" t="s">
        <v>56</v>
      </c>
      <c r="G230" s="1765" t="s">
        <v>46</v>
      </c>
      <c r="H230" s="1765"/>
      <c r="I230" s="1765"/>
      <c r="J230" s="1912" t="s">
        <v>168</v>
      </c>
      <c r="K230" s="1912" t="s">
        <v>310</v>
      </c>
      <c r="L230" s="2052" t="s">
        <v>4172</v>
      </c>
      <c r="M230" s="1938">
        <v>45249</v>
      </c>
      <c r="N230" s="1938">
        <v>45247</v>
      </c>
      <c r="O230" s="1938">
        <v>45249</v>
      </c>
      <c r="P230" s="1764" t="s">
        <v>4173</v>
      </c>
      <c r="Q230" s="1765" t="s">
        <v>50</v>
      </c>
      <c r="R230" s="1765" t="s">
        <v>51</v>
      </c>
      <c r="S230" s="1765"/>
      <c r="T230" s="1765"/>
      <c r="U230" s="1765"/>
      <c r="V230" s="1765"/>
      <c r="W230" s="1765">
        <f>IFERROR((Table6[[#This Row],[Sales Amount]]-Table6[[#This Row],[Cost]])/Table6[[#This Row],[CNTR AMOUNT]],Table6[[#This Row],[Sales Amount]]-Table6[[#This Row],[Cost]])</f>
        <v>0</v>
      </c>
      <c r="X230" s="1765" t="str">
        <f>IFERROR(Table6[[#This Row],[Profit]]/Table6[[#This Row],[Cost]]," ")</f>
        <v xml:space="preserve"> </v>
      </c>
      <c r="Y230" s="1765"/>
      <c r="Z230" s="1765"/>
    </row>
    <row r="231" spans="1:26" s="723" customFormat="1" hidden="1">
      <c r="A231" s="724" t="s">
        <v>732</v>
      </c>
      <c r="B231" s="724" t="s">
        <v>4174</v>
      </c>
      <c r="C231" s="1151" t="s">
        <v>28</v>
      </c>
      <c r="D231" s="1128">
        <v>45237</v>
      </c>
      <c r="E231" s="2003">
        <v>45246</v>
      </c>
      <c r="F231" s="724" t="s">
        <v>56</v>
      </c>
      <c r="G231" s="962" t="s">
        <v>46</v>
      </c>
      <c r="H231" s="962"/>
      <c r="I231" s="962"/>
      <c r="J231" s="1151" t="s">
        <v>168</v>
      </c>
      <c r="K231" s="1151" t="s">
        <v>310</v>
      </c>
      <c r="L231" s="1161" t="s">
        <v>4175</v>
      </c>
      <c r="M231" s="1163">
        <v>45248</v>
      </c>
      <c r="N231" s="1163">
        <v>45246</v>
      </c>
      <c r="O231" s="1163">
        <v>45248</v>
      </c>
      <c r="P231" s="724" t="s">
        <v>4176</v>
      </c>
      <c r="Q231" s="962" t="s">
        <v>50</v>
      </c>
      <c r="R231" s="962" t="s">
        <v>51</v>
      </c>
      <c r="S231" s="962"/>
      <c r="T231" s="962"/>
      <c r="U231" s="962"/>
      <c r="V231" s="962"/>
      <c r="W231" s="962">
        <f>IFERROR((Table6[[#This Row],[Sales Amount]]-Table6[[#This Row],[Cost]])/Table6[[#This Row],[CNTR AMOUNT]],Table6[[#This Row],[Sales Amount]]-Table6[[#This Row],[Cost]])</f>
        <v>0</v>
      </c>
      <c r="X231" s="962" t="str">
        <f>IFERROR(Table6[[#This Row],[Profit]]/Table6[[#This Row],[Cost]]," ")</f>
        <v xml:space="preserve"> </v>
      </c>
      <c r="Y231" s="962"/>
      <c r="Z231" s="962"/>
    </row>
    <row r="232" spans="1:26" s="1536" customFormat="1" hidden="1">
      <c r="A232" s="724" t="s">
        <v>732</v>
      </c>
      <c r="B232" s="724" t="s">
        <v>4177</v>
      </c>
      <c r="C232" s="724" t="s">
        <v>44</v>
      </c>
      <c r="D232" s="1128">
        <v>45244</v>
      </c>
      <c r="E232" s="1149">
        <v>45253</v>
      </c>
      <c r="F232" s="724" t="s">
        <v>990</v>
      </c>
      <c r="G232" s="962" t="s">
        <v>57</v>
      </c>
      <c r="H232" s="724"/>
      <c r="I232" s="724"/>
      <c r="J232" s="724" t="s">
        <v>168</v>
      </c>
      <c r="K232" s="1151" t="s">
        <v>310</v>
      </c>
      <c r="L232" s="2001">
        <v>2147131</v>
      </c>
      <c r="M232" s="5164">
        <v>45257</v>
      </c>
      <c r="N232" s="2002">
        <v>45254</v>
      </c>
      <c r="O232" s="1163">
        <v>45624</v>
      </c>
      <c r="P232" s="724" t="s">
        <v>4178</v>
      </c>
      <c r="Q232" s="962" t="s">
        <v>50</v>
      </c>
      <c r="R232" s="962" t="s">
        <v>51</v>
      </c>
      <c r="S232" s="962"/>
      <c r="T232" s="962"/>
      <c r="U232" s="962"/>
      <c r="V232" s="962"/>
      <c r="W232" s="962">
        <f>IFERROR((Table6[[#This Row],[Sales Amount]]-Table6[[#This Row],[Cost]])/Table6[[#This Row],[CNTR AMOUNT]],Table6[[#This Row],[Sales Amount]]-Table6[[#This Row],[Cost]])</f>
        <v>0</v>
      </c>
      <c r="X232" s="962" t="str">
        <f>IFERROR(Table6[[#This Row],[Profit]]/Table6[[#This Row],[Cost]]," ")</f>
        <v xml:space="preserve"> </v>
      </c>
      <c r="Y232" s="962"/>
      <c r="Z232" s="962"/>
    </row>
    <row r="233" spans="1:26" s="1536" customFormat="1" hidden="1">
      <c r="A233" s="724" t="s">
        <v>732</v>
      </c>
      <c r="B233" s="724" t="s">
        <v>4179</v>
      </c>
      <c r="C233" s="724" t="s">
        <v>4180</v>
      </c>
      <c r="D233" s="1128">
        <v>45245</v>
      </c>
      <c r="E233" s="1149">
        <v>45256</v>
      </c>
      <c r="F233" s="724" t="s">
        <v>990</v>
      </c>
      <c r="G233" s="962" t="s">
        <v>829</v>
      </c>
      <c r="H233" s="724"/>
      <c r="I233" s="724"/>
      <c r="J233" s="718" t="s">
        <v>32</v>
      </c>
      <c r="K233" s="1151" t="s">
        <v>310</v>
      </c>
      <c r="L233" s="2001" t="s">
        <v>4181</v>
      </c>
      <c r="M233" s="2002">
        <v>45258</v>
      </c>
      <c r="N233" s="2002">
        <v>45257</v>
      </c>
      <c r="O233" s="1163">
        <v>45259</v>
      </c>
      <c r="P233" s="724" t="s">
        <v>4182</v>
      </c>
      <c r="Q233" s="962" t="s">
        <v>50</v>
      </c>
      <c r="R233" s="962" t="s">
        <v>51</v>
      </c>
      <c r="S233" s="962"/>
      <c r="T233" s="962"/>
      <c r="U233" s="962"/>
      <c r="V233" s="962"/>
      <c r="W233" s="962">
        <f>IFERROR((Table6[[#This Row],[Sales Amount]]-Table6[[#This Row],[Cost]])/Table6[[#This Row],[CNTR AMOUNT]],Table6[[#This Row],[Sales Amount]]-Table6[[#This Row],[Cost]])</f>
        <v>0</v>
      </c>
      <c r="X233" s="962" t="str">
        <f>IFERROR(Table6[[#This Row],[Profit]]/Table6[[#This Row],[Cost]]," ")</f>
        <v xml:space="preserve"> </v>
      </c>
      <c r="Y233" s="962"/>
      <c r="Z233" s="962"/>
    </row>
    <row r="234" spans="1:26" s="1536" customFormat="1" hidden="1">
      <c r="A234" s="5018" t="s">
        <v>732</v>
      </c>
      <c r="B234" s="5176" t="s">
        <v>4183</v>
      </c>
      <c r="C234" s="5178" t="s">
        <v>28</v>
      </c>
      <c r="D234" s="5175">
        <v>45236</v>
      </c>
      <c r="E234" s="5160">
        <f>7+$D234</f>
        <v>45243</v>
      </c>
      <c r="F234" s="5176" t="s">
        <v>56</v>
      </c>
      <c r="G234" s="5176" t="s">
        <v>46</v>
      </c>
      <c r="H234" s="5018"/>
      <c r="I234" s="5018"/>
      <c r="J234" s="5013" t="s">
        <v>168</v>
      </c>
      <c r="K234" s="5178" t="s">
        <v>310</v>
      </c>
      <c r="L234" s="5084" t="s">
        <v>4184</v>
      </c>
      <c r="M234" s="5177">
        <v>45245</v>
      </c>
      <c r="N234" s="5177">
        <v>45244</v>
      </c>
      <c r="O234" s="2086">
        <v>45247</v>
      </c>
      <c r="P234" s="5018" t="s">
        <v>4185</v>
      </c>
      <c r="Q234" s="5176" t="s">
        <v>50</v>
      </c>
      <c r="R234" s="5176" t="s">
        <v>51</v>
      </c>
      <c r="S234" s="5176"/>
      <c r="T234" s="5176"/>
      <c r="U234" s="5176"/>
      <c r="V234" s="5176"/>
      <c r="W234" s="5176">
        <f>IFERROR((Table6[[#This Row],[Sales Amount]]-Table6[[#This Row],[Cost]])/Table6[[#This Row],[CNTR AMOUNT]],Table6[[#This Row],[Sales Amount]]-Table6[[#This Row],[Cost]])</f>
        <v>0</v>
      </c>
      <c r="X234" s="5176" t="str">
        <f>IFERROR(Table6[[#This Row],[Profit]]/Table6[[#This Row],[Cost]]," ")</f>
        <v xml:space="preserve"> </v>
      </c>
      <c r="Y234" s="5176"/>
      <c r="Z234" s="5176"/>
    </row>
    <row r="235" spans="1:26" s="1442" customFormat="1" ht="45" hidden="1">
      <c r="A235" s="3289" t="s">
        <v>1088</v>
      </c>
      <c r="B235" s="3289" t="s">
        <v>4186</v>
      </c>
      <c r="C235" s="3289" t="s">
        <v>1508</v>
      </c>
      <c r="D235" s="3300"/>
      <c r="E235" s="3324">
        <v>45249</v>
      </c>
      <c r="F235" s="3289"/>
      <c r="G235" s="3300"/>
      <c r="H235" s="3351"/>
      <c r="I235" s="3289"/>
      <c r="J235" s="3289"/>
      <c r="K235" s="3289"/>
      <c r="L235" s="3289"/>
      <c r="M235" s="3351"/>
      <c r="N235" s="3351">
        <v>45249</v>
      </c>
      <c r="O235" s="3351">
        <v>45257</v>
      </c>
      <c r="P235" s="3287"/>
      <c r="Q235" s="2010" t="s">
        <v>50</v>
      </c>
      <c r="R235" s="723" t="s">
        <v>51</v>
      </c>
      <c r="S235" s="723"/>
      <c r="T235" s="723"/>
      <c r="U235" s="723"/>
      <c r="V235" s="723"/>
      <c r="W235" s="723">
        <f>IFERROR((Table6[[#This Row],[Sales Amount]]-Table6[[#This Row],[Cost]])/Table6[[#This Row],[CNTR AMOUNT]],Table6[[#This Row],[Sales Amount]]-Table6[[#This Row],[Cost]])</f>
        <v>0</v>
      </c>
      <c r="X235" s="2008" t="str">
        <f>IFERROR(Table6[[#This Row],[Profit]]/Table6[[#This Row],[Cost]]," ")</f>
        <v xml:space="preserve"> </v>
      </c>
      <c r="Y235" s="723"/>
      <c r="Z235" s="723"/>
    </row>
    <row r="236" spans="1:26" s="52" customFormat="1">
      <c r="A236" s="826"/>
      <c r="B236" s="826"/>
      <c r="C236" s="826"/>
      <c r="D236" s="826"/>
      <c r="E236" s="826"/>
      <c r="F236" s="826"/>
      <c r="G236" s="826"/>
      <c r="H236" s="1403"/>
      <c r="I236" s="826"/>
      <c r="J236" s="826"/>
      <c r="K236" s="826"/>
      <c r="L236" s="826"/>
      <c r="M236" s="1403"/>
      <c r="N236" s="1403"/>
      <c r="O236" s="2266"/>
      <c r="P236" s="826"/>
      <c r="Q236" s="826"/>
      <c r="R236" s="826"/>
      <c r="S236" s="826"/>
      <c r="T236" s="826"/>
      <c r="U236" s="826"/>
      <c r="V236" s="826"/>
      <c r="W236" s="826"/>
      <c r="X236" s="2267"/>
      <c r="Y236" s="826"/>
      <c r="Z236" s="826"/>
    </row>
    <row r="237" spans="1:26" s="52" customFormat="1">
      <c r="A237" s="826"/>
      <c r="B237" s="826"/>
      <c r="C237" s="826"/>
      <c r="D237" s="826"/>
      <c r="E237" s="826"/>
      <c r="F237" s="826"/>
      <c r="S237" s="826"/>
      <c r="T237" s="826"/>
      <c r="U237" s="826"/>
      <c r="V237" s="826"/>
      <c r="W237" s="826"/>
      <c r="X237" s="2267"/>
      <c r="Y237" s="826"/>
      <c r="Z237" s="826"/>
    </row>
    <row r="239" spans="1:26">
      <c r="Y239" s="2267"/>
    </row>
    <row r="240" spans="1:26">
      <c r="Y240" s="2267"/>
    </row>
    <row r="241" spans="1:26">
      <c r="H241" s="826"/>
      <c r="S241" s="1403"/>
      <c r="T241" s="1403"/>
      <c r="U241" s="1403"/>
      <c r="Y241" s="2267"/>
    </row>
    <row r="242" spans="1:26">
      <c r="H242" s="826"/>
      <c r="M242" s="826"/>
      <c r="S242" s="1403"/>
      <c r="T242" s="1403"/>
      <c r="U242" s="1403"/>
    </row>
    <row r="243" spans="1:26">
      <c r="H243" s="826"/>
      <c r="M243" s="826"/>
      <c r="S243" s="1403"/>
      <c r="T243" s="1403"/>
      <c r="U243" s="1403"/>
    </row>
    <row r="244" spans="1:26">
      <c r="H244" s="826"/>
      <c r="M244" s="826"/>
      <c r="O244" s="1403"/>
      <c r="S244" s="1403"/>
      <c r="T244" s="1403"/>
      <c r="U244" s="1403"/>
    </row>
    <row r="245" spans="1:26" ht="28.15" customHeight="1">
      <c r="H245" s="826"/>
      <c r="L245" s="2266"/>
      <c r="M245" s="826"/>
      <c r="N245" s="826"/>
      <c r="O245" s="826"/>
      <c r="S245" s="1403"/>
      <c r="T245" s="1403"/>
      <c r="U245" s="1403"/>
    </row>
    <row r="246" spans="1:26" ht="21.6" customHeight="1">
      <c r="L246" s="2266"/>
      <c r="M246" s="826"/>
      <c r="N246" s="826"/>
      <c r="O246" s="826"/>
    </row>
    <row r="255" spans="1:26" customFormat="1">
      <c r="A255" s="826"/>
      <c r="B255" s="826"/>
      <c r="C255" s="826"/>
      <c r="D255" s="826"/>
      <c r="E255" s="826"/>
      <c r="F255" s="826"/>
      <c r="G255" s="826"/>
      <c r="H255" s="1403"/>
      <c r="I255" s="826"/>
      <c r="J255" s="826"/>
      <c r="K255" s="826"/>
      <c r="L255" s="826"/>
      <c r="M255" s="1403"/>
      <c r="N255" s="1403"/>
      <c r="O255" s="2266"/>
      <c r="P255" s="826"/>
      <c r="Q255" s="826"/>
      <c r="R255" s="826"/>
      <c r="S255" s="826"/>
      <c r="T255" s="826"/>
      <c r="U255" s="826"/>
      <c r="V255" s="826"/>
      <c r="W255" s="826"/>
      <c r="X255" s="2267"/>
      <c r="Y255" s="826"/>
      <c r="Z255" s="826"/>
    </row>
    <row r="282" spans="4:24" ht="2.25" customHeight="1"/>
    <row r="283" spans="4:24" s="147" customFormat="1" hidden="1">
      <c r="D283" s="43"/>
      <c r="E283" s="43"/>
      <c r="G283" s="43"/>
      <c r="H283" s="761"/>
      <c r="M283" s="761"/>
      <c r="N283" s="761"/>
      <c r="O283" s="1776"/>
      <c r="X283" s="1659"/>
    </row>
  </sheetData>
  <phoneticPr fontId="27" type="noConversion"/>
  <conditionalFormatting sqref="B1">
    <cfRule type="duplicateValues" dxfId="362" priority="2"/>
  </conditionalFormatting>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B0757-36CD-4C88-8A41-27144BBEE578}">
  <dimension ref="A1:AS280"/>
  <sheetViews>
    <sheetView zoomScaleNormal="100" workbookViewId="0">
      <pane xSplit="7" ySplit="1" topLeftCell="L123" activePane="bottomRight" state="frozen"/>
      <selection pane="bottomRight" activeCell="B1" sqref="B1:B1048576"/>
      <selection pane="bottomLeft" activeCell="A2" sqref="A2"/>
      <selection pane="topRight" activeCell="H1" sqref="H1"/>
    </sheetView>
  </sheetViews>
  <sheetFormatPr defaultColWidth="9.125" defaultRowHeight="15"/>
  <cols>
    <col min="1" max="1" width="20.125" style="52" customWidth="1"/>
    <col min="2" max="2" width="22.25" style="52" customWidth="1"/>
    <col min="3" max="3" width="9.125" style="52" customWidth="1"/>
    <col min="4" max="4" width="11" style="2376" customWidth="1"/>
    <col min="5" max="5" width="9.25" style="2376" customWidth="1"/>
    <col min="6" max="6" width="14.25" style="52" customWidth="1"/>
    <col min="7" max="7" width="15.25" style="52" customWidth="1"/>
    <col min="8" max="8" width="22.25" style="1403" customWidth="1"/>
    <col min="9" max="9" width="24.125" style="52" customWidth="1"/>
    <col min="10" max="10" width="13.25" style="52" customWidth="1"/>
    <col min="11" max="11" width="29" style="826" customWidth="1"/>
    <col min="12" max="12" width="16.25" style="2152" customWidth="1"/>
    <col min="13" max="13" width="14.125" style="2376" customWidth="1"/>
    <col min="14" max="14" width="15.25" style="2376" customWidth="1"/>
    <col min="15" max="15" width="9.125" style="2376" customWidth="1"/>
    <col min="16" max="16" width="49.25" style="826" customWidth="1"/>
    <col min="17" max="17" width="9.125" style="52"/>
    <col min="18" max="18" width="14.875" style="52" customWidth="1"/>
    <col min="19" max="19" width="10" style="52" bestFit="1" customWidth="1"/>
    <col min="20" max="20" width="14" style="52" bestFit="1" customWidth="1"/>
    <col min="21" max="21" width="13.25" style="52" customWidth="1"/>
    <col min="22" max="22" width="15.25" style="52" bestFit="1" customWidth="1"/>
    <col min="23" max="23" width="11.25" style="52" customWidth="1"/>
    <col min="24" max="24" width="12.125" style="2075" bestFit="1" customWidth="1"/>
    <col min="25" max="25" width="9.125" style="52"/>
    <col min="26" max="26" width="10.875" style="52" bestFit="1" customWidth="1"/>
    <col min="27" max="16384" width="9.125" style="52"/>
  </cols>
  <sheetData>
    <row r="1" spans="1:26">
      <c r="A1" s="2199" t="s">
        <v>0</v>
      </c>
      <c r="B1" s="2199" t="s">
        <v>1</v>
      </c>
      <c r="C1" s="2200" t="s">
        <v>2</v>
      </c>
      <c r="D1" s="2510" t="s">
        <v>3</v>
      </c>
      <c r="E1" s="2510" t="s">
        <v>4</v>
      </c>
      <c r="F1" s="2200" t="s">
        <v>5</v>
      </c>
      <c r="G1" s="2201" t="s">
        <v>6</v>
      </c>
      <c r="H1" s="2202" t="s">
        <v>7</v>
      </c>
      <c r="I1" s="2200" t="s">
        <v>8</v>
      </c>
      <c r="J1" s="2200" t="s">
        <v>9</v>
      </c>
      <c r="K1" s="2201" t="s">
        <v>10</v>
      </c>
      <c r="L1" s="2203" t="s">
        <v>11</v>
      </c>
      <c r="M1" s="2510" t="s">
        <v>12</v>
      </c>
      <c r="N1" s="2510" t="s">
        <v>13</v>
      </c>
      <c r="O1" s="2510" t="s">
        <v>14</v>
      </c>
      <c r="P1" s="2201" t="s">
        <v>15</v>
      </c>
      <c r="Q1" s="2200" t="s">
        <v>16</v>
      </c>
      <c r="R1" s="2200" t="s">
        <v>17</v>
      </c>
      <c r="S1" s="2200" t="s">
        <v>18</v>
      </c>
      <c r="T1" s="2200" t="s">
        <v>19</v>
      </c>
      <c r="U1" s="2200" t="s">
        <v>20</v>
      </c>
      <c r="V1" s="2200" t="s">
        <v>21</v>
      </c>
      <c r="W1" s="2200" t="s">
        <v>22</v>
      </c>
      <c r="X1" s="2204" t="s">
        <v>23</v>
      </c>
      <c r="Y1" s="2204" t="s">
        <v>24</v>
      </c>
      <c r="Z1" s="2204" t="s">
        <v>25</v>
      </c>
    </row>
    <row r="2" spans="1:26" customFormat="1" hidden="1">
      <c r="A2" s="1325" t="s">
        <v>2787</v>
      </c>
      <c r="B2" s="1325" t="s">
        <v>4187</v>
      </c>
      <c r="C2" s="1325" t="s">
        <v>28</v>
      </c>
      <c r="D2" s="2024">
        <v>45283</v>
      </c>
      <c r="E2" s="2025">
        <v>44928</v>
      </c>
      <c r="F2" s="1325" t="s">
        <v>245</v>
      </c>
      <c r="G2" s="1325" t="s">
        <v>57</v>
      </c>
      <c r="H2" s="2027">
        <v>45299</v>
      </c>
      <c r="I2" s="2026"/>
      <c r="J2" s="1325" t="s">
        <v>247</v>
      </c>
      <c r="K2" s="1325" t="s">
        <v>2789</v>
      </c>
      <c r="L2" s="2179" t="s">
        <v>4188</v>
      </c>
      <c r="M2" s="2027">
        <v>45296</v>
      </c>
      <c r="N2" s="2024">
        <v>45297</v>
      </c>
      <c r="O2" s="2024">
        <v>45300</v>
      </c>
      <c r="P2" s="2190" t="s">
        <v>4189</v>
      </c>
      <c r="Q2" s="1325" t="s">
        <v>35</v>
      </c>
      <c r="R2" s="1325" t="s">
        <v>36</v>
      </c>
      <c r="S2" s="1325" t="s">
        <v>37</v>
      </c>
      <c r="T2" s="94">
        <v>1975</v>
      </c>
      <c r="U2" s="94">
        <v>1688.4</v>
      </c>
      <c r="V2" s="94">
        <v>2</v>
      </c>
      <c r="W2" s="94"/>
      <c r="X2" s="94"/>
      <c r="Y2" s="94"/>
      <c r="Z2" s="94"/>
    </row>
    <row r="3" spans="1:26" customFormat="1" hidden="1">
      <c r="A3" s="710" t="s">
        <v>2787</v>
      </c>
      <c r="B3" s="710" t="s">
        <v>4190</v>
      </c>
      <c r="C3" s="710" t="s">
        <v>28</v>
      </c>
      <c r="D3" s="1985">
        <v>45283</v>
      </c>
      <c r="E3" s="1497">
        <v>44928</v>
      </c>
      <c r="F3" s="710" t="s">
        <v>245</v>
      </c>
      <c r="G3" s="710" t="s">
        <v>57</v>
      </c>
      <c r="H3" s="1986">
        <v>45299</v>
      </c>
      <c r="I3" s="710"/>
      <c r="J3" s="710" t="s">
        <v>247</v>
      </c>
      <c r="K3" s="710" t="s">
        <v>2789</v>
      </c>
      <c r="L3" s="2090" t="s">
        <v>4191</v>
      </c>
      <c r="M3" s="1986">
        <v>45296</v>
      </c>
      <c r="N3" s="1985">
        <v>45297</v>
      </c>
      <c r="O3" s="1985">
        <v>45299</v>
      </c>
      <c r="P3" s="2205" t="s">
        <v>4189</v>
      </c>
      <c r="Q3" s="710" t="s">
        <v>35</v>
      </c>
      <c r="R3" s="710" t="s">
        <v>36</v>
      </c>
      <c r="S3" s="710" t="s">
        <v>37</v>
      </c>
      <c r="T3" s="85">
        <v>1975</v>
      </c>
      <c r="U3" s="85">
        <v>1688.4</v>
      </c>
      <c r="V3" s="85">
        <v>2</v>
      </c>
      <c r="W3" s="85"/>
      <c r="X3" s="85"/>
      <c r="Y3" s="85"/>
      <c r="Z3" s="85"/>
    </row>
    <row r="4" spans="1:26" s="26" customFormat="1" ht="60" hidden="1">
      <c r="A4" s="18" t="s">
        <v>694</v>
      </c>
      <c r="B4" s="1500" t="s">
        <v>4192</v>
      </c>
      <c r="C4" s="18" t="s">
        <v>4193</v>
      </c>
      <c r="D4" s="982">
        <v>45288</v>
      </c>
      <c r="E4" s="982">
        <v>44953</v>
      </c>
      <c r="F4" s="18" t="s">
        <v>29</v>
      </c>
      <c r="G4" s="18" t="s">
        <v>57</v>
      </c>
      <c r="H4" s="1306" t="s">
        <v>4194</v>
      </c>
      <c r="I4" s="2000"/>
      <c r="J4" s="18" t="s">
        <v>32</v>
      </c>
      <c r="K4" s="18" t="s">
        <v>3249</v>
      </c>
      <c r="L4" s="1116" t="s">
        <v>542</v>
      </c>
      <c r="M4" s="1116" t="s">
        <v>4195</v>
      </c>
      <c r="N4" s="18" t="s">
        <v>4194</v>
      </c>
      <c r="O4" s="962" t="s">
        <v>4196</v>
      </c>
      <c r="P4" s="1871" t="s">
        <v>4197</v>
      </c>
      <c r="Q4" s="18" t="s">
        <v>35</v>
      </c>
      <c r="R4" s="18" t="s">
        <v>36</v>
      </c>
      <c r="S4" s="18" t="s">
        <v>664</v>
      </c>
      <c r="T4" s="84">
        <v>1500</v>
      </c>
      <c r="U4" s="84">
        <v>1290</v>
      </c>
      <c r="V4" s="84"/>
      <c r="W4" s="84"/>
      <c r="X4" s="84"/>
      <c r="Y4" s="84"/>
      <c r="Z4" s="84"/>
    </row>
    <row r="5" spans="1:26" customFormat="1" hidden="1">
      <c r="A5" s="1325" t="s">
        <v>1477</v>
      </c>
      <c r="B5" s="2206">
        <v>6371786540</v>
      </c>
      <c r="C5" s="1325" t="s">
        <v>4198</v>
      </c>
      <c r="D5" s="2088">
        <v>45287</v>
      </c>
      <c r="E5" s="2088">
        <v>44961</v>
      </c>
      <c r="F5" s="1325" t="s">
        <v>45</v>
      </c>
      <c r="G5" s="1325" t="s">
        <v>46</v>
      </c>
      <c r="H5" s="2132">
        <v>45272</v>
      </c>
      <c r="I5" s="2177" t="s">
        <v>115</v>
      </c>
      <c r="J5" s="1325" t="s">
        <v>32</v>
      </c>
      <c r="K5" s="2009" t="s">
        <v>2124</v>
      </c>
      <c r="L5" s="2177" t="s">
        <v>542</v>
      </c>
      <c r="M5" s="2177" t="s">
        <v>4199</v>
      </c>
      <c r="N5" s="2024">
        <v>45271</v>
      </c>
      <c r="O5" s="2024">
        <v>45272</v>
      </c>
      <c r="P5" s="1798" t="s">
        <v>4200</v>
      </c>
      <c r="Q5" s="1325" t="s">
        <v>35</v>
      </c>
      <c r="R5" s="1325" t="s">
        <v>36</v>
      </c>
      <c r="S5" s="1325" t="s">
        <v>664</v>
      </c>
      <c r="T5" s="94"/>
      <c r="U5" s="94">
        <v>980</v>
      </c>
      <c r="V5" s="94"/>
      <c r="W5" s="94"/>
      <c r="X5" s="94"/>
      <c r="Y5" s="94"/>
      <c r="Z5" s="94"/>
    </row>
    <row r="6" spans="1:26" customFormat="1" hidden="1">
      <c r="A6" s="18" t="s">
        <v>359</v>
      </c>
      <c r="B6" s="18" t="s">
        <v>4201</v>
      </c>
      <c r="C6" s="18" t="s">
        <v>28</v>
      </c>
      <c r="D6" s="2511">
        <v>45254</v>
      </c>
      <c r="E6" s="2511">
        <v>45260</v>
      </c>
      <c r="F6" s="18" t="s">
        <v>135</v>
      </c>
      <c r="G6" s="18" t="s">
        <v>57</v>
      </c>
      <c r="H6" s="1699" t="s">
        <v>4202</v>
      </c>
      <c r="I6" s="1116"/>
      <c r="J6" s="18" t="s">
        <v>32</v>
      </c>
      <c r="K6" s="1116" t="s">
        <v>4203</v>
      </c>
      <c r="L6" s="1116">
        <v>2749902</v>
      </c>
      <c r="M6" s="2558">
        <v>45262</v>
      </c>
      <c r="N6" s="2559">
        <v>45262</v>
      </c>
      <c r="O6" s="2511">
        <v>45655</v>
      </c>
      <c r="P6" s="4296" t="s">
        <v>4204</v>
      </c>
      <c r="Q6" s="18" t="s">
        <v>35</v>
      </c>
      <c r="R6" s="18" t="s">
        <v>36</v>
      </c>
      <c r="S6" s="18" t="s">
        <v>101</v>
      </c>
      <c r="T6" s="1999">
        <v>4950</v>
      </c>
      <c r="U6" s="84">
        <v>4050</v>
      </c>
      <c r="V6" s="84">
        <v>3</v>
      </c>
      <c r="W6" s="84"/>
      <c r="X6" s="84"/>
      <c r="Y6" s="84"/>
      <c r="Z6" s="84"/>
    </row>
    <row r="7" spans="1:26" customFormat="1" hidden="1">
      <c r="A7" s="18" t="s">
        <v>359</v>
      </c>
      <c r="B7" s="18" t="s">
        <v>4205</v>
      </c>
      <c r="C7" s="18" t="s">
        <v>28</v>
      </c>
      <c r="D7" s="2511">
        <v>45254</v>
      </c>
      <c r="E7" s="2511">
        <v>45260</v>
      </c>
      <c r="F7" s="18" t="s">
        <v>135</v>
      </c>
      <c r="G7" s="18" t="s">
        <v>57</v>
      </c>
      <c r="H7" s="1699" t="s">
        <v>4202</v>
      </c>
      <c r="I7" s="1116"/>
      <c r="J7" s="18" t="s">
        <v>32</v>
      </c>
      <c r="K7" s="1116" t="s">
        <v>4203</v>
      </c>
      <c r="L7" s="1116">
        <v>2749903</v>
      </c>
      <c r="M7" s="2558">
        <v>45262</v>
      </c>
      <c r="N7" s="2559">
        <v>45262</v>
      </c>
      <c r="O7" s="2559">
        <v>45262</v>
      </c>
      <c r="P7" s="2111" t="s">
        <v>4206</v>
      </c>
      <c r="Q7" s="18" t="s">
        <v>35</v>
      </c>
      <c r="R7" s="18" t="s">
        <v>36</v>
      </c>
      <c r="S7" s="18" t="s">
        <v>101</v>
      </c>
      <c r="T7" s="1999">
        <v>4950</v>
      </c>
      <c r="U7" s="84">
        <v>4050</v>
      </c>
      <c r="V7" s="84">
        <v>3</v>
      </c>
      <c r="W7" s="84"/>
      <c r="X7" s="84"/>
      <c r="Y7" s="84"/>
      <c r="Z7" s="84"/>
    </row>
    <row r="8" spans="1:26" customFormat="1" hidden="1">
      <c r="A8" s="18" t="s">
        <v>359</v>
      </c>
      <c r="B8" s="1155" t="s">
        <v>4207</v>
      </c>
      <c r="C8" s="18" t="s">
        <v>28</v>
      </c>
      <c r="D8" s="2511">
        <v>45254</v>
      </c>
      <c r="E8" s="2511">
        <v>45260</v>
      </c>
      <c r="F8" s="18" t="s">
        <v>135</v>
      </c>
      <c r="G8" s="18" t="s">
        <v>57</v>
      </c>
      <c r="H8" s="1140" t="s">
        <v>4208</v>
      </c>
      <c r="I8" s="18"/>
      <c r="J8" s="18" t="s">
        <v>32</v>
      </c>
      <c r="K8" s="1116" t="s">
        <v>4203</v>
      </c>
      <c r="L8" s="1116">
        <v>2749928</v>
      </c>
      <c r="M8" s="2558">
        <v>45262</v>
      </c>
      <c r="N8" s="2559">
        <v>45262</v>
      </c>
      <c r="O8" s="2511">
        <v>45293</v>
      </c>
      <c r="P8" s="2111" t="s">
        <v>4209</v>
      </c>
      <c r="Q8" s="18" t="s">
        <v>35</v>
      </c>
      <c r="R8" s="18" t="s">
        <v>36</v>
      </c>
      <c r="S8" s="18" t="s">
        <v>101</v>
      </c>
      <c r="T8" s="1999">
        <v>4950</v>
      </c>
      <c r="U8" s="84">
        <v>4050</v>
      </c>
      <c r="V8" s="84">
        <v>3</v>
      </c>
      <c r="W8" s="84"/>
      <c r="X8" s="84"/>
      <c r="Y8" s="84"/>
      <c r="Z8" s="84"/>
    </row>
    <row r="9" spans="1:26" customFormat="1" hidden="1">
      <c r="A9" s="18" t="s">
        <v>359</v>
      </c>
      <c r="B9" s="1062" t="s">
        <v>4210</v>
      </c>
      <c r="C9" s="18" t="s">
        <v>28</v>
      </c>
      <c r="D9" s="661">
        <v>45254</v>
      </c>
      <c r="E9" s="661">
        <v>45260</v>
      </c>
      <c r="F9" s="18" t="s">
        <v>135</v>
      </c>
      <c r="G9" s="18" t="s">
        <v>57</v>
      </c>
      <c r="H9" s="1986">
        <v>45273</v>
      </c>
      <c r="I9" s="2000"/>
      <c r="J9" s="18" t="s">
        <v>32</v>
      </c>
      <c r="K9" s="1116" t="s">
        <v>4211</v>
      </c>
      <c r="L9" s="1116">
        <v>2749906</v>
      </c>
      <c r="M9" s="1771">
        <v>45262</v>
      </c>
      <c r="N9" s="982">
        <v>45261</v>
      </c>
      <c r="O9" s="982">
        <v>45273</v>
      </c>
      <c r="P9" s="1871" t="s">
        <v>4212</v>
      </c>
      <c r="Q9" s="18" t="s">
        <v>35</v>
      </c>
      <c r="R9" s="18" t="s">
        <v>36</v>
      </c>
      <c r="S9" s="18" t="s">
        <v>37</v>
      </c>
      <c r="T9" s="84">
        <v>1935</v>
      </c>
      <c r="U9" s="84">
        <v>1395</v>
      </c>
      <c r="V9" s="84"/>
      <c r="W9" s="84"/>
      <c r="X9" s="84"/>
      <c r="Y9" s="84"/>
      <c r="Z9" s="84"/>
    </row>
    <row r="10" spans="1:26" customFormat="1" hidden="1">
      <c r="A10" s="18" t="s">
        <v>359</v>
      </c>
      <c r="B10" s="1062" t="s">
        <v>4213</v>
      </c>
      <c r="C10" s="18" t="s">
        <v>28</v>
      </c>
      <c r="D10" s="2511">
        <v>45254</v>
      </c>
      <c r="E10" s="2511">
        <v>45260</v>
      </c>
      <c r="F10" s="18" t="s">
        <v>135</v>
      </c>
      <c r="G10" s="18" t="s">
        <v>57</v>
      </c>
      <c r="H10" s="710" t="s">
        <v>4202</v>
      </c>
      <c r="I10" s="1116"/>
      <c r="J10" s="18" t="s">
        <v>32</v>
      </c>
      <c r="K10" s="1116" t="s">
        <v>4203</v>
      </c>
      <c r="L10" s="1116">
        <v>2749905</v>
      </c>
      <c r="M10" s="2558">
        <v>45262</v>
      </c>
      <c r="N10" s="2511">
        <v>45261</v>
      </c>
      <c r="O10" s="2511">
        <v>45289</v>
      </c>
      <c r="P10" s="4296" t="s">
        <v>4214</v>
      </c>
      <c r="Q10" s="18" t="s">
        <v>35</v>
      </c>
      <c r="R10" s="18" t="s">
        <v>36</v>
      </c>
      <c r="S10" s="18" t="s">
        <v>101</v>
      </c>
      <c r="T10" s="1999">
        <v>4950</v>
      </c>
      <c r="U10" s="84">
        <v>3990</v>
      </c>
      <c r="V10" s="84">
        <v>3</v>
      </c>
      <c r="W10" s="84"/>
      <c r="X10" s="84"/>
      <c r="Y10" s="84"/>
      <c r="Z10" s="84"/>
    </row>
    <row r="11" spans="1:26" customFormat="1" hidden="1">
      <c r="A11" s="4839" t="s">
        <v>359</v>
      </c>
      <c r="B11" s="4870" t="s">
        <v>4215</v>
      </c>
      <c r="C11" s="4839" t="s">
        <v>28</v>
      </c>
      <c r="D11" s="5179">
        <v>45254</v>
      </c>
      <c r="E11" s="5179">
        <v>45260</v>
      </c>
      <c r="F11" s="4839" t="s">
        <v>135</v>
      </c>
      <c r="G11" s="4839" t="s">
        <v>57</v>
      </c>
      <c r="H11" s="4839" t="s">
        <v>4216</v>
      </c>
      <c r="I11" s="4841"/>
      <c r="J11" s="4839" t="s">
        <v>32</v>
      </c>
      <c r="K11" s="4841" t="s">
        <v>4203</v>
      </c>
      <c r="L11" s="4841">
        <v>2749908</v>
      </c>
      <c r="M11" s="5180">
        <v>45262</v>
      </c>
      <c r="N11" s="5179">
        <v>45261</v>
      </c>
      <c r="O11" s="5179">
        <v>45288</v>
      </c>
      <c r="P11" s="5181" t="s">
        <v>4217</v>
      </c>
      <c r="Q11" s="4839" t="s">
        <v>35</v>
      </c>
      <c r="R11" s="4839" t="s">
        <v>36</v>
      </c>
      <c r="S11" s="4839" t="s">
        <v>101</v>
      </c>
      <c r="T11" s="5182">
        <v>4950</v>
      </c>
      <c r="U11" s="4895">
        <v>3990</v>
      </c>
      <c r="V11" s="4895">
        <v>3</v>
      </c>
      <c r="W11" s="4895"/>
      <c r="X11" s="4895"/>
      <c r="Y11" s="4895"/>
      <c r="Z11" s="4895"/>
    </row>
    <row r="12" spans="1:26" s="106" customFormat="1" hidden="1">
      <c r="A12" s="18" t="s">
        <v>359</v>
      </c>
      <c r="B12" s="1062" t="s">
        <v>4218</v>
      </c>
      <c r="C12" s="18" t="s">
        <v>28</v>
      </c>
      <c r="D12" s="2511">
        <v>45254</v>
      </c>
      <c r="E12" s="2511">
        <v>45260</v>
      </c>
      <c r="F12" s="18" t="s">
        <v>135</v>
      </c>
      <c r="G12" s="18" t="s">
        <v>57</v>
      </c>
      <c r="H12" s="18" t="s">
        <v>4219</v>
      </c>
      <c r="I12" s="18"/>
      <c r="J12" s="18" t="s">
        <v>32</v>
      </c>
      <c r="K12" s="1116" t="s">
        <v>4203</v>
      </c>
      <c r="L12" s="1116">
        <v>274990</v>
      </c>
      <c r="M12" s="2558">
        <v>45266</v>
      </c>
      <c r="N12" s="2559">
        <v>45266</v>
      </c>
      <c r="O12" s="2511">
        <v>45293</v>
      </c>
      <c r="P12" s="2111" t="s">
        <v>4220</v>
      </c>
      <c r="Q12" s="18" t="s">
        <v>35</v>
      </c>
      <c r="R12" s="18" t="s">
        <v>36</v>
      </c>
      <c r="S12" s="18" t="s">
        <v>101</v>
      </c>
      <c r="T12" s="1999">
        <v>4950</v>
      </c>
      <c r="U12" s="84">
        <v>3990</v>
      </c>
      <c r="V12" s="84">
        <v>3</v>
      </c>
      <c r="W12" s="84"/>
      <c r="X12" s="84"/>
      <c r="Y12" s="84"/>
      <c r="Z12" s="84"/>
    </row>
    <row r="13" spans="1:26" customFormat="1" ht="30">
      <c r="A13" s="120" t="s">
        <v>409</v>
      </c>
      <c r="B13" s="4297" t="s">
        <v>4221</v>
      </c>
      <c r="C13" s="120" t="s">
        <v>44</v>
      </c>
      <c r="D13" s="653">
        <v>45254</v>
      </c>
      <c r="E13" s="654">
        <v>45261</v>
      </c>
      <c r="F13" s="120" t="s">
        <v>45</v>
      </c>
      <c r="G13" s="19" t="s">
        <v>302</v>
      </c>
      <c r="H13" s="653" t="s">
        <v>4222</v>
      </c>
      <c r="I13" s="4193" t="s">
        <v>4223</v>
      </c>
      <c r="J13" s="120" t="s">
        <v>32</v>
      </c>
      <c r="K13" s="120" t="s">
        <v>407</v>
      </c>
      <c r="L13" s="808" t="s">
        <v>4224</v>
      </c>
      <c r="M13" s="838">
        <v>45264</v>
      </c>
      <c r="N13" s="838">
        <v>45264</v>
      </c>
      <c r="O13" s="818">
        <v>45267</v>
      </c>
      <c r="P13" s="4298" t="s">
        <v>4225</v>
      </c>
      <c r="Q13" s="93" t="s">
        <v>75</v>
      </c>
      <c r="R13" s="4256" t="s">
        <v>4226</v>
      </c>
      <c r="S13" s="93">
        <v>4</v>
      </c>
      <c r="T13" s="93">
        <v>1980</v>
      </c>
      <c r="U13" s="93">
        <v>1540</v>
      </c>
      <c r="V13" s="93">
        <v>1</v>
      </c>
      <c r="W13" s="93">
        <f>Table10[[#This Row],[Sales Amount]]-Table10[[#This Row],[Cost]]</f>
        <v>440</v>
      </c>
      <c r="X13" s="1005">
        <f>Table10[[#This Row],[Profit]]/Table10[[#This Row],[Cost]]</f>
        <v>0.2857142857142857</v>
      </c>
      <c r="Y13" s="93"/>
      <c r="Z13" s="93"/>
    </row>
    <row r="14" spans="1:26" customFormat="1" ht="75">
      <c r="A14" s="120" t="s">
        <v>409</v>
      </c>
      <c r="B14" s="4193" t="s">
        <v>4227</v>
      </c>
      <c r="C14" s="120" t="s">
        <v>44</v>
      </c>
      <c r="D14" s="653">
        <v>45247</v>
      </c>
      <c r="E14" s="654">
        <v>45261</v>
      </c>
      <c r="F14" s="120" t="s">
        <v>45</v>
      </c>
      <c r="G14" s="19" t="s">
        <v>3080</v>
      </c>
      <c r="H14" s="653" t="s">
        <v>4228</v>
      </c>
      <c r="I14" s="4193" t="s">
        <v>4229</v>
      </c>
      <c r="J14" s="4193" t="s">
        <v>4230</v>
      </c>
      <c r="K14" s="4193" t="s">
        <v>3019</v>
      </c>
      <c r="L14" s="120">
        <v>2616537</v>
      </c>
      <c r="M14" s="838">
        <v>45263</v>
      </c>
      <c r="N14" s="838">
        <v>45264</v>
      </c>
      <c r="O14" s="653">
        <v>45267</v>
      </c>
      <c r="P14" s="4128" t="s">
        <v>4231</v>
      </c>
      <c r="Q14" s="120" t="s">
        <v>75</v>
      </c>
      <c r="R14" s="4193" t="s">
        <v>4232</v>
      </c>
      <c r="S14" s="120">
        <v>4</v>
      </c>
      <c r="T14" s="120">
        <v>1510</v>
      </c>
      <c r="U14" s="120">
        <f>335+985</f>
        <v>1320</v>
      </c>
      <c r="V14" s="120">
        <v>1</v>
      </c>
      <c r="W14" s="120">
        <f>Table10[[#This Row],[Sales Amount]]-Table10[[#This Row],[Cost]]</f>
        <v>190</v>
      </c>
      <c r="X14" s="1041">
        <f>Table10[[#This Row],[Profit]]/Table10[[#This Row],[Cost]]</f>
        <v>0.14393939393939395</v>
      </c>
      <c r="Y14" s="120"/>
      <c r="Z14" s="120"/>
    </row>
    <row r="15" spans="1:26" s="117" customFormat="1" ht="75">
      <c r="A15" s="4845" t="s">
        <v>165</v>
      </c>
      <c r="B15" s="4845" t="s">
        <v>4233</v>
      </c>
      <c r="C15" s="4845" t="s">
        <v>28</v>
      </c>
      <c r="D15" s="4906">
        <v>45230</v>
      </c>
      <c r="E15" s="4916">
        <v>45261</v>
      </c>
      <c r="F15" s="4845" t="s">
        <v>3794</v>
      </c>
      <c r="G15" s="4848" t="s">
        <v>57</v>
      </c>
      <c r="H15" s="4918">
        <v>45266</v>
      </c>
      <c r="I15" s="4845" t="s">
        <v>618</v>
      </c>
      <c r="J15" s="4845" t="s">
        <v>297</v>
      </c>
      <c r="K15" s="4951" t="s">
        <v>3791</v>
      </c>
      <c r="L15" s="4845">
        <v>1135143</v>
      </c>
      <c r="M15" s="4918">
        <v>45263</v>
      </c>
      <c r="N15" s="4918">
        <v>45263</v>
      </c>
      <c r="O15" s="4918">
        <v>45266</v>
      </c>
      <c r="P15" s="4909" t="s">
        <v>4234</v>
      </c>
      <c r="Q15" s="4845" t="s">
        <v>75</v>
      </c>
      <c r="R15" s="4909" t="s">
        <v>4235</v>
      </c>
      <c r="S15" s="4845"/>
      <c r="T15" s="5109">
        <v>1795</v>
      </c>
      <c r="U15" s="4922">
        <v>1563.5</v>
      </c>
      <c r="V15" s="4845">
        <v>1</v>
      </c>
      <c r="W15" s="4922">
        <f>Table10[[#This Row],[Sales Amount]]-Table10[[#This Row],[Cost]]</f>
        <v>231.5</v>
      </c>
      <c r="X15" s="5060">
        <f>Table10[[#This Row],[Profit]]/Table10[[#This Row],[Cost]]</f>
        <v>0.14806523824752157</v>
      </c>
      <c r="Y15" s="4845"/>
      <c r="Z15" s="4845"/>
    </row>
    <row r="16" spans="1:26" customFormat="1" ht="45">
      <c r="A16" s="4845" t="s">
        <v>409</v>
      </c>
      <c r="B16" s="5183" t="s">
        <v>4236</v>
      </c>
      <c r="C16" s="4845" t="s">
        <v>44</v>
      </c>
      <c r="D16" s="4906">
        <v>45247</v>
      </c>
      <c r="E16" s="4916">
        <v>45261</v>
      </c>
      <c r="F16" s="4845" t="s">
        <v>45</v>
      </c>
      <c r="G16" s="4848" t="s">
        <v>302</v>
      </c>
      <c r="H16" s="4918" t="s">
        <v>4237</v>
      </c>
      <c r="I16" s="4908" t="s">
        <v>4238</v>
      </c>
      <c r="J16" s="4845" t="s">
        <v>32</v>
      </c>
      <c r="K16" s="4845" t="s">
        <v>407</v>
      </c>
      <c r="L16" s="4929" t="s">
        <v>4239</v>
      </c>
      <c r="M16" s="4918">
        <v>45264</v>
      </c>
      <c r="N16" s="4918">
        <v>45264</v>
      </c>
      <c r="O16" s="4975">
        <v>45269</v>
      </c>
      <c r="P16" s="5049" t="s">
        <v>4240</v>
      </c>
      <c r="Q16" s="4874" t="s">
        <v>75</v>
      </c>
      <c r="R16" s="4971" t="s">
        <v>4241</v>
      </c>
      <c r="S16" s="4874">
        <v>4</v>
      </c>
      <c r="T16" s="4874">
        <v>2565</v>
      </c>
      <c r="U16" s="4939">
        <v>1925</v>
      </c>
      <c r="V16" s="4874">
        <v>1</v>
      </c>
      <c r="W16" s="4939">
        <f>Table10[[#This Row],[Sales Amount]]-Table10[[#This Row],[Cost]]</f>
        <v>640</v>
      </c>
      <c r="X16" s="5184">
        <f>Table10[[#This Row],[Profit]]/Table10[[#This Row],[Cost]]</f>
        <v>0.33246753246753247</v>
      </c>
      <c r="Y16" s="4874"/>
      <c r="Z16" s="4874"/>
    </row>
    <row r="17" spans="1:26" s="3" customFormat="1" ht="120" hidden="1">
      <c r="A17" s="4911" t="s">
        <v>409</v>
      </c>
      <c r="B17" s="4905" t="s">
        <v>4242</v>
      </c>
      <c r="C17" s="4996" t="s">
        <v>28</v>
      </c>
      <c r="D17" s="5185">
        <v>45247</v>
      </c>
      <c r="E17" s="5186">
        <v>45261</v>
      </c>
      <c r="F17" s="4996" t="s">
        <v>45</v>
      </c>
      <c r="G17" s="4996" t="s">
        <v>302</v>
      </c>
      <c r="H17" s="5017"/>
      <c r="I17" s="5017"/>
      <c r="J17" s="4996" t="s">
        <v>32</v>
      </c>
      <c r="K17" s="4996" t="s">
        <v>310</v>
      </c>
      <c r="L17" s="5187" t="s">
        <v>4243</v>
      </c>
      <c r="M17" s="5188">
        <v>45264</v>
      </c>
      <c r="N17" s="5188">
        <v>45264</v>
      </c>
      <c r="O17" s="5185">
        <v>45269</v>
      </c>
      <c r="P17" s="5189" t="s">
        <v>4244</v>
      </c>
      <c r="Q17" s="4996" t="s">
        <v>89</v>
      </c>
      <c r="R17" s="4996" t="s">
        <v>51</v>
      </c>
      <c r="S17" s="4996"/>
      <c r="T17" s="4996"/>
      <c r="U17" s="4996"/>
      <c r="V17" s="4996"/>
      <c r="W17" s="4996">
        <v>0</v>
      </c>
      <c r="X17" s="4996" t="s">
        <v>532</v>
      </c>
      <c r="Y17" s="4996"/>
      <c r="Z17" s="4996"/>
    </row>
    <row r="18" spans="1:26" s="3" customFormat="1" ht="60">
      <c r="A18" s="4845" t="s">
        <v>2847</v>
      </c>
      <c r="B18" s="4908" t="s">
        <v>4245</v>
      </c>
      <c r="C18" s="4845" t="s">
        <v>28</v>
      </c>
      <c r="D18" s="4906">
        <v>45250</v>
      </c>
      <c r="E18" s="4916">
        <v>45263</v>
      </c>
      <c r="F18" s="4845" t="s">
        <v>167</v>
      </c>
      <c r="G18" s="4848" t="s">
        <v>801</v>
      </c>
      <c r="H18" s="4916">
        <v>45266</v>
      </c>
      <c r="I18" s="4845" t="s">
        <v>926</v>
      </c>
      <c r="J18" s="4845" t="s">
        <v>32</v>
      </c>
      <c r="K18" s="4908" t="s">
        <v>1829</v>
      </c>
      <c r="L18" s="4845">
        <v>492929</v>
      </c>
      <c r="M18" s="4918">
        <v>45265</v>
      </c>
      <c r="N18" s="4918">
        <v>45265</v>
      </c>
      <c r="O18" s="4906">
        <v>45266</v>
      </c>
      <c r="P18" s="4909" t="s">
        <v>4246</v>
      </c>
      <c r="Q18" s="4845" t="s">
        <v>75</v>
      </c>
      <c r="R18" s="4908" t="s">
        <v>4247</v>
      </c>
      <c r="S18" s="4845">
        <v>4</v>
      </c>
      <c r="T18" s="5135">
        <v>1422.5</v>
      </c>
      <c r="U18" s="5190">
        <v>1060</v>
      </c>
      <c r="V18" s="4845"/>
      <c r="W18" s="4845">
        <v>0</v>
      </c>
      <c r="X18" s="4845" t="s">
        <v>532</v>
      </c>
      <c r="Y18" s="4845"/>
      <c r="Z18" s="4845"/>
    </row>
    <row r="19" spans="1:26" s="117" customFormat="1">
      <c r="A19" s="4845" t="s">
        <v>468</v>
      </c>
      <c r="B19" s="4909" t="s">
        <v>4248</v>
      </c>
      <c r="C19" s="4845" t="s">
        <v>44</v>
      </c>
      <c r="D19" s="5191">
        <v>45256</v>
      </c>
      <c r="E19" s="5192">
        <v>45263</v>
      </c>
      <c r="F19" s="4845" t="s">
        <v>98</v>
      </c>
      <c r="G19" s="4848" t="s">
        <v>669</v>
      </c>
      <c r="H19" s="4906" t="s">
        <v>4249</v>
      </c>
      <c r="J19" s="4848" t="s">
        <v>32</v>
      </c>
      <c r="K19" s="4840" t="s">
        <v>310</v>
      </c>
      <c r="L19" s="765" t="s">
        <v>4250</v>
      </c>
      <c r="M19" s="5193">
        <v>45266</v>
      </c>
      <c r="N19" s="5193">
        <v>45264</v>
      </c>
      <c r="O19" s="5193">
        <v>45266</v>
      </c>
      <c r="P19" s="5194" t="s">
        <v>4251</v>
      </c>
      <c r="Q19" s="4845" t="s">
        <v>75</v>
      </c>
      <c r="R19" s="4837" t="s">
        <v>4252</v>
      </c>
      <c r="S19" s="4845">
        <v>4</v>
      </c>
      <c r="T19" s="4845">
        <v>5260</v>
      </c>
      <c r="U19" s="4845"/>
      <c r="V19" s="4845"/>
      <c r="W19" s="4845">
        <v>0</v>
      </c>
      <c r="X19" s="4845" t="s">
        <v>532</v>
      </c>
      <c r="Y19" s="4845"/>
      <c r="Z19" s="4845"/>
    </row>
    <row r="20" spans="1:26" s="106" customFormat="1" hidden="1">
      <c r="A20" s="710" t="s">
        <v>821</v>
      </c>
      <c r="B20" s="727" t="s">
        <v>4253</v>
      </c>
      <c r="C20" s="710" t="s">
        <v>44</v>
      </c>
      <c r="D20" s="2512">
        <v>45257</v>
      </c>
      <c r="E20" s="2513">
        <v>45263</v>
      </c>
      <c r="F20" s="710" t="s">
        <v>734</v>
      </c>
      <c r="G20" s="710" t="s">
        <v>829</v>
      </c>
      <c r="H20" s="710"/>
      <c r="I20" s="710"/>
      <c r="J20" s="710" t="s">
        <v>168</v>
      </c>
      <c r="K20" s="710" t="s">
        <v>310</v>
      </c>
      <c r="L20" s="2183" t="s">
        <v>4254</v>
      </c>
      <c r="M20" s="2512">
        <v>45266</v>
      </c>
      <c r="N20" s="2512">
        <v>45264</v>
      </c>
      <c r="O20" s="2512">
        <v>45265</v>
      </c>
      <c r="P20" s="1683" t="s">
        <v>4255</v>
      </c>
      <c r="Q20" s="710" t="s">
        <v>50</v>
      </c>
      <c r="R20" s="710" t="s">
        <v>51</v>
      </c>
      <c r="S20" s="18"/>
      <c r="T20" s="710"/>
      <c r="U20" s="710"/>
      <c r="V20" s="710"/>
      <c r="W20" s="710"/>
      <c r="X20" s="710"/>
      <c r="Y20" s="710"/>
      <c r="Z20" s="710"/>
    </row>
    <row r="21" spans="1:26" s="3" customFormat="1" ht="60">
      <c r="A21" s="4845" t="s">
        <v>409</v>
      </c>
      <c r="B21" s="4908" t="s">
        <v>4256</v>
      </c>
      <c r="C21" s="4845" t="s">
        <v>44</v>
      </c>
      <c r="D21" s="4906">
        <v>45254</v>
      </c>
      <c r="E21" s="4916">
        <v>45264</v>
      </c>
      <c r="F21" s="4845" t="s">
        <v>151</v>
      </c>
      <c r="G21" s="4848" t="s">
        <v>3015</v>
      </c>
      <c r="H21" s="4961" t="s">
        <v>4257</v>
      </c>
      <c r="I21" s="4908" t="s">
        <v>4258</v>
      </c>
      <c r="J21" s="4908" t="s">
        <v>3206</v>
      </c>
      <c r="K21" s="4845" t="s">
        <v>3019</v>
      </c>
      <c r="L21" s="4845" t="s">
        <v>4259</v>
      </c>
      <c r="M21" s="4918">
        <v>45266</v>
      </c>
      <c r="N21" s="4916">
        <v>45266</v>
      </c>
      <c r="O21" s="4906">
        <v>45271</v>
      </c>
      <c r="P21" s="4909" t="s">
        <v>4260</v>
      </c>
      <c r="Q21" s="4837" t="s">
        <v>75</v>
      </c>
      <c r="R21" s="4150" t="s">
        <v>4261</v>
      </c>
      <c r="S21" s="4845">
        <v>4</v>
      </c>
      <c r="T21" s="4845">
        <v>1715</v>
      </c>
      <c r="U21" s="4845">
        <v>1605</v>
      </c>
      <c r="V21" s="4845">
        <v>1</v>
      </c>
      <c r="W21" s="4845">
        <f>Table10[[#This Row],[Sales Amount]]-Table10[[#This Row],[Cost]]</f>
        <v>110</v>
      </c>
      <c r="X21" s="5060">
        <f>Table10[[#This Row],[Profit]]/Table10[[#This Row],[Cost]]</f>
        <v>6.8535825545171333E-2</v>
      </c>
      <c r="Y21" s="4845"/>
      <c r="Z21" s="4845"/>
    </row>
    <row r="22" spans="1:26" customFormat="1" hidden="1">
      <c r="A22" s="1145" t="s">
        <v>171</v>
      </c>
      <c r="B22" s="1495" t="s">
        <v>4262</v>
      </c>
      <c r="C22" s="1145" t="s">
        <v>28</v>
      </c>
      <c r="D22" s="2077">
        <v>45254</v>
      </c>
      <c r="E22" s="1491">
        <v>45265</v>
      </c>
      <c r="F22" s="1145" t="s">
        <v>56</v>
      </c>
      <c r="G22" s="1145" t="s">
        <v>46</v>
      </c>
      <c r="H22" s="1817">
        <v>45264</v>
      </c>
      <c r="I22" s="1145"/>
      <c r="J22" s="1145" t="s">
        <v>32</v>
      </c>
      <c r="K22" s="1145" t="s">
        <v>174</v>
      </c>
      <c r="L22" s="1820" t="s">
        <v>4263</v>
      </c>
      <c r="M22" s="1821">
        <v>45265</v>
      </c>
      <c r="N22" s="1817">
        <v>45264</v>
      </c>
      <c r="O22" s="1817">
        <v>45264</v>
      </c>
      <c r="P22" s="1156" t="s">
        <v>4264</v>
      </c>
      <c r="Q22" s="1145" t="s">
        <v>35</v>
      </c>
      <c r="R22" s="1145" t="s">
        <v>36</v>
      </c>
      <c r="S22" s="1145" t="s">
        <v>37</v>
      </c>
      <c r="T22" s="16">
        <v>765</v>
      </c>
      <c r="U22" s="16">
        <v>620</v>
      </c>
      <c r="V22" s="16"/>
      <c r="W22" s="16"/>
      <c r="X22" s="16"/>
      <c r="Y22" s="16"/>
      <c r="Z22" s="16"/>
    </row>
    <row r="23" spans="1:26" s="26" customFormat="1" ht="90">
      <c r="A23" s="663" t="s">
        <v>165</v>
      </c>
      <c r="B23" s="4166" t="s">
        <v>4265</v>
      </c>
      <c r="C23" s="663" t="s">
        <v>44</v>
      </c>
      <c r="D23" s="1074">
        <v>45251</v>
      </c>
      <c r="E23" s="1825">
        <v>45265</v>
      </c>
      <c r="F23" s="663" t="s">
        <v>167</v>
      </c>
      <c r="G23" s="38" t="s">
        <v>302</v>
      </c>
      <c r="H23" s="1825">
        <v>45268</v>
      </c>
      <c r="I23" s="4166" t="s">
        <v>618</v>
      </c>
      <c r="J23" s="663" t="s">
        <v>297</v>
      </c>
      <c r="K23" s="730" t="s">
        <v>3791</v>
      </c>
      <c r="L23" s="1874" t="s">
        <v>4266</v>
      </c>
      <c r="M23" s="1494">
        <v>45268</v>
      </c>
      <c r="N23" s="1494">
        <v>45268</v>
      </c>
      <c r="O23" s="1494">
        <v>45268</v>
      </c>
      <c r="P23" s="4266" t="s">
        <v>4267</v>
      </c>
      <c r="Q23" s="663" t="s">
        <v>75</v>
      </c>
      <c r="R23" s="663" t="s">
        <v>4268</v>
      </c>
      <c r="S23" s="663"/>
      <c r="T23" s="663">
        <v>1225</v>
      </c>
      <c r="U23" s="663">
        <v>1061</v>
      </c>
      <c r="V23" s="663">
        <v>1</v>
      </c>
      <c r="W23" s="663">
        <f>Table10[[#This Row],[Sales Amount]]-Table10[[#This Row],[Cost]]</f>
        <v>164</v>
      </c>
      <c r="X23" s="2079">
        <f>Table10[[#This Row],[Profit]]/Table10[[#This Row],[Cost]]</f>
        <v>0.15457115928369464</v>
      </c>
      <c r="Y23" s="663"/>
      <c r="Z23" s="663"/>
    </row>
    <row r="24" spans="1:26" customFormat="1" ht="60">
      <c r="A24" s="4845" t="s">
        <v>3829</v>
      </c>
      <c r="B24" s="4908" t="s">
        <v>4269</v>
      </c>
      <c r="C24" s="4845" t="s">
        <v>704</v>
      </c>
      <c r="D24" s="4906">
        <v>45251</v>
      </c>
      <c r="E24" s="4916">
        <v>45265</v>
      </c>
      <c r="F24" s="4845" t="s">
        <v>167</v>
      </c>
      <c r="G24" s="4848" t="s">
        <v>302</v>
      </c>
      <c r="H24" s="4918">
        <v>45267</v>
      </c>
      <c r="I24" s="4845" t="s">
        <v>445</v>
      </c>
      <c r="J24" s="4845" t="s">
        <v>32</v>
      </c>
      <c r="K24" s="4947" t="s">
        <v>635</v>
      </c>
      <c r="L24" s="4845" t="s">
        <v>4270</v>
      </c>
      <c r="M24" s="4918">
        <v>45267</v>
      </c>
      <c r="N24" s="4918">
        <v>45266</v>
      </c>
      <c r="O24" s="4906">
        <v>45267</v>
      </c>
      <c r="P24" s="4909" t="s">
        <v>4271</v>
      </c>
      <c r="Q24" s="4845" t="s">
        <v>75</v>
      </c>
      <c r="R24" s="4908" t="s">
        <v>4272</v>
      </c>
      <c r="S24" s="4845">
        <v>4</v>
      </c>
      <c r="T24" s="4922">
        <v>760</v>
      </c>
      <c r="U24" s="4922">
        <f>580+110</f>
        <v>690</v>
      </c>
      <c r="V24" s="4845">
        <v>1</v>
      </c>
      <c r="W24" s="4922">
        <f>Table10[[#This Row],[Sales Amount]]-Table10[[#This Row],[Cost]]</f>
        <v>70</v>
      </c>
      <c r="X24" s="5060">
        <f>Table10[[#This Row],[Profit]]/Table10[[#This Row],[Cost]]</f>
        <v>0.10144927536231885</v>
      </c>
      <c r="Y24" s="4845"/>
      <c r="Z24" s="4845"/>
    </row>
    <row r="25" spans="1:26" s="3" customFormat="1" ht="60">
      <c r="A25" s="3364" t="s">
        <v>468</v>
      </c>
      <c r="B25" s="4242" t="s">
        <v>4273</v>
      </c>
      <c r="C25" s="3268" t="s">
        <v>200</v>
      </c>
      <c r="D25" s="3262">
        <v>45250</v>
      </c>
      <c r="E25" s="3365">
        <v>45265</v>
      </c>
      <c r="F25" s="3268" t="s">
        <v>93</v>
      </c>
      <c r="G25" s="3265" t="s">
        <v>4274</v>
      </c>
      <c r="H25" s="3366">
        <v>45267</v>
      </c>
      <c r="I25" s="4242" t="s">
        <v>926</v>
      </c>
      <c r="J25" s="3268" t="s">
        <v>297</v>
      </c>
      <c r="K25" s="4246" t="s">
        <v>3200</v>
      </c>
      <c r="L25" s="3268">
        <v>2368</v>
      </c>
      <c r="M25" s="3366">
        <v>45267</v>
      </c>
      <c r="N25" s="3366">
        <v>45267</v>
      </c>
      <c r="O25" s="3262">
        <v>45267</v>
      </c>
      <c r="P25" s="4246" t="s">
        <v>4275</v>
      </c>
      <c r="Q25" s="4845" t="s">
        <v>75</v>
      </c>
      <c r="R25" s="4921" t="s">
        <v>4276</v>
      </c>
      <c r="S25" s="4845">
        <v>4</v>
      </c>
      <c r="T25" s="4845">
        <v>905</v>
      </c>
      <c r="U25" s="4845">
        <v>638.85</v>
      </c>
      <c r="V25" s="4845">
        <v>1</v>
      </c>
      <c r="W25" s="4845">
        <f>Table10[[#This Row],[Sales Amount]]-Table10[[#This Row],[Cost]]</f>
        <v>266.14999999999998</v>
      </c>
      <c r="X25" s="5060">
        <f>Table10[[#This Row],[Profit]]/Table10[[#This Row],[Cost]]</f>
        <v>0.41660796744149636</v>
      </c>
      <c r="Y25" s="4845"/>
      <c r="Z25" s="4845"/>
    </row>
    <row r="26" spans="1:26" s="3" customFormat="1" ht="45">
      <c r="A26" s="117" t="s">
        <v>4277</v>
      </c>
      <c r="B26" s="4242" t="s">
        <v>4278</v>
      </c>
      <c r="C26" s="3268" t="s">
        <v>44</v>
      </c>
      <c r="D26" s="3262">
        <v>45248</v>
      </c>
      <c r="E26" s="3264">
        <v>45265</v>
      </c>
      <c r="F26" s="3268" t="s">
        <v>45</v>
      </c>
      <c r="G26" s="3265" t="s">
        <v>302</v>
      </c>
      <c r="H26" s="3262" t="s">
        <v>4279</v>
      </c>
      <c r="I26" s="4242" t="s">
        <v>4280</v>
      </c>
      <c r="J26" s="3268" t="s">
        <v>32</v>
      </c>
      <c r="K26" s="3268" t="s">
        <v>891</v>
      </c>
      <c r="L26" s="3367" t="s">
        <v>4281</v>
      </c>
      <c r="M26" s="3366">
        <v>45267</v>
      </c>
      <c r="N26" s="3366">
        <v>45267</v>
      </c>
      <c r="O26" s="3262">
        <v>45269</v>
      </c>
      <c r="P26" s="4246" t="s">
        <v>4282</v>
      </c>
      <c r="Q26" s="4607" t="s">
        <v>75</v>
      </c>
      <c r="R26" s="4150" t="s">
        <v>4283</v>
      </c>
      <c r="S26" s="4845">
        <v>4</v>
      </c>
      <c r="T26" s="5195">
        <v>1275</v>
      </c>
      <c r="U26" s="4922">
        <v>980</v>
      </c>
      <c r="V26" s="4845">
        <v>1</v>
      </c>
      <c r="W26" s="4922">
        <f>Table10[[#This Row],[Sales Amount]]-Table10[[#This Row],[Cost]]</f>
        <v>295</v>
      </c>
      <c r="X26" s="5060">
        <f>Table10[[#This Row],[Profit]]/Table10[[#This Row],[Cost]]</f>
        <v>0.30102040816326531</v>
      </c>
      <c r="Y26" s="4845"/>
      <c r="Z26" s="4845"/>
    </row>
    <row r="27" spans="1:26" s="3" customFormat="1" ht="45">
      <c r="A27" s="4845" t="s">
        <v>4284</v>
      </c>
      <c r="B27" s="4908" t="s">
        <v>4285</v>
      </c>
      <c r="C27" s="4845" t="s">
        <v>451</v>
      </c>
      <c r="D27" s="4906">
        <v>45265</v>
      </c>
      <c r="E27" s="4916">
        <v>45265</v>
      </c>
      <c r="F27" s="4845" t="s">
        <v>167</v>
      </c>
      <c r="G27" s="4848" t="s">
        <v>4148</v>
      </c>
      <c r="H27" s="4916">
        <v>45268</v>
      </c>
      <c r="I27" s="4908" t="s">
        <v>4286</v>
      </c>
      <c r="J27" s="4845" t="s">
        <v>859</v>
      </c>
      <c r="K27" s="4837" t="s">
        <v>4287</v>
      </c>
      <c r="L27" s="4929" t="s">
        <v>162</v>
      </c>
      <c r="M27" s="4918">
        <v>45269</v>
      </c>
      <c r="N27" s="4918">
        <v>45267</v>
      </c>
      <c r="O27" s="4918">
        <v>45271</v>
      </c>
      <c r="P27" s="4909" t="s">
        <v>4288</v>
      </c>
      <c r="Q27" s="4845" t="s">
        <v>75</v>
      </c>
      <c r="R27" s="4921" t="s">
        <v>4289</v>
      </c>
      <c r="S27" s="4845">
        <v>4</v>
      </c>
      <c r="T27" s="5110">
        <v>2596.6999999999998</v>
      </c>
      <c r="U27" s="4922">
        <v>2275</v>
      </c>
      <c r="V27" s="4845">
        <v>1</v>
      </c>
      <c r="W27" s="4922">
        <f>Table10[[#This Row],[Sales Amount]]-Table10[[#This Row],[Cost]]</f>
        <v>321.69999999999982</v>
      </c>
      <c r="X27" s="4919">
        <f>Table10[[#This Row],[Profit]]/Table10[[#This Row],[Cost]]</f>
        <v>0.14140659340659334</v>
      </c>
      <c r="Y27" s="4845"/>
      <c r="Z27" s="4845"/>
    </row>
    <row r="28" spans="1:26" s="507" customFormat="1" hidden="1">
      <c r="A28" s="4839" t="s">
        <v>3343</v>
      </c>
      <c r="B28" s="4861" t="s">
        <v>4290</v>
      </c>
      <c r="C28" s="4839" t="s">
        <v>28</v>
      </c>
      <c r="D28" s="5179">
        <v>45259</v>
      </c>
      <c r="E28" s="5196">
        <v>45265</v>
      </c>
      <c r="F28" s="4839" t="s">
        <v>1017</v>
      </c>
      <c r="G28" s="4839" t="s">
        <v>46</v>
      </c>
      <c r="H28" s="4839"/>
      <c r="I28" s="4839"/>
      <c r="J28" s="4839" t="s">
        <v>32</v>
      </c>
      <c r="K28" s="4839" t="s">
        <v>310</v>
      </c>
      <c r="L28" s="5197">
        <v>242460</v>
      </c>
      <c r="M28" s="5179">
        <v>45268</v>
      </c>
      <c r="N28" s="5179">
        <v>45268</v>
      </c>
      <c r="O28" s="5179">
        <v>45271</v>
      </c>
      <c r="P28" s="4968" t="s">
        <v>4291</v>
      </c>
      <c r="Q28" s="58" t="s">
        <v>50</v>
      </c>
      <c r="R28" s="4839" t="s">
        <v>51</v>
      </c>
      <c r="S28" s="4839"/>
      <c r="T28" s="4839"/>
      <c r="U28" s="4839"/>
      <c r="V28" s="4839"/>
      <c r="W28" s="4839"/>
      <c r="X28" s="4839"/>
      <c r="Y28" s="4839"/>
      <c r="Z28" s="4839"/>
    </row>
    <row r="29" spans="1:26" s="26" customFormat="1" hidden="1">
      <c r="A29" s="4839" t="s">
        <v>3343</v>
      </c>
      <c r="B29" s="4861" t="s">
        <v>4292</v>
      </c>
      <c r="C29" s="4839" t="s">
        <v>28</v>
      </c>
      <c r="D29" s="5179">
        <v>45259</v>
      </c>
      <c r="E29" s="5196">
        <v>45265</v>
      </c>
      <c r="F29" s="5198" t="s">
        <v>45</v>
      </c>
      <c r="G29" s="4839" t="s">
        <v>46</v>
      </c>
      <c r="H29" s="4839"/>
      <c r="I29" s="4839"/>
      <c r="J29" s="4839" t="s">
        <v>32</v>
      </c>
      <c r="K29" s="4839" t="s">
        <v>310</v>
      </c>
      <c r="L29" s="4839" t="s">
        <v>4293</v>
      </c>
      <c r="M29" s="4636">
        <v>45267</v>
      </c>
      <c r="N29" s="5179">
        <v>45266</v>
      </c>
      <c r="O29" s="5179">
        <v>45267</v>
      </c>
      <c r="P29" s="4968" t="s">
        <v>4294</v>
      </c>
      <c r="Q29" s="4839" t="s">
        <v>50</v>
      </c>
      <c r="R29" s="58" t="s">
        <v>51</v>
      </c>
      <c r="S29" s="4839"/>
      <c r="T29" s="4839"/>
      <c r="U29" s="4839"/>
      <c r="V29" s="4839"/>
      <c r="W29" s="4839"/>
      <c r="X29" s="4839"/>
      <c r="Y29" s="4839"/>
      <c r="Z29" s="4839"/>
    </row>
    <row r="30" spans="1:26" s="709" customFormat="1" hidden="1">
      <c r="A30" s="1145" t="s">
        <v>3343</v>
      </c>
      <c r="B30" s="1495" t="s">
        <v>4295</v>
      </c>
      <c r="C30" s="1145" t="s">
        <v>28</v>
      </c>
      <c r="D30" s="2514">
        <v>45259</v>
      </c>
      <c r="E30" s="2515">
        <v>45265</v>
      </c>
      <c r="F30" s="2077" t="s">
        <v>45</v>
      </c>
      <c r="G30" s="1145" t="s">
        <v>46</v>
      </c>
      <c r="H30" s="1145"/>
      <c r="I30" s="1145"/>
      <c r="J30" s="1145" t="s">
        <v>32</v>
      </c>
      <c r="K30" s="1145" t="s">
        <v>310</v>
      </c>
      <c r="L30" s="1145" t="s">
        <v>4296</v>
      </c>
      <c r="M30" s="5179">
        <v>45267</v>
      </c>
      <c r="N30" s="5179">
        <v>45266</v>
      </c>
      <c r="O30" s="5179">
        <v>45268</v>
      </c>
      <c r="P30" s="4968" t="s">
        <v>4297</v>
      </c>
      <c r="Q30" s="4839" t="s">
        <v>50</v>
      </c>
      <c r="R30" s="4839" t="s">
        <v>51</v>
      </c>
      <c r="S30" s="4839"/>
      <c r="T30" s="4839"/>
      <c r="U30" s="4839"/>
      <c r="V30" s="4839"/>
      <c r="W30" s="4839"/>
      <c r="X30" s="4839"/>
      <c r="Y30" s="4839"/>
      <c r="Z30" s="4839"/>
    </row>
    <row r="31" spans="1:26" s="3" customFormat="1" ht="30">
      <c r="A31" s="4845" t="s">
        <v>468</v>
      </c>
      <c r="B31" s="4908" t="s">
        <v>4298</v>
      </c>
      <c r="C31" s="4845" t="s">
        <v>1518</v>
      </c>
      <c r="D31" s="4906">
        <v>45254</v>
      </c>
      <c r="E31" s="4916">
        <v>45266</v>
      </c>
      <c r="F31" s="4845" t="s">
        <v>45</v>
      </c>
      <c r="G31" s="4848" t="s">
        <v>302</v>
      </c>
      <c r="H31" s="4906" t="s">
        <v>4299</v>
      </c>
      <c r="I31" s="4908" t="s">
        <v>4300</v>
      </c>
      <c r="J31" s="4845" t="s">
        <v>297</v>
      </c>
      <c r="K31" s="4909" t="s">
        <v>4301</v>
      </c>
      <c r="L31" s="4908" t="s">
        <v>4302</v>
      </c>
      <c r="M31" s="4918">
        <v>45268</v>
      </c>
      <c r="N31" s="4918">
        <v>45268</v>
      </c>
      <c r="O31" s="4906">
        <v>45271</v>
      </c>
      <c r="P31" s="4909" t="s">
        <v>4303</v>
      </c>
      <c r="Q31" s="4845" t="s">
        <v>75</v>
      </c>
      <c r="R31" s="4837" t="s">
        <v>4304</v>
      </c>
      <c r="S31" s="4845">
        <v>4</v>
      </c>
      <c r="T31" s="4922">
        <v>1975</v>
      </c>
      <c r="U31" s="4922">
        <v>1474.7</v>
      </c>
      <c r="V31" s="4845">
        <v>1</v>
      </c>
      <c r="W31" s="4922">
        <f>Table10[[#This Row],[Sales Amount]]-Table10[[#This Row],[Cost]]</f>
        <v>500.29999999999995</v>
      </c>
      <c r="X31" s="5060">
        <f>Table10[[#This Row],[Profit]]/Table10[[#This Row],[Cost]]</f>
        <v>0.33925544178476974</v>
      </c>
      <c r="Y31" s="4845"/>
      <c r="Z31" s="4845"/>
    </row>
    <row r="32" spans="1:26" s="1594" customFormat="1" hidden="1">
      <c r="A32" s="4839" t="s">
        <v>2966</v>
      </c>
      <c r="B32" s="4861" t="s">
        <v>4305</v>
      </c>
      <c r="C32" s="4839" t="s">
        <v>200</v>
      </c>
      <c r="D32" s="4990">
        <v>45261</v>
      </c>
      <c r="E32" s="4867">
        <v>45267</v>
      </c>
      <c r="F32" s="4839" t="s">
        <v>56</v>
      </c>
      <c r="G32" s="4839" t="s">
        <v>46</v>
      </c>
      <c r="H32" s="5078">
        <v>45268</v>
      </c>
      <c r="I32" s="4841" t="s">
        <v>631</v>
      </c>
      <c r="J32" s="4839" t="s">
        <v>1353</v>
      </c>
      <c r="K32" s="4839" t="s">
        <v>2968</v>
      </c>
      <c r="L32" s="4841" t="s">
        <v>4306</v>
      </c>
      <c r="M32" s="4990">
        <v>45269</v>
      </c>
      <c r="N32" s="4957">
        <v>45268</v>
      </c>
      <c r="O32" s="4957">
        <v>45268</v>
      </c>
      <c r="P32" s="5199" t="s">
        <v>4307</v>
      </c>
      <c r="Q32" s="4839" t="s">
        <v>35</v>
      </c>
      <c r="R32" s="4839" t="s">
        <v>36</v>
      </c>
      <c r="S32" s="4839" t="s">
        <v>2971</v>
      </c>
      <c r="T32" s="4895">
        <v>1230</v>
      </c>
      <c r="U32" s="4895">
        <v>928</v>
      </c>
      <c r="V32" s="4895"/>
      <c r="W32" s="4895"/>
      <c r="X32" s="4895"/>
      <c r="Y32" s="4895"/>
      <c r="Z32" s="4895"/>
    </row>
    <row r="33" spans="1:26" customFormat="1" hidden="1">
      <c r="A33" s="4848" t="s">
        <v>2396</v>
      </c>
      <c r="B33" s="4928" t="s">
        <v>4308</v>
      </c>
      <c r="C33" s="4848" t="s">
        <v>44</v>
      </c>
      <c r="D33" s="4853">
        <v>45265</v>
      </c>
      <c r="E33" s="4853">
        <v>45267</v>
      </c>
      <c r="F33" s="4848" t="s">
        <v>56</v>
      </c>
      <c r="G33" s="4848" t="s">
        <v>3683</v>
      </c>
      <c r="H33" s="5200">
        <v>45273</v>
      </c>
      <c r="I33" s="4848" t="s">
        <v>899</v>
      </c>
      <c r="J33" s="4848" t="s">
        <v>1478</v>
      </c>
      <c r="K33" s="4848" t="s">
        <v>4309</v>
      </c>
      <c r="L33" s="4848"/>
      <c r="M33" s="5200">
        <v>45273</v>
      </c>
      <c r="N33" s="5200">
        <v>45273</v>
      </c>
      <c r="O33" s="5200">
        <v>45275</v>
      </c>
      <c r="P33" s="4840" t="s">
        <v>4310</v>
      </c>
      <c r="Q33" s="4848" t="s">
        <v>128</v>
      </c>
      <c r="R33" s="4848" t="s">
        <v>36</v>
      </c>
      <c r="S33" s="4848"/>
      <c r="T33" s="4848">
        <v>605</v>
      </c>
      <c r="U33" s="4848">
        <v>436</v>
      </c>
      <c r="V33" s="4848">
        <v>1</v>
      </c>
      <c r="W33" s="4848"/>
      <c r="X33" s="4848"/>
      <c r="Y33" s="4848"/>
      <c r="Z33" s="4848"/>
    </row>
    <row r="34" spans="1:26" customFormat="1" ht="45">
      <c r="A34" s="4845" t="s">
        <v>4284</v>
      </c>
      <c r="B34" s="4921" t="s">
        <v>4311</v>
      </c>
      <c r="C34" s="4845" t="s">
        <v>794</v>
      </c>
      <c r="D34" s="4906">
        <v>45254</v>
      </c>
      <c r="E34" s="4916">
        <v>45267</v>
      </c>
      <c r="F34" s="4845" t="s">
        <v>45</v>
      </c>
      <c r="G34" s="4848" t="s">
        <v>4312</v>
      </c>
      <c r="H34" s="4916">
        <v>45271</v>
      </c>
      <c r="I34" s="4845"/>
      <c r="J34" s="4845" t="s">
        <v>695</v>
      </c>
      <c r="K34" s="4970" t="s">
        <v>791</v>
      </c>
      <c r="L34" s="4929">
        <v>1080</v>
      </c>
      <c r="M34" s="4918">
        <v>45268</v>
      </c>
      <c r="N34" s="4918">
        <v>45268</v>
      </c>
      <c r="O34" s="4844">
        <v>45271</v>
      </c>
      <c r="P34" s="4909" t="s">
        <v>4313</v>
      </c>
      <c r="Q34" s="4845" t="s">
        <v>75</v>
      </c>
      <c r="R34" s="4970" t="s">
        <v>4314</v>
      </c>
      <c r="S34" s="4845">
        <v>4</v>
      </c>
      <c r="T34" s="4845">
        <v>1578.75</v>
      </c>
      <c r="U34" s="4845">
        <v>1105.1300000000001</v>
      </c>
      <c r="V34" s="4845">
        <v>1</v>
      </c>
      <c r="W34" s="4845">
        <f>Table10[[#This Row],[Sales Amount]]-Table10[[#This Row],[Cost]]</f>
        <v>473.61999999999989</v>
      </c>
      <c r="X34" s="5060">
        <f>Table10[[#This Row],[Profit]]/Table10[[#This Row],[Cost]]</f>
        <v>0.42856496520771298</v>
      </c>
      <c r="Y34" s="4845"/>
      <c r="Z34" s="4845"/>
    </row>
    <row r="35" spans="1:26" customFormat="1" ht="30">
      <c r="A35" s="4845" t="s">
        <v>165</v>
      </c>
      <c r="B35" s="4908" t="s">
        <v>4315</v>
      </c>
      <c r="C35" s="4845" t="s">
        <v>44</v>
      </c>
      <c r="D35" s="4906">
        <v>45244</v>
      </c>
      <c r="E35" s="4916">
        <v>45267</v>
      </c>
      <c r="F35" s="4845" t="s">
        <v>167</v>
      </c>
      <c r="G35" s="4848" t="s">
        <v>4316</v>
      </c>
      <c r="H35" s="4918">
        <v>45268</v>
      </c>
      <c r="I35" s="4908" t="s">
        <v>899</v>
      </c>
      <c r="J35" s="4845" t="s">
        <v>4317</v>
      </c>
      <c r="K35" s="4845" t="s">
        <v>2095</v>
      </c>
      <c r="L35" s="4845" t="s">
        <v>4318</v>
      </c>
      <c r="M35" s="4918">
        <v>45269</v>
      </c>
      <c r="N35" s="4918">
        <v>45268</v>
      </c>
      <c r="O35" s="4918">
        <v>45271</v>
      </c>
      <c r="P35" s="4909" t="s">
        <v>4319</v>
      </c>
      <c r="Q35" s="4845" t="s">
        <v>75</v>
      </c>
      <c r="R35" s="4908" t="s">
        <v>4320</v>
      </c>
      <c r="S35" s="4845"/>
      <c r="T35" s="4845">
        <v>675</v>
      </c>
      <c r="U35" s="4845">
        <v>501.25</v>
      </c>
      <c r="V35" s="4845">
        <v>1</v>
      </c>
      <c r="W35" s="4845">
        <f>Table10[[#This Row],[Sales Amount]]-Table10[[#This Row],[Cost]]</f>
        <v>173.75</v>
      </c>
      <c r="X35" s="5060">
        <f>Table10[[#This Row],[Profit]]/Table10[[#This Row],[Cost]]</f>
        <v>0.34663341645885287</v>
      </c>
      <c r="Y35" s="4845"/>
      <c r="Z35" s="4845"/>
    </row>
    <row r="36" spans="1:26" customFormat="1">
      <c r="A36" s="4845" t="s">
        <v>4321</v>
      </c>
      <c r="B36" s="4909" t="s">
        <v>4322</v>
      </c>
      <c r="C36" s="4845" t="s">
        <v>44</v>
      </c>
      <c r="D36" s="5191">
        <v>45261</v>
      </c>
      <c r="E36" s="5201">
        <v>45267</v>
      </c>
      <c r="F36" s="4845" t="s">
        <v>93</v>
      </c>
      <c r="G36" s="4848" t="s">
        <v>46</v>
      </c>
      <c r="H36" s="4961" t="s">
        <v>4323</v>
      </c>
      <c r="I36" s="4845"/>
      <c r="J36" s="4848" t="s">
        <v>32</v>
      </c>
      <c r="K36" s="4848" t="s">
        <v>310</v>
      </c>
      <c r="L36" s="5202" t="s">
        <v>4324</v>
      </c>
      <c r="M36" s="5203">
        <v>45269</v>
      </c>
      <c r="N36" s="5204">
        <v>45268</v>
      </c>
      <c r="O36" s="5204">
        <v>45271</v>
      </c>
      <c r="P36" s="5194" t="s">
        <v>4325</v>
      </c>
      <c r="Q36" s="4845" t="s">
        <v>75</v>
      </c>
      <c r="R36" s="4837" t="s">
        <v>4326</v>
      </c>
      <c r="S36" s="4845"/>
      <c r="T36" s="4845">
        <v>2850</v>
      </c>
      <c r="U36" s="4845">
        <f>610</f>
        <v>610</v>
      </c>
      <c r="V36" s="4845"/>
      <c r="W36" s="4845">
        <v>0</v>
      </c>
      <c r="X36" s="4845" t="s">
        <v>532</v>
      </c>
      <c r="Y36" s="4845"/>
      <c r="Z36" s="4845"/>
    </row>
    <row r="37" spans="1:26" customFormat="1" hidden="1">
      <c r="A37" s="4839" t="s">
        <v>3343</v>
      </c>
      <c r="B37" s="4861" t="s">
        <v>4327</v>
      </c>
      <c r="C37" s="4839" t="s">
        <v>28</v>
      </c>
      <c r="D37" s="5179">
        <v>45255</v>
      </c>
      <c r="E37" s="5196">
        <v>45267</v>
      </c>
      <c r="F37" s="5198" t="s">
        <v>45</v>
      </c>
      <c r="G37" s="4839" t="s">
        <v>46</v>
      </c>
      <c r="H37" s="4839"/>
      <c r="I37" s="4839"/>
      <c r="J37" s="4839" t="s">
        <v>32</v>
      </c>
      <c r="K37" s="4839" t="s">
        <v>310</v>
      </c>
      <c r="L37" s="4839" t="s">
        <v>4328</v>
      </c>
      <c r="M37" s="5179">
        <v>45268</v>
      </c>
      <c r="N37" s="5179">
        <v>45267</v>
      </c>
      <c r="O37" s="5179">
        <v>45269</v>
      </c>
      <c r="P37" s="4968" t="s">
        <v>4329</v>
      </c>
      <c r="Q37" s="4839" t="s">
        <v>50</v>
      </c>
      <c r="R37" s="4839" t="s">
        <v>51</v>
      </c>
      <c r="S37" s="4839"/>
      <c r="T37" s="4839"/>
      <c r="U37" s="4839"/>
      <c r="V37" s="4839"/>
      <c r="W37" s="4839"/>
      <c r="X37" s="4839"/>
      <c r="Y37" s="4839"/>
      <c r="Z37" s="4839"/>
    </row>
    <row r="38" spans="1:26" s="1594" customFormat="1" ht="30" hidden="1">
      <c r="A38" s="4839" t="s">
        <v>3322</v>
      </c>
      <c r="B38" s="4861" t="s">
        <v>4330</v>
      </c>
      <c r="C38" s="4839" t="s">
        <v>3181</v>
      </c>
      <c r="D38" s="2516">
        <v>45260</v>
      </c>
      <c r="E38" s="5196">
        <v>45267</v>
      </c>
      <c r="F38" s="4839" t="s">
        <v>990</v>
      </c>
      <c r="G38" s="4839" t="s">
        <v>46</v>
      </c>
      <c r="H38" s="5048">
        <v>125467893</v>
      </c>
      <c r="I38" s="5205">
        <v>0.41666666666666669</v>
      </c>
      <c r="J38" s="4839" t="s">
        <v>168</v>
      </c>
      <c r="K38" s="4839" t="s">
        <v>310</v>
      </c>
      <c r="L38" s="5206" t="s">
        <v>4331</v>
      </c>
      <c r="M38" s="5179">
        <v>45269</v>
      </c>
      <c r="N38" s="5179">
        <v>45269</v>
      </c>
      <c r="O38" s="5179">
        <v>45275</v>
      </c>
      <c r="P38" s="4968" t="s">
        <v>4332</v>
      </c>
      <c r="Q38" s="4839" t="s">
        <v>50</v>
      </c>
      <c r="R38" s="4839" t="s">
        <v>51</v>
      </c>
      <c r="S38" s="4839"/>
      <c r="T38" s="4839"/>
      <c r="U38" s="4839"/>
      <c r="V38" s="4839"/>
      <c r="W38" s="4839"/>
      <c r="X38" s="4839"/>
      <c r="Y38" s="4839"/>
      <c r="Z38" s="4839"/>
    </row>
    <row r="39" spans="1:26" customFormat="1" hidden="1">
      <c r="A39" s="4839" t="s">
        <v>3343</v>
      </c>
      <c r="B39" s="709" t="s">
        <v>4333</v>
      </c>
      <c r="C39" s="4839" t="s">
        <v>28</v>
      </c>
      <c r="D39" s="2516">
        <v>45259</v>
      </c>
      <c r="E39" s="2515">
        <v>45267</v>
      </c>
      <c r="F39" s="5198" t="s">
        <v>45</v>
      </c>
      <c r="G39" s="4839" t="s">
        <v>46</v>
      </c>
      <c r="H39" s="4839"/>
      <c r="I39" s="4839"/>
      <c r="J39" s="4839" t="s">
        <v>32</v>
      </c>
      <c r="K39" s="4839" t="s">
        <v>310</v>
      </c>
      <c r="L39" s="4839" t="s">
        <v>4334</v>
      </c>
      <c r="M39" s="5179">
        <v>45269</v>
      </c>
      <c r="N39" s="5179">
        <v>45267</v>
      </c>
      <c r="O39" s="5179">
        <v>45268</v>
      </c>
      <c r="P39" s="4968" t="s">
        <v>4335</v>
      </c>
      <c r="Q39" s="4839" t="s">
        <v>50</v>
      </c>
      <c r="R39" s="4839" t="s">
        <v>51</v>
      </c>
      <c r="S39" s="4839"/>
      <c r="T39" s="4839"/>
      <c r="U39" s="4839"/>
      <c r="V39" s="4839"/>
      <c r="W39" s="4839"/>
      <c r="X39" s="4839"/>
      <c r="Y39" s="4839"/>
      <c r="Z39" s="4839"/>
    </row>
    <row r="40" spans="1:26" s="1442" customFormat="1" hidden="1">
      <c r="A40" s="3275" t="s">
        <v>1035</v>
      </c>
      <c r="B40" s="3246" t="s">
        <v>4336</v>
      </c>
      <c r="C40" s="3275" t="s">
        <v>28</v>
      </c>
      <c r="D40" s="1139">
        <v>45260</v>
      </c>
      <c r="E40" s="1631">
        <v>45268</v>
      </c>
      <c r="F40" s="3275" t="s">
        <v>151</v>
      </c>
      <c r="G40" s="3275" t="s">
        <v>46</v>
      </c>
      <c r="H40" s="3275" t="s">
        <v>1038</v>
      </c>
      <c r="I40" s="3275"/>
      <c r="J40" s="3275" t="s">
        <v>32</v>
      </c>
      <c r="K40" s="3278" t="s">
        <v>162</v>
      </c>
      <c r="L40" s="3347" t="s">
        <v>4337</v>
      </c>
      <c r="M40" s="3350">
        <v>45271</v>
      </c>
      <c r="N40" s="3279">
        <v>45269</v>
      </c>
      <c r="O40" s="3279">
        <v>45269</v>
      </c>
      <c r="P40" s="3309" t="s">
        <v>4338</v>
      </c>
      <c r="Q40" s="4839" t="s">
        <v>35</v>
      </c>
      <c r="R40" s="4839" t="s">
        <v>36</v>
      </c>
      <c r="S40" s="4839" t="s">
        <v>1320</v>
      </c>
      <c r="T40" s="4895"/>
      <c r="U40" s="4895"/>
      <c r="V40" s="4895"/>
      <c r="W40" s="4895"/>
      <c r="X40" s="4895"/>
      <c r="Y40" s="4895"/>
      <c r="Z40" s="4895"/>
    </row>
    <row r="41" spans="1:26" s="117" customFormat="1" hidden="1">
      <c r="A41" s="4839" t="s">
        <v>1035</v>
      </c>
      <c r="B41" s="4861" t="s">
        <v>4339</v>
      </c>
      <c r="C41" s="4839" t="s">
        <v>28</v>
      </c>
      <c r="D41" s="4957">
        <v>45260</v>
      </c>
      <c r="E41" s="5071">
        <v>45268</v>
      </c>
      <c r="F41" s="4839" t="s">
        <v>151</v>
      </c>
      <c r="G41" s="4839" t="s">
        <v>46</v>
      </c>
      <c r="H41" s="4839" t="s">
        <v>1038</v>
      </c>
      <c r="I41" s="4839"/>
      <c r="J41" s="4839" t="s">
        <v>32</v>
      </c>
      <c r="K41" s="4894" t="s">
        <v>162</v>
      </c>
      <c r="L41" s="4901" t="s">
        <v>4340</v>
      </c>
      <c r="M41" s="4990">
        <v>45271</v>
      </c>
      <c r="N41" s="4957">
        <v>45269</v>
      </c>
      <c r="O41" s="4957">
        <v>45269</v>
      </c>
      <c r="P41" s="5199" t="s">
        <v>4338</v>
      </c>
      <c r="Q41" s="3235" t="s">
        <v>35</v>
      </c>
      <c r="R41" s="58" t="s">
        <v>36</v>
      </c>
      <c r="S41" s="4839" t="s">
        <v>1320</v>
      </c>
      <c r="T41" s="4895"/>
      <c r="U41" s="4895"/>
      <c r="V41" s="4895"/>
      <c r="W41" s="4895"/>
      <c r="X41" s="4895"/>
      <c r="Y41" s="4895"/>
      <c r="Z41" s="4895"/>
    </row>
    <row r="42" spans="1:26" s="106" customFormat="1" hidden="1">
      <c r="A42" s="1145" t="s">
        <v>122</v>
      </c>
      <c r="B42" s="1495" t="s">
        <v>4341</v>
      </c>
      <c r="C42" s="1145" t="s">
        <v>44</v>
      </c>
      <c r="D42" s="1153">
        <v>45266</v>
      </c>
      <c r="E42" s="1153">
        <v>45268</v>
      </c>
      <c r="F42" s="1145" t="s">
        <v>45</v>
      </c>
      <c r="G42" s="1145" t="s">
        <v>3714</v>
      </c>
      <c r="H42" s="1817">
        <v>45274</v>
      </c>
      <c r="I42" s="2105">
        <v>0.41666666666666669</v>
      </c>
      <c r="J42" s="1145" t="s">
        <v>859</v>
      </c>
      <c r="K42" s="1145" t="s">
        <v>3860</v>
      </c>
      <c r="L42" s="1781"/>
      <c r="M42" s="2187">
        <v>45271</v>
      </c>
      <c r="N42" s="1817">
        <v>45271</v>
      </c>
      <c r="O42" s="1817">
        <v>45276</v>
      </c>
      <c r="P42" s="1156" t="s">
        <v>4342</v>
      </c>
      <c r="Q42" s="4839" t="s">
        <v>128</v>
      </c>
      <c r="R42" s="4839" t="s">
        <v>36</v>
      </c>
      <c r="S42" s="4839"/>
      <c r="T42" s="4839">
        <v>2473.64</v>
      </c>
      <c r="U42" s="4839">
        <f>90+91.14+1565</f>
        <v>1746.1399999999999</v>
      </c>
      <c r="V42" s="4839">
        <v>1</v>
      </c>
      <c r="W42" s="4839"/>
      <c r="X42" s="4839"/>
      <c r="Y42" s="4839"/>
      <c r="Z42" s="4839"/>
    </row>
    <row r="43" spans="1:26" s="117" customFormat="1" ht="30">
      <c r="A43" s="663" t="s">
        <v>468</v>
      </c>
      <c r="B43" s="4166" t="s">
        <v>4343</v>
      </c>
      <c r="C43" s="663" t="s">
        <v>1518</v>
      </c>
      <c r="D43" s="1074">
        <v>45254</v>
      </c>
      <c r="E43" s="1825">
        <v>45268</v>
      </c>
      <c r="F43" s="663" t="s">
        <v>45</v>
      </c>
      <c r="G43" s="38" t="s">
        <v>302</v>
      </c>
      <c r="H43" s="1074" t="s">
        <v>4344</v>
      </c>
      <c r="I43" s="4166" t="s">
        <v>4345</v>
      </c>
      <c r="J43" s="663" t="s">
        <v>297</v>
      </c>
      <c r="K43" s="1782" t="s">
        <v>4346</v>
      </c>
      <c r="L43" s="1874">
        <v>701265</v>
      </c>
      <c r="M43" s="1494">
        <v>45271</v>
      </c>
      <c r="N43" s="1494">
        <v>45271</v>
      </c>
      <c r="O43" s="1074">
        <v>45272</v>
      </c>
      <c r="P43" s="4266" t="s">
        <v>4347</v>
      </c>
      <c r="Q43" s="663" t="s">
        <v>75</v>
      </c>
      <c r="R43" s="4845" t="s">
        <v>36</v>
      </c>
      <c r="S43" s="4845"/>
      <c r="T43" s="4845"/>
      <c r="U43" s="4845"/>
      <c r="V43" s="4845"/>
      <c r="W43" s="4845">
        <v>0</v>
      </c>
      <c r="X43" s="4845" t="s">
        <v>532</v>
      </c>
      <c r="Y43" s="4845"/>
      <c r="Z43" s="4845"/>
    </row>
    <row r="44" spans="1:26" s="106" customFormat="1" ht="30">
      <c r="A44" s="3268" t="s">
        <v>4277</v>
      </c>
      <c r="B44" s="4242" t="s">
        <v>4348</v>
      </c>
      <c r="C44" s="3268" t="s">
        <v>28</v>
      </c>
      <c r="D44" s="3262">
        <v>45254</v>
      </c>
      <c r="E44" s="3264">
        <v>45268</v>
      </c>
      <c r="F44" s="3268" t="s">
        <v>45</v>
      </c>
      <c r="G44" s="3265" t="s">
        <v>302</v>
      </c>
      <c r="H44" s="3366" t="s">
        <v>4349</v>
      </c>
      <c r="I44" s="4242" t="s">
        <v>4350</v>
      </c>
      <c r="J44" s="3268" t="s">
        <v>32</v>
      </c>
      <c r="K44" s="3268" t="s">
        <v>891</v>
      </c>
      <c r="L44" s="3268" t="s">
        <v>4351</v>
      </c>
      <c r="M44" s="4918">
        <v>45272</v>
      </c>
      <c r="N44" s="4906">
        <v>45271</v>
      </c>
      <c r="O44" s="4906">
        <v>45272</v>
      </c>
      <c r="P44" s="4909" t="s">
        <v>4352</v>
      </c>
      <c r="Q44" s="4845" t="s">
        <v>75</v>
      </c>
      <c r="R44" s="4908" t="s">
        <v>4353</v>
      </c>
      <c r="S44" s="4845">
        <v>4</v>
      </c>
      <c r="T44" s="4922">
        <v>1260</v>
      </c>
      <c r="U44" s="5190">
        <v>1080</v>
      </c>
      <c r="V44" s="4845">
        <v>1</v>
      </c>
      <c r="W44" s="4922">
        <f>Table10[[#This Row],[Sales Amount]]-Table10[[#This Row],[Cost]]</f>
        <v>180</v>
      </c>
      <c r="X44" s="5060">
        <f>Table10[[#This Row],[Profit]]/Table10[[#This Row],[Cost]]</f>
        <v>0.16666666666666666</v>
      </c>
      <c r="Y44" s="4845"/>
      <c r="Z44" s="4845"/>
    </row>
    <row r="45" spans="1:26" s="106" customFormat="1" ht="165">
      <c r="A45" s="4921" t="s">
        <v>165</v>
      </c>
      <c r="B45" s="4098" t="s">
        <v>4354</v>
      </c>
      <c r="C45" s="4970" t="s">
        <v>28</v>
      </c>
      <c r="D45" s="5207">
        <v>45268</v>
      </c>
      <c r="E45" s="5208">
        <v>45268</v>
      </c>
      <c r="F45" s="4970" t="s">
        <v>151</v>
      </c>
      <c r="G45" s="4829" t="s">
        <v>4355</v>
      </c>
      <c r="H45" s="5209">
        <v>45274</v>
      </c>
      <c r="I45" s="4970" t="s">
        <v>4356</v>
      </c>
      <c r="J45" s="4970" t="s">
        <v>322</v>
      </c>
      <c r="K45" s="4098" t="s">
        <v>4357</v>
      </c>
      <c r="L45" s="4921" t="s">
        <v>162</v>
      </c>
      <c r="M45" s="4637">
        <v>45274</v>
      </c>
      <c r="N45" s="5210">
        <v>45274</v>
      </c>
      <c r="O45" s="5211">
        <v>45281</v>
      </c>
      <c r="P45" s="4829" t="s">
        <v>4358</v>
      </c>
      <c r="Q45" s="4921" t="s">
        <v>75</v>
      </c>
      <c r="R45" s="4087" t="s">
        <v>4359</v>
      </c>
      <c r="S45" s="4921">
        <v>4</v>
      </c>
      <c r="T45" s="4921">
        <v>1275</v>
      </c>
      <c r="U45" s="5212">
        <v>1132.8</v>
      </c>
      <c r="V45" s="4921">
        <v>1</v>
      </c>
      <c r="W45" s="5212">
        <f>Table10[[#This Row],[Sales Amount]]-Table10[[#This Row],[Cost]]</f>
        <v>142.20000000000005</v>
      </c>
      <c r="X45" s="5213">
        <f>Table10[[#This Row],[Profit]]/Table10[[#This Row],[Cost]]</f>
        <v>0.12552966101694921</v>
      </c>
      <c r="Y45" s="4921"/>
      <c r="Z45" s="4921"/>
    </row>
    <row r="46" spans="1:26" s="3" customFormat="1" hidden="1">
      <c r="A46" s="38" t="s">
        <v>2396</v>
      </c>
      <c r="B46" s="663" t="s">
        <v>4360</v>
      </c>
      <c r="C46" s="38" t="s">
        <v>44</v>
      </c>
      <c r="D46" s="638">
        <v>45269</v>
      </c>
      <c r="E46" s="638">
        <v>45269</v>
      </c>
      <c r="F46" s="38" t="s">
        <v>151</v>
      </c>
      <c r="G46" s="38" t="s">
        <v>3683</v>
      </c>
      <c r="H46" s="2023">
        <v>45274</v>
      </c>
      <c r="I46" s="25" t="s">
        <v>270</v>
      </c>
      <c r="J46" s="38" t="s">
        <v>1478</v>
      </c>
      <c r="K46" s="38" t="s">
        <v>4361</v>
      </c>
      <c r="L46" s="38"/>
      <c r="M46" s="5200">
        <v>45274</v>
      </c>
      <c r="N46" s="5200">
        <v>45273</v>
      </c>
      <c r="O46" s="5200">
        <v>45279</v>
      </c>
      <c r="P46" s="4840" t="s">
        <v>4362</v>
      </c>
      <c r="Q46" s="4848" t="s">
        <v>128</v>
      </c>
      <c r="R46" s="4850" t="s">
        <v>36</v>
      </c>
      <c r="S46" s="4848"/>
      <c r="T46" s="4848">
        <v>1270</v>
      </c>
      <c r="U46" s="4848">
        <f>496+496</f>
        <v>992</v>
      </c>
      <c r="V46" s="4848">
        <v>2</v>
      </c>
      <c r="W46" s="4848">
        <f>(Table10[[#This Row],[Sales Amount]]-Table10[[#This Row],[Cost]])/Table10[[#This Row],[CNTR AMOUNT]]</f>
        <v>139</v>
      </c>
      <c r="X46" s="4848">
        <f>Table10[[#This Row],[Profit]]/(Table10[[#This Row],[Cost]]/Table10[[#This Row],[CNTR AMOUNT]])</f>
        <v>0.28024193548387094</v>
      </c>
      <c r="Y46" s="4848"/>
      <c r="Z46" s="4848"/>
    </row>
    <row r="47" spans="1:26" s="26" customFormat="1" hidden="1">
      <c r="A47" s="4848" t="s">
        <v>2396</v>
      </c>
      <c r="B47" s="4845" t="s">
        <v>4363</v>
      </c>
      <c r="C47" s="4848" t="s">
        <v>44</v>
      </c>
      <c r="D47" s="4853">
        <v>45269</v>
      </c>
      <c r="E47" s="4853">
        <v>45269</v>
      </c>
      <c r="F47" s="4848" t="s">
        <v>151</v>
      </c>
      <c r="G47" s="4848" t="s">
        <v>3683</v>
      </c>
      <c r="H47" s="5200">
        <v>45274</v>
      </c>
      <c r="I47" s="4848" t="s">
        <v>270</v>
      </c>
      <c r="J47" s="4848" t="s">
        <v>1478</v>
      </c>
      <c r="K47" s="4848" t="s">
        <v>4361</v>
      </c>
      <c r="L47" s="4848"/>
      <c r="M47" s="5200">
        <v>45274</v>
      </c>
      <c r="N47" s="5200">
        <v>45273</v>
      </c>
      <c r="O47" s="5200">
        <v>45279</v>
      </c>
      <c r="P47" s="4840" t="s">
        <v>4362</v>
      </c>
      <c r="Q47" s="4848" t="s">
        <v>128</v>
      </c>
      <c r="R47" s="4850" t="s">
        <v>36</v>
      </c>
      <c r="S47" s="4848"/>
      <c r="T47" s="4848">
        <v>1270</v>
      </c>
      <c r="U47" s="4848">
        <f>496+496</f>
        <v>992</v>
      </c>
      <c r="V47" s="4848">
        <v>2</v>
      </c>
      <c r="W47" s="4848">
        <f>(Table10[[#This Row],[Sales Amount]]-Table10[[#This Row],[Cost]])/Table10[[#This Row],[CNTR AMOUNT]]</f>
        <v>139</v>
      </c>
      <c r="X47" s="4848">
        <f>Table10[[#This Row],[Profit]]/(Table10[[#This Row],[Cost]]/Table10[[#This Row],[CNTR AMOUNT]])</f>
        <v>0.28024193548387094</v>
      </c>
      <c r="Y47" s="4848"/>
      <c r="Z47" s="4848"/>
    </row>
    <row r="48" spans="1:26" s="3" customFormat="1" ht="75">
      <c r="A48" s="4845" t="s">
        <v>165</v>
      </c>
      <c r="B48" s="4908" t="s">
        <v>4364</v>
      </c>
      <c r="C48" s="4908" t="s">
        <v>28</v>
      </c>
      <c r="D48" s="4906">
        <v>45263</v>
      </c>
      <c r="E48" s="4916">
        <v>45269</v>
      </c>
      <c r="F48" s="4908" t="s">
        <v>4365</v>
      </c>
      <c r="G48" s="4857" t="s">
        <v>4366</v>
      </c>
      <c r="H48" s="4906">
        <v>45275</v>
      </c>
      <c r="I48" s="4921" t="s">
        <v>445</v>
      </c>
      <c r="J48" s="4908" t="s">
        <v>297</v>
      </c>
      <c r="K48" s="4908" t="s">
        <v>4367</v>
      </c>
      <c r="L48" s="4929">
        <v>69445228</v>
      </c>
      <c r="M48" s="4936" t="s">
        <v>4368</v>
      </c>
      <c r="N48" s="4844">
        <v>45273</v>
      </c>
      <c r="O48" s="4844">
        <v>45275</v>
      </c>
      <c r="P48" s="4909" t="s">
        <v>4369</v>
      </c>
      <c r="Q48" s="4845" t="s">
        <v>75</v>
      </c>
      <c r="R48" s="4150" t="s">
        <v>4370</v>
      </c>
      <c r="S48" s="4845">
        <v>4</v>
      </c>
      <c r="T48" s="5190">
        <v>1263.75</v>
      </c>
      <c r="U48" s="4845">
        <v>964.75</v>
      </c>
      <c r="V48" s="4845">
        <v>1</v>
      </c>
      <c r="W48" s="4845">
        <f>Table10[[#This Row],[Sales Amount]]-Table10[[#This Row],[Cost]]</f>
        <v>299</v>
      </c>
      <c r="X48" s="5060">
        <f>Table10[[#This Row],[Profit]]/Table10[[#This Row],[Cost]]</f>
        <v>0.30992485099766781</v>
      </c>
      <c r="Y48" s="4845"/>
      <c r="Z48" s="4845"/>
    </row>
    <row r="49" spans="1:26" s="3" customFormat="1" hidden="1">
      <c r="A49" s="4845" t="s">
        <v>3343</v>
      </c>
      <c r="B49" s="4845" t="s">
        <v>4371</v>
      </c>
      <c r="C49" s="4845" t="s">
        <v>28</v>
      </c>
      <c r="D49" s="5191">
        <v>45263</v>
      </c>
      <c r="E49" s="5192">
        <v>45269</v>
      </c>
      <c r="F49" s="4845" t="s">
        <v>734</v>
      </c>
      <c r="G49" s="4848" t="s">
        <v>46</v>
      </c>
      <c r="H49" s="4848"/>
      <c r="I49" s="4848"/>
      <c r="J49" s="4848" t="s">
        <v>32</v>
      </c>
      <c r="K49" s="4848" t="s">
        <v>310</v>
      </c>
      <c r="L49" s="5214" t="s">
        <v>4372</v>
      </c>
      <c r="M49" s="5204">
        <v>45273</v>
      </c>
      <c r="N49" s="5204">
        <v>45271</v>
      </c>
      <c r="O49" s="5204">
        <v>45273</v>
      </c>
      <c r="P49" s="5194" t="s">
        <v>4373</v>
      </c>
      <c r="Q49" s="4848" t="s">
        <v>50</v>
      </c>
      <c r="R49" s="4850" t="s">
        <v>4374</v>
      </c>
      <c r="S49" s="4848">
        <v>4</v>
      </c>
      <c r="T49" s="4848">
        <v>3080</v>
      </c>
      <c r="U49" s="4848"/>
      <c r="V49" s="4848"/>
      <c r="W49" s="4848"/>
      <c r="X49" s="4848"/>
      <c r="Y49" s="4848"/>
      <c r="Z49" s="4848"/>
    </row>
    <row r="50" spans="1:26" s="106" customFormat="1" ht="45">
      <c r="A50" s="4845" t="s">
        <v>468</v>
      </c>
      <c r="B50" s="4908" t="s">
        <v>4375</v>
      </c>
      <c r="C50" s="4845" t="s">
        <v>200</v>
      </c>
      <c r="D50" s="4906">
        <v>45259</v>
      </c>
      <c r="E50" s="4916">
        <v>45270</v>
      </c>
      <c r="F50" s="4845" t="s">
        <v>29</v>
      </c>
      <c r="G50" s="4848" t="s">
        <v>57</v>
      </c>
      <c r="H50" s="4906">
        <v>45271</v>
      </c>
      <c r="I50" s="4845"/>
      <c r="J50" s="4845" t="s">
        <v>297</v>
      </c>
      <c r="K50" s="4837" t="s">
        <v>4376</v>
      </c>
      <c r="L50" s="4845">
        <v>3025533</v>
      </c>
      <c r="M50" s="4906">
        <v>45271</v>
      </c>
      <c r="N50" s="4906">
        <v>45271</v>
      </c>
      <c r="O50" s="5070">
        <v>45271</v>
      </c>
      <c r="P50" s="4105" t="s">
        <v>4377</v>
      </c>
      <c r="Q50" s="4845" t="s">
        <v>75</v>
      </c>
      <c r="R50" s="4837" t="s">
        <v>4378</v>
      </c>
      <c r="S50" s="4845">
        <v>4</v>
      </c>
      <c r="T50" s="5190">
        <v>1575</v>
      </c>
      <c r="U50" s="4922">
        <v>1168.2</v>
      </c>
      <c r="V50" s="4845">
        <v>1</v>
      </c>
      <c r="W50" s="4922">
        <f>Table10[[#This Row],[Sales Amount]]-Table10[[#This Row],[Cost]]</f>
        <v>406.79999999999995</v>
      </c>
      <c r="X50" s="5060">
        <f>Table10[[#This Row],[Profit]]/Table10[[#This Row],[Cost]]</f>
        <v>0.34822804314329731</v>
      </c>
      <c r="Y50" s="4845"/>
      <c r="Z50" s="4845"/>
    </row>
    <row r="51" spans="1:26" s="106" customFormat="1">
      <c r="A51" s="857" t="s">
        <v>468</v>
      </c>
      <c r="B51" s="4291" t="s">
        <v>4379</v>
      </c>
      <c r="C51" s="3268" t="s">
        <v>200</v>
      </c>
      <c r="D51" s="3262">
        <v>45259</v>
      </c>
      <c r="E51" s="3264">
        <v>45270</v>
      </c>
      <c r="F51" s="3268" t="s">
        <v>29</v>
      </c>
      <c r="G51" s="3265" t="s">
        <v>57</v>
      </c>
      <c r="H51" s="3262">
        <v>45271</v>
      </c>
      <c r="I51" s="3268"/>
      <c r="J51" s="3268" t="s">
        <v>297</v>
      </c>
      <c r="K51" s="3273" t="s">
        <v>4376</v>
      </c>
      <c r="L51" s="3268">
        <v>3025544</v>
      </c>
      <c r="M51" s="3262">
        <v>45271</v>
      </c>
      <c r="N51" s="3262">
        <v>45271</v>
      </c>
      <c r="O51" s="3314">
        <v>45271</v>
      </c>
      <c r="P51" s="3368" t="s">
        <v>4380</v>
      </c>
      <c r="Q51" s="3268" t="s">
        <v>75</v>
      </c>
      <c r="R51" s="4837" t="s">
        <v>4381</v>
      </c>
      <c r="S51" s="4845">
        <v>4</v>
      </c>
      <c r="T51" s="5190">
        <v>1575</v>
      </c>
      <c r="U51" s="4922">
        <v>1168.2</v>
      </c>
      <c r="V51" s="4845">
        <v>1</v>
      </c>
      <c r="W51" s="4922">
        <f>Table10[[#This Row],[Sales Amount]]-Table10[[#This Row],[Cost]]</f>
        <v>406.79999999999995</v>
      </c>
      <c r="X51" s="5060">
        <f>Table10[[#This Row],[Profit]]/Table10[[#This Row],[Cost]]</f>
        <v>0.34822804314329731</v>
      </c>
      <c r="Y51" s="4845"/>
      <c r="Z51" s="4845"/>
    </row>
    <row r="52" spans="1:26" customFormat="1" ht="45">
      <c r="A52" s="4242" t="s">
        <v>468</v>
      </c>
      <c r="B52" s="4242" t="s">
        <v>4382</v>
      </c>
      <c r="C52" s="4242" t="s">
        <v>200</v>
      </c>
      <c r="D52" s="3262">
        <v>45264</v>
      </c>
      <c r="E52" s="3365">
        <v>45270</v>
      </c>
      <c r="F52" s="3268" t="s">
        <v>93</v>
      </c>
      <c r="G52" s="3369" t="s">
        <v>302</v>
      </c>
      <c r="H52" s="4241">
        <v>45272</v>
      </c>
      <c r="I52" s="3268" t="s">
        <v>926</v>
      </c>
      <c r="J52" s="4242" t="s">
        <v>32</v>
      </c>
      <c r="K52" s="4246" t="s">
        <v>2728</v>
      </c>
      <c r="L52" s="3367" t="s">
        <v>4383</v>
      </c>
      <c r="M52" s="3366">
        <v>45272</v>
      </c>
      <c r="N52" s="3366">
        <v>45271</v>
      </c>
      <c r="O52" s="3366">
        <v>45272</v>
      </c>
      <c r="P52" s="4246" t="s">
        <v>4384</v>
      </c>
      <c r="Q52" s="4845" t="s">
        <v>75</v>
      </c>
      <c r="R52" s="4837" t="s">
        <v>4385</v>
      </c>
      <c r="S52" s="4845">
        <v>4</v>
      </c>
      <c r="T52" s="4845">
        <v>1015</v>
      </c>
      <c r="U52" s="4845">
        <v>830</v>
      </c>
      <c r="V52" s="4845">
        <v>1</v>
      </c>
      <c r="W52" s="4845">
        <f>Table10[[#This Row],[Sales Amount]]-Table10[[#This Row],[Cost]]</f>
        <v>185</v>
      </c>
      <c r="X52" s="5060">
        <f>Table10[[#This Row],[Profit]]/Table10[[#This Row],[Cost]]</f>
        <v>0.22289156626506024</v>
      </c>
      <c r="Y52" s="4845"/>
      <c r="Z52" s="4845"/>
    </row>
    <row r="53" spans="1:26" customFormat="1" ht="30">
      <c r="A53" s="4845" t="s">
        <v>2489</v>
      </c>
      <c r="B53" s="4837" t="s">
        <v>4386</v>
      </c>
      <c r="C53" s="4845" t="s">
        <v>28</v>
      </c>
      <c r="D53" s="4906">
        <v>45259</v>
      </c>
      <c r="E53" s="4916">
        <v>45271</v>
      </c>
      <c r="F53" s="4845" t="s">
        <v>135</v>
      </c>
      <c r="G53" s="4850" t="s">
        <v>3515</v>
      </c>
      <c r="H53" s="4906">
        <v>45274</v>
      </c>
      <c r="I53" s="4837" t="s">
        <v>445</v>
      </c>
      <c r="J53" s="4845" t="s">
        <v>297</v>
      </c>
      <c r="K53" s="117" t="s">
        <v>4387</v>
      </c>
      <c r="L53" s="3367">
        <v>4139</v>
      </c>
      <c r="M53" s="3366">
        <v>45273</v>
      </c>
      <c r="N53" s="3366">
        <v>45273</v>
      </c>
      <c r="O53" s="3262">
        <v>45274</v>
      </c>
      <c r="P53" s="4299" t="s">
        <v>4388</v>
      </c>
      <c r="Q53" s="2080" t="s">
        <v>75</v>
      </c>
      <c r="R53" s="4150" t="s">
        <v>4389</v>
      </c>
      <c r="S53" s="4845">
        <v>4</v>
      </c>
      <c r="T53" s="5190">
        <v>1915</v>
      </c>
      <c r="U53" s="4845">
        <v>1592.2</v>
      </c>
      <c r="V53" s="4845">
        <v>1</v>
      </c>
      <c r="W53" s="5190">
        <f>Table10[[#This Row],[Sales Amount]]-Table10[[#This Row],[Cost]]</f>
        <v>322.79999999999995</v>
      </c>
      <c r="X53" s="5060">
        <f>Table10[[#This Row],[Profit]]/Table10[[#This Row],[Cost]]</f>
        <v>0.20273834945358621</v>
      </c>
      <c r="Y53" s="4845"/>
      <c r="Z53" s="4845"/>
    </row>
    <row r="54" spans="1:26" s="507" customFormat="1" ht="30">
      <c r="A54" s="4908" t="s">
        <v>4284</v>
      </c>
      <c r="B54" s="4908" t="s">
        <v>4390</v>
      </c>
      <c r="C54" s="4908" t="s">
        <v>28</v>
      </c>
      <c r="D54" s="4906">
        <v>45259</v>
      </c>
      <c r="E54" s="4916">
        <v>45271</v>
      </c>
      <c r="F54" s="4908" t="s">
        <v>45</v>
      </c>
      <c r="G54" s="4850" t="s">
        <v>801</v>
      </c>
      <c r="H54" s="4917">
        <v>45275</v>
      </c>
      <c r="I54" s="5148" t="s">
        <v>4391</v>
      </c>
      <c r="J54" s="4908" t="s">
        <v>32</v>
      </c>
      <c r="K54" s="5215" t="s">
        <v>4392</v>
      </c>
      <c r="L54" s="4845">
        <v>223608</v>
      </c>
      <c r="M54" s="4918">
        <v>45273</v>
      </c>
      <c r="N54" s="4918">
        <v>45272</v>
      </c>
      <c r="O54" s="4906">
        <v>45275</v>
      </c>
      <c r="P54" s="4104" t="s">
        <v>4393</v>
      </c>
      <c r="Q54" s="4845" t="s">
        <v>75</v>
      </c>
      <c r="R54" s="3" t="s">
        <v>4394</v>
      </c>
      <c r="S54" s="4845">
        <v>4</v>
      </c>
      <c r="T54" s="4845">
        <v>1263.33</v>
      </c>
      <c r="U54" s="4845">
        <v>990.83</v>
      </c>
      <c r="V54" s="4845">
        <v>1</v>
      </c>
      <c r="W54" s="4845">
        <f>Table10[[#This Row],[Sales Amount]]-Table10[[#This Row],[Cost]]</f>
        <v>272.49999999999989</v>
      </c>
      <c r="X54" s="5060">
        <f>Table10[[#This Row],[Profit]]/Table10[[#This Row],[Cost]]</f>
        <v>0.27502195129335999</v>
      </c>
      <c r="Y54" s="4845"/>
      <c r="Z54" s="4845"/>
    </row>
    <row r="55" spans="1:26" s="3" customFormat="1">
      <c r="A55" s="4291" t="s">
        <v>4284</v>
      </c>
      <c r="B55" s="4291" t="s">
        <v>4395</v>
      </c>
      <c r="C55" s="4291" t="s">
        <v>28</v>
      </c>
      <c r="D55" s="1994">
        <v>45259</v>
      </c>
      <c r="E55" s="2017">
        <v>45271</v>
      </c>
      <c r="F55" s="4291" t="s">
        <v>45</v>
      </c>
      <c r="G55" s="4300" t="s">
        <v>801</v>
      </c>
      <c r="H55" s="2159">
        <v>45275</v>
      </c>
      <c r="I55" s="4301" t="s">
        <v>4391</v>
      </c>
      <c r="J55" s="4291" t="s">
        <v>32</v>
      </c>
      <c r="K55" s="4291" t="s">
        <v>4392</v>
      </c>
      <c r="L55" s="857">
        <v>755552</v>
      </c>
      <c r="M55" s="2018">
        <v>45273</v>
      </c>
      <c r="N55" s="2018">
        <v>45273</v>
      </c>
      <c r="O55" s="1994">
        <v>45275</v>
      </c>
      <c r="P55" s="2195" t="s">
        <v>4396</v>
      </c>
      <c r="Q55" s="857" t="s">
        <v>75</v>
      </c>
      <c r="R55" s="4837" t="s">
        <v>4394</v>
      </c>
      <c r="S55" s="4845">
        <v>4</v>
      </c>
      <c r="T55" s="4845">
        <v>1263.33</v>
      </c>
      <c r="U55" s="4845">
        <v>990.83</v>
      </c>
      <c r="V55" s="4845">
        <v>1</v>
      </c>
      <c r="W55" s="4845">
        <f>Table10[[#This Row],[Sales Amount]]-Table10[[#This Row],[Cost]]</f>
        <v>272.49999999999989</v>
      </c>
      <c r="X55" s="5060">
        <f>Table10[[#This Row],[Profit]]/Table10[[#This Row],[Cost]]</f>
        <v>0.27502195129335999</v>
      </c>
      <c r="Y55" s="4845"/>
      <c r="Z55" s="4845"/>
    </row>
    <row r="56" spans="1:26" customFormat="1" ht="30">
      <c r="A56" s="4908" t="s">
        <v>4284</v>
      </c>
      <c r="B56" s="4908" t="s">
        <v>4397</v>
      </c>
      <c r="C56" s="4908" t="s">
        <v>28</v>
      </c>
      <c r="D56" s="4906">
        <v>45259</v>
      </c>
      <c r="E56" s="4916">
        <v>45271</v>
      </c>
      <c r="F56" s="4908" t="s">
        <v>45</v>
      </c>
      <c r="G56" s="4850" t="s">
        <v>801</v>
      </c>
      <c r="H56" s="4917">
        <v>45275</v>
      </c>
      <c r="I56" s="4908" t="s">
        <v>4398</v>
      </c>
      <c r="J56" s="4908" t="s">
        <v>32</v>
      </c>
      <c r="K56" s="4908" t="s">
        <v>4392</v>
      </c>
      <c r="L56" s="4845">
        <v>195321</v>
      </c>
      <c r="M56" s="4918">
        <v>45273</v>
      </c>
      <c r="N56" s="4918">
        <v>45273</v>
      </c>
      <c r="O56" s="4906">
        <v>45275</v>
      </c>
      <c r="P56" s="4909" t="s">
        <v>4396</v>
      </c>
      <c r="Q56" s="4845" t="s">
        <v>75</v>
      </c>
      <c r="R56" s="4837" t="s">
        <v>4394</v>
      </c>
      <c r="S56" s="4845">
        <v>4</v>
      </c>
      <c r="T56" s="4845">
        <v>1263.33</v>
      </c>
      <c r="U56" s="4845">
        <v>990.83</v>
      </c>
      <c r="V56" s="4845">
        <v>1</v>
      </c>
      <c r="W56" s="4845">
        <f>Table10[[#This Row],[Sales Amount]]-Table10[[#This Row],[Cost]]</f>
        <v>272.49999999999989</v>
      </c>
      <c r="X56" s="5060">
        <f>Table10[[#This Row],[Profit]]/Table10[[#This Row],[Cost]]</f>
        <v>0.27502195129335999</v>
      </c>
      <c r="Y56" s="4845"/>
      <c r="Z56" s="4845"/>
    </row>
    <row r="57" spans="1:26" s="3" customFormat="1">
      <c r="A57" s="4908" t="s">
        <v>4284</v>
      </c>
      <c r="B57" s="4908" t="s">
        <v>4399</v>
      </c>
      <c r="C57" s="4908" t="s">
        <v>28</v>
      </c>
      <c r="D57" s="4906">
        <v>45259</v>
      </c>
      <c r="E57" s="4916">
        <v>45271</v>
      </c>
      <c r="F57" s="4908" t="s">
        <v>45</v>
      </c>
      <c r="G57" s="4850" t="s">
        <v>801</v>
      </c>
      <c r="H57" s="4917">
        <v>45642</v>
      </c>
      <c r="I57" s="5148" t="s">
        <v>4391</v>
      </c>
      <c r="J57" s="4908" t="s">
        <v>32</v>
      </c>
      <c r="K57" s="4908" t="s">
        <v>4392</v>
      </c>
      <c r="L57" s="4845">
        <v>566053</v>
      </c>
      <c r="M57" s="4918">
        <v>45273</v>
      </c>
      <c r="N57" s="4918">
        <v>45273</v>
      </c>
      <c r="O57" s="4844">
        <v>45276</v>
      </c>
      <c r="P57" s="4837" t="s">
        <v>4400</v>
      </c>
      <c r="Q57" s="4845" t="s">
        <v>75</v>
      </c>
      <c r="R57" s="4845" t="s">
        <v>4394</v>
      </c>
      <c r="S57" s="4845">
        <v>4</v>
      </c>
      <c r="T57" s="4845">
        <v>1263.33</v>
      </c>
      <c r="U57" s="4845">
        <v>990.83</v>
      </c>
      <c r="V57" s="4845">
        <v>1</v>
      </c>
      <c r="W57" s="4845">
        <f>Table10[[#This Row],[Sales Amount]]-Table10[[#This Row],[Cost]]</f>
        <v>272.49999999999989</v>
      </c>
      <c r="X57" s="5060">
        <f>Table10[[#This Row],[Profit]]/Table10[[#This Row],[Cost]]</f>
        <v>0.27502195129335999</v>
      </c>
      <c r="Y57" s="4845"/>
      <c r="Z57" s="4845"/>
    </row>
    <row r="58" spans="1:26" s="3" customFormat="1">
      <c r="A58" s="4166" t="s">
        <v>4284</v>
      </c>
      <c r="B58" s="4150" t="s">
        <v>4401</v>
      </c>
      <c r="C58" s="4166" t="s">
        <v>28</v>
      </c>
      <c r="D58" s="1074">
        <v>45259</v>
      </c>
      <c r="E58" s="1825">
        <v>45271</v>
      </c>
      <c r="F58" s="4166" t="s">
        <v>45</v>
      </c>
      <c r="G58" s="4169" t="s">
        <v>801</v>
      </c>
      <c r="H58" s="1060">
        <v>45276</v>
      </c>
      <c r="I58" s="4166" t="s">
        <v>4398</v>
      </c>
      <c r="J58" s="4166" t="s">
        <v>32</v>
      </c>
      <c r="K58" s="4166" t="s">
        <v>4392</v>
      </c>
      <c r="L58" s="663">
        <v>378312</v>
      </c>
      <c r="M58" s="1494">
        <v>45273</v>
      </c>
      <c r="N58" s="1494">
        <v>45273</v>
      </c>
      <c r="O58" s="1074">
        <v>45276</v>
      </c>
      <c r="P58" s="3" t="s">
        <v>4400</v>
      </c>
      <c r="Q58" s="663" t="s">
        <v>75</v>
      </c>
      <c r="R58" s="4837" t="s">
        <v>4394</v>
      </c>
      <c r="S58" s="4845">
        <v>4</v>
      </c>
      <c r="T58" s="4845">
        <v>1263.3399999999999</v>
      </c>
      <c r="U58" s="4845">
        <v>990.84</v>
      </c>
      <c r="V58" s="4845">
        <v>1</v>
      </c>
      <c r="W58" s="4845">
        <f>Table10[[#This Row],[Sales Amount]]-Table10[[#This Row],[Cost]]</f>
        <v>272.49999999999989</v>
      </c>
      <c r="X58" s="5060">
        <f>Table10[[#This Row],[Profit]]/Table10[[#This Row],[Cost]]</f>
        <v>0.27501917564894418</v>
      </c>
      <c r="Y58" s="4845"/>
      <c r="Z58" s="4845"/>
    </row>
    <row r="59" spans="1:26" s="3" customFormat="1" ht="30">
      <c r="A59" s="4908" t="s">
        <v>4284</v>
      </c>
      <c r="B59" s="4908" t="s">
        <v>4402</v>
      </c>
      <c r="C59" s="4908" t="s">
        <v>28</v>
      </c>
      <c r="D59" s="4906">
        <v>45259</v>
      </c>
      <c r="E59" s="4916">
        <v>45271</v>
      </c>
      <c r="F59" s="4908" t="s">
        <v>45</v>
      </c>
      <c r="G59" s="4850" t="s">
        <v>801</v>
      </c>
      <c r="H59" s="4917">
        <v>45276</v>
      </c>
      <c r="I59" s="4908" t="s">
        <v>4398</v>
      </c>
      <c r="J59" s="4908" t="s">
        <v>32</v>
      </c>
      <c r="K59" s="4908" t="s">
        <v>4392</v>
      </c>
      <c r="L59" s="4845">
        <v>841141</v>
      </c>
      <c r="M59" s="4918">
        <v>45273</v>
      </c>
      <c r="N59" s="4918">
        <v>45273</v>
      </c>
      <c r="O59" s="4906">
        <v>45276</v>
      </c>
      <c r="P59" s="4909" t="s">
        <v>4400</v>
      </c>
      <c r="Q59" s="4845" t="s">
        <v>75</v>
      </c>
      <c r="R59" s="4837" t="s">
        <v>4394</v>
      </c>
      <c r="S59" s="4845">
        <v>4</v>
      </c>
      <c r="T59" s="4845">
        <v>1263.3399999999999</v>
      </c>
      <c r="U59" s="4845">
        <v>990.84</v>
      </c>
      <c r="V59" s="4845">
        <v>1</v>
      </c>
      <c r="W59" s="4845">
        <f>Table10[[#This Row],[Sales Amount]]-Table10[[#This Row],[Cost]]</f>
        <v>272.49999999999989</v>
      </c>
      <c r="X59" s="5060">
        <f>Table10[[#This Row],[Profit]]/Table10[[#This Row],[Cost]]</f>
        <v>0.27501917564894418</v>
      </c>
      <c r="Y59" s="4845"/>
      <c r="Z59" s="4845"/>
    </row>
    <row r="60" spans="1:26" s="3" customFormat="1" ht="45" hidden="1">
      <c r="A60" s="3275" t="s">
        <v>2966</v>
      </c>
      <c r="B60" s="709" t="s">
        <v>4403</v>
      </c>
      <c r="C60" s="3275" t="s">
        <v>200</v>
      </c>
      <c r="D60" s="3279">
        <v>45265</v>
      </c>
      <c r="E60" s="3346">
        <v>45272</v>
      </c>
      <c r="F60" s="3275" t="s">
        <v>56</v>
      </c>
      <c r="G60" s="3275" t="s">
        <v>46</v>
      </c>
      <c r="H60" s="4990">
        <v>45273</v>
      </c>
      <c r="I60" s="3370"/>
      <c r="J60" s="58" t="s">
        <v>1353</v>
      </c>
      <c r="K60" s="3286" t="s">
        <v>2968</v>
      </c>
      <c r="L60" s="3357">
        <v>818686</v>
      </c>
      <c r="M60" s="3350">
        <v>45274</v>
      </c>
      <c r="N60" s="3350">
        <v>45273</v>
      </c>
      <c r="O60" s="3371">
        <v>45273</v>
      </c>
      <c r="P60" s="3372" t="s">
        <v>4404</v>
      </c>
      <c r="Q60" s="4839" t="s">
        <v>35</v>
      </c>
      <c r="R60" s="4839" t="s">
        <v>36</v>
      </c>
      <c r="S60" s="4839" t="s">
        <v>2971</v>
      </c>
      <c r="T60" s="4895">
        <v>1445</v>
      </c>
      <c r="U60" s="4895">
        <v>1128</v>
      </c>
      <c r="V60" s="4895"/>
      <c r="W60" s="4895"/>
      <c r="X60" s="4895"/>
      <c r="Y60" s="4895"/>
      <c r="Z60" s="4895"/>
    </row>
    <row r="61" spans="1:26" s="507" customFormat="1" hidden="1">
      <c r="A61" s="4839" t="s">
        <v>171</v>
      </c>
      <c r="B61" s="4861" t="s">
        <v>4405</v>
      </c>
      <c r="C61" s="4839" t="s">
        <v>28</v>
      </c>
      <c r="D61" s="4957">
        <v>45264</v>
      </c>
      <c r="E61" s="4867">
        <v>45272</v>
      </c>
      <c r="F61" s="4839" t="s">
        <v>56</v>
      </c>
      <c r="G61" s="4839" t="s">
        <v>46</v>
      </c>
      <c r="H61" s="4957">
        <v>45272</v>
      </c>
      <c r="I61" s="4839"/>
      <c r="J61" s="4839" t="s">
        <v>32</v>
      </c>
      <c r="K61" s="4839" t="s">
        <v>174</v>
      </c>
      <c r="L61" s="4841" t="s">
        <v>4406</v>
      </c>
      <c r="M61" s="4990">
        <v>45274</v>
      </c>
      <c r="N61" s="4957">
        <v>45272</v>
      </c>
      <c r="O61" s="4957">
        <v>45272</v>
      </c>
      <c r="P61" s="5199" t="s">
        <v>4407</v>
      </c>
      <c r="Q61" s="4599" t="s">
        <v>35</v>
      </c>
      <c r="R61" s="4839" t="s">
        <v>36</v>
      </c>
      <c r="S61" s="4839" t="s">
        <v>37</v>
      </c>
      <c r="T61" s="4895">
        <v>765</v>
      </c>
      <c r="U61" s="4895">
        <v>620</v>
      </c>
      <c r="V61" s="4895"/>
      <c r="W61" s="4895"/>
      <c r="X61" s="4895"/>
      <c r="Y61" s="4895"/>
      <c r="Z61" s="4895"/>
    </row>
    <row r="62" spans="1:26" s="507" customFormat="1" ht="45" hidden="1">
      <c r="A62" s="4834" t="s">
        <v>263</v>
      </c>
      <c r="B62" s="4913" t="s">
        <v>4408</v>
      </c>
      <c r="C62" s="4834" t="s">
        <v>44</v>
      </c>
      <c r="D62" s="4833">
        <v>45272</v>
      </c>
      <c r="E62" s="4833">
        <v>45272</v>
      </c>
      <c r="F62" s="4834" t="s">
        <v>135</v>
      </c>
      <c r="G62" s="4834" t="s">
        <v>265</v>
      </c>
      <c r="H62" s="5098">
        <v>45278</v>
      </c>
      <c r="I62" s="5216">
        <v>0.45833333333333331</v>
      </c>
      <c r="J62" s="4834" t="s">
        <v>377</v>
      </c>
      <c r="K62" s="4834" t="s">
        <v>4409</v>
      </c>
      <c r="L62" s="4834"/>
      <c r="M62" s="5098">
        <v>45278</v>
      </c>
      <c r="N62" s="5098">
        <v>45278</v>
      </c>
      <c r="O62" s="5098">
        <v>45279</v>
      </c>
      <c r="P62" s="4864" t="s">
        <v>4410</v>
      </c>
      <c r="Q62" s="4834" t="s">
        <v>128</v>
      </c>
      <c r="R62" s="4834" t="s">
        <v>36</v>
      </c>
      <c r="S62" s="4834"/>
      <c r="T62" s="4834">
        <f>2037.66-550-180-80.16</f>
        <v>1227.5</v>
      </c>
      <c r="U62" s="4834">
        <f>905-180+90</f>
        <v>815</v>
      </c>
      <c r="V62" s="4834">
        <v>1</v>
      </c>
      <c r="W62" s="4834">
        <f>Table10[[#This Row],[Sales Amount]]-Table10[[#This Row],[Cost]]</f>
        <v>412.5</v>
      </c>
      <c r="X62" s="4834">
        <f>IFERROR(Table6[[#This Row],[Profit]]/Table6[[#This Row],[Cost]]," ")</f>
        <v>0.37823585810162991</v>
      </c>
      <c r="Y62" s="4834"/>
      <c r="Z62" s="4834"/>
    </row>
    <row r="63" spans="1:26" s="3" customFormat="1" ht="45">
      <c r="A63" s="857" t="s">
        <v>468</v>
      </c>
      <c r="B63" s="857" t="s">
        <v>4411</v>
      </c>
      <c r="C63" s="857" t="s">
        <v>28</v>
      </c>
      <c r="D63" s="1994">
        <v>45255</v>
      </c>
      <c r="E63" s="2017">
        <v>45272</v>
      </c>
      <c r="F63" s="857" t="s">
        <v>1357</v>
      </c>
      <c r="G63" s="4291" t="s">
        <v>3510</v>
      </c>
      <c r="H63" s="2018">
        <v>45273</v>
      </c>
      <c r="I63" s="858" t="s">
        <v>108</v>
      </c>
      <c r="J63" s="857" t="s">
        <v>2306</v>
      </c>
      <c r="K63" s="859" t="s">
        <v>2313</v>
      </c>
      <c r="L63" s="766" t="s">
        <v>4412</v>
      </c>
      <c r="M63" s="2018">
        <v>45273</v>
      </c>
      <c r="N63" s="2018">
        <v>45273</v>
      </c>
      <c r="O63" s="1994">
        <v>45273</v>
      </c>
      <c r="P63" s="4246" t="s">
        <v>4413</v>
      </c>
      <c r="Q63" s="4845" t="s">
        <v>75</v>
      </c>
      <c r="R63" s="4845" t="s">
        <v>4414</v>
      </c>
      <c r="S63" s="4845">
        <v>4</v>
      </c>
      <c r="T63" s="4845">
        <v>685</v>
      </c>
      <c r="U63" s="4845">
        <v>452.47</v>
      </c>
      <c r="V63" s="4845">
        <v>1</v>
      </c>
      <c r="W63" s="4922">
        <f>Table10[[#This Row],[Sales Amount]]-Table10[[#This Row],[Cost]]</f>
        <v>232.52999999999997</v>
      </c>
      <c r="X63" s="5060">
        <f>Table10[[#This Row],[Profit]]/Table10[[#This Row],[Cost]]</f>
        <v>0.51391252458726533</v>
      </c>
      <c r="Y63" s="4845"/>
      <c r="Z63" s="4845"/>
    </row>
    <row r="64" spans="1:26" s="26" customFormat="1" hidden="1">
      <c r="A64" s="4852" t="s">
        <v>3343</v>
      </c>
      <c r="B64" s="709" t="s">
        <v>4415</v>
      </c>
      <c r="C64" s="4839" t="s">
        <v>28</v>
      </c>
      <c r="D64" s="5179">
        <v>45266</v>
      </c>
      <c r="E64" s="5196">
        <v>45272</v>
      </c>
      <c r="F64" s="4839" t="s">
        <v>151</v>
      </c>
      <c r="G64" s="4852" t="s">
        <v>46</v>
      </c>
      <c r="H64" s="4839"/>
      <c r="I64" s="4839"/>
      <c r="J64" s="4839" t="s">
        <v>168</v>
      </c>
      <c r="K64" s="4839" t="s">
        <v>310</v>
      </c>
      <c r="L64" s="4839" t="s">
        <v>4416</v>
      </c>
      <c r="M64" s="5179">
        <v>45274</v>
      </c>
      <c r="N64" s="5179">
        <v>45272</v>
      </c>
      <c r="O64" s="5179">
        <v>45274</v>
      </c>
      <c r="P64" s="4968" t="s">
        <v>4417</v>
      </c>
      <c r="Q64" s="4599" t="s">
        <v>50</v>
      </c>
      <c r="R64" s="58" t="s">
        <v>51</v>
      </c>
      <c r="S64" s="4839"/>
      <c r="T64" s="4839"/>
      <c r="U64" s="4839"/>
      <c r="V64" s="4839"/>
      <c r="W64" s="4839"/>
      <c r="X64" s="4839"/>
      <c r="Y64" s="4839"/>
      <c r="Z64" s="4839"/>
    </row>
    <row r="65" spans="1:26" customFormat="1" hidden="1">
      <c r="A65" s="2155" t="s">
        <v>42</v>
      </c>
      <c r="B65" s="1915" t="s">
        <v>4418</v>
      </c>
      <c r="C65" s="2155" t="s">
        <v>28</v>
      </c>
      <c r="D65" s="2517">
        <v>45263</v>
      </c>
      <c r="E65" s="2518">
        <v>45272</v>
      </c>
      <c r="F65" s="2155" t="s">
        <v>3639</v>
      </c>
      <c r="G65" s="2155" t="s">
        <v>57</v>
      </c>
      <c r="H65" s="2155"/>
      <c r="I65" s="2155"/>
      <c r="J65" s="2155" t="s">
        <v>168</v>
      </c>
      <c r="K65" s="2155" t="s">
        <v>310</v>
      </c>
      <c r="L65" s="2155">
        <v>3539465</v>
      </c>
      <c r="M65" s="2517">
        <v>45274</v>
      </c>
      <c r="N65" s="2517">
        <v>45273</v>
      </c>
      <c r="O65" s="2517">
        <v>45274</v>
      </c>
      <c r="P65" s="1922" t="s">
        <v>4419</v>
      </c>
      <c r="Q65" s="2154" t="s">
        <v>50</v>
      </c>
      <c r="R65" s="2154" t="s">
        <v>51</v>
      </c>
      <c r="S65" s="2154"/>
      <c r="T65" s="2154"/>
      <c r="U65" s="2154"/>
      <c r="V65" s="2154"/>
      <c r="W65" s="2154"/>
      <c r="X65" s="2154"/>
      <c r="Y65" s="2154"/>
      <c r="Z65" s="2154"/>
    </row>
    <row r="66" spans="1:26" customFormat="1" hidden="1">
      <c r="A66" s="18" t="s">
        <v>42</v>
      </c>
      <c r="B66" s="718" t="s">
        <v>4420</v>
      </c>
      <c r="C66" s="18" t="s">
        <v>28</v>
      </c>
      <c r="D66" s="2511">
        <v>45263</v>
      </c>
      <c r="E66" s="2519">
        <v>45272</v>
      </c>
      <c r="F66" s="18" t="s">
        <v>3639</v>
      </c>
      <c r="G66" s="18" t="s">
        <v>57</v>
      </c>
      <c r="H66" s="18"/>
      <c r="I66" s="18"/>
      <c r="J66" s="18" t="s">
        <v>168</v>
      </c>
      <c r="K66" s="18" t="s">
        <v>310</v>
      </c>
      <c r="L66" s="18">
        <v>3539530</v>
      </c>
      <c r="M66" s="2511">
        <v>45274</v>
      </c>
      <c r="N66" s="2511">
        <v>45273</v>
      </c>
      <c r="O66" s="2511">
        <v>45275</v>
      </c>
      <c r="P66" s="724" t="s">
        <v>4421</v>
      </c>
      <c r="Q66" s="18" t="s">
        <v>50</v>
      </c>
      <c r="R66" s="18" t="s">
        <v>51</v>
      </c>
      <c r="S66" s="18"/>
      <c r="T66" s="18"/>
      <c r="U66" s="18"/>
      <c r="V66" s="18"/>
      <c r="W66" s="18"/>
      <c r="X66" s="18"/>
      <c r="Y66" s="18"/>
      <c r="Z66" s="18"/>
    </row>
    <row r="67" spans="1:26" customFormat="1" hidden="1">
      <c r="A67" s="2154" t="s">
        <v>42</v>
      </c>
      <c r="B67" s="1911" t="s">
        <v>4422</v>
      </c>
      <c r="C67" s="2154" t="s">
        <v>28</v>
      </c>
      <c r="D67" s="2520">
        <v>45263</v>
      </c>
      <c r="E67" s="2521">
        <v>45272</v>
      </c>
      <c r="F67" s="2154" t="s">
        <v>3639</v>
      </c>
      <c r="G67" s="2154" t="s">
        <v>57</v>
      </c>
      <c r="H67" s="2154"/>
      <c r="I67" s="2154"/>
      <c r="J67" s="2154" t="s">
        <v>32</v>
      </c>
      <c r="K67" s="2154" t="s">
        <v>310</v>
      </c>
      <c r="L67" s="2154">
        <v>3539584</v>
      </c>
      <c r="M67" s="2520">
        <v>45274</v>
      </c>
      <c r="N67" s="2520">
        <v>45273</v>
      </c>
      <c r="O67" s="2520">
        <v>45275</v>
      </c>
      <c r="P67" s="1764" t="s">
        <v>4423</v>
      </c>
      <c r="Q67" s="2154" t="s">
        <v>50</v>
      </c>
      <c r="R67" s="2154" t="s">
        <v>51</v>
      </c>
      <c r="S67" s="2154"/>
      <c r="T67" s="2154"/>
      <c r="U67" s="2154"/>
      <c r="V67" s="2154"/>
      <c r="W67" s="2154"/>
      <c r="X67" s="2154"/>
      <c r="Y67" s="2154"/>
      <c r="Z67" s="2154"/>
    </row>
    <row r="68" spans="1:26" customFormat="1" hidden="1">
      <c r="A68" s="2154" t="s">
        <v>42</v>
      </c>
      <c r="B68" s="1911" t="s">
        <v>4424</v>
      </c>
      <c r="C68" s="2154" t="s">
        <v>28</v>
      </c>
      <c r="D68" s="2520">
        <v>45263</v>
      </c>
      <c r="E68" s="2521">
        <v>45272</v>
      </c>
      <c r="F68" s="2154" t="s">
        <v>3639</v>
      </c>
      <c r="G68" s="2154" t="s">
        <v>57</v>
      </c>
      <c r="H68" s="2154"/>
      <c r="I68" s="2154"/>
      <c r="J68" s="2154" t="s">
        <v>168</v>
      </c>
      <c r="K68" s="2154" t="s">
        <v>310</v>
      </c>
      <c r="L68" s="2154">
        <v>3539370</v>
      </c>
      <c r="M68" s="2520">
        <v>45274</v>
      </c>
      <c r="N68" s="2520">
        <v>45273</v>
      </c>
      <c r="O68" s="2520">
        <v>45274</v>
      </c>
      <c r="P68" s="1764" t="s">
        <v>4425</v>
      </c>
      <c r="Q68" s="2154" t="s">
        <v>50</v>
      </c>
      <c r="R68" s="2154" t="s">
        <v>51</v>
      </c>
      <c r="S68" s="2154"/>
      <c r="T68" s="2154"/>
      <c r="U68" s="2154"/>
      <c r="V68" s="2154"/>
      <c r="W68" s="2154"/>
      <c r="X68" s="2154"/>
      <c r="Y68" s="2154"/>
      <c r="Z68" s="2154"/>
    </row>
    <row r="69" spans="1:26" s="117" customFormat="1" hidden="1">
      <c r="A69" s="4839" t="s">
        <v>3322</v>
      </c>
      <c r="B69" s="3246" t="s">
        <v>4426</v>
      </c>
      <c r="C69" s="4839" t="s">
        <v>4180</v>
      </c>
      <c r="D69" s="5179">
        <v>45265</v>
      </c>
      <c r="E69" s="2515">
        <v>45272</v>
      </c>
      <c r="F69" s="4839" t="s">
        <v>56</v>
      </c>
      <c r="G69" s="4839" t="s">
        <v>46</v>
      </c>
      <c r="H69" s="4839"/>
      <c r="I69" s="4839"/>
      <c r="J69" s="4839" t="s">
        <v>168</v>
      </c>
      <c r="K69" s="4839" t="s">
        <v>310</v>
      </c>
      <c r="L69" s="4839" t="s">
        <v>4427</v>
      </c>
      <c r="M69" s="5179">
        <v>45274</v>
      </c>
      <c r="N69" s="5179">
        <v>45273</v>
      </c>
      <c r="O69" s="5179">
        <v>45273</v>
      </c>
      <c r="P69" s="4968" t="s">
        <v>4428</v>
      </c>
      <c r="Q69" s="4839" t="s">
        <v>50</v>
      </c>
      <c r="R69" s="4839" t="s">
        <v>51</v>
      </c>
      <c r="S69" s="4839"/>
      <c r="T69" s="4839"/>
      <c r="U69" s="4839"/>
      <c r="V69" s="4839"/>
      <c r="W69" s="4839"/>
      <c r="X69" s="4839"/>
      <c r="Y69" s="4839"/>
      <c r="Z69" s="4839"/>
    </row>
    <row r="70" spans="1:26" s="117" customFormat="1" hidden="1">
      <c r="A70" s="5217" t="s">
        <v>42</v>
      </c>
      <c r="B70" s="117" t="s">
        <v>4429</v>
      </c>
      <c r="C70" s="4603" t="s">
        <v>28</v>
      </c>
      <c r="D70" s="5204">
        <v>45276</v>
      </c>
      <c r="E70" s="5201">
        <v>45289</v>
      </c>
      <c r="F70" s="4850" t="s">
        <v>151</v>
      </c>
      <c r="G70" s="4848" t="s">
        <v>829</v>
      </c>
      <c r="H70" s="4848"/>
      <c r="I70" s="25"/>
      <c r="J70" s="4848" t="s">
        <v>168</v>
      </c>
      <c r="K70" s="4848" t="s">
        <v>310</v>
      </c>
      <c r="L70" s="5218" t="s">
        <v>4430</v>
      </c>
      <c r="M70" s="2527">
        <v>45290</v>
      </c>
      <c r="N70" s="2527">
        <v>45289</v>
      </c>
      <c r="O70" s="2527">
        <v>45292</v>
      </c>
      <c r="P70" s="3" t="s">
        <v>4431</v>
      </c>
      <c r="Q70" s="4848" t="s">
        <v>50</v>
      </c>
      <c r="R70" s="3" t="s">
        <v>36</v>
      </c>
      <c r="S70" s="4848"/>
      <c r="T70" s="4848"/>
      <c r="U70" s="4848"/>
      <c r="V70" s="4848"/>
      <c r="W70" s="4848"/>
      <c r="X70" s="4848"/>
      <c r="Y70" s="4848"/>
      <c r="Z70" s="4848"/>
    </row>
    <row r="71" spans="1:26" s="106" customFormat="1" hidden="1">
      <c r="A71" s="710" t="s">
        <v>1431</v>
      </c>
      <c r="B71" s="726" t="s">
        <v>4432</v>
      </c>
      <c r="C71" s="710" t="s">
        <v>28</v>
      </c>
      <c r="D71" s="1985">
        <v>45266</v>
      </c>
      <c r="E71" s="1497">
        <v>45273</v>
      </c>
      <c r="F71" s="710" t="s">
        <v>29</v>
      </c>
      <c r="G71" s="710" t="s">
        <v>57</v>
      </c>
      <c r="H71" s="1986">
        <v>45274</v>
      </c>
      <c r="I71" s="1117" t="s">
        <v>115</v>
      </c>
      <c r="J71" s="710" t="s">
        <v>32</v>
      </c>
      <c r="K71" s="1117" t="s">
        <v>1433</v>
      </c>
      <c r="L71" s="1117">
        <v>3679240</v>
      </c>
      <c r="M71" s="1771">
        <v>45275</v>
      </c>
      <c r="N71" s="982">
        <v>45274</v>
      </c>
      <c r="O71" s="982">
        <v>45275</v>
      </c>
      <c r="P71" s="1871" t="s">
        <v>4433</v>
      </c>
      <c r="Q71" s="18" t="s">
        <v>35</v>
      </c>
      <c r="R71" s="18" t="s">
        <v>36</v>
      </c>
      <c r="S71" s="18" t="s">
        <v>37</v>
      </c>
      <c r="T71" s="84">
        <v>1393.5</v>
      </c>
      <c r="U71" s="84">
        <v>1265</v>
      </c>
      <c r="V71" s="84"/>
      <c r="W71" s="84"/>
      <c r="X71" s="84"/>
      <c r="Y71" s="84"/>
      <c r="Z71" s="84"/>
    </row>
    <row r="72" spans="1:26" s="117" customFormat="1" ht="45">
      <c r="A72" s="4845" t="s">
        <v>165</v>
      </c>
      <c r="B72" s="4908" t="s">
        <v>4434</v>
      </c>
      <c r="C72" s="4908" t="s">
        <v>28</v>
      </c>
      <c r="D72" s="4906">
        <v>45263</v>
      </c>
      <c r="E72" s="4916">
        <v>45273</v>
      </c>
      <c r="F72" s="4908" t="s">
        <v>4365</v>
      </c>
      <c r="G72" s="4857" t="s">
        <v>4366</v>
      </c>
      <c r="H72" s="4906">
        <v>45278</v>
      </c>
      <c r="I72" s="4921" t="s">
        <v>445</v>
      </c>
      <c r="J72" s="4908" t="s">
        <v>297</v>
      </c>
      <c r="K72" s="4908" t="s">
        <v>4367</v>
      </c>
      <c r="L72" s="4929">
        <v>70486380</v>
      </c>
      <c r="M72" s="4605">
        <v>45278</v>
      </c>
      <c r="N72" s="4906">
        <v>45276</v>
      </c>
      <c r="O72" s="4906">
        <v>45278</v>
      </c>
      <c r="P72" s="4909" t="s">
        <v>4435</v>
      </c>
      <c r="Q72" s="4845" t="s">
        <v>75</v>
      </c>
      <c r="R72" s="4150" t="s">
        <v>4436</v>
      </c>
      <c r="S72" s="4845">
        <v>4</v>
      </c>
      <c r="T72" s="4845">
        <v>1375</v>
      </c>
      <c r="U72" s="4922">
        <v>662.5</v>
      </c>
      <c r="V72" s="4845">
        <v>1</v>
      </c>
      <c r="W72" s="4845">
        <f>Table10[[#This Row],[Sales Amount]]-Table10[[#This Row],[Cost]]</f>
        <v>712.5</v>
      </c>
      <c r="X72" s="5060">
        <f>Table10[[#This Row],[Profit]]/Table10[[#This Row],[Cost]]</f>
        <v>1.0754716981132075</v>
      </c>
      <c r="Y72" s="4845"/>
      <c r="Z72" s="4845"/>
    </row>
    <row r="73" spans="1:26" s="106" customFormat="1" hidden="1">
      <c r="A73" s="4839" t="s">
        <v>3322</v>
      </c>
      <c r="B73" s="4861" t="s">
        <v>4437</v>
      </c>
      <c r="C73" s="4839" t="s">
        <v>4180</v>
      </c>
      <c r="D73" s="5179">
        <v>45265</v>
      </c>
      <c r="E73" s="5219">
        <v>45273</v>
      </c>
      <c r="F73" s="4839" t="s">
        <v>56</v>
      </c>
      <c r="G73" s="4839" t="s">
        <v>46</v>
      </c>
      <c r="H73" s="4839"/>
      <c r="I73" s="4839"/>
      <c r="J73" s="4839" t="s">
        <v>168</v>
      </c>
      <c r="K73" s="4839" t="s">
        <v>310</v>
      </c>
      <c r="L73" s="4839" t="s">
        <v>4438</v>
      </c>
      <c r="M73" s="4636">
        <v>45275</v>
      </c>
      <c r="N73" s="5179">
        <v>45273</v>
      </c>
      <c r="O73" s="5179">
        <v>45278</v>
      </c>
      <c r="P73" s="911" t="s">
        <v>4439</v>
      </c>
      <c r="Q73" s="4839" t="s">
        <v>50</v>
      </c>
      <c r="R73" s="58" t="s">
        <v>36</v>
      </c>
      <c r="S73" s="4839"/>
      <c r="T73" s="4839"/>
      <c r="U73" s="4839"/>
      <c r="V73" s="4839"/>
      <c r="W73" s="4839"/>
      <c r="X73" s="4839"/>
      <c r="Y73" s="4839"/>
      <c r="Z73" s="4839"/>
    </row>
    <row r="74" spans="1:26" s="106" customFormat="1" hidden="1">
      <c r="A74" s="4839" t="s">
        <v>1035</v>
      </c>
      <c r="B74" s="4861" t="s">
        <v>4440</v>
      </c>
      <c r="C74" s="4839" t="s">
        <v>28</v>
      </c>
      <c r="D74" s="4957">
        <v>45260</v>
      </c>
      <c r="E74" s="5071">
        <v>45274</v>
      </c>
      <c r="F74" s="4839" t="s">
        <v>151</v>
      </c>
      <c r="G74" s="4839" t="s">
        <v>46</v>
      </c>
      <c r="H74" s="58" t="s">
        <v>1038</v>
      </c>
      <c r="I74" s="4839"/>
      <c r="J74" s="4839" t="s">
        <v>32</v>
      </c>
      <c r="K74" s="4894" t="s">
        <v>162</v>
      </c>
      <c r="L74" s="4901" t="s">
        <v>4441</v>
      </c>
      <c r="M74" s="4625">
        <v>45276</v>
      </c>
      <c r="N74" s="4957">
        <v>45275</v>
      </c>
      <c r="O74" s="4957">
        <v>45275</v>
      </c>
      <c r="P74" s="5199" t="s">
        <v>4442</v>
      </c>
      <c r="Q74" s="4839" t="s">
        <v>35</v>
      </c>
      <c r="R74" s="58" t="s">
        <v>36</v>
      </c>
      <c r="S74" s="4839" t="s">
        <v>1320</v>
      </c>
      <c r="T74" s="4895"/>
      <c r="U74" s="4895"/>
      <c r="V74" s="4895"/>
      <c r="W74" s="4895"/>
      <c r="X74" s="4895"/>
      <c r="Y74" s="4895"/>
      <c r="Z74" s="4895"/>
    </row>
    <row r="75" spans="1:26" s="106" customFormat="1" hidden="1">
      <c r="A75" s="1145" t="s">
        <v>1035</v>
      </c>
      <c r="B75" s="1495" t="s">
        <v>4443</v>
      </c>
      <c r="C75" s="1145" t="s">
        <v>28</v>
      </c>
      <c r="D75" s="1817">
        <v>45260</v>
      </c>
      <c r="E75" s="1826">
        <v>45274</v>
      </c>
      <c r="F75" s="1145" t="s">
        <v>151</v>
      </c>
      <c r="G75" s="1145" t="s">
        <v>46</v>
      </c>
      <c r="H75" s="1145" t="s">
        <v>1038</v>
      </c>
      <c r="I75" s="1145"/>
      <c r="J75" s="1145" t="s">
        <v>32</v>
      </c>
      <c r="K75" s="1781" t="s">
        <v>162</v>
      </c>
      <c r="L75" s="1772" t="s">
        <v>4444</v>
      </c>
      <c r="M75" s="5078">
        <v>45276</v>
      </c>
      <c r="N75" s="4957">
        <v>45274</v>
      </c>
      <c r="O75" s="4957">
        <v>45275</v>
      </c>
      <c r="P75" s="5199" t="s">
        <v>4442</v>
      </c>
      <c r="Q75" s="4839" t="s">
        <v>35</v>
      </c>
      <c r="R75" s="4839" t="s">
        <v>36</v>
      </c>
      <c r="S75" s="4839" t="s">
        <v>1320</v>
      </c>
      <c r="T75" s="4895"/>
      <c r="U75" s="4895"/>
      <c r="V75" s="4895"/>
      <c r="W75" s="4895"/>
      <c r="X75" s="4895"/>
      <c r="Y75" s="4895"/>
      <c r="Z75" s="4895"/>
    </row>
    <row r="76" spans="1:26" s="1442" customFormat="1" hidden="1">
      <c r="A76" s="4839" t="s">
        <v>1035</v>
      </c>
      <c r="B76" s="4861" t="s">
        <v>4445</v>
      </c>
      <c r="C76" s="4839" t="s">
        <v>28</v>
      </c>
      <c r="D76" s="4957">
        <v>45260</v>
      </c>
      <c r="E76" s="5071">
        <v>45274</v>
      </c>
      <c r="F76" s="4839" t="s">
        <v>151</v>
      </c>
      <c r="G76" s="4839" t="s">
        <v>46</v>
      </c>
      <c r="H76" s="4839" t="s">
        <v>1038</v>
      </c>
      <c r="I76" s="4839"/>
      <c r="J76" s="4839" t="s">
        <v>32</v>
      </c>
      <c r="K76" s="4894" t="s">
        <v>162</v>
      </c>
      <c r="L76" s="4901" t="s">
        <v>4446</v>
      </c>
      <c r="M76" s="5078">
        <v>45276</v>
      </c>
      <c r="N76" s="4957">
        <v>45274</v>
      </c>
      <c r="O76" s="4957">
        <v>45275</v>
      </c>
      <c r="P76" s="5199" t="s">
        <v>4442</v>
      </c>
      <c r="Q76" s="4839" t="s">
        <v>35</v>
      </c>
      <c r="R76" s="4839" t="s">
        <v>36</v>
      </c>
      <c r="S76" s="4839" t="s">
        <v>1320</v>
      </c>
      <c r="T76" s="4895"/>
      <c r="U76" s="4895"/>
      <c r="V76" s="4895"/>
      <c r="W76" s="4895"/>
      <c r="X76" s="4895"/>
      <c r="Y76" s="4895"/>
      <c r="Z76" s="4895"/>
    </row>
    <row r="77" spans="1:26" s="1442" customFormat="1" hidden="1">
      <c r="A77" s="1145" t="s">
        <v>1035</v>
      </c>
      <c r="B77" s="1495" t="s">
        <v>4447</v>
      </c>
      <c r="C77" s="4839" t="s">
        <v>28</v>
      </c>
      <c r="D77" s="4957">
        <v>45260</v>
      </c>
      <c r="E77" s="5071">
        <v>45274</v>
      </c>
      <c r="F77" s="4839" t="s">
        <v>151</v>
      </c>
      <c r="G77" s="4839" t="s">
        <v>46</v>
      </c>
      <c r="H77" s="4839" t="s">
        <v>1038</v>
      </c>
      <c r="I77" s="4839"/>
      <c r="J77" s="4839" t="s">
        <v>32</v>
      </c>
      <c r="K77" s="4894" t="s">
        <v>162</v>
      </c>
      <c r="L77" s="4901" t="s">
        <v>4448</v>
      </c>
      <c r="M77" s="4990">
        <v>45276</v>
      </c>
      <c r="N77" s="4957">
        <v>45275</v>
      </c>
      <c r="O77" s="4957">
        <v>45275</v>
      </c>
      <c r="P77" s="5199" t="s">
        <v>4338</v>
      </c>
      <c r="Q77" s="4839" t="s">
        <v>35</v>
      </c>
      <c r="R77" s="4839" t="s">
        <v>36</v>
      </c>
      <c r="S77" s="4839" t="s">
        <v>1320</v>
      </c>
      <c r="T77" s="4895"/>
      <c r="U77" s="4895"/>
      <c r="V77" s="4895"/>
      <c r="W77" s="4895"/>
      <c r="X77" s="4895"/>
      <c r="Y77" s="4895"/>
      <c r="Z77" s="4895"/>
    </row>
    <row r="78" spans="1:26" s="106" customFormat="1" ht="30" hidden="1">
      <c r="A78" s="3265" t="s">
        <v>263</v>
      </c>
      <c r="B78" s="3274" t="s">
        <v>4449</v>
      </c>
      <c r="C78" s="3265" t="s">
        <v>44</v>
      </c>
      <c r="D78" s="3373">
        <v>45274</v>
      </c>
      <c r="E78" s="3373">
        <v>45274</v>
      </c>
      <c r="F78" s="3265" t="s">
        <v>63</v>
      </c>
      <c r="G78" s="3265" t="s">
        <v>2407</v>
      </c>
      <c r="H78" s="3374">
        <v>45281</v>
      </c>
      <c r="I78" s="3375">
        <v>0.54166666666666663</v>
      </c>
      <c r="J78" s="3265" t="s">
        <v>377</v>
      </c>
      <c r="K78" s="3313" t="s">
        <v>4409</v>
      </c>
      <c r="L78" s="3265"/>
      <c r="M78" s="4853">
        <v>45281</v>
      </c>
      <c r="N78" s="4853">
        <v>45281</v>
      </c>
      <c r="O78" s="5200">
        <v>45286</v>
      </c>
      <c r="P78" s="4840" t="s">
        <v>4450</v>
      </c>
      <c r="Q78" s="4848" t="s">
        <v>128</v>
      </c>
      <c r="R78" s="4839" t="s">
        <v>36</v>
      </c>
      <c r="S78" s="4848"/>
      <c r="T78" s="4848">
        <v>1780.16</v>
      </c>
      <c r="U78" s="4848">
        <f>170.16+1350</f>
        <v>1520.16</v>
      </c>
      <c r="V78" s="4848"/>
      <c r="W78" s="4848">
        <f>Table10[[#This Row],[Sales Amount]]-Table10[[#This Row],[Cost]]</f>
        <v>260</v>
      </c>
      <c r="X78" s="5220" t="e">
        <f>SEP_2023[[#This Row],[Profit]]/SEP_2023[[#This Row],[Cost]]</f>
        <v>#DIV/0!</v>
      </c>
      <c r="Y78" s="4848"/>
      <c r="Z78" s="4848"/>
    </row>
    <row r="79" spans="1:26" customFormat="1" ht="30" hidden="1">
      <c r="A79" s="4839" t="s">
        <v>263</v>
      </c>
      <c r="B79" s="4882" t="s">
        <v>4451</v>
      </c>
      <c r="C79" s="4839" t="s">
        <v>44</v>
      </c>
      <c r="D79" s="4859">
        <v>45274</v>
      </c>
      <c r="E79" s="4859">
        <v>45274</v>
      </c>
      <c r="F79" s="4839" t="s">
        <v>2039</v>
      </c>
      <c r="G79" s="4839" t="s">
        <v>265</v>
      </c>
      <c r="H79" s="4859">
        <v>45281</v>
      </c>
      <c r="I79" s="4958">
        <v>0.41666666666666669</v>
      </c>
      <c r="J79" s="4839" t="s">
        <v>377</v>
      </c>
      <c r="K79" s="4913" t="s">
        <v>3124</v>
      </c>
      <c r="L79" s="4839"/>
      <c r="M79" s="4608">
        <v>45281</v>
      </c>
      <c r="N79" s="4859">
        <v>45278</v>
      </c>
      <c r="O79" s="4859">
        <v>45286</v>
      </c>
      <c r="P79" s="800" t="s">
        <v>4452</v>
      </c>
      <c r="Q79" s="4839" t="s">
        <v>128</v>
      </c>
      <c r="R79" s="58" t="s">
        <v>36</v>
      </c>
      <c r="S79" s="4839"/>
      <c r="T79" s="4839">
        <v>4552.66</v>
      </c>
      <c r="U79" s="4839">
        <f>170.16+3649</f>
        <v>3819.16</v>
      </c>
      <c r="V79" s="4839"/>
      <c r="W79" s="4839">
        <f>Table10[[#This Row],[Sales Amount]]-Table10[[#This Row],[Cost]]</f>
        <v>733.5</v>
      </c>
      <c r="X79" s="5221">
        <f>Table10[[#This Row],[Profit]]/Table10[[#This Row],[Cost]]</f>
        <v>0.192057939442181</v>
      </c>
      <c r="Y79" s="4839"/>
      <c r="Z79" s="4839"/>
    </row>
    <row r="80" spans="1:26" customFormat="1" ht="30">
      <c r="A80" s="4291" t="s">
        <v>409</v>
      </c>
      <c r="B80" s="4291" t="s">
        <v>4453</v>
      </c>
      <c r="C80" s="857" t="s">
        <v>44</v>
      </c>
      <c r="D80" s="1994">
        <v>45264</v>
      </c>
      <c r="E80" s="2110">
        <v>45274</v>
      </c>
      <c r="F80" s="4291" t="s">
        <v>93</v>
      </c>
      <c r="G80" s="2175" t="s">
        <v>302</v>
      </c>
      <c r="H80" s="1815" t="s">
        <v>4454</v>
      </c>
      <c r="I80" s="2176" t="s">
        <v>4455</v>
      </c>
      <c r="J80" s="4291" t="s">
        <v>32</v>
      </c>
      <c r="K80" s="4291" t="s">
        <v>407</v>
      </c>
      <c r="L80" s="4291" t="s">
        <v>4456</v>
      </c>
      <c r="M80" s="4906">
        <v>45276</v>
      </c>
      <c r="N80" s="4906">
        <v>45276</v>
      </c>
      <c r="O80" s="4906">
        <v>45281</v>
      </c>
      <c r="P80" s="4909" t="s">
        <v>4457</v>
      </c>
      <c r="Q80" s="4845" t="s">
        <v>75</v>
      </c>
      <c r="R80" s="4908" t="s">
        <v>4458</v>
      </c>
      <c r="S80" s="4845">
        <v>4</v>
      </c>
      <c r="T80" s="4845">
        <v>2235</v>
      </c>
      <c r="U80" s="4845">
        <v>1820</v>
      </c>
      <c r="V80" s="4845">
        <v>1</v>
      </c>
      <c r="W80" s="4845">
        <f>Table10[[#This Row],[Sales Amount]]-Table10[[#This Row],[Cost]]</f>
        <v>415</v>
      </c>
      <c r="X80" s="5060">
        <f>Table10[[#This Row],[Profit]]/Table10[[#This Row],[Cost]]</f>
        <v>0.22802197802197802</v>
      </c>
      <c r="Y80" s="4845"/>
      <c r="Z80" s="4845"/>
    </row>
    <row r="81" spans="1:26" customFormat="1" ht="30">
      <c r="A81" s="4908" t="s">
        <v>409</v>
      </c>
      <c r="B81" s="4908" t="s">
        <v>4459</v>
      </c>
      <c r="C81" s="4845" t="s">
        <v>44</v>
      </c>
      <c r="D81" s="4906">
        <v>45260</v>
      </c>
      <c r="E81" s="4916">
        <v>45274</v>
      </c>
      <c r="F81" s="5222" t="s">
        <v>45</v>
      </c>
      <c r="G81" s="5223" t="s">
        <v>302</v>
      </c>
      <c r="H81" s="4918" t="s">
        <v>4460</v>
      </c>
      <c r="I81" s="4908" t="s">
        <v>4461</v>
      </c>
      <c r="J81" s="4908" t="s">
        <v>32</v>
      </c>
      <c r="K81" s="4908" t="s">
        <v>1622</v>
      </c>
      <c r="L81" s="4845" t="s">
        <v>4462</v>
      </c>
      <c r="M81" s="4605">
        <v>45277</v>
      </c>
      <c r="N81" s="4906">
        <v>45276</v>
      </c>
      <c r="O81" s="4906">
        <v>45281</v>
      </c>
      <c r="P81" s="4104" t="s">
        <v>4463</v>
      </c>
      <c r="Q81" s="4845" t="s">
        <v>75</v>
      </c>
      <c r="R81" s="4150" t="s">
        <v>4464</v>
      </c>
      <c r="S81" s="4845">
        <v>4</v>
      </c>
      <c r="T81" s="4845">
        <v>1955</v>
      </c>
      <c r="U81" s="4845">
        <v>1635</v>
      </c>
      <c r="V81" s="4845">
        <v>1</v>
      </c>
      <c r="W81" s="4845">
        <f>Table10[[#This Row],[Sales Amount]]-Table10[[#This Row],[Cost]]</f>
        <v>320</v>
      </c>
      <c r="X81" s="5060">
        <f>Table10[[#This Row],[Profit]]/Table10[[#This Row],[Sales Amount]]</f>
        <v>0.16368286445012789</v>
      </c>
      <c r="Y81" s="4845"/>
      <c r="Z81" s="4845"/>
    </row>
    <row r="82" spans="1:26" customFormat="1">
      <c r="A82" s="663" t="s">
        <v>468</v>
      </c>
      <c r="B82" s="714" t="s">
        <v>4465</v>
      </c>
      <c r="C82" s="663" t="s">
        <v>28</v>
      </c>
      <c r="D82" s="2522">
        <v>45265</v>
      </c>
      <c r="E82" s="2523">
        <v>45274</v>
      </c>
      <c r="F82" s="38" t="s">
        <v>45</v>
      </c>
      <c r="G82" s="38" t="s">
        <v>46</v>
      </c>
      <c r="H82" s="1025" t="s">
        <v>4466</v>
      </c>
      <c r="I82" s="663"/>
      <c r="J82" s="38" t="s">
        <v>32</v>
      </c>
      <c r="K82" s="1782" t="s">
        <v>310</v>
      </c>
      <c r="L82" s="38" t="s">
        <v>4467</v>
      </c>
      <c r="M82" s="5204">
        <v>45276</v>
      </c>
      <c r="N82" s="5204">
        <v>45274</v>
      </c>
      <c r="O82" s="5204">
        <v>45276</v>
      </c>
      <c r="P82" s="5194" t="s">
        <v>4468</v>
      </c>
      <c r="Q82" s="4845" t="s">
        <v>75</v>
      </c>
      <c r="R82" s="4837" t="s">
        <v>4469</v>
      </c>
      <c r="S82" s="4845">
        <v>4</v>
      </c>
      <c r="T82" s="4845">
        <v>5760</v>
      </c>
      <c r="U82" s="4845"/>
      <c r="V82" s="4845"/>
      <c r="W82" s="4845"/>
      <c r="X82" s="4845"/>
      <c r="Y82" s="4845"/>
      <c r="Z82" s="4845"/>
    </row>
    <row r="83" spans="1:26" customFormat="1">
      <c r="A83" s="3268" t="s">
        <v>3829</v>
      </c>
      <c r="B83" s="4242" t="s">
        <v>4470</v>
      </c>
      <c r="C83" s="3268" t="s">
        <v>44</v>
      </c>
      <c r="D83" s="3262">
        <v>45260</v>
      </c>
      <c r="E83" s="3264">
        <v>45274</v>
      </c>
      <c r="F83" s="3268" t="s">
        <v>151</v>
      </c>
      <c r="G83" s="3265" t="s">
        <v>302</v>
      </c>
      <c r="H83" s="3262">
        <v>45278</v>
      </c>
      <c r="I83" s="117"/>
      <c r="J83" s="3268" t="s">
        <v>32</v>
      </c>
      <c r="K83" s="3273" t="s">
        <v>635</v>
      </c>
      <c r="L83" s="4242" t="s">
        <v>4471</v>
      </c>
      <c r="M83" s="4263">
        <v>45276</v>
      </c>
      <c r="N83" s="3262">
        <v>45276</v>
      </c>
      <c r="O83" s="3262">
        <v>45278</v>
      </c>
      <c r="P83" s="4951" t="s">
        <v>4472</v>
      </c>
      <c r="Q83" s="4845" t="s">
        <v>75</v>
      </c>
      <c r="R83" s="4908" t="s">
        <v>4473</v>
      </c>
      <c r="S83" s="4845">
        <v>4</v>
      </c>
      <c r="T83" s="4845">
        <v>1020</v>
      </c>
      <c r="U83" s="4845">
        <v>720</v>
      </c>
      <c r="V83" s="4845">
        <v>1</v>
      </c>
      <c r="W83" s="4922">
        <f>Table10[[#This Row],[Sales Amount]]-Table10[[#This Row],[Cost]]</f>
        <v>300</v>
      </c>
      <c r="X83" s="5060">
        <f>Table10[[#This Row],[Profit]]/Table10[[#This Row],[Cost]]</f>
        <v>0.41666666666666669</v>
      </c>
      <c r="Y83" s="4845"/>
      <c r="Z83" s="4845"/>
    </row>
    <row r="84" spans="1:26" customFormat="1" hidden="1">
      <c r="A84" s="4839" t="s">
        <v>3343</v>
      </c>
      <c r="B84" s="4861" t="s">
        <v>4474</v>
      </c>
      <c r="C84" s="4839" t="s">
        <v>28</v>
      </c>
      <c r="D84" s="5179">
        <v>45260</v>
      </c>
      <c r="E84" s="5219">
        <v>45274</v>
      </c>
      <c r="F84" s="5198" t="s">
        <v>45</v>
      </c>
      <c r="G84" s="4839" t="s">
        <v>46</v>
      </c>
      <c r="H84" s="4839"/>
      <c r="I84" s="4839"/>
      <c r="J84" s="4839" t="s">
        <v>32</v>
      </c>
      <c r="K84" s="4839" t="s">
        <v>310</v>
      </c>
      <c r="L84" s="4839" t="s">
        <v>4475</v>
      </c>
      <c r="M84" s="4636">
        <v>45276</v>
      </c>
      <c r="N84" s="5179">
        <v>45275</v>
      </c>
      <c r="O84" s="5179">
        <v>45278</v>
      </c>
      <c r="P84" s="4302" t="s">
        <v>4476</v>
      </c>
      <c r="Q84" s="3275" t="s">
        <v>50</v>
      </c>
      <c r="R84" s="58" t="s">
        <v>51</v>
      </c>
      <c r="S84" s="3275"/>
      <c r="T84" s="3275"/>
      <c r="U84" s="3275"/>
      <c r="V84" s="3275"/>
      <c r="W84" s="4839"/>
      <c r="X84" s="4839"/>
      <c r="Y84" s="3275"/>
      <c r="Z84" s="3275"/>
    </row>
    <row r="85" spans="1:26" s="3" customFormat="1" hidden="1">
      <c r="A85" s="1145" t="s">
        <v>1035</v>
      </c>
      <c r="B85" s="1495" t="s">
        <v>4477</v>
      </c>
      <c r="C85" s="1145" t="s">
        <v>28</v>
      </c>
      <c r="D85" s="1817">
        <v>45260</v>
      </c>
      <c r="E85" s="1826">
        <v>45275</v>
      </c>
      <c r="F85" s="1145" t="s">
        <v>151</v>
      </c>
      <c r="G85" s="1145" t="s">
        <v>46</v>
      </c>
      <c r="H85" s="1145" t="s">
        <v>1038</v>
      </c>
      <c r="I85" s="1145"/>
      <c r="J85" s="1145" t="s">
        <v>32</v>
      </c>
      <c r="K85" s="1781" t="s">
        <v>162</v>
      </c>
      <c r="L85" s="1772" t="s">
        <v>4478</v>
      </c>
      <c r="M85" s="1826"/>
      <c r="N85" s="1817">
        <v>45269</v>
      </c>
      <c r="O85" s="1817">
        <v>45269</v>
      </c>
      <c r="P85" s="5199" t="s">
        <v>4338</v>
      </c>
      <c r="Q85" s="4839" t="s">
        <v>35</v>
      </c>
      <c r="R85" s="4839" t="s">
        <v>36</v>
      </c>
      <c r="S85" s="4839" t="s">
        <v>1320</v>
      </c>
      <c r="T85" s="4895"/>
      <c r="U85" s="4895"/>
      <c r="V85" s="4895"/>
      <c r="W85" s="4895"/>
      <c r="X85" s="4895"/>
      <c r="Y85" s="4895"/>
      <c r="Z85" s="4895"/>
    </row>
    <row r="86" spans="1:26" customFormat="1" hidden="1">
      <c r="A86" s="1430" t="s">
        <v>171</v>
      </c>
      <c r="B86" s="726" t="s">
        <v>4479</v>
      </c>
      <c r="C86" s="1430" t="s">
        <v>28</v>
      </c>
      <c r="D86" s="1869">
        <v>45264</v>
      </c>
      <c r="E86" s="1431">
        <v>45275</v>
      </c>
      <c r="F86" s="1430" t="s">
        <v>56</v>
      </c>
      <c r="G86" s="1430" t="s">
        <v>46</v>
      </c>
      <c r="H86" s="1869">
        <v>45272</v>
      </c>
      <c r="I86" s="1430"/>
      <c r="J86" s="1430" t="s">
        <v>32</v>
      </c>
      <c r="K86" s="1430" t="s">
        <v>174</v>
      </c>
      <c r="L86" s="1527" t="s">
        <v>4480</v>
      </c>
      <c r="M86" s="1867">
        <v>45272</v>
      </c>
      <c r="N86" s="1868">
        <v>45272</v>
      </c>
      <c r="O86" s="1868">
        <v>45272</v>
      </c>
      <c r="P86" s="1991" t="s">
        <v>4481</v>
      </c>
      <c r="Q86" s="1430" t="s">
        <v>35</v>
      </c>
      <c r="R86" s="1430" t="s">
        <v>36</v>
      </c>
      <c r="S86" s="1430" t="s">
        <v>37</v>
      </c>
      <c r="T86" s="1689">
        <v>640</v>
      </c>
      <c r="U86" s="1689">
        <v>520</v>
      </c>
      <c r="V86" s="1689"/>
      <c r="W86" s="1689"/>
      <c r="X86" s="1689"/>
      <c r="Y86" s="1689"/>
      <c r="Z86" s="1689"/>
    </row>
    <row r="87" spans="1:26" s="507" customFormat="1" ht="45">
      <c r="A87" s="3268" t="s">
        <v>468</v>
      </c>
      <c r="B87" s="3376" t="s">
        <v>4482</v>
      </c>
      <c r="C87" s="3268" t="s">
        <v>44</v>
      </c>
      <c r="D87" s="3262">
        <v>45252</v>
      </c>
      <c r="E87" s="3377">
        <v>45275</v>
      </c>
      <c r="F87" s="3268" t="s">
        <v>135</v>
      </c>
      <c r="G87" s="3265" t="s">
        <v>3510</v>
      </c>
      <c r="H87" s="3378">
        <v>45279</v>
      </c>
      <c r="I87" s="3379" t="s">
        <v>1660</v>
      </c>
      <c r="J87" s="3268" t="s">
        <v>2306</v>
      </c>
      <c r="K87" s="3273" t="s">
        <v>2313</v>
      </c>
      <c r="L87" s="3380" t="s">
        <v>4483</v>
      </c>
      <c r="M87" s="3262">
        <v>45278</v>
      </c>
      <c r="N87" s="3262">
        <v>45278</v>
      </c>
      <c r="O87" s="3262">
        <v>45279</v>
      </c>
      <c r="P87" s="4299" t="s">
        <v>4484</v>
      </c>
      <c r="Q87" s="3268" t="s">
        <v>75</v>
      </c>
      <c r="R87" s="3376" t="s">
        <v>4485</v>
      </c>
      <c r="S87" s="3268">
        <v>4</v>
      </c>
      <c r="T87" s="3268">
        <v>810</v>
      </c>
      <c r="U87" s="3381">
        <v>635.47</v>
      </c>
      <c r="V87" s="3268">
        <v>1</v>
      </c>
      <c r="W87" s="3382">
        <f>Table10[[#This Row],[Sales Amount]]-Table10[[#This Row],[Cost]]</f>
        <v>174.52999999999997</v>
      </c>
      <c r="X87" s="3269">
        <f>Table10[[#This Row],[Profit]]/Table10[[#This Row],[Cost]]</f>
        <v>0.27464711158669958</v>
      </c>
      <c r="Y87" s="3268"/>
      <c r="Z87" s="3268"/>
    </row>
    <row r="88" spans="1:26" s="3" customFormat="1" ht="45">
      <c r="A88" s="4845" t="s">
        <v>468</v>
      </c>
      <c r="B88" s="117" t="s">
        <v>4486</v>
      </c>
      <c r="C88" s="4921" t="s">
        <v>44</v>
      </c>
      <c r="D88" s="4906">
        <v>45252</v>
      </c>
      <c r="E88" s="4917">
        <v>45275</v>
      </c>
      <c r="F88" s="4845" t="s">
        <v>135</v>
      </c>
      <c r="G88" s="4848" t="s">
        <v>3510</v>
      </c>
      <c r="H88" s="5224">
        <v>45280</v>
      </c>
      <c r="I88" s="5225" t="s">
        <v>672</v>
      </c>
      <c r="J88" s="4845" t="s">
        <v>2306</v>
      </c>
      <c r="K88" s="4947" t="s">
        <v>2313</v>
      </c>
      <c r="L88" s="5226" t="s">
        <v>4487</v>
      </c>
      <c r="M88" s="4906">
        <v>45278</v>
      </c>
      <c r="N88" s="4906">
        <v>45278</v>
      </c>
      <c r="O88" s="4906">
        <v>45280</v>
      </c>
      <c r="P88" s="4986" t="s">
        <v>4488</v>
      </c>
      <c r="Q88" s="4845" t="s">
        <v>75</v>
      </c>
      <c r="R88" s="3" t="s">
        <v>4489</v>
      </c>
      <c r="S88" s="4845">
        <v>4</v>
      </c>
      <c r="T88" s="5227">
        <v>1000</v>
      </c>
      <c r="U88" s="4845">
        <v>812.97</v>
      </c>
      <c r="V88" s="4845">
        <v>1</v>
      </c>
      <c r="W88" s="5227">
        <f>Table10[[#This Row],[Sales Amount]]-Table10[[#This Row],[Cost]]</f>
        <v>187.02999999999997</v>
      </c>
      <c r="X88" s="5060">
        <f>Table10[[#This Row],[Profit]]/Table10[[#This Row],[Cost]]</f>
        <v>0.23005768970564716</v>
      </c>
      <c r="Y88" s="4845"/>
      <c r="Z88" s="4845"/>
    </row>
    <row r="89" spans="1:26" s="1594" customFormat="1" hidden="1">
      <c r="A89" s="2071" t="s">
        <v>42</v>
      </c>
      <c r="B89" s="2074" t="s">
        <v>4490</v>
      </c>
      <c r="C89" s="2071" t="s">
        <v>28</v>
      </c>
      <c r="D89" s="2524">
        <v>45260</v>
      </c>
      <c r="E89" s="2525">
        <v>45275</v>
      </c>
      <c r="F89" s="2071" t="s">
        <v>86</v>
      </c>
      <c r="G89" s="2071" t="s">
        <v>46</v>
      </c>
      <c r="H89" s="2071"/>
      <c r="I89" s="2071"/>
      <c r="J89" s="2071" t="s">
        <v>168</v>
      </c>
      <c r="K89" s="2071" t="s">
        <v>310</v>
      </c>
      <c r="L89" s="1456" t="s">
        <v>4491</v>
      </c>
      <c r="M89" s="2524">
        <v>45277</v>
      </c>
      <c r="N89" s="2524">
        <v>45275</v>
      </c>
      <c r="O89" s="2524">
        <v>45277</v>
      </c>
      <c r="P89" s="2076" t="s">
        <v>4492</v>
      </c>
      <c r="Q89" s="2071" t="s">
        <v>50</v>
      </c>
      <c r="R89" s="2071" t="s">
        <v>51</v>
      </c>
      <c r="S89" s="2071"/>
      <c r="T89" s="2071"/>
      <c r="U89" s="2071"/>
      <c r="V89" s="2071"/>
      <c r="W89" s="2071"/>
      <c r="X89" s="2071"/>
      <c r="Y89" s="2071"/>
      <c r="Z89" s="2071"/>
    </row>
    <row r="90" spans="1:26" s="650" customFormat="1" hidden="1">
      <c r="A90" s="4839" t="s">
        <v>3536</v>
      </c>
      <c r="B90" s="4861" t="s">
        <v>4493</v>
      </c>
      <c r="C90" s="4839" t="s">
        <v>28</v>
      </c>
      <c r="D90" s="5179">
        <v>45266</v>
      </c>
      <c r="E90" s="5219">
        <v>45275</v>
      </c>
      <c r="F90" s="4839" t="s">
        <v>151</v>
      </c>
      <c r="G90" s="4839" t="s">
        <v>46</v>
      </c>
      <c r="H90" s="4839"/>
      <c r="I90" s="4839"/>
      <c r="J90" s="4839" t="s">
        <v>168</v>
      </c>
      <c r="K90" s="4839" t="s">
        <v>310</v>
      </c>
      <c r="L90" s="4839">
        <v>915756</v>
      </c>
      <c r="M90" s="5179">
        <v>45277</v>
      </c>
      <c r="N90" s="5179">
        <v>45275</v>
      </c>
      <c r="O90" s="5179">
        <v>45278</v>
      </c>
      <c r="P90" s="4968" t="s">
        <v>4494</v>
      </c>
      <c r="Q90" s="4839" t="s">
        <v>50</v>
      </c>
      <c r="R90" s="4839" t="s">
        <v>51</v>
      </c>
      <c r="S90" s="4839"/>
      <c r="T90" s="4839"/>
      <c r="U90" s="4839"/>
      <c r="V90" s="4839"/>
      <c r="W90" s="4839"/>
      <c r="X90" s="4839"/>
      <c r="Y90" s="4839"/>
      <c r="Z90" s="4839"/>
    </row>
    <row r="91" spans="1:26" s="650" customFormat="1" hidden="1">
      <c r="A91" s="4839" t="s">
        <v>171</v>
      </c>
      <c r="B91" s="709" t="s">
        <v>4495</v>
      </c>
      <c r="C91" s="4839" t="s">
        <v>28</v>
      </c>
      <c r="D91" s="4957">
        <v>45264</v>
      </c>
      <c r="E91" s="4867">
        <v>45276</v>
      </c>
      <c r="F91" s="4839" t="s">
        <v>56</v>
      </c>
      <c r="G91" s="4839" t="s">
        <v>46</v>
      </c>
      <c r="H91" s="4839"/>
      <c r="I91" s="4839"/>
      <c r="J91" s="4839" t="s">
        <v>32</v>
      </c>
      <c r="K91" s="4839" t="s">
        <v>174</v>
      </c>
      <c r="L91" s="4841" t="s">
        <v>4496</v>
      </c>
      <c r="M91" s="4990">
        <v>45279</v>
      </c>
      <c r="N91" s="4957">
        <v>45278</v>
      </c>
      <c r="O91" s="4957">
        <v>45278</v>
      </c>
      <c r="P91" s="5199" t="s">
        <v>4497</v>
      </c>
      <c r="Q91" s="4839" t="s">
        <v>35</v>
      </c>
      <c r="R91" s="4839" t="s">
        <v>36</v>
      </c>
      <c r="S91" s="4839" t="s">
        <v>37</v>
      </c>
      <c r="T91" s="4895">
        <v>640</v>
      </c>
      <c r="U91" s="4895">
        <v>520</v>
      </c>
      <c r="V91" s="4895"/>
      <c r="W91" s="4895"/>
      <c r="X91" s="4895"/>
      <c r="Y91" s="4895"/>
      <c r="Z91" s="4895"/>
    </row>
    <row r="92" spans="1:26" customFormat="1" hidden="1">
      <c r="A92" s="4839" t="s">
        <v>171</v>
      </c>
      <c r="B92" s="709" t="s">
        <v>4498</v>
      </c>
      <c r="C92" s="4839" t="s">
        <v>28</v>
      </c>
      <c r="D92" s="4957">
        <v>45264</v>
      </c>
      <c r="E92" s="4867">
        <v>45276</v>
      </c>
      <c r="F92" s="4839" t="s">
        <v>56</v>
      </c>
      <c r="G92" s="4839" t="s">
        <v>46</v>
      </c>
      <c r="H92" s="4839"/>
      <c r="I92" s="4839"/>
      <c r="J92" s="4839" t="s">
        <v>32</v>
      </c>
      <c r="K92" s="4839" t="s">
        <v>174</v>
      </c>
      <c r="L92" s="4841" t="s">
        <v>4499</v>
      </c>
      <c r="M92" s="4990">
        <v>45279</v>
      </c>
      <c r="N92" s="4990">
        <v>45279</v>
      </c>
      <c r="O92" s="5078">
        <v>45279</v>
      </c>
      <c r="P92" s="5199" t="s">
        <v>4500</v>
      </c>
      <c r="Q92" s="4839" t="s">
        <v>35</v>
      </c>
      <c r="R92" s="4839" t="s">
        <v>36</v>
      </c>
      <c r="S92" s="4839" t="s">
        <v>37</v>
      </c>
      <c r="T92" s="4895">
        <v>765</v>
      </c>
      <c r="U92" s="4895">
        <v>620</v>
      </c>
      <c r="V92" s="4895"/>
      <c r="W92" s="4895"/>
      <c r="X92" s="4895"/>
      <c r="Y92" s="4895"/>
      <c r="Z92" s="4895"/>
    </row>
    <row r="93" spans="1:26" s="3" customFormat="1" hidden="1">
      <c r="A93" s="4839" t="s">
        <v>171</v>
      </c>
      <c r="B93" s="4861" t="s">
        <v>4501</v>
      </c>
      <c r="C93" s="4839" t="s">
        <v>28</v>
      </c>
      <c r="D93" s="4957">
        <v>45264</v>
      </c>
      <c r="E93" s="4867">
        <v>45276</v>
      </c>
      <c r="F93" s="4839" t="s">
        <v>56</v>
      </c>
      <c r="G93" s="4839" t="s">
        <v>46</v>
      </c>
      <c r="H93" s="4839"/>
      <c r="I93" s="4839"/>
      <c r="J93" s="4839" t="s">
        <v>32</v>
      </c>
      <c r="K93" s="4839" t="s">
        <v>174</v>
      </c>
      <c r="L93" s="4841" t="s">
        <v>4502</v>
      </c>
      <c r="M93" s="4990">
        <v>45279</v>
      </c>
      <c r="N93" s="5078">
        <v>45279</v>
      </c>
      <c r="O93" s="5078">
        <v>45279</v>
      </c>
      <c r="P93" s="5199" t="s">
        <v>4503</v>
      </c>
      <c r="Q93" s="4839" t="s">
        <v>35</v>
      </c>
      <c r="R93" s="58" t="s">
        <v>36</v>
      </c>
      <c r="S93" s="4839" t="s">
        <v>37</v>
      </c>
      <c r="T93" s="4895">
        <v>640</v>
      </c>
      <c r="U93" s="4895">
        <v>520</v>
      </c>
      <c r="V93" s="4895"/>
      <c r="W93" s="4895"/>
      <c r="X93" s="4895"/>
      <c r="Y93" s="4895"/>
      <c r="Z93" s="4895"/>
    </row>
    <row r="94" spans="1:26" s="1594" customFormat="1" hidden="1">
      <c r="A94" s="4839" t="s">
        <v>171</v>
      </c>
      <c r="B94" s="709" t="s">
        <v>4504</v>
      </c>
      <c r="C94" s="4839" t="s">
        <v>28</v>
      </c>
      <c r="D94" s="4957">
        <v>45264</v>
      </c>
      <c r="E94" s="4867">
        <v>45276</v>
      </c>
      <c r="F94" s="4839" t="s">
        <v>56</v>
      </c>
      <c r="G94" s="4839" t="s">
        <v>46</v>
      </c>
      <c r="H94" s="4839"/>
      <c r="I94" s="4839"/>
      <c r="J94" s="4839" t="s">
        <v>32</v>
      </c>
      <c r="K94" s="4839" t="s">
        <v>174</v>
      </c>
      <c r="L94" s="4841">
        <v>953677</v>
      </c>
      <c r="M94" s="4990">
        <v>45278</v>
      </c>
      <c r="N94" s="4990">
        <v>45278</v>
      </c>
      <c r="O94" s="4990">
        <v>45279</v>
      </c>
      <c r="P94" s="5199" t="s">
        <v>4505</v>
      </c>
      <c r="Q94" s="4839" t="s">
        <v>35</v>
      </c>
      <c r="R94" s="4839" t="s">
        <v>36</v>
      </c>
      <c r="S94" s="4839" t="s">
        <v>37</v>
      </c>
      <c r="T94" s="4895">
        <v>805</v>
      </c>
      <c r="U94" s="4895">
        <v>660</v>
      </c>
      <c r="V94" s="4895"/>
      <c r="W94" s="4895"/>
      <c r="X94" s="4895"/>
      <c r="Y94" s="4895"/>
      <c r="Z94" s="4895"/>
    </row>
    <row r="95" spans="1:26" customFormat="1" hidden="1">
      <c r="A95" s="18" t="s">
        <v>329</v>
      </c>
      <c r="B95" s="718" t="s">
        <v>4506</v>
      </c>
      <c r="C95" s="18" t="s">
        <v>28</v>
      </c>
      <c r="D95" s="982">
        <v>45274</v>
      </c>
      <c r="E95" s="1822">
        <v>45276</v>
      </c>
      <c r="F95" s="18" t="s">
        <v>245</v>
      </c>
      <c r="G95" s="18" t="s">
        <v>361</v>
      </c>
      <c r="H95" s="2158">
        <v>45279</v>
      </c>
      <c r="I95" s="1116" t="s">
        <v>108</v>
      </c>
      <c r="J95" s="18" t="s">
        <v>1353</v>
      </c>
      <c r="K95" s="1998" t="s">
        <v>331</v>
      </c>
      <c r="L95" s="1699">
        <v>358112</v>
      </c>
      <c r="M95" s="1771">
        <v>45279</v>
      </c>
      <c r="N95" s="1770">
        <v>45279</v>
      </c>
      <c r="O95" s="1770">
        <v>45279</v>
      </c>
      <c r="P95" s="1871" t="s">
        <v>4507</v>
      </c>
      <c r="Q95" s="18" t="s">
        <v>35</v>
      </c>
      <c r="R95" s="18" t="s">
        <v>36</v>
      </c>
      <c r="S95" s="18" t="s">
        <v>37</v>
      </c>
      <c r="T95" s="84">
        <v>4400</v>
      </c>
      <c r="U95" s="84">
        <v>3680</v>
      </c>
      <c r="V95" s="84">
        <v>4</v>
      </c>
      <c r="W95" s="84"/>
      <c r="X95" s="84"/>
      <c r="Y95" s="84"/>
      <c r="Z95" s="84"/>
    </row>
    <row r="96" spans="1:26" customFormat="1" hidden="1">
      <c r="A96" s="4839" t="s">
        <v>329</v>
      </c>
      <c r="B96" s="4861" t="s">
        <v>4508</v>
      </c>
      <c r="C96" s="4839" t="s">
        <v>28</v>
      </c>
      <c r="D96" s="4957">
        <v>45274</v>
      </c>
      <c r="E96" s="5071">
        <v>45276</v>
      </c>
      <c r="F96" s="4839" t="s">
        <v>245</v>
      </c>
      <c r="G96" s="4839" t="s">
        <v>361</v>
      </c>
      <c r="H96" s="5040">
        <v>45279</v>
      </c>
      <c r="I96" s="4841" t="s">
        <v>115</v>
      </c>
      <c r="J96" s="4839" t="s">
        <v>1353</v>
      </c>
      <c r="K96" s="4854" t="s">
        <v>331</v>
      </c>
      <c r="L96" s="4851">
        <v>284995</v>
      </c>
      <c r="M96" s="4990">
        <v>45279</v>
      </c>
      <c r="N96" s="1770">
        <v>45279</v>
      </c>
      <c r="O96" s="5078">
        <v>45279</v>
      </c>
      <c r="P96" s="5199" t="s">
        <v>4507</v>
      </c>
      <c r="Q96" s="4839" t="s">
        <v>35</v>
      </c>
      <c r="R96" s="4839" t="s">
        <v>36</v>
      </c>
      <c r="S96" s="4839" t="s">
        <v>37</v>
      </c>
      <c r="T96" s="4895">
        <v>4400</v>
      </c>
      <c r="U96" s="4895">
        <v>3680</v>
      </c>
      <c r="V96" s="4895">
        <v>4</v>
      </c>
      <c r="W96" s="4895"/>
      <c r="X96" s="4895"/>
      <c r="Y96" s="4895"/>
      <c r="Z96" s="4895"/>
    </row>
    <row r="97" spans="1:26" customFormat="1" hidden="1">
      <c r="A97" s="18" t="s">
        <v>329</v>
      </c>
      <c r="B97" s="718" t="s">
        <v>4509</v>
      </c>
      <c r="C97" s="18" t="s">
        <v>28</v>
      </c>
      <c r="D97" s="982">
        <v>45274</v>
      </c>
      <c r="E97" s="1822">
        <v>45276</v>
      </c>
      <c r="F97" s="18" t="s">
        <v>245</v>
      </c>
      <c r="G97" s="18" t="s">
        <v>361</v>
      </c>
      <c r="H97" s="2158">
        <v>45279</v>
      </c>
      <c r="I97" s="1116" t="s">
        <v>40</v>
      </c>
      <c r="J97" s="18" t="s">
        <v>1353</v>
      </c>
      <c r="K97" s="1998" t="s">
        <v>331</v>
      </c>
      <c r="L97" s="1699">
        <v>488763</v>
      </c>
      <c r="M97" s="1771">
        <v>45279</v>
      </c>
      <c r="N97" s="1770">
        <v>45279</v>
      </c>
      <c r="O97" s="1770">
        <v>45279</v>
      </c>
      <c r="P97" s="1871" t="s">
        <v>4507</v>
      </c>
      <c r="Q97" s="18" t="s">
        <v>35</v>
      </c>
      <c r="R97" s="18" t="s">
        <v>36</v>
      </c>
      <c r="S97" s="18" t="s">
        <v>37</v>
      </c>
      <c r="T97" s="84">
        <v>4400</v>
      </c>
      <c r="U97" s="84">
        <v>3680</v>
      </c>
      <c r="V97" s="84">
        <v>4</v>
      </c>
      <c r="W97" s="84"/>
      <c r="X97" s="84"/>
      <c r="Y97" s="84"/>
      <c r="Z97" s="84"/>
    </row>
    <row r="98" spans="1:26" customFormat="1" hidden="1">
      <c r="A98" s="18" t="s">
        <v>329</v>
      </c>
      <c r="B98" s="718" t="s">
        <v>4510</v>
      </c>
      <c r="C98" s="18" t="s">
        <v>28</v>
      </c>
      <c r="D98" s="982">
        <v>45274</v>
      </c>
      <c r="E98" s="1822">
        <v>45276</v>
      </c>
      <c r="F98" s="18" t="s">
        <v>245</v>
      </c>
      <c r="G98" s="18" t="s">
        <v>361</v>
      </c>
      <c r="H98" s="2158">
        <v>45279</v>
      </c>
      <c r="I98" s="1116" t="s">
        <v>650</v>
      </c>
      <c r="J98" s="18" t="s">
        <v>1353</v>
      </c>
      <c r="K98" s="1998" t="s">
        <v>331</v>
      </c>
      <c r="L98" s="1699">
        <v>842949</v>
      </c>
      <c r="M98" s="1771">
        <v>45279</v>
      </c>
      <c r="N98" s="1770">
        <v>45279</v>
      </c>
      <c r="O98" s="1770">
        <v>45279</v>
      </c>
      <c r="P98" s="1871" t="s">
        <v>4507</v>
      </c>
      <c r="Q98" s="18" t="s">
        <v>35</v>
      </c>
      <c r="R98" s="18" t="s">
        <v>36</v>
      </c>
      <c r="S98" s="18" t="s">
        <v>37</v>
      </c>
      <c r="T98" s="84">
        <v>4400</v>
      </c>
      <c r="U98" s="84">
        <v>3680</v>
      </c>
      <c r="V98" s="84">
        <v>4</v>
      </c>
      <c r="W98" s="84"/>
      <c r="X98" s="84"/>
      <c r="Y98" s="84"/>
      <c r="Z98" s="84"/>
    </row>
    <row r="99" spans="1:26" customFormat="1">
      <c r="A99" s="120" t="s">
        <v>468</v>
      </c>
      <c r="B99" s="24" t="s">
        <v>4511</v>
      </c>
      <c r="C99" s="120" t="s">
        <v>200</v>
      </c>
      <c r="D99" s="653">
        <v>45276</v>
      </c>
      <c r="E99" s="830">
        <v>45276</v>
      </c>
      <c r="F99" s="120" t="s">
        <v>260</v>
      </c>
      <c r="G99" s="24" t="s">
        <v>4512</v>
      </c>
      <c r="H99" s="62">
        <v>45286</v>
      </c>
      <c r="I99" s="717"/>
      <c r="J99" s="120" t="s">
        <v>510</v>
      </c>
      <c r="K99" s="24" t="s">
        <v>4513</v>
      </c>
      <c r="L99" s="808" t="s">
        <v>162</v>
      </c>
      <c r="M99" s="842">
        <v>45282</v>
      </c>
      <c r="N99" s="842">
        <v>45282</v>
      </c>
      <c r="O99" s="653">
        <v>45286</v>
      </c>
      <c r="P99" s="24" t="s">
        <v>4514</v>
      </c>
      <c r="Q99" s="120" t="s">
        <v>75</v>
      </c>
      <c r="R99" s="24" t="s">
        <v>4515</v>
      </c>
      <c r="S99" s="120">
        <v>4</v>
      </c>
      <c r="T99" s="2197">
        <v>1085</v>
      </c>
      <c r="U99" s="2129">
        <v>590.79999999999995</v>
      </c>
      <c r="V99" s="120">
        <v>1</v>
      </c>
      <c r="W99" s="2129">
        <f>Table10[[#This Row],[Sales Amount]]-Table10[[#This Row],[Cost]]</f>
        <v>494.20000000000005</v>
      </c>
      <c r="X99" s="1041">
        <f>Table10[[#This Row],[Profit]]/Table10[[#This Row],[Cost]]</f>
        <v>0.83649289099526081</v>
      </c>
      <c r="Y99" s="120"/>
      <c r="Z99" s="120"/>
    </row>
    <row r="100" spans="1:26" s="3" customFormat="1" ht="45">
      <c r="A100" s="120" t="s">
        <v>165</v>
      </c>
      <c r="B100" s="4193" t="s">
        <v>4516</v>
      </c>
      <c r="C100" s="4193" t="s">
        <v>28</v>
      </c>
      <c r="D100" s="653">
        <v>45269</v>
      </c>
      <c r="E100" s="654">
        <v>45276</v>
      </c>
      <c r="F100" s="4193" t="s">
        <v>4365</v>
      </c>
      <c r="G100" s="517" t="s">
        <v>4366</v>
      </c>
      <c r="H100" s="2471">
        <v>45282</v>
      </c>
      <c r="I100" s="2472" t="s">
        <v>31</v>
      </c>
      <c r="J100" s="4193" t="s">
        <v>297</v>
      </c>
      <c r="K100" s="4091" t="s">
        <v>4367</v>
      </c>
      <c r="L100" s="2472">
        <v>26999068</v>
      </c>
      <c r="M100" s="2471">
        <v>45282</v>
      </c>
      <c r="N100" s="653">
        <v>45281</v>
      </c>
      <c r="O100" s="653">
        <v>45282</v>
      </c>
      <c r="P100" s="4128" t="s">
        <v>4517</v>
      </c>
      <c r="Q100" s="120" t="s">
        <v>75</v>
      </c>
      <c r="R100" s="4193" t="s">
        <v>4518</v>
      </c>
      <c r="S100" s="120">
        <v>4</v>
      </c>
      <c r="T100" s="2129">
        <v>780</v>
      </c>
      <c r="U100" s="2129">
        <v>681.25</v>
      </c>
      <c r="V100" s="120"/>
      <c r="W100" s="120"/>
      <c r="X100" s="120"/>
      <c r="Y100" s="120"/>
      <c r="Z100" s="120"/>
    </row>
    <row r="101" spans="1:26" customFormat="1" ht="150" hidden="1">
      <c r="A101" s="4905" t="s">
        <v>409</v>
      </c>
      <c r="B101" s="4905" t="s">
        <v>4519</v>
      </c>
      <c r="C101" s="4911" t="s">
        <v>44</v>
      </c>
      <c r="D101" s="5228">
        <v>45264</v>
      </c>
      <c r="E101" s="5186">
        <v>45276</v>
      </c>
      <c r="F101" s="4905" t="s">
        <v>93</v>
      </c>
      <c r="G101" s="5229" t="s">
        <v>302</v>
      </c>
      <c r="H101" s="5230">
        <v>45282</v>
      </c>
      <c r="I101" s="5231" t="s">
        <v>4520</v>
      </c>
      <c r="J101" s="5017" t="s">
        <v>32</v>
      </c>
      <c r="K101" s="5017" t="s">
        <v>310</v>
      </c>
      <c r="L101" s="5017" t="s">
        <v>4521</v>
      </c>
      <c r="M101" s="5185">
        <v>45279</v>
      </c>
      <c r="N101" s="5185">
        <v>45279</v>
      </c>
      <c r="O101" s="5185">
        <v>45283</v>
      </c>
      <c r="P101" s="5189" t="s">
        <v>4522</v>
      </c>
      <c r="Q101" s="4905" t="s">
        <v>89</v>
      </c>
      <c r="R101" s="4911" t="s">
        <v>51</v>
      </c>
      <c r="S101" s="4911"/>
      <c r="T101" s="4911"/>
      <c r="U101" s="4911"/>
      <c r="V101" s="4911"/>
      <c r="W101" s="4911"/>
      <c r="X101" s="4911"/>
      <c r="Y101" s="4911"/>
      <c r="Z101" s="4911"/>
    </row>
    <row r="102" spans="1:26" customFormat="1" hidden="1">
      <c r="A102" s="2154" t="s">
        <v>42</v>
      </c>
      <c r="B102" s="1911" t="s">
        <v>4523</v>
      </c>
      <c r="C102" s="2154" t="s">
        <v>3181</v>
      </c>
      <c r="D102" s="2520">
        <v>45264</v>
      </c>
      <c r="E102" s="2526">
        <v>45276</v>
      </c>
      <c r="F102" s="2154" t="s">
        <v>56</v>
      </c>
      <c r="G102" s="2154" t="s">
        <v>46</v>
      </c>
      <c r="H102" s="2154"/>
      <c r="I102" s="2154"/>
      <c r="J102" s="2154" t="s">
        <v>168</v>
      </c>
      <c r="K102" s="2154" t="s">
        <v>310</v>
      </c>
      <c r="L102" s="2154" t="s">
        <v>4524</v>
      </c>
      <c r="M102" s="2520">
        <v>45278</v>
      </c>
      <c r="N102" s="2520">
        <v>45278</v>
      </c>
      <c r="O102" s="2520">
        <v>45279</v>
      </c>
      <c r="P102" s="2163" t="s">
        <v>4525</v>
      </c>
      <c r="Q102" s="2154" t="s">
        <v>50</v>
      </c>
      <c r="R102" s="2154" t="s">
        <v>51</v>
      </c>
      <c r="S102" s="2154"/>
      <c r="T102" s="2154"/>
      <c r="U102" s="2154"/>
      <c r="V102" s="2154"/>
      <c r="W102" s="2154"/>
      <c r="X102" s="2154"/>
      <c r="Y102" s="2154"/>
      <c r="Z102" s="2154"/>
    </row>
    <row r="103" spans="1:26" customFormat="1" hidden="1">
      <c r="A103" s="4996" t="s">
        <v>42</v>
      </c>
      <c r="B103" s="4911" t="s">
        <v>4526</v>
      </c>
      <c r="C103" s="4996" t="s">
        <v>28</v>
      </c>
      <c r="D103" s="5185">
        <v>45264</v>
      </c>
      <c r="E103" s="5186">
        <v>45276</v>
      </c>
      <c r="F103" s="4996" t="s">
        <v>86</v>
      </c>
      <c r="G103" s="4996" t="s">
        <v>46</v>
      </c>
      <c r="H103" s="4996"/>
      <c r="I103" s="4996"/>
      <c r="J103" s="4996" t="s">
        <v>168</v>
      </c>
      <c r="K103" s="4996" t="s">
        <v>310</v>
      </c>
      <c r="L103" s="4996" t="s">
        <v>4527</v>
      </c>
      <c r="M103" s="5185">
        <v>45278</v>
      </c>
      <c r="N103" s="5185">
        <v>45278</v>
      </c>
      <c r="O103" s="5185">
        <v>45278</v>
      </c>
      <c r="P103" s="5232" t="s">
        <v>4528</v>
      </c>
      <c r="Q103" s="4996" t="s">
        <v>50</v>
      </c>
      <c r="R103" s="4996" t="s">
        <v>51</v>
      </c>
      <c r="S103" s="4996"/>
      <c r="T103" s="4996"/>
      <c r="U103" s="4996"/>
      <c r="V103" s="4996"/>
      <c r="W103" s="4996"/>
      <c r="X103" s="4996"/>
      <c r="Y103" s="4996"/>
      <c r="Z103" s="4996"/>
    </row>
    <row r="104" spans="1:26" customFormat="1" hidden="1">
      <c r="A104" s="4839" t="s">
        <v>1035</v>
      </c>
      <c r="B104" s="4882" t="s">
        <v>4529</v>
      </c>
      <c r="C104" s="4839" t="s">
        <v>28</v>
      </c>
      <c r="D104" s="4957">
        <v>45267</v>
      </c>
      <c r="E104" s="5071">
        <v>45277</v>
      </c>
      <c r="F104" s="4839" t="s">
        <v>151</v>
      </c>
      <c r="G104" s="4839" t="s">
        <v>46</v>
      </c>
      <c r="H104" s="4839" t="s">
        <v>1038</v>
      </c>
      <c r="I104" s="4839"/>
      <c r="J104" s="4839" t="s">
        <v>32</v>
      </c>
      <c r="K104" s="4894" t="s">
        <v>162</v>
      </c>
      <c r="L104" s="4901" t="s">
        <v>4530</v>
      </c>
      <c r="M104" s="4990">
        <v>45280</v>
      </c>
      <c r="N104" s="4990">
        <v>45278</v>
      </c>
      <c r="O104" s="4957">
        <v>45279</v>
      </c>
      <c r="P104" s="5199" t="s">
        <v>4531</v>
      </c>
      <c r="Q104" s="4839" t="s">
        <v>35</v>
      </c>
      <c r="R104" s="4839" t="s">
        <v>36</v>
      </c>
      <c r="S104" s="4839" t="s">
        <v>1320</v>
      </c>
      <c r="T104" s="4895"/>
      <c r="U104" s="4895"/>
      <c r="V104" s="4895"/>
      <c r="W104" s="4895"/>
      <c r="X104" s="4895"/>
      <c r="Y104" s="4895"/>
      <c r="Z104" s="4895"/>
    </row>
    <row r="105" spans="1:26" s="106" customFormat="1" hidden="1">
      <c r="A105" s="4839" t="s">
        <v>1035</v>
      </c>
      <c r="B105" s="4882" t="s">
        <v>4532</v>
      </c>
      <c r="C105" s="4839" t="s">
        <v>28</v>
      </c>
      <c r="D105" s="4957">
        <v>45267</v>
      </c>
      <c r="E105" s="5071">
        <v>45277</v>
      </c>
      <c r="F105" s="4839" t="s">
        <v>151</v>
      </c>
      <c r="G105" s="4839" t="s">
        <v>46</v>
      </c>
      <c r="H105" s="4839" t="s">
        <v>1038</v>
      </c>
      <c r="I105" s="4839"/>
      <c r="J105" s="4839" t="s">
        <v>32</v>
      </c>
      <c r="K105" s="4894" t="s">
        <v>162</v>
      </c>
      <c r="L105" s="4901" t="s">
        <v>4533</v>
      </c>
      <c r="M105" s="4990">
        <v>45280</v>
      </c>
      <c r="N105" s="4957">
        <v>45279</v>
      </c>
      <c r="O105" s="4957">
        <v>45279</v>
      </c>
      <c r="P105" s="5199" t="s">
        <v>4534</v>
      </c>
      <c r="Q105" s="4839" t="s">
        <v>35</v>
      </c>
      <c r="R105" s="4839" t="s">
        <v>36</v>
      </c>
      <c r="S105" s="4839" t="s">
        <v>1320</v>
      </c>
      <c r="T105" s="4895"/>
      <c r="U105" s="4895"/>
      <c r="V105" s="4895"/>
      <c r="W105" s="4895"/>
      <c r="X105" s="4895"/>
      <c r="Y105" s="4895"/>
      <c r="Z105" s="4895"/>
    </row>
    <row r="106" spans="1:26" customFormat="1" hidden="1">
      <c r="A106" s="18" t="s">
        <v>1035</v>
      </c>
      <c r="B106" s="656" t="s">
        <v>4535</v>
      </c>
      <c r="C106" s="18" t="s">
        <v>28</v>
      </c>
      <c r="D106" s="982">
        <v>45267</v>
      </c>
      <c r="E106" s="1822">
        <v>45277</v>
      </c>
      <c r="F106" s="18" t="s">
        <v>151</v>
      </c>
      <c r="G106" s="18" t="s">
        <v>46</v>
      </c>
      <c r="H106" s="18" t="s">
        <v>1038</v>
      </c>
      <c r="I106" s="18"/>
      <c r="J106" s="18" t="s">
        <v>32</v>
      </c>
      <c r="K106" s="1692" t="s">
        <v>162</v>
      </c>
      <c r="L106" s="1030" t="s">
        <v>4536</v>
      </c>
      <c r="M106" s="1771">
        <v>45280</v>
      </c>
      <c r="N106" s="1771">
        <v>45278</v>
      </c>
      <c r="O106" s="982">
        <v>45279</v>
      </c>
      <c r="P106" s="1871" t="s">
        <v>4534</v>
      </c>
      <c r="Q106" s="18" t="s">
        <v>35</v>
      </c>
      <c r="R106" s="18" t="s">
        <v>36</v>
      </c>
      <c r="S106" s="18" t="s">
        <v>1320</v>
      </c>
      <c r="T106" s="84"/>
      <c r="U106" s="84"/>
      <c r="V106" s="84"/>
      <c r="W106" s="84"/>
      <c r="X106" s="84"/>
      <c r="Y106" s="84"/>
      <c r="Z106" s="84"/>
    </row>
    <row r="107" spans="1:26" customFormat="1" ht="30" hidden="1">
      <c r="A107" s="4848" t="s">
        <v>263</v>
      </c>
      <c r="B107" s="4934" t="s">
        <v>4537</v>
      </c>
      <c r="C107" s="4848" t="s">
        <v>44</v>
      </c>
      <c r="D107" s="4853">
        <v>45277</v>
      </c>
      <c r="E107" s="4853">
        <v>45277</v>
      </c>
      <c r="F107" s="4848" t="s">
        <v>2039</v>
      </c>
      <c r="G107" s="4848" t="s">
        <v>4538</v>
      </c>
      <c r="H107" s="5200">
        <v>45280</v>
      </c>
      <c r="I107" s="5233">
        <v>0.375</v>
      </c>
      <c r="J107" s="4848" t="s">
        <v>4539</v>
      </c>
      <c r="K107" s="4848" t="s">
        <v>4540</v>
      </c>
      <c r="L107" s="4848"/>
      <c r="M107" s="4853"/>
      <c r="N107" s="4853">
        <v>45279</v>
      </c>
      <c r="O107" s="4853">
        <v>45647</v>
      </c>
      <c r="P107" s="4986" t="s">
        <v>4541</v>
      </c>
      <c r="Q107" s="4848" t="s">
        <v>128</v>
      </c>
      <c r="R107" s="4848" t="s">
        <v>36</v>
      </c>
      <c r="S107" s="4848"/>
      <c r="T107" s="4848">
        <v>1798.13</v>
      </c>
      <c r="U107" s="4848">
        <f>1266+135.63+35</f>
        <v>1436.63</v>
      </c>
      <c r="V107" s="4848">
        <v>1</v>
      </c>
      <c r="W107" s="4848">
        <f>Table10[[#This Row],[Sales Amount]]-Table10[[#This Row],[Cost]]</f>
        <v>361.5</v>
      </c>
      <c r="X107" s="5220">
        <f>Table10[[#This Row],[Profit]]/Table10[[#This Row],[Cost]]</f>
        <v>0.25163055205585294</v>
      </c>
      <c r="Y107" s="4848"/>
      <c r="Z107" s="4848"/>
    </row>
    <row r="108" spans="1:26" s="3" customFormat="1" ht="45">
      <c r="A108" s="3268" t="s">
        <v>165</v>
      </c>
      <c r="B108" s="4242" t="s">
        <v>4542</v>
      </c>
      <c r="C108" s="3268" t="s">
        <v>451</v>
      </c>
      <c r="D108" s="3262">
        <v>45270</v>
      </c>
      <c r="E108" s="3264">
        <v>45277</v>
      </c>
      <c r="F108" s="3268" t="s">
        <v>167</v>
      </c>
      <c r="G108" s="4183" t="s">
        <v>302</v>
      </c>
      <c r="H108" s="3262">
        <v>45278</v>
      </c>
      <c r="I108" s="3268"/>
      <c r="J108" s="4242" t="s">
        <v>32</v>
      </c>
      <c r="K108" s="3367" t="s">
        <v>2013</v>
      </c>
      <c r="L108" s="3367" t="s">
        <v>4543</v>
      </c>
      <c r="M108" s="3366">
        <v>45279</v>
      </c>
      <c r="N108" s="3262">
        <v>45278</v>
      </c>
      <c r="O108" s="4906">
        <v>45278</v>
      </c>
      <c r="P108" s="4246" t="s">
        <v>4544</v>
      </c>
      <c r="Q108" s="3268" t="s">
        <v>75</v>
      </c>
      <c r="R108" s="4242" t="s">
        <v>4545</v>
      </c>
      <c r="S108" s="3268">
        <v>4</v>
      </c>
      <c r="T108" s="3268">
        <v>1150</v>
      </c>
      <c r="U108" s="3268">
        <f>870+315</f>
        <v>1185</v>
      </c>
      <c r="V108" s="3268">
        <v>1</v>
      </c>
      <c r="W108" s="3268">
        <f>Table10[[#This Row],[Sales Amount]]-Table10[[#This Row],[Cost]]</f>
        <v>-35</v>
      </c>
      <c r="X108" s="3269">
        <f>Table10[[#This Row],[Profit]]/Table10[[#This Row],[Cost]]</f>
        <v>-2.9535864978902954E-2</v>
      </c>
      <c r="Y108" s="3268"/>
      <c r="Z108" s="3268"/>
    </row>
    <row r="109" spans="1:26" s="3" customFormat="1" ht="60">
      <c r="A109" s="4845" t="s">
        <v>165</v>
      </c>
      <c r="B109" s="4908" t="s">
        <v>4546</v>
      </c>
      <c r="C109" s="4845" t="s">
        <v>451</v>
      </c>
      <c r="D109" s="4906">
        <v>45270</v>
      </c>
      <c r="E109" s="4916">
        <v>45277</v>
      </c>
      <c r="F109" s="4845" t="s">
        <v>167</v>
      </c>
      <c r="G109" s="4850" t="s">
        <v>302</v>
      </c>
      <c r="H109" s="4906">
        <v>45278</v>
      </c>
      <c r="I109" s="4845"/>
      <c r="J109" s="4908" t="s">
        <v>32</v>
      </c>
      <c r="K109" s="4929" t="s">
        <v>2013</v>
      </c>
      <c r="L109" s="4929" t="s">
        <v>4547</v>
      </c>
      <c r="M109" s="4918">
        <v>45279</v>
      </c>
      <c r="N109" s="4906">
        <v>45278</v>
      </c>
      <c r="O109" s="4906">
        <v>45278</v>
      </c>
      <c r="P109" s="4104" t="s">
        <v>4548</v>
      </c>
      <c r="Q109" s="4845" t="s">
        <v>75</v>
      </c>
      <c r="R109" s="4908" t="s">
        <v>4549</v>
      </c>
      <c r="S109" s="4845">
        <v>4</v>
      </c>
      <c r="T109" s="4845">
        <v>1150</v>
      </c>
      <c r="U109" s="4845">
        <f>870+280</f>
        <v>1150</v>
      </c>
      <c r="V109" s="4845">
        <v>1</v>
      </c>
      <c r="W109" s="4845">
        <f>Table10[[#This Row],[Sales Amount]]-Table10[[#This Row],[Cost]]</f>
        <v>0</v>
      </c>
      <c r="X109" s="5060">
        <f>Table10[[#This Row],[Profit]]/Table10[[#This Row],[Cost]]</f>
        <v>0</v>
      </c>
      <c r="Y109" s="4845"/>
      <c r="Z109" s="4845"/>
    </row>
    <row r="110" spans="1:26" customFormat="1">
      <c r="A110" s="4921" t="s">
        <v>409</v>
      </c>
      <c r="B110" s="4908" t="s">
        <v>4550</v>
      </c>
      <c r="C110" s="4921" t="s">
        <v>44</v>
      </c>
      <c r="D110" s="758">
        <v>45264</v>
      </c>
      <c r="E110" s="5208">
        <v>45277</v>
      </c>
      <c r="F110" s="4921" t="s">
        <v>135</v>
      </c>
      <c r="G110" s="4850" t="s">
        <v>4551</v>
      </c>
      <c r="H110" s="4916">
        <v>45280</v>
      </c>
      <c r="I110" s="5234" t="s">
        <v>4552</v>
      </c>
      <c r="J110" s="4970" t="s">
        <v>4317</v>
      </c>
      <c r="K110" s="4970" t="s">
        <v>4553</v>
      </c>
      <c r="L110" s="36">
        <v>3584509</v>
      </c>
      <c r="M110" s="5235">
        <v>45278</v>
      </c>
      <c r="N110" s="5235">
        <v>45278</v>
      </c>
      <c r="O110" s="5207">
        <v>45280</v>
      </c>
      <c r="P110" s="4829" t="s">
        <v>4554</v>
      </c>
      <c r="Q110" s="4921" t="s">
        <v>75</v>
      </c>
      <c r="R110" s="4970" t="s">
        <v>4555</v>
      </c>
      <c r="S110" s="4921"/>
      <c r="T110" s="4921">
        <v>870</v>
      </c>
      <c r="U110" s="4921">
        <v>713</v>
      </c>
      <c r="V110" s="4921">
        <v>1</v>
      </c>
      <c r="W110" s="4845">
        <f>Table10[[#This Row],[Sales Amount]]-Table10[[#This Row],[Cost]]</f>
        <v>157</v>
      </c>
      <c r="X110" s="5060">
        <f>Table10[[#This Row],[Profit]]/Table10[[#This Row],[Cost]]</f>
        <v>0.22019635343618513</v>
      </c>
      <c r="Y110" s="4921"/>
      <c r="Z110" s="4921"/>
    </row>
    <row r="111" spans="1:26" customFormat="1" ht="75">
      <c r="A111" s="4845" t="s">
        <v>165</v>
      </c>
      <c r="B111" s="4908" t="s">
        <v>4556</v>
      </c>
      <c r="C111" s="4908" t="s">
        <v>28</v>
      </c>
      <c r="D111" s="4906">
        <v>45270</v>
      </c>
      <c r="E111" s="4916">
        <v>45277</v>
      </c>
      <c r="F111" s="4908" t="s">
        <v>167</v>
      </c>
      <c r="G111" s="4850" t="s">
        <v>302</v>
      </c>
      <c r="H111" s="4906">
        <v>45279</v>
      </c>
      <c r="I111" s="4921" t="s">
        <v>618</v>
      </c>
      <c r="J111" s="4845" t="s">
        <v>297</v>
      </c>
      <c r="K111" s="5138" t="s">
        <v>4557</v>
      </c>
      <c r="L111" s="4929" t="s">
        <v>4558</v>
      </c>
      <c r="M111" s="4906">
        <v>45279</v>
      </c>
      <c r="N111" s="4906">
        <v>45278</v>
      </c>
      <c r="O111" s="4906">
        <v>45279</v>
      </c>
      <c r="P111" s="4909" t="s">
        <v>4559</v>
      </c>
      <c r="Q111" s="4845" t="s">
        <v>75</v>
      </c>
      <c r="R111" s="4837" t="s">
        <v>4560</v>
      </c>
      <c r="S111" s="4845">
        <v>4</v>
      </c>
      <c r="T111" s="4845">
        <v>1365</v>
      </c>
      <c r="U111" s="4845">
        <v>1066</v>
      </c>
      <c r="V111" s="4845">
        <v>1</v>
      </c>
      <c r="W111" s="4845">
        <f>Table10[[#This Row],[Sales Amount]]-Table10[[#This Row],[Cost]]</f>
        <v>299</v>
      </c>
      <c r="X111" s="5060">
        <f>Table10[[#This Row],[Profit]]/Table10[[#This Row],[Cost]]</f>
        <v>0.28048780487804881</v>
      </c>
      <c r="Y111" s="4845"/>
      <c r="Z111" s="4845"/>
    </row>
    <row r="112" spans="1:26" s="3" customFormat="1" ht="45">
      <c r="A112" s="3268" t="s">
        <v>165</v>
      </c>
      <c r="B112" s="4242" t="s">
        <v>4561</v>
      </c>
      <c r="C112" s="3268" t="s">
        <v>200</v>
      </c>
      <c r="D112" s="3262">
        <v>45270</v>
      </c>
      <c r="E112" s="3264">
        <v>45277</v>
      </c>
      <c r="F112" s="3268" t="s">
        <v>167</v>
      </c>
      <c r="G112" s="4183" t="s">
        <v>302</v>
      </c>
      <c r="H112" s="3262">
        <v>45278</v>
      </c>
      <c r="I112" s="3268"/>
      <c r="J112" s="4242" t="s">
        <v>32</v>
      </c>
      <c r="K112" s="3367" t="s">
        <v>2013</v>
      </c>
      <c r="L112" s="3367" t="s">
        <v>4562</v>
      </c>
      <c r="M112" s="3262">
        <v>45279</v>
      </c>
      <c r="N112" s="3262">
        <v>45278</v>
      </c>
      <c r="O112" s="1994">
        <v>45278</v>
      </c>
      <c r="P112" s="4246" t="s">
        <v>4563</v>
      </c>
      <c r="Q112" s="3268" t="s">
        <v>75</v>
      </c>
      <c r="R112" s="4908" t="s">
        <v>4564</v>
      </c>
      <c r="S112" s="4845">
        <v>4</v>
      </c>
      <c r="T112" s="4845">
        <v>1150</v>
      </c>
      <c r="U112" s="4845">
        <f>870</f>
        <v>870</v>
      </c>
      <c r="V112" s="4845">
        <v>1</v>
      </c>
      <c r="W112" s="4845">
        <f>Table10[[#This Row],[Sales Amount]]-Table10[[#This Row],[Cost]]</f>
        <v>280</v>
      </c>
      <c r="X112" s="5060">
        <f>Table10[[#This Row],[Profit]]/Table10[[#This Row],[Cost]]</f>
        <v>0.32183908045977011</v>
      </c>
      <c r="Y112" s="4845"/>
      <c r="Z112" s="4845"/>
    </row>
    <row r="113" spans="1:26" customFormat="1" hidden="1">
      <c r="A113" s="4996" t="s">
        <v>409</v>
      </c>
      <c r="B113" s="1442" t="s">
        <v>4565</v>
      </c>
      <c r="C113" s="4996" t="s">
        <v>4180</v>
      </c>
      <c r="D113" s="5185">
        <v>45268</v>
      </c>
      <c r="E113" s="5186">
        <v>45277</v>
      </c>
      <c r="F113" s="4996" t="s">
        <v>93</v>
      </c>
      <c r="G113" s="4996" t="s">
        <v>4566</v>
      </c>
      <c r="H113" s="4996"/>
      <c r="I113" s="4996"/>
      <c r="J113" s="4996" t="s">
        <v>168</v>
      </c>
      <c r="K113" s="4996" t="s">
        <v>310</v>
      </c>
      <c r="L113" s="4996">
        <v>4071084</v>
      </c>
      <c r="M113" s="5185">
        <v>45279</v>
      </c>
      <c r="N113" s="5185">
        <v>45279</v>
      </c>
      <c r="O113" s="5185">
        <v>45280</v>
      </c>
      <c r="P113" s="5018" t="s">
        <v>4567</v>
      </c>
      <c r="Q113" s="4996" t="s">
        <v>50</v>
      </c>
      <c r="R113" s="4996" t="s">
        <v>51</v>
      </c>
      <c r="S113" s="4996"/>
      <c r="T113" s="4996"/>
      <c r="U113" s="4996"/>
      <c r="V113" s="4996"/>
      <c r="W113" s="4996"/>
      <c r="X113" s="4996"/>
      <c r="Y113" s="4996"/>
      <c r="Z113" s="4996"/>
    </row>
    <row r="114" spans="1:26" s="3" customFormat="1" hidden="1">
      <c r="A114" s="38" t="s">
        <v>3343</v>
      </c>
      <c r="B114" s="663" t="s">
        <v>4568</v>
      </c>
      <c r="C114" s="38" t="s">
        <v>28</v>
      </c>
      <c r="D114" s="2527">
        <v>45268</v>
      </c>
      <c r="E114" s="2528">
        <v>45277</v>
      </c>
      <c r="F114" s="38" t="s">
        <v>86</v>
      </c>
      <c r="G114" s="38" t="s">
        <v>829</v>
      </c>
      <c r="H114" s="38"/>
      <c r="I114" s="38"/>
      <c r="J114" s="38" t="s">
        <v>32</v>
      </c>
      <c r="K114" s="38" t="s">
        <v>310</v>
      </c>
      <c r="L114" s="25" t="s">
        <v>4569</v>
      </c>
      <c r="M114" s="2560">
        <v>45280</v>
      </c>
      <c r="N114" s="2560">
        <v>45280</v>
      </c>
      <c r="O114" s="2560">
        <v>45281</v>
      </c>
      <c r="P114" s="2215" t="s">
        <v>4570</v>
      </c>
      <c r="Q114" s="38" t="s">
        <v>50</v>
      </c>
      <c r="R114" s="4850" t="s">
        <v>4571</v>
      </c>
      <c r="S114" s="4848">
        <v>4</v>
      </c>
      <c r="T114" s="4848">
        <v>4080</v>
      </c>
      <c r="U114" s="4848"/>
      <c r="V114" s="4848"/>
      <c r="W114" s="4848"/>
      <c r="X114" s="4848"/>
      <c r="Y114" s="4848"/>
      <c r="Z114" s="4848"/>
    </row>
    <row r="115" spans="1:26" s="650" customFormat="1" hidden="1">
      <c r="A115" s="4996" t="s">
        <v>409</v>
      </c>
      <c r="B115" s="4911" t="s">
        <v>4572</v>
      </c>
      <c r="C115" s="4996" t="s">
        <v>28</v>
      </c>
      <c r="D115" s="2529">
        <v>45267</v>
      </c>
      <c r="E115" s="5186">
        <v>45277</v>
      </c>
      <c r="F115" s="4996" t="s">
        <v>86</v>
      </c>
      <c r="G115" s="4996" t="s">
        <v>46</v>
      </c>
      <c r="H115" s="4996"/>
      <c r="I115" s="4996"/>
      <c r="J115" s="4996" t="s">
        <v>168</v>
      </c>
      <c r="K115" s="4996" t="s">
        <v>310</v>
      </c>
      <c r="L115" s="1456" t="s">
        <v>4573</v>
      </c>
      <c r="M115" s="5185">
        <v>45280</v>
      </c>
      <c r="N115" s="5185">
        <v>45279</v>
      </c>
      <c r="O115" s="5185">
        <v>45281</v>
      </c>
      <c r="P115" s="5232" t="s">
        <v>4574</v>
      </c>
      <c r="Q115" s="4996" t="s">
        <v>50</v>
      </c>
      <c r="R115" s="4996" t="s">
        <v>51</v>
      </c>
      <c r="S115" s="4996"/>
      <c r="T115" s="4996"/>
      <c r="U115" s="4996"/>
      <c r="V115" s="4996"/>
      <c r="W115" s="4996"/>
      <c r="X115" s="4996"/>
      <c r="Y115" s="4996"/>
      <c r="Z115" s="4996"/>
    </row>
    <row r="116" spans="1:26" s="106" customFormat="1" hidden="1">
      <c r="A116" s="710" t="s">
        <v>1035</v>
      </c>
      <c r="B116" s="713" t="s">
        <v>4575</v>
      </c>
      <c r="C116" s="710" t="s">
        <v>28</v>
      </c>
      <c r="D116" s="1985">
        <v>45267</v>
      </c>
      <c r="E116" s="1497">
        <v>45278</v>
      </c>
      <c r="F116" s="710" t="s">
        <v>151</v>
      </c>
      <c r="G116" s="710" t="s">
        <v>46</v>
      </c>
      <c r="H116" s="710" t="s">
        <v>1038</v>
      </c>
      <c r="I116" s="710"/>
      <c r="J116" s="710" t="s">
        <v>32</v>
      </c>
      <c r="K116" s="2161" t="s">
        <v>162</v>
      </c>
      <c r="L116" s="1031">
        <v>401752</v>
      </c>
      <c r="M116" s="1986">
        <v>45281</v>
      </c>
      <c r="N116" s="1986">
        <v>45281</v>
      </c>
      <c r="O116" s="1986">
        <v>45281</v>
      </c>
      <c r="P116" s="1987" t="s">
        <v>4531</v>
      </c>
      <c r="Q116" s="18" t="s">
        <v>35</v>
      </c>
      <c r="R116" s="18" t="s">
        <v>36</v>
      </c>
      <c r="S116" s="18" t="s">
        <v>1320</v>
      </c>
      <c r="T116" s="84"/>
      <c r="U116" s="84"/>
      <c r="V116" s="84"/>
      <c r="W116" s="84"/>
      <c r="X116" s="84"/>
      <c r="Y116" s="84"/>
      <c r="Z116" s="84"/>
    </row>
    <row r="117" spans="1:26" s="507" customFormat="1" hidden="1">
      <c r="A117" s="4839" t="s">
        <v>1035</v>
      </c>
      <c r="B117" s="4861" t="s">
        <v>4576</v>
      </c>
      <c r="C117" s="4839" t="s">
        <v>28</v>
      </c>
      <c r="D117" s="4957">
        <v>45267</v>
      </c>
      <c r="E117" s="5071">
        <v>45278</v>
      </c>
      <c r="F117" s="4839" t="s">
        <v>151</v>
      </c>
      <c r="G117" s="4839" t="s">
        <v>46</v>
      </c>
      <c r="H117" s="4839" t="s">
        <v>1038</v>
      </c>
      <c r="I117" s="4839"/>
      <c r="J117" s="4839" t="s">
        <v>32</v>
      </c>
      <c r="K117" s="4894" t="s">
        <v>162</v>
      </c>
      <c r="L117" s="4901" t="s">
        <v>4577</v>
      </c>
      <c r="M117" s="4990">
        <v>45280</v>
      </c>
      <c r="N117" s="4990">
        <v>45280</v>
      </c>
      <c r="O117" s="5078">
        <v>45280</v>
      </c>
      <c r="P117" s="5199" t="s">
        <v>4578</v>
      </c>
      <c r="Q117" s="4839" t="s">
        <v>35</v>
      </c>
      <c r="R117" s="4839" t="s">
        <v>36</v>
      </c>
      <c r="S117" s="4839" t="s">
        <v>1320</v>
      </c>
      <c r="T117" s="4895"/>
      <c r="U117" s="4895"/>
      <c r="V117" s="4895"/>
      <c r="W117" s="4895"/>
      <c r="X117" s="4895"/>
      <c r="Y117" s="4895"/>
      <c r="Z117" s="4895"/>
    </row>
    <row r="118" spans="1:26" s="106" customFormat="1" hidden="1">
      <c r="A118" s="1145" t="s">
        <v>1035</v>
      </c>
      <c r="B118" s="2104" t="s">
        <v>4579</v>
      </c>
      <c r="C118" s="58" t="s">
        <v>28</v>
      </c>
      <c r="D118" s="1817">
        <v>45267</v>
      </c>
      <c r="E118" s="1826">
        <v>45278</v>
      </c>
      <c r="F118" s="1145" t="s">
        <v>151</v>
      </c>
      <c r="G118" s="1145" t="s">
        <v>46</v>
      </c>
      <c r="H118" s="1145" t="s">
        <v>1038</v>
      </c>
      <c r="I118" s="1145"/>
      <c r="J118" s="1145" t="s">
        <v>32</v>
      </c>
      <c r="K118" s="1781" t="s">
        <v>162</v>
      </c>
      <c r="L118" s="1772" t="s">
        <v>4580</v>
      </c>
      <c r="M118" s="1821">
        <v>45280</v>
      </c>
      <c r="N118" s="1821">
        <v>45278</v>
      </c>
      <c r="O118" s="1817">
        <v>45279</v>
      </c>
      <c r="P118" s="5199" t="s">
        <v>4534</v>
      </c>
      <c r="Q118" s="4839" t="s">
        <v>35</v>
      </c>
      <c r="R118" s="4839" t="s">
        <v>36</v>
      </c>
      <c r="S118" s="4839" t="s">
        <v>1320</v>
      </c>
      <c r="T118" s="4895"/>
      <c r="U118" s="4895"/>
      <c r="V118" s="4895"/>
      <c r="W118" s="4895"/>
      <c r="X118" s="4895"/>
      <c r="Y118" s="4895"/>
      <c r="Z118" s="4895"/>
    </row>
    <row r="119" spans="1:26" s="26" customFormat="1" hidden="1">
      <c r="A119" s="3357" t="s">
        <v>1035</v>
      </c>
      <c r="B119" s="3258" t="s">
        <v>4581</v>
      </c>
      <c r="C119" s="3275" t="s">
        <v>28</v>
      </c>
      <c r="D119" s="3279">
        <v>45267</v>
      </c>
      <c r="E119" s="3383">
        <v>45278</v>
      </c>
      <c r="F119" s="3275" t="s">
        <v>151</v>
      </c>
      <c r="G119" s="3275" t="s">
        <v>46</v>
      </c>
      <c r="H119" s="3275" t="s">
        <v>1038</v>
      </c>
      <c r="I119" s="3275"/>
      <c r="J119" s="3275" t="s">
        <v>32</v>
      </c>
      <c r="K119" s="3278" t="s">
        <v>162</v>
      </c>
      <c r="L119" s="3347" t="s">
        <v>4582</v>
      </c>
      <c r="M119" s="3371">
        <v>45280</v>
      </c>
      <c r="N119" s="3279">
        <v>45279</v>
      </c>
      <c r="O119" s="1139">
        <v>45279</v>
      </c>
      <c r="P119" s="2166" t="s">
        <v>4534</v>
      </c>
      <c r="Q119" s="3275" t="s">
        <v>35</v>
      </c>
      <c r="R119" s="4839" t="s">
        <v>36</v>
      </c>
      <c r="S119" s="4839" t="s">
        <v>1320</v>
      </c>
      <c r="T119" s="4895"/>
      <c r="U119" s="4895"/>
      <c r="V119" s="4895"/>
      <c r="W119" s="4895"/>
      <c r="X119" s="4895"/>
      <c r="Y119" s="4895"/>
      <c r="Z119" s="4895"/>
    </row>
    <row r="120" spans="1:26" customFormat="1" hidden="1">
      <c r="A120" s="4839" t="s">
        <v>1035</v>
      </c>
      <c r="B120" s="4882" t="s">
        <v>4583</v>
      </c>
      <c r="C120" s="4839" t="s">
        <v>28</v>
      </c>
      <c r="D120" s="4957">
        <v>45267</v>
      </c>
      <c r="E120" s="5071">
        <v>45278</v>
      </c>
      <c r="F120" s="4839" t="s">
        <v>151</v>
      </c>
      <c r="G120" s="4839" t="s">
        <v>46</v>
      </c>
      <c r="H120" s="4839" t="s">
        <v>1038</v>
      </c>
      <c r="I120" s="4839"/>
      <c r="J120" s="4839" t="s">
        <v>32</v>
      </c>
      <c r="K120" s="4894" t="s">
        <v>162</v>
      </c>
      <c r="L120" s="4901" t="s">
        <v>4584</v>
      </c>
      <c r="M120" s="4990">
        <v>45280</v>
      </c>
      <c r="N120" s="4990">
        <v>45278</v>
      </c>
      <c r="O120" s="4957">
        <v>45279</v>
      </c>
      <c r="P120" s="2166" t="s">
        <v>4534</v>
      </c>
      <c r="Q120" s="4839" t="s">
        <v>35</v>
      </c>
      <c r="R120" s="4839" t="s">
        <v>36</v>
      </c>
      <c r="S120" s="4839" t="s">
        <v>1320</v>
      </c>
      <c r="T120" s="4895"/>
      <c r="U120" s="4895"/>
      <c r="V120" s="4895"/>
      <c r="W120" s="4895"/>
      <c r="X120" s="4895"/>
      <c r="Y120" s="4895"/>
      <c r="Z120" s="4895"/>
    </row>
    <row r="121" spans="1:26" customFormat="1" hidden="1">
      <c r="A121" s="1145" t="s">
        <v>2966</v>
      </c>
      <c r="B121" s="1495" t="s">
        <v>4585</v>
      </c>
      <c r="C121" s="1145" t="s">
        <v>28</v>
      </c>
      <c r="D121" s="1139">
        <v>45263</v>
      </c>
      <c r="E121" s="1826">
        <v>45278</v>
      </c>
      <c r="F121" s="1145" t="s">
        <v>151</v>
      </c>
      <c r="G121" s="1145" t="s">
        <v>361</v>
      </c>
      <c r="H121" s="1145" t="s">
        <v>4586</v>
      </c>
      <c r="I121" s="1145"/>
      <c r="J121" s="1781" t="s">
        <v>162</v>
      </c>
      <c r="K121" s="1781" t="s">
        <v>162</v>
      </c>
      <c r="L121" s="1820">
        <v>99413</v>
      </c>
      <c r="M121" s="1821">
        <v>45281</v>
      </c>
      <c r="N121" s="1817">
        <v>45280</v>
      </c>
      <c r="O121" s="1816">
        <v>45281</v>
      </c>
      <c r="P121" s="1872" t="s">
        <v>4587</v>
      </c>
      <c r="Q121" s="1145" t="s">
        <v>35</v>
      </c>
      <c r="R121" s="4839" t="s">
        <v>36</v>
      </c>
      <c r="S121" s="4839" t="s">
        <v>1320</v>
      </c>
      <c r="T121" s="4895">
        <v>35</v>
      </c>
      <c r="U121" s="4895"/>
      <c r="V121" s="4895"/>
      <c r="W121" s="4895"/>
      <c r="X121" s="4895"/>
      <c r="Y121" s="4895"/>
      <c r="Z121" s="4895"/>
    </row>
    <row r="122" spans="1:26" customFormat="1" hidden="1">
      <c r="A122" s="3275" t="s">
        <v>171</v>
      </c>
      <c r="B122" s="3246" t="s">
        <v>4588</v>
      </c>
      <c r="C122" s="3275" t="s">
        <v>200</v>
      </c>
      <c r="D122" s="844">
        <v>45268</v>
      </c>
      <c r="E122" s="1631">
        <v>45278</v>
      </c>
      <c r="F122" s="3275" t="s">
        <v>151</v>
      </c>
      <c r="G122" s="3275" t="s">
        <v>46</v>
      </c>
      <c r="H122" s="3275"/>
      <c r="I122" s="3275"/>
      <c r="J122" s="3275" t="s">
        <v>32</v>
      </c>
      <c r="K122" s="3275" t="s">
        <v>174</v>
      </c>
      <c r="L122" s="3357" t="s">
        <v>4589</v>
      </c>
      <c r="M122" s="3350">
        <v>45280</v>
      </c>
      <c r="N122" s="3350">
        <v>45280</v>
      </c>
      <c r="O122" s="3350">
        <v>45280</v>
      </c>
      <c r="P122" s="3372" t="s">
        <v>4590</v>
      </c>
      <c r="Q122" s="3275" t="s">
        <v>35</v>
      </c>
      <c r="R122" s="4839" t="s">
        <v>36</v>
      </c>
      <c r="S122" s="4839" t="s">
        <v>37</v>
      </c>
      <c r="T122" s="4895">
        <v>775</v>
      </c>
      <c r="U122" s="4895">
        <v>590</v>
      </c>
      <c r="V122" s="4895"/>
      <c r="W122" s="4895"/>
      <c r="X122" s="4895"/>
      <c r="Y122" s="4895"/>
      <c r="Z122" s="4895"/>
    </row>
    <row r="123" spans="1:26" customFormat="1" ht="105">
      <c r="A123" s="4845" t="s">
        <v>2489</v>
      </c>
      <c r="B123" s="4908" t="s">
        <v>4591</v>
      </c>
      <c r="C123" s="4845" t="s">
        <v>28</v>
      </c>
      <c r="D123" s="4906">
        <v>45264</v>
      </c>
      <c r="E123" s="5208">
        <v>45278</v>
      </c>
      <c r="F123" s="4845" t="s">
        <v>135</v>
      </c>
      <c r="G123" s="4908" t="s">
        <v>3515</v>
      </c>
      <c r="H123" s="4936">
        <v>45299</v>
      </c>
      <c r="I123" s="4929" t="s">
        <v>4592</v>
      </c>
      <c r="J123" s="4908" t="s">
        <v>297</v>
      </c>
      <c r="K123" s="4845" t="s">
        <v>4387</v>
      </c>
      <c r="L123" s="4929">
        <v>5622</v>
      </c>
      <c r="M123" s="5236">
        <v>45281</v>
      </c>
      <c r="N123" s="5237">
        <v>45281</v>
      </c>
      <c r="O123" s="4906">
        <v>45299</v>
      </c>
      <c r="P123" s="4104" t="s">
        <v>4593</v>
      </c>
      <c r="Q123" s="4845" t="s">
        <v>75</v>
      </c>
      <c r="R123" s="4989" t="s">
        <v>4594</v>
      </c>
      <c r="S123" s="4845">
        <v>4</v>
      </c>
      <c r="T123" s="4845">
        <v>3615</v>
      </c>
      <c r="U123" s="4922">
        <v>3122.2</v>
      </c>
      <c r="V123" s="4845">
        <v>1</v>
      </c>
      <c r="W123" s="4845">
        <f>Table10[[#This Row],[Sales Amount]]-Table10[[#This Row],[Cost]]</f>
        <v>492.80000000000018</v>
      </c>
      <c r="X123" s="5060">
        <f>Table10[[#This Row],[Profit]]/Table10[[#This Row],[Cost]]</f>
        <v>0.15783742233040812</v>
      </c>
      <c r="Y123" s="4845"/>
      <c r="Z123" s="4845"/>
    </row>
    <row r="124" spans="1:26" s="106" customFormat="1" hidden="1">
      <c r="A124" s="2071" t="s">
        <v>409</v>
      </c>
      <c r="B124" s="2074" t="s">
        <v>4595</v>
      </c>
      <c r="C124" s="2157" t="s">
        <v>44</v>
      </c>
      <c r="D124" s="2529">
        <v>45268</v>
      </c>
      <c r="E124" s="2525">
        <v>45278</v>
      </c>
      <c r="F124" s="2071" t="s">
        <v>56</v>
      </c>
      <c r="G124" s="2071" t="s">
        <v>4566</v>
      </c>
      <c r="H124" s="2071"/>
      <c r="I124" s="2071"/>
      <c r="J124" s="2071" t="s">
        <v>32</v>
      </c>
      <c r="K124" s="2071" t="s">
        <v>310</v>
      </c>
      <c r="L124" s="2071">
        <v>4071143</v>
      </c>
      <c r="M124" s="2524">
        <v>45280</v>
      </c>
      <c r="N124" s="2524">
        <v>45278</v>
      </c>
      <c r="O124" s="2524">
        <v>45280</v>
      </c>
      <c r="P124" s="1827" t="s">
        <v>4596</v>
      </c>
      <c r="Q124" s="2071" t="s">
        <v>50</v>
      </c>
      <c r="R124" s="4996" t="s">
        <v>51</v>
      </c>
      <c r="S124" s="4996"/>
      <c r="T124" s="4996"/>
      <c r="U124" s="4996"/>
      <c r="V124" s="4996"/>
      <c r="W124" s="4996"/>
      <c r="X124" s="4996"/>
      <c r="Y124" s="4996"/>
      <c r="Z124" s="4996"/>
    </row>
    <row r="125" spans="1:26" customFormat="1" hidden="1">
      <c r="A125" s="3384" t="s">
        <v>409</v>
      </c>
      <c r="B125" s="3252" t="s">
        <v>4597</v>
      </c>
      <c r="C125" s="3384" t="s">
        <v>28</v>
      </c>
      <c r="D125" s="3385">
        <v>45267</v>
      </c>
      <c r="E125" s="3386">
        <v>45278</v>
      </c>
      <c r="F125" s="3384" t="s">
        <v>86</v>
      </c>
      <c r="G125" s="3384" t="s">
        <v>46</v>
      </c>
      <c r="H125" s="3384"/>
      <c r="I125" s="3384"/>
      <c r="J125" s="3384" t="s">
        <v>168</v>
      </c>
      <c r="K125" s="3384" t="s">
        <v>310</v>
      </c>
      <c r="L125" s="3384" t="s">
        <v>4598</v>
      </c>
      <c r="M125" s="3385">
        <v>45280</v>
      </c>
      <c r="N125" s="3385">
        <v>45278</v>
      </c>
      <c r="O125" s="3385">
        <v>45280</v>
      </c>
      <c r="P125" s="3387" t="s">
        <v>4599</v>
      </c>
      <c r="Q125" s="3384" t="s">
        <v>50</v>
      </c>
      <c r="R125" s="3384" t="s">
        <v>51</v>
      </c>
      <c r="S125" s="3384"/>
      <c r="T125" s="3384"/>
      <c r="U125" s="3384"/>
      <c r="V125" s="3384"/>
      <c r="W125" s="3384"/>
      <c r="X125" s="3384"/>
      <c r="Y125" s="3384"/>
      <c r="Z125" s="3384"/>
    </row>
    <row r="126" spans="1:26" s="3" customFormat="1" hidden="1">
      <c r="A126" s="4996" t="s">
        <v>409</v>
      </c>
      <c r="B126" s="1442" t="s">
        <v>4600</v>
      </c>
      <c r="C126" s="4996" t="s">
        <v>28</v>
      </c>
      <c r="D126" s="5185">
        <v>45267</v>
      </c>
      <c r="E126" s="5186">
        <v>45278</v>
      </c>
      <c r="F126" s="4996" t="s">
        <v>86</v>
      </c>
      <c r="G126" s="4996" t="s">
        <v>46</v>
      </c>
      <c r="H126" s="4996"/>
      <c r="I126" s="4996"/>
      <c r="J126" s="4996" t="s">
        <v>168</v>
      </c>
      <c r="K126" s="4996" t="s">
        <v>310</v>
      </c>
      <c r="L126" s="4996">
        <v>876114</v>
      </c>
      <c r="M126" s="5185">
        <v>45280</v>
      </c>
      <c r="N126" s="5185">
        <v>45279</v>
      </c>
      <c r="O126" s="5185">
        <v>45281</v>
      </c>
      <c r="P126" s="2164" t="s">
        <v>4601</v>
      </c>
      <c r="Q126" s="4622" t="s">
        <v>50</v>
      </c>
      <c r="R126" s="1456" t="s">
        <v>51</v>
      </c>
      <c r="S126" s="4996"/>
      <c r="T126" s="4996"/>
      <c r="U126" s="4996"/>
      <c r="V126" s="4996"/>
      <c r="W126" s="4996"/>
      <c r="X126" s="4996"/>
      <c r="Y126" s="4996"/>
      <c r="Z126" s="4996"/>
    </row>
    <row r="127" spans="1:26" s="26" customFormat="1" hidden="1">
      <c r="A127" s="739" t="s">
        <v>1431</v>
      </c>
      <c r="B127" s="2156" t="s">
        <v>4602</v>
      </c>
      <c r="C127" s="739" t="s">
        <v>28</v>
      </c>
      <c r="D127" s="2029">
        <v>45265</v>
      </c>
      <c r="E127" s="2028">
        <v>45279</v>
      </c>
      <c r="F127" s="739" t="s">
        <v>285</v>
      </c>
      <c r="G127" s="739" t="s">
        <v>46</v>
      </c>
      <c r="H127" s="1866">
        <v>45281</v>
      </c>
      <c r="I127" s="2030" t="s">
        <v>115</v>
      </c>
      <c r="J127" s="739" t="s">
        <v>32</v>
      </c>
      <c r="K127" s="2030" t="s">
        <v>1433</v>
      </c>
      <c r="L127" s="2030" t="s">
        <v>4603</v>
      </c>
      <c r="M127" s="1866">
        <v>45281</v>
      </c>
      <c r="N127" s="1866">
        <v>45281</v>
      </c>
      <c r="O127" s="1866">
        <v>45281</v>
      </c>
      <c r="P127" s="2165" t="s">
        <v>4604</v>
      </c>
      <c r="Q127" s="3275" t="s">
        <v>35</v>
      </c>
      <c r="R127" s="3275" t="s">
        <v>36</v>
      </c>
      <c r="S127" s="3275" t="s">
        <v>37</v>
      </c>
      <c r="T127" s="3241">
        <v>1593.5</v>
      </c>
      <c r="U127" s="3241">
        <v>1435</v>
      </c>
      <c r="V127" s="3241"/>
      <c r="W127" s="3241"/>
      <c r="X127" s="3241"/>
      <c r="Y127" s="3241"/>
      <c r="Z127" s="3241"/>
    </row>
    <row r="128" spans="1:26" s="507" customFormat="1" ht="45">
      <c r="A128" s="4845" t="s">
        <v>165</v>
      </c>
      <c r="B128" s="4928" t="s">
        <v>4605</v>
      </c>
      <c r="C128" s="4845" t="s">
        <v>200</v>
      </c>
      <c r="D128" s="4906">
        <v>45270</v>
      </c>
      <c r="E128" s="4916">
        <v>45279</v>
      </c>
      <c r="F128" s="4845" t="s">
        <v>167</v>
      </c>
      <c r="G128" s="4850" t="s">
        <v>302</v>
      </c>
      <c r="H128" s="4906">
        <v>45280</v>
      </c>
      <c r="I128" s="4908" t="s">
        <v>618</v>
      </c>
      <c r="J128" s="4908" t="s">
        <v>32</v>
      </c>
      <c r="K128" s="4929" t="s">
        <v>2013</v>
      </c>
      <c r="L128" s="4845">
        <v>718329</v>
      </c>
      <c r="M128" s="5236">
        <v>45281</v>
      </c>
      <c r="N128" s="5236">
        <v>45280</v>
      </c>
      <c r="O128" s="4906">
        <v>45280</v>
      </c>
      <c r="P128" s="4909" t="s">
        <v>4606</v>
      </c>
      <c r="Q128" s="4845" t="s">
        <v>75</v>
      </c>
      <c r="R128" s="4908" t="s">
        <v>4607</v>
      </c>
      <c r="S128" s="4845">
        <v>4</v>
      </c>
      <c r="T128" s="4845">
        <f>1150-80</f>
        <v>1070</v>
      </c>
      <c r="U128" s="4845">
        <f>870+105</f>
        <v>975</v>
      </c>
      <c r="V128" s="4845">
        <v>1</v>
      </c>
      <c r="W128" s="4845">
        <f>Table10[[#This Row],[Sales Amount]]-Table10[[#This Row],[Cost]]</f>
        <v>95</v>
      </c>
      <c r="X128" s="5060">
        <f>Table10[[#This Row],[Profit]]/Table10[[#This Row],[Cost]]</f>
        <v>9.7435897435897437E-2</v>
      </c>
      <c r="Y128" s="4845"/>
      <c r="Z128" s="4845"/>
    </row>
    <row r="129" spans="1:26" s="26" customFormat="1" ht="45">
      <c r="A129" s="663" t="s">
        <v>468</v>
      </c>
      <c r="B129" s="714" t="s">
        <v>4608</v>
      </c>
      <c r="C129" s="663" t="s">
        <v>200</v>
      </c>
      <c r="D129" s="1074">
        <v>45247</v>
      </c>
      <c r="E129" s="1825">
        <v>45279</v>
      </c>
      <c r="F129" s="663" t="s">
        <v>245</v>
      </c>
      <c r="G129" s="38" t="s">
        <v>57</v>
      </c>
      <c r="H129" s="1494">
        <v>45280</v>
      </c>
      <c r="I129" s="1874" t="s">
        <v>672</v>
      </c>
      <c r="J129" s="663" t="s">
        <v>297</v>
      </c>
      <c r="K129" s="1782" t="s">
        <v>4376</v>
      </c>
      <c r="L129" s="663">
        <v>2925985</v>
      </c>
      <c r="M129" s="1074">
        <v>45281</v>
      </c>
      <c r="N129" s="1074">
        <v>45279</v>
      </c>
      <c r="O129" s="1074">
        <v>45280</v>
      </c>
      <c r="P129" s="2191" t="s">
        <v>4609</v>
      </c>
      <c r="Q129" s="663" t="s">
        <v>75</v>
      </c>
      <c r="R129" s="3" t="s">
        <v>4610</v>
      </c>
      <c r="S129" s="663">
        <v>4</v>
      </c>
      <c r="T129" s="2094">
        <v>1492.5</v>
      </c>
      <c r="U129" s="2168">
        <v>1308.2</v>
      </c>
      <c r="V129" s="663">
        <v>1</v>
      </c>
      <c r="W129" s="2083">
        <f>Table10[[#This Row],[Sales Amount]]-Table10[[#This Row],[Cost]]</f>
        <v>184.29999999999995</v>
      </c>
      <c r="X129" s="2079">
        <f>Table10[[#This Row],[Profit]]/Table10[[#This Row],[Cost]]</f>
        <v>0.14088059929674357</v>
      </c>
      <c r="Y129" s="663"/>
      <c r="Z129" s="663"/>
    </row>
    <row r="130" spans="1:26" customFormat="1">
      <c r="A130" s="3268" t="s">
        <v>468</v>
      </c>
      <c r="B130" s="3376" t="s">
        <v>4611</v>
      </c>
      <c r="C130" s="3268" t="s">
        <v>200</v>
      </c>
      <c r="D130" s="3262">
        <v>45247</v>
      </c>
      <c r="E130" s="3264">
        <v>45279</v>
      </c>
      <c r="F130" s="3268" t="s">
        <v>245</v>
      </c>
      <c r="G130" s="3265" t="s">
        <v>57</v>
      </c>
      <c r="H130" s="3366">
        <v>45280</v>
      </c>
      <c r="I130" s="3367" t="s">
        <v>583</v>
      </c>
      <c r="J130" s="3268" t="s">
        <v>297</v>
      </c>
      <c r="K130" s="3273" t="s">
        <v>4376</v>
      </c>
      <c r="L130" s="3268">
        <v>2925986</v>
      </c>
      <c r="M130" s="3262">
        <v>45281</v>
      </c>
      <c r="N130" s="3262">
        <v>45279</v>
      </c>
      <c r="O130" s="3262">
        <v>45280</v>
      </c>
      <c r="P130" s="3376" t="s">
        <v>4612</v>
      </c>
      <c r="Q130" s="4845" t="s">
        <v>75</v>
      </c>
      <c r="R130" s="4837" t="s">
        <v>4613</v>
      </c>
      <c r="S130" s="4845">
        <v>4</v>
      </c>
      <c r="T130" s="5109">
        <v>1490</v>
      </c>
      <c r="U130" s="5190">
        <v>1283.2</v>
      </c>
      <c r="V130" s="4845">
        <v>1</v>
      </c>
      <c r="W130" s="4922">
        <f>Table10[[#This Row],[Sales Amount]]-Table10[[#This Row],[Cost]]</f>
        <v>206.79999999999995</v>
      </c>
      <c r="X130" s="5060">
        <f>Table10[[#This Row],[Profit]]/Table10[[#This Row],[Cost]]</f>
        <v>0.1611596009975062</v>
      </c>
      <c r="Y130" s="4845"/>
      <c r="Z130" s="4845"/>
    </row>
    <row r="131" spans="1:26" s="26" customFormat="1" ht="45">
      <c r="A131" s="4845" t="s">
        <v>468</v>
      </c>
      <c r="B131" s="4837" t="s">
        <v>4614</v>
      </c>
      <c r="C131" s="4845" t="s">
        <v>200</v>
      </c>
      <c r="D131" s="4906">
        <v>45252</v>
      </c>
      <c r="E131" s="4916">
        <v>45279</v>
      </c>
      <c r="F131" s="4845" t="s">
        <v>245</v>
      </c>
      <c r="G131" s="4848" t="s">
        <v>57</v>
      </c>
      <c r="H131" s="4918">
        <v>45280</v>
      </c>
      <c r="I131" s="4929" t="s">
        <v>618</v>
      </c>
      <c r="J131" s="4845" t="s">
        <v>297</v>
      </c>
      <c r="K131" s="4947" t="s">
        <v>4376</v>
      </c>
      <c r="L131" s="4845">
        <v>2926096</v>
      </c>
      <c r="M131" s="4906">
        <v>45281</v>
      </c>
      <c r="N131" s="4906">
        <v>45280</v>
      </c>
      <c r="O131" s="4906">
        <v>45280</v>
      </c>
      <c r="P131" s="4104" t="s">
        <v>4615</v>
      </c>
      <c r="Q131" s="4607" t="s">
        <v>75</v>
      </c>
      <c r="R131" s="117" t="s">
        <v>4616</v>
      </c>
      <c r="S131" s="4845">
        <v>4</v>
      </c>
      <c r="T131" s="5109">
        <v>1365</v>
      </c>
      <c r="U131" s="4922">
        <v>1208.2</v>
      </c>
      <c r="V131" s="4845">
        <v>1</v>
      </c>
      <c r="W131" s="4922">
        <f>Table10[[#This Row],[Sales Amount]]-Table10[[#This Row],[Cost]]</f>
        <v>156.79999999999995</v>
      </c>
      <c r="X131" s="5060">
        <f>Table10[[#This Row],[Profit]]/Table10[[#This Row],[Cost]]</f>
        <v>0.12977983777520274</v>
      </c>
      <c r="Y131" s="4845"/>
      <c r="Z131" s="4845"/>
    </row>
    <row r="132" spans="1:26" customFormat="1" hidden="1">
      <c r="A132" s="2072" t="s">
        <v>42</v>
      </c>
      <c r="B132" s="2073" t="s">
        <v>4617</v>
      </c>
      <c r="C132" s="2072" t="s">
        <v>44</v>
      </c>
      <c r="D132" s="2530">
        <v>45263</v>
      </c>
      <c r="E132" s="2531">
        <v>45279</v>
      </c>
      <c r="F132" s="2072" t="s">
        <v>45</v>
      </c>
      <c r="G132" s="2072" t="s">
        <v>4618</v>
      </c>
      <c r="H132" s="2072"/>
      <c r="I132" s="2072"/>
      <c r="J132" s="2072" t="s">
        <v>32</v>
      </c>
      <c r="K132" s="2072" t="s">
        <v>310</v>
      </c>
      <c r="L132" s="2072">
        <v>437641</v>
      </c>
      <c r="M132" s="2530">
        <v>45282</v>
      </c>
      <c r="N132" s="2530">
        <v>45281</v>
      </c>
      <c r="O132" s="2530">
        <v>45282</v>
      </c>
      <c r="P132" s="1879" t="s">
        <v>4619</v>
      </c>
      <c r="Q132" s="3384" t="s">
        <v>50</v>
      </c>
      <c r="R132" s="4996" t="s">
        <v>51</v>
      </c>
      <c r="S132" s="4996"/>
      <c r="T132" s="4996"/>
      <c r="U132" s="4996"/>
      <c r="V132" s="4996"/>
      <c r="W132" s="4996"/>
      <c r="X132" s="4996"/>
      <c r="Y132" s="4996"/>
      <c r="Z132" s="4996"/>
    </row>
    <row r="133" spans="1:26" s="507" customFormat="1" hidden="1">
      <c r="A133" s="4839" t="s">
        <v>409</v>
      </c>
      <c r="B133" s="709" t="s">
        <v>4620</v>
      </c>
      <c r="C133" s="4839" t="s">
        <v>4180</v>
      </c>
      <c r="D133" s="5179">
        <v>45268</v>
      </c>
      <c r="E133" s="5219">
        <v>45279</v>
      </c>
      <c r="F133" s="4839" t="s">
        <v>93</v>
      </c>
      <c r="G133" s="4839" t="s">
        <v>4566</v>
      </c>
      <c r="H133" s="4839"/>
      <c r="I133" s="4839"/>
      <c r="J133" s="4839" t="s">
        <v>168</v>
      </c>
      <c r="K133" s="4767" t="s">
        <v>310</v>
      </c>
      <c r="L133" s="4839">
        <v>4070799</v>
      </c>
      <c r="M133" s="5179">
        <v>45281</v>
      </c>
      <c r="N133" s="5179">
        <v>45279</v>
      </c>
      <c r="O133" s="5179">
        <v>45280</v>
      </c>
      <c r="P133" s="4864" t="s">
        <v>4621</v>
      </c>
      <c r="Q133" s="4839" t="s">
        <v>50</v>
      </c>
      <c r="R133" s="58" t="s">
        <v>51</v>
      </c>
      <c r="S133" s="4839"/>
      <c r="T133" s="4839"/>
      <c r="U133" s="4839"/>
      <c r="V133" s="4839"/>
      <c r="W133" s="4839"/>
      <c r="X133" s="4839"/>
      <c r="Y133" s="4839"/>
      <c r="Z133" s="4839"/>
    </row>
    <row r="134" spans="1:26" s="3" customFormat="1" hidden="1">
      <c r="A134" s="739" t="s">
        <v>409</v>
      </c>
      <c r="B134" s="709" t="s">
        <v>4622</v>
      </c>
      <c r="C134" s="739" t="s">
        <v>28</v>
      </c>
      <c r="D134" s="2532">
        <v>45267</v>
      </c>
      <c r="E134" s="2533">
        <v>45279</v>
      </c>
      <c r="F134" s="739" t="s">
        <v>86</v>
      </c>
      <c r="G134" s="58" t="s">
        <v>46</v>
      </c>
      <c r="H134" s="739"/>
      <c r="I134" s="739"/>
      <c r="J134" s="739" t="s">
        <v>168</v>
      </c>
      <c r="K134" s="58" t="s">
        <v>310</v>
      </c>
      <c r="L134" s="4839" t="s">
        <v>4623</v>
      </c>
      <c r="M134" s="5179">
        <v>45281</v>
      </c>
      <c r="N134" s="5179">
        <v>45280</v>
      </c>
      <c r="O134" s="5179">
        <v>45281</v>
      </c>
      <c r="P134" s="4968" t="s">
        <v>4624</v>
      </c>
      <c r="Q134" s="4839" t="s">
        <v>50</v>
      </c>
      <c r="R134" s="4599" t="s">
        <v>51</v>
      </c>
      <c r="S134" s="4839"/>
      <c r="T134" s="4839"/>
      <c r="U134" s="4839"/>
      <c r="V134" s="4839"/>
      <c r="W134" s="4839"/>
      <c r="X134" s="4839"/>
      <c r="Y134" s="4839"/>
      <c r="Z134" s="4839"/>
    </row>
    <row r="135" spans="1:26" s="117" customFormat="1" hidden="1">
      <c r="A135" s="4839" t="s">
        <v>171</v>
      </c>
      <c r="B135" s="709" t="s">
        <v>4625</v>
      </c>
      <c r="C135" s="4839" t="s">
        <v>28</v>
      </c>
      <c r="D135" s="4957">
        <v>45262</v>
      </c>
      <c r="E135" s="5071">
        <v>45280</v>
      </c>
      <c r="F135" s="4839" t="s">
        <v>245</v>
      </c>
      <c r="G135" s="4839" t="s">
        <v>361</v>
      </c>
      <c r="H135" s="5238">
        <v>45281</v>
      </c>
      <c r="I135" s="4839"/>
      <c r="J135" s="4839" t="s">
        <v>32</v>
      </c>
      <c r="K135" s="4767" t="s">
        <v>174</v>
      </c>
      <c r="L135" s="4841">
        <v>691936</v>
      </c>
      <c r="M135" s="4990">
        <v>45282</v>
      </c>
      <c r="N135" s="4990">
        <v>45281</v>
      </c>
      <c r="O135" s="4990" t="s">
        <v>4626</v>
      </c>
      <c r="P135" s="5199" t="s">
        <v>4627</v>
      </c>
      <c r="Q135" s="4839" t="s">
        <v>35</v>
      </c>
      <c r="R135" s="4599" t="s">
        <v>36</v>
      </c>
      <c r="S135" s="4839" t="s">
        <v>37</v>
      </c>
      <c r="T135" s="4895">
        <v>910</v>
      </c>
      <c r="U135" s="4895">
        <v>615</v>
      </c>
      <c r="V135" s="4895"/>
      <c r="W135" s="4895"/>
      <c r="X135" s="4895"/>
      <c r="Y135" s="4895"/>
      <c r="Z135" s="4895"/>
    </row>
    <row r="136" spans="1:26" customFormat="1" hidden="1">
      <c r="A136" s="739" t="s">
        <v>1035</v>
      </c>
      <c r="B136" s="2156" t="s">
        <v>4628</v>
      </c>
      <c r="C136" s="739" t="s">
        <v>28</v>
      </c>
      <c r="D136" s="2029">
        <v>45267</v>
      </c>
      <c r="E136" s="2028">
        <v>45280</v>
      </c>
      <c r="F136" s="739" t="s">
        <v>151</v>
      </c>
      <c r="G136" s="739" t="s">
        <v>46</v>
      </c>
      <c r="H136" s="739" t="s">
        <v>1038</v>
      </c>
      <c r="I136" s="739"/>
      <c r="J136" s="739" t="s">
        <v>32</v>
      </c>
      <c r="K136" s="1802" t="s">
        <v>162</v>
      </c>
      <c r="L136" s="1796" t="s">
        <v>4629</v>
      </c>
      <c r="M136" s="1866">
        <v>45282</v>
      </c>
      <c r="N136" s="1866">
        <v>45281</v>
      </c>
      <c r="O136" s="1866">
        <v>45281</v>
      </c>
      <c r="P136" s="2165" t="s">
        <v>4531</v>
      </c>
      <c r="Q136" s="739" t="s">
        <v>35</v>
      </c>
      <c r="R136" s="4839" t="s">
        <v>36</v>
      </c>
      <c r="S136" s="3275" t="s">
        <v>1320</v>
      </c>
      <c r="T136" s="3241"/>
      <c r="U136" s="3241"/>
      <c r="V136" s="3241"/>
      <c r="W136" s="3241"/>
      <c r="X136" s="3241"/>
      <c r="Y136" s="3241"/>
      <c r="Z136" s="3241"/>
    </row>
    <row r="137" spans="1:26" s="3" customFormat="1" hidden="1">
      <c r="A137" s="4839" t="s">
        <v>1035</v>
      </c>
      <c r="B137" s="4882" t="s">
        <v>4630</v>
      </c>
      <c r="C137" s="4839" t="s">
        <v>28</v>
      </c>
      <c r="D137" s="4957">
        <v>45267</v>
      </c>
      <c r="E137" s="5071">
        <v>45280</v>
      </c>
      <c r="F137" s="4839" t="s">
        <v>151</v>
      </c>
      <c r="G137" s="4839" t="s">
        <v>46</v>
      </c>
      <c r="H137" s="4839" t="s">
        <v>1038</v>
      </c>
      <c r="I137" s="4839"/>
      <c r="J137" s="4839" t="s">
        <v>32</v>
      </c>
      <c r="K137" s="1344" t="s">
        <v>162</v>
      </c>
      <c r="L137" s="4901" t="s">
        <v>4631</v>
      </c>
      <c r="M137" s="4990">
        <v>45282</v>
      </c>
      <c r="N137" s="4990">
        <v>45281</v>
      </c>
      <c r="O137" s="4990">
        <v>45281</v>
      </c>
      <c r="P137" s="5199" t="s">
        <v>4632</v>
      </c>
      <c r="Q137" s="4839" t="s">
        <v>35</v>
      </c>
      <c r="R137" s="58" t="s">
        <v>36</v>
      </c>
      <c r="S137" s="4839" t="s">
        <v>1320</v>
      </c>
      <c r="T137" s="4895"/>
      <c r="U137" s="4895"/>
      <c r="V137" s="4895"/>
      <c r="W137" s="4895"/>
      <c r="X137" s="4895"/>
      <c r="Y137" s="4895"/>
      <c r="Z137" s="4895"/>
    </row>
    <row r="138" spans="1:26" s="507" customFormat="1" hidden="1">
      <c r="A138" s="1145" t="s">
        <v>1035</v>
      </c>
      <c r="B138" s="707" t="s">
        <v>4633</v>
      </c>
      <c r="C138" s="1145" t="s">
        <v>28</v>
      </c>
      <c r="D138" s="1817">
        <v>45267</v>
      </c>
      <c r="E138" s="1826">
        <v>45280</v>
      </c>
      <c r="F138" s="1145" t="s">
        <v>151</v>
      </c>
      <c r="G138" s="1145" t="s">
        <v>46</v>
      </c>
      <c r="H138" s="1145" t="s">
        <v>1038</v>
      </c>
      <c r="I138" s="1145"/>
      <c r="J138" s="1145" t="s">
        <v>32</v>
      </c>
      <c r="K138" s="2178" t="s">
        <v>162</v>
      </c>
      <c r="L138" s="1772" t="s">
        <v>4634</v>
      </c>
      <c r="M138" s="1821">
        <v>45283</v>
      </c>
      <c r="N138" s="1821">
        <v>45281</v>
      </c>
      <c r="O138" s="1821">
        <v>45281</v>
      </c>
      <c r="P138" s="1872" t="s">
        <v>4534</v>
      </c>
      <c r="Q138" s="1145" t="s">
        <v>35</v>
      </c>
      <c r="R138" s="58" t="s">
        <v>36</v>
      </c>
      <c r="S138" s="1145" t="s">
        <v>1320</v>
      </c>
      <c r="T138" s="7"/>
      <c r="U138" s="16"/>
      <c r="V138" s="16"/>
      <c r="W138" s="16"/>
      <c r="X138" s="16"/>
      <c r="Y138" s="7"/>
      <c r="Z138" s="16"/>
    </row>
    <row r="139" spans="1:26" customFormat="1" hidden="1">
      <c r="A139" s="1145" t="s">
        <v>2396</v>
      </c>
      <c r="B139" s="2104" t="s">
        <v>4635</v>
      </c>
      <c r="C139" s="1145" t="s">
        <v>44</v>
      </c>
      <c r="D139" s="844">
        <v>45278</v>
      </c>
      <c r="E139" s="1153">
        <v>45280</v>
      </c>
      <c r="F139" s="1145" t="s">
        <v>135</v>
      </c>
      <c r="G139" s="1145" t="s">
        <v>4636</v>
      </c>
      <c r="H139" s="1817">
        <v>45287</v>
      </c>
      <c r="I139" s="1145"/>
      <c r="J139" s="1145" t="s">
        <v>1478</v>
      </c>
      <c r="K139" s="1145" t="s">
        <v>4361</v>
      </c>
      <c r="L139" s="1145"/>
      <c r="M139" s="1817">
        <v>45287</v>
      </c>
      <c r="N139" s="1817">
        <v>45287</v>
      </c>
      <c r="O139" s="1817">
        <v>45295</v>
      </c>
      <c r="P139" s="2106" t="s">
        <v>4637</v>
      </c>
      <c r="Q139" s="1145" t="s">
        <v>128</v>
      </c>
      <c r="R139" s="1145" t="s">
        <v>36</v>
      </c>
      <c r="S139" s="1145"/>
      <c r="T139" s="1145">
        <v>1450</v>
      </c>
      <c r="U139" s="1145">
        <f>216+216</f>
        <v>432</v>
      </c>
      <c r="V139" s="1145">
        <v>2</v>
      </c>
      <c r="W139" s="1145"/>
      <c r="X139" s="1145"/>
      <c r="Y139" s="1145"/>
      <c r="Z139" s="1145"/>
    </row>
    <row r="140" spans="1:26" s="709" customFormat="1" hidden="1">
      <c r="A140" s="4839" t="s">
        <v>2396</v>
      </c>
      <c r="B140" s="4882" t="s">
        <v>4638</v>
      </c>
      <c r="C140" s="4839" t="s">
        <v>44</v>
      </c>
      <c r="D140" s="4859">
        <v>45278</v>
      </c>
      <c r="E140" s="4859">
        <v>45280</v>
      </c>
      <c r="F140" s="4839" t="s">
        <v>135</v>
      </c>
      <c r="G140" s="4839" t="s">
        <v>4636</v>
      </c>
      <c r="H140" s="4957">
        <v>45287</v>
      </c>
      <c r="I140" s="4839"/>
      <c r="J140" s="4839" t="s">
        <v>1478</v>
      </c>
      <c r="K140" s="4839" t="s">
        <v>4361</v>
      </c>
      <c r="L140" s="58"/>
      <c r="M140" s="4957">
        <v>45287</v>
      </c>
      <c r="N140" s="4957">
        <v>45287</v>
      </c>
      <c r="O140" s="4957">
        <v>45295</v>
      </c>
      <c r="P140" s="4913" t="s">
        <v>4637</v>
      </c>
      <c r="Q140" s="4839" t="s">
        <v>128</v>
      </c>
      <c r="R140" s="4839" t="s">
        <v>36</v>
      </c>
      <c r="S140" s="4839"/>
      <c r="T140" s="4839">
        <v>1450</v>
      </c>
      <c r="U140" s="4839">
        <f>216+216</f>
        <v>432</v>
      </c>
      <c r="V140" s="4839">
        <v>2</v>
      </c>
      <c r="W140" s="4839"/>
      <c r="X140" s="4839"/>
      <c r="Y140" s="4839"/>
      <c r="Z140" s="4839"/>
    </row>
    <row r="141" spans="1:26" s="709" customFormat="1" ht="105">
      <c r="A141" s="4921" t="s">
        <v>3835</v>
      </c>
      <c r="B141" s="4921" t="s">
        <v>4639</v>
      </c>
      <c r="C141" s="4921" t="s">
        <v>28</v>
      </c>
      <c r="D141" s="5207">
        <v>45274</v>
      </c>
      <c r="E141" s="5208">
        <v>45280</v>
      </c>
      <c r="F141" s="4921" t="s">
        <v>45</v>
      </c>
      <c r="G141" s="4921" t="s">
        <v>1672</v>
      </c>
      <c r="H141" s="5239" t="s">
        <v>4640</v>
      </c>
      <c r="I141" s="4976"/>
      <c r="J141" s="4921" t="s">
        <v>510</v>
      </c>
      <c r="K141" s="4838" t="s">
        <v>4641</v>
      </c>
      <c r="L141" s="5240">
        <v>2968</v>
      </c>
      <c r="M141" s="5235">
        <v>45281</v>
      </c>
      <c r="N141" s="5235">
        <v>45281</v>
      </c>
      <c r="O141" s="5147">
        <v>45294</v>
      </c>
      <c r="P141" s="4829" t="s">
        <v>4642</v>
      </c>
      <c r="Q141" s="4921" t="s">
        <v>75</v>
      </c>
      <c r="R141" s="4921" t="s">
        <v>4643</v>
      </c>
      <c r="S141" s="4921">
        <v>4</v>
      </c>
      <c r="T141" s="5241">
        <v>2395</v>
      </c>
      <c r="U141" s="4921">
        <v>1609.4</v>
      </c>
      <c r="V141" s="4921">
        <v>1</v>
      </c>
      <c r="W141" s="4921">
        <f>Table10[[#This Row],[Sales Amount]]-Table10[[#This Row],[Cost]]</f>
        <v>785.59999999999991</v>
      </c>
      <c r="X141" s="5213">
        <f>Table10[[#This Row],[Profit]]/Table10[[#This Row],[Cost]]</f>
        <v>0.48813222318876592</v>
      </c>
      <c r="Y141" s="4921"/>
      <c r="Z141" s="4921"/>
    </row>
    <row r="142" spans="1:26" s="117" customFormat="1" ht="60">
      <c r="A142" s="4908" t="s">
        <v>4277</v>
      </c>
      <c r="B142" s="4908" t="s">
        <v>4644</v>
      </c>
      <c r="C142" s="4908" t="s">
        <v>28</v>
      </c>
      <c r="D142" s="4906">
        <v>45267</v>
      </c>
      <c r="E142" s="4916">
        <v>45280</v>
      </c>
      <c r="F142" s="4908" t="s">
        <v>45</v>
      </c>
      <c r="G142" s="4850" t="s">
        <v>302</v>
      </c>
      <c r="H142" s="4961" t="s">
        <v>4645</v>
      </c>
      <c r="I142" s="4908" t="s">
        <v>4646</v>
      </c>
      <c r="J142" s="4908" t="s">
        <v>32</v>
      </c>
      <c r="K142" s="4908" t="s">
        <v>397</v>
      </c>
      <c r="L142" s="2186" t="s">
        <v>4647</v>
      </c>
      <c r="M142" s="4906">
        <v>45282</v>
      </c>
      <c r="N142" s="4906">
        <v>45281</v>
      </c>
      <c r="O142" s="4906">
        <v>45283</v>
      </c>
      <c r="P142" s="4909" t="s">
        <v>4648</v>
      </c>
      <c r="Q142" s="4845" t="s">
        <v>75</v>
      </c>
      <c r="R142" s="4837" t="s">
        <v>4649</v>
      </c>
      <c r="S142" s="4845">
        <v>4</v>
      </c>
      <c r="T142" s="4922">
        <v>1620</v>
      </c>
      <c r="U142" s="4922">
        <v>1500</v>
      </c>
      <c r="V142" s="4845">
        <v>1</v>
      </c>
      <c r="W142" s="4922">
        <f>Table10[[#This Row],[Sales Amount]]-Table10[[#This Row],[Cost]]</f>
        <v>120</v>
      </c>
      <c r="X142" s="5060">
        <f>Table10[[#This Row],[Profit]]/Table10[[#This Row],[Cost]]</f>
        <v>0.08</v>
      </c>
      <c r="Y142" s="4845"/>
      <c r="Z142" s="4845"/>
    </row>
    <row r="143" spans="1:26" s="117" customFormat="1" ht="45">
      <c r="A143" s="663" t="s">
        <v>165</v>
      </c>
      <c r="B143" s="4166" t="s">
        <v>4650</v>
      </c>
      <c r="C143" s="4908" t="s">
        <v>28</v>
      </c>
      <c r="D143" s="4906">
        <v>45269</v>
      </c>
      <c r="E143" s="4916">
        <v>45280</v>
      </c>
      <c r="F143" s="4908" t="s">
        <v>4365</v>
      </c>
      <c r="G143" s="4857" t="s">
        <v>4366</v>
      </c>
      <c r="H143" s="4916">
        <v>45281</v>
      </c>
      <c r="I143" s="5242"/>
      <c r="J143" s="4908" t="s">
        <v>297</v>
      </c>
      <c r="K143" s="4908" t="s">
        <v>4367</v>
      </c>
      <c r="L143" s="5243">
        <v>84103132</v>
      </c>
      <c r="M143" s="5236">
        <v>45282</v>
      </c>
      <c r="N143" s="4906">
        <v>45281</v>
      </c>
      <c r="O143" s="4906">
        <v>45281</v>
      </c>
      <c r="P143" s="4909" t="s">
        <v>4517</v>
      </c>
      <c r="Q143" s="4845" t="s">
        <v>75</v>
      </c>
      <c r="R143" s="4908" t="s">
        <v>4651</v>
      </c>
      <c r="S143" s="4845">
        <v>4</v>
      </c>
      <c r="T143" s="4922">
        <v>780</v>
      </c>
      <c r="U143" s="4922">
        <v>662.5</v>
      </c>
      <c r="V143" s="4845">
        <v>1</v>
      </c>
      <c r="W143" s="4845">
        <f>Table10[[#This Row],[Sales Amount]]-Table10[[#This Row],[Cost]]</f>
        <v>117.5</v>
      </c>
      <c r="X143" s="5060">
        <f>Table10[[#This Row],[Profit]]/Table10[[#This Row],[Cost]]</f>
        <v>0.17735849056603772</v>
      </c>
      <c r="Y143" s="4845"/>
      <c r="Z143" s="4845"/>
    </row>
    <row r="144" spans="1:26" s="106" customFormat="1" ht="45" hidden="1">
      <c r="A144" s="4905" t="s">
        <v>409</v>
      </c>
      <c r="B144" s="4905" t="s">
        <v>4652</v>
      </c>
      <c r="C144" s="4911" t="s">
        <v>44</v>
      </c>
      <c r="D144" s="5228">
        <v>45268</v>
      </c>
      <c r="E144" s="5244">
        <v>45280</v>
      </c>
      <c r="F144" s="5245" t="s">
        <v>45</v>
      </c>
      <c r="G144" s="5246" t="s">
        <v>302</v>
      </c>
      <c r="H144" s="5247"/>
      <c r="I144" s="4910"/>
      <c r="J144" s="4996" t="s">
        <v>32</v>
      </c>
      <c r="K144" s="5017" t="s">
        <v>310</v>
      </c>
      <c r="L144" s="5017" t="s">
        <v>4653</v>
      </c>
      <c r="M144" s="5185">
        <v>45282</v>
      </c>
      <c r="N144" s="5185">
        <v>45282</v>
      </c>
      <c r="O144" s="5185">
        <v>45289</v>
      </c>
      <c r="P144" s="5189" t="s">
        <v>4654</v>
      </c>
      <c r="Q144" s="4911" t="s">
        <v>50</v>
      </c>
      <c r="R144" s="4911" t="s">
        <v>51</v>
      </c>
      <c r="S144" s="4911"/>
      <c r="T144" s="4911"/>
      <c r="U144" s="4911"/>
      <c r="V144" s="4911"/>
      <c r="W144" s="4911"/>
      <c r="X144" s="4911"/>
      <c r="Y144" s="4911"/>
      <c r="Z144" s="4911"/>
    </row>
    <row r="145" spans="1:26" hidden="1">
      <c r="A145" s="3275" t="s">
        <v>3343</v>
      </c>
      <c r="B145" s="3246" t="s">
        <v>4655</v>
      </c>
      <c r="C145" s="3275" t="s">
        <v>28</v>
      </c>
      <c r="D145" s="3388">
        <v>45267</v>
      </c>
      <c r="E145" s="3389">
        <v>45280</v>
      </c>
      <c r="F145" s="3390" t="s">
        <v>45</v>
      </c>
      <c r="G145" s="3275" t="s">
        <v>46</v>
      </c>
      <c r="H145" s="3275"/>
      <c r="I145" s="3275"/>
      <c r="J145" s="3275" t="s">
        <v>32</v>
      </c>
      <c r="K145" s="3275" t="s">
        <v>310</v>
      </c>
      <c r="L145" s="3275" t="s">
        <v>4656</v>
      </c>
      <c r="M145" s="3388">
        <v>45282</v>
      </c>
      <c r="N145" s="3388">
        <v>45281</v>
      </c>
      <c r="O145" s="3388">
        <v>45283</v>
      </c>
      <c r="P145" s="4968" t="s">
        <v>4657</v>
      </c>
      <c r="Q145" s="4839" t="s">
        <v>50</v>
      </c>
      <c r="R145" s="4839" t="s">
        <v>51</v>
      </c>
      <c r="S145" s="58"/>
      <c r="T145" s="4839"/>
      <c r="U145" s="4839"/>
      <c r="V145" s="4839"/>
      <c r="W145" s="4839"/>
      <c r="X145" s="4839"/>
      <c r="Y145" s="4839"/>
      <c r="Z145" s="4839"/>
    </row>
    <row r="146" spans="1:26" s="36" customFormat="1" ht="30" hidden="1">
      <c r="A146" s="4848" t="s">
        <v>3343</v>
      </c>
      <c r="B146" s="4908" t="s">
        <v>4658</v>
      </c>
      <c r="C146" s="4848" t="s">
        <v>28</v>
      </c>
      <c r="D146" s="5204">
        <v>45272</v>
      </c>
      <c r="E146" s="5203">
        <v>45280</v>
      </c>
      <c r="F146" s="4848" t="s">
        <v>1017</v>
      </c>
      <c r="G146" s="4848" t="s">
        <v>46</v>
      </c>
      <c r="H146" s="4848"/>
      <c r="I146" s="4848"/>
      <c r="J146" s="4848" t="s">
        <v>32</v>
      </c>
      <c r="K146" s="25" t="s">
        <v>310</v>
      </c>
      <c r="L146" s="5248" t="s">
        <v>4659</v>
      </c>
      <c r="M146" s="5204">
        <v>45283</v>
      </c>
      <c r="N146" s="5204">
        <v>45281</v>
      </c>
      <c r="O146" s="5204">
        <v>45283</v>
      </c>
      <c r="P146" s="5194" t="s">
        <v>4660</v>
      </c>
      <c r="Q146" s="4848" t="s">
        <v>50</v>
      </c>
      <c r="R146" s="4093" t="s">
        <v>4661</v>
      </c>
      <c r="S146" s="4848">
        <v>4</v>
      </c>
      <c r="T146" s="4848">
        <v>2590</v>
      </c>
      <c r="U146" s="4848"/>
      <c r="V146" s="4848"/>
      <c r="W146" s="4848"/>
      <c r="X146" s="4848"/>
      <c r="Y146" s="4848"/>
      <c r="Z146" s="4848"/>
    </row>
    <row r="147" spans="1:26" s="3" customFormat="1" hidden="1">
      <c r="A147" s="2218" t="s">
        <v>3343</v>
      </c>
      <c r="B147" s="4232" t="s">
        <v>4662</v>
      </c>
      <c r="C147" s="2218" t="s">
        <v>28</v>
      </c>
      <c r="D147" s="2534">
        <v>45272</v>
      </c>
      <c r="E147" s="2535">
        <v>45280</v>
      </c>
      <c r="F147" s="2218" t="s">
        <v>1017</v>
      </c>
      <c r="G147" s="2218" t="s">
        <v>46</v>
      </c>
      <c r="H147" s="2218"/>
      <c r="I147" s="2218"/>
      <c r="J147" s="2218" t="s">
        <v>32</v>
      </c>
      <c r="K147" s="2218" t="s">
        <v>310</v>
      </c>
      <c r="L147" s="2218" t="s">
        <v>4663</v>
      </c>
      <c r="M147" s="2534">
        <v>45282</v>
      </c>
      <c r="N147" s="2534">
        <v>45281</v>
      </c>
      <c r="O147" s="2534">
        <v>45286</v>
      </c>
      <c r="P147" s="2220" t="s">
        <v>4664</v>
      </c>
      <c r="Q147" s="19" t="s">
        <v>50</v>
      </c>
      <c r="R147" s="4191" t="s">
        <v>4665</v>
      </c>
      <c r="S147" s="19">
        <v>4</v>
      </c>
      <c r="T147" s="19">
        <v>3225</v>
      </c>
      <c r="U147" s="19"/>
      <c r="V147" s="19"/>
      <c r="W147" s="19"/>
      <c r="X147" s="19"/>
      <c r="Y147" s="19"/>
      <c r="Z147" s="19"/>
    </row>
    <row r="148" spans="1:26" customFormat="1" hidden="1">
      <c r="A148" s="18" t="s">
        <v>42</v>
      </c>
      <c r="B148" s="718" t="s">
        <v>4666</v>
      </c>
      <c r="C148" s="18" t="s">
        <v>28</v>
      </c>
      <c r="D148" s="2511">
        <v>45271</v>
      </c>
      <c r="E148" s="2536">
        <v>45280</v>
      </c>
      <c r="F148" s="18" t="s">
        <v>3636</v>
      </c>
      <c r="G148" s="18" t="s">
        <v>57</v>
      </c>
      <c r="H148" s="18"/>
      <c r="I148" s="18"/>
      <c r="J148" s="18" t="s">
        <v>32</v>
      </c>
      <c r="K148" s="18" t="s">
        <v>310</v>
      </c>
      <c r="L148" s="18">
        <v>4175071</v>
      </c>
      <c r="M148" s="2511">
        <v>45282</v>
      </c>
      <c r="N148" s="2511">
        <v>45280</v>
      </c>
      <c r="O148" s="2511">
        <v>45280</v>
      </c>
      <c r="P148" s="724" t="s">
        <v>4667</v>
      </c>
      <c r="Q148" s="18" t="s">
        <v>50</v>
      </c>
      <c r="R148" s="18" t="s">
        <v>51</v>
      </c>
      <c r="S148" s="18"/>
      <c r="T148" s="18"/>
      <c r="U148" s="18"/>
      <c r="V148" s="18"/>
      <c r="W148" s="18"/>
      <c r="X148" s="18"/>
      <c r="Y148" s="18"/>
      <c r="Z148" s="18"/>
    </row>
    <row r="149" spans="1:26" customFormat="1" hidden="1">
      <c r="A149" s="18" t="s">
        <v>3343</v>
      </c>
      <c r="B149" s="718" t="s">
        <v>4668</v>
      </c>
      <c r="C149" s="18" t="s">
        <v>28</v>
      </c>
      <c r="D149" s="2511">
        <v>45272</v>
      </c>
      <c r="E149" s="2536">
        <v>45280</v>
      </c>
      <c r="F149" s="18" t="s">
        <v>1017</v>
      </c>
      <c r="G149" s="18" t="s">
        <v>46</v>
      </c>
      <c r="H149" s="18"/>
      <c r="I149" s="18"/>
      <c r="J149" s="18" t="s">
        <v>32</v>
      </c>
      <c r="K149" s="18" t="s">
        <v>310</v>
      </c>
      <c r="L149" s="18" t="s">
        <v>4669</v>
      </c>
      <c r="M149" s="2511">
        <v>45282</v>
      </c>
      <c r="N149" s="2511">
        <v>45282</v>
      </c>
      <c r="O149" s="2511">
        <v>45283</v>
      </c>
      <c r="P149" s="1643" t="s">
        <v>4670</v>
      </c>
      <c r="Q149" s="18" t="s">
        <v>50</v>
      </c>
      <c r="R149" s="18" t="s">
        <v>51</v>
      </c>
      <c r="S149" s="18"/>
      <c r="T149" s="18"/>
      <c r="U149" s="18"/>
      <c r="V149" s="18"/>
      <c r="W149" s="18"/>
      <c r="X149" s="18"/>
      <c r="Y149" s="18"/>
      <c r="Z149" s="18"/>
    </row>
    <row r="150" spans="1:26" s="3" customFormat="1" hidden="1">
      <c r="A150" s="19" t="s">
        <v>3343</v>
      </c>
      <c r="B150" s="4193" t="s">
        <v>4671</v>
      </c>
      <c r="C150" s="19" t="s">
        <v>28</v>
      </c>
      <c r="D150" s="2537">
        <v>45267</v>
      </c>
      <c r="E150" s="2538">
        <v>45280</v>
      </c>
      <c r="F150" s="2221" t="s">
        <v>45</v>
      </c>
      <c r="G150" s="19" t="s">
        <v>46</v>
      </c>
      <c r="H150" s="19"/>
      <c r="I150" s="19"/>
      <c r="J150" s="19" t="s">
        <v>32</v>
      </c>
      <c r="K150" s="19" t="s">
        <v>310</v>
      </c>
      <c r="L150" s="2222" t="s">
        <v>4672</v>
      </c>
      <c r="M150" s="2537">
        <v>45283</v>
      </c>
      <c r="N150" s="2537">
        <v>45281</v>
      </c>
      <c r="O150" s="2537">
        <v>45283</v>
      </c>
      <c r="P150" s="2220" t="s">
        <v>4673</v>
      </c>
      <c r="Q150" s="19" t="s">
        <v>50</v>
      </c>
      <c r="R150" s="4191" t="s">
        <v>4674</v>
      </c>
      <c r="S150" s="19">
        <v>4</v>
      </c>
      <c r="T150" s="19">
        <v>3100</v>
      </c>
      <c r="U150" s="19"/>
      <c r="V150" s="19"/>
      <c r="W150" s="19"/>
      <c r="X150" s="19"/>
      <c r="Y150" s="19"/>
      <c r="Z150" s="19"/>
    </row>
    <row r="151" spans="1:26" customFormat="1" hidden="1">
      <c r="A151" s="3275" t="s">
        <v>1035</v>
      </c>
      <c r="B151" s="3258" t="s">
        <v>4675</v>
      </c>
      <c r="C151" s="3275" t="s">
        <v>28</v>
      </c>
      <c r="D151" s="3279">
        <v>45267</v>
      </c>
      <c r="E151" s="3383">
        <v>45281</v>
      </c>
      <c r="F151" s="3275" t="s">
        <v>151</v>
      </c>
      <c r="G151" s="3275" t="s">
        <v>46</v>
      </c>
      <c r="H151" s="3275" t="s">
        <v>1038</v>
      </c>
      <c r="I151" s="3275"/>
      <c r="J151" s="3275" t="s">
        <v>32</v>
      </c>
      <c r="K151" s="3278" t="s">
        <v>162</v>
      </c>
      <c r="L151" s="3347">
        <v>9989940</v>
      </c>
      <c r="M151" s="3350">
        <v>45286</v>
      </c>
      <c r="N151" s="3279">
        <v>45282</v>
      </c>
      <c r="O151" s="3279">
        <v>45282</v>
      </c>
      <c r="P151" s="3372" t="s">
        <v>4531</v>
      </c>
      <c r="Q151" s="4839" t="s">
        <v>35</v>
      </c>
      <c r="R151" s="58" t="s">
        <v>36</v>
      </c>
      <c r="S151" s="4839" t="s">
        <v>1320</v>
      </c>
      <c r="T151" s="4895"/>
      <c r="U151" s="4895"/>
      <c r="V151" s="4895"/>
      <c r="W151" s="4895"/>
      <c r="X151" s="4895"/>
      <c r="Y151" s="4895"/>
      <c r="Z151" s="4895"/>
    </row>
    <row r="152" spans="1:26" s="507" customFormat="1" hidden="1">
      <c r="A152" s="4839" t="s">
        <v>1035</v>
      </c>
      <c r="B152" s="4861" t="s">
        <v>4676</v>
      </c>
      <c r="C152" s="4839" t="s">
        <v>28</v>
      </c>
      <c r="D152" s="4957">
        <v>45267</v>
      </c>
      <c r="E152" s="5071">
        <v>45281</v>
      </c>
      <c r="F152" s="4839" t="s">
        <v>151</v>
      </c>
      <c r="G152" s="4839" t="s">
        <v>46</v>
      </c>
      <c r="H152" s="4839" t="s">
        <v>1038</v>
      </c>
      <c r="I152" s="4839"/>
      <c r="J152" s="4839" t="s">
        <v>32</v>
      </c>
      <c r="K152" s="4894" t="s">
        <v>162</v>
      </c>
      <c r="L152" s="4901" t="s">
        <v>4677</v>
      </c>
      <c r="M152" s="5078">
        <v>45286</v>
      </c>
      <c r="N152" s="4957">
        <v>45282</v>
      </c>
      <c r="O152" s="4957">
        <v>45282</v>
      </c>
      <c r="P152" s="5199" t="s">
        <v>4632</v>
      </c>
      <c r="Q152" s="4839" t="s">
        <v>35</v>
      </c>
      <c r="R152" s="58" t="s">
        <v>36</v>
      </c>
      <c r="S152" s="4839" t="s">
        <v>1320</v>
      </c>
      <c r="T152" s="4895"/>
      <c r="U152" s="4895"/>
      <c r="V152" s="4895"/>
      <c r="W152" s="4895"/>
      <c r="X152" s="4895"/>
      <c r="Y152" s="4895"/>
      <c r="Z152" s="4895"/>
    </row>
    <row r="153" spans="1:26" s="507" customFormat="1" hidden="1">
      <c r="A153" s="4839" t="s">
        <v>1035</v>
      </c>
      <c r="B153" s="4882" t="s">
        <v>4678</v>
      </c>
      <c r="C153" s="4839" t="s">
        <v>28</v>
      </c>
      <c r="D153" s="4957">
        <v>45267</v>
      </c>
      <c r="E153" s="5071">
        <v>45281</v>
      </c>
      <c r="F153" s="4839" t="s">
        <v>151</v>
      </c>
      <c r="G153" s="4839" t="s">
        <v>46</v>
      </c>
      <c r="H153" s="4839" t="s">
        <v>1038</v>
      </c>
      <c r="I153" s="4839"/>
      <c r="J153" s="4839" t="s">
        <v>32</v>
      </c>
      <c r="K153" s="4894" t="s">
        <v>162</v>
      </c>
      <c r="L153" s="4901">
        <v>842826</v>
      </c>
      <c r="M153" s="4990">
        <v>45286</v>
      </c>
      <c r="N153" s="4957">
        <v>45282</v>
      </c>
      <c r="O153" s="4957">
        <v>45282</v>
      </c>
      <c r="P153" s="3372" t="s">
        <v>4534</v>
      </c>
      <c r="Q153" s="3275" t="s">
        <v>35</v>
      </c>
      <c r="R153" s="3275" t="s">
        <v>36</v>
      </c>
      <c r="S153" s="3275" t="s">
        <v>1320</v>
      </c>
      <c r="T153" s="3241"/>
      <c r="U153" s="3241"/>
      <c r="V153" s="3241"/>
      <c r="W153" s="3241"/>
      <c r="X153" s="3241"/>
      <c r="Y153" s="3241"/>
      <c r="Z153" s="3241"/>
    </row>
    <row r="154" spans="1:26" s="26" customFormat="1" ht="30" hidden="1">
      <c r="A154" s="1430" t="s">
        <v>2966</v>
      </c>
      <c r="B154" s="1430" t="s">
        <v>4679</v>
      </c>
      <c r="C154" s="1430" t="s">
        <v>200</v>
      </c>
      <c r="D154" s="1869">
        <v>45281</v>
      </c>
      <c r="E154" s="1990">
        <v>45281</v>
      </c>
      <c r="F154" s="1430" t="s">
        <v>4680</v>
      </c>
      <c r="G154" s="1430" t="s">
        <v>4681</v>
      </c>
      <c r="H154" s="1867">
        <v>45289</v>
      </c>
      <c r="I154" s="1527" t="s">
        <v>108</v>
      </c>
      <c r="J154" s="1430" t="s">
        <v>4682</v>
      </c>
      <c r="K154" s="1430" t="s">
        <v>4683</v>
      </c>
      <c r="L154" s="1527" t="s">
        <v>542</v>
      </c>
      <c r="M154" s="1867">
        <v>45289</v>
      </c>
      <c r="N154" s="1867">
        <v>45288</v>
      </c>
      <c r="O154" s="1868">
        <v>45288</v>
      </c>
      <c r="P154" s="1997" t="s">
        <v>4684</v>
      </c>
      <c r="Q154" s="18" t="s">
        <v>35</v>
      </c>
      <c r="R154" s="18" t="s">
        <v>36</v>
      </c>
      <c r="S154" s="1998" t="s">
        <v>3398</v>
      </c>
      <c r="T154" s="84">
        <v>1900</v>
      </c>
      <c r="U154" s="84">
        <v>1383.5</v>
      </c>
      <c r="V154" s="84"/>
      <c r="W154" s="84"/>
      <c r="X154" s="84"/>
      <c r="Y154" s="84"/>
      <c r="Z154" s="84"/>
    </row>
    <row r="155" spans="1:26" s="3" customFormat="1" ht="60">
      <c r="A155" s="4908" t="s">
        <v>4685</v>
      </c>
      <c r="B155" s="4908" t="s">
        <v>4686</v>
      </c>
      <c r="C155" s="4908" t="s">
        <v>28</v>
      </c>
      <c r="D155" s="4918">
        <v>45267</v>
      </c>
      <c r="E155" s="4916">
        <v>45281</v>
      </c>
      <c r="F155" s="4908" t="s">
        <v>45</v>
      </c>
      <c r="G155" s="4850" t="s">
        <v>302</v>
      </c>
      <c r="H155" s="5224">
        <v>45283</v>
      </c>
      <c r="I155" s="5225" t="s">
        <v>108</v>
      </c>
      <c r="J155" s="4845" t="s">
        <v>32</v>
      </c>
      <c r="K155" s="4908" t="s">
        <v>966</v>
      </c>
      <c r="L155" s="5243">
        <v>49694</v>
      </c>
      <c r="M155" s="5236">
        <v>45286</v>
      </c>
      <c r="N155" s="4906">
        <v>45283</v>
      </c>
      <c r="O155" s="4906">
        <v>45283</v>
      </c>
      <c r="P155" s="4266" t="s">
        <v>4687</v>
      </c>
      <c r="Q155" s="663" t="s">
        <v>75</v>
      </c>
      <c r="R155" s="1848" t="s">
        <v>4688</v>
      </c>
      <c r="S155" s="663">
        <v>4</v>
      </c>
      <c r="T155" s="663">
        <v>1090</v>
      </c>
      <c r="U155" s="663">
        <v>880</v>
      </c>
      <c r="V155" s="663">
        <v>1</v>
      </c>
      <c r="W155" s="663">
        <f>Table10[[#This Row],[Sales Amount]]-Table10[[#This Row],[Cost]]</f>
        <v>210</v>
      </c>
      <c r="X155" s="2079">
        <f>Table10[[#This Row],[Profit]]/Table10[[#This Row],[Cost]]</f>
        <v>0.23863636363636365</v>
      </c>
      <c r="Y155" s="663"/>
      <c r="Z155" s="663"/>
    </row>
    <row r="156" spans="1:26" customFormat="1" hidden="1">
      <c r="A156" s="1430" t="s">
        <v>42</v>
      </c>
      <c r="B156" s="726" t="s">
        <v>4689</v>
      </c>
      <c r="C156" s="1430" t="s">
        <v>28</v>
      </c>
      <c r="D156" s="2539">
        <v>45260</v>
      </c>
      <c r="E156" s="2540">
        <v>45281</v>
      </c>
      <c r="F156" s="1430" t="s">
        <v>86</v>
      </c>
      <c r="G156" s="1430" t="s">
        <v>46</v>
      </c>
      <c r="H156" s="1430"/>
      <c r="I156" s="1430"/>
      <c r="J156" s="1430" t="s">
        <v>168</v>
      </c>
      <c r="K156" s="1430" t="s">
        <v>310</v>
      </c>
      <c r="L156" s="1430" t="s">
        <v>4690</v>
      </c>
      <c r="M156" s="2539">
        <v>45286</v>
      </c>
      <c r="N156" s="2539">
        <v>45282</v>
      </c>
      <c r="O156" s="2539">
        <v>45283</v>
      </c>
      <c r="P156" s="1683" t="s">
        <v>4691</v>
      </c>
      <c r="Q156" s="710" t="s">
        <v>50</v>
      </c>
      <c r="R156" s="710" t="s">
        <v>51</v>
      </c>
      <c r="S156" s="710"/>
      <c r="T156" s="710"/>
      <c r="U156" s="710"/>
      <c r="V156" s="710"/>
      <c r="W156" s="710"/>
      <c r="X156" s="710"/>
      <c r="Y156" s="710"/>
      <c r="Z156" s="710"/>
    </row>
    <row r="157" spans="1:26" s="3" customFormat="1" hidden="1">
      <c r="A157" s="19" t="s">
        <v>3343</v>
      </c>
      <c r="B157" s="4193" t="s">
        <v>4692</v>
      </c>
      <c r="C157" s="19" t="s">
        <v>44</v>
      </c>
      <c r="D157" s="2537">
        <v>45260</v>
      </c>
      <c r="E157" s="2538">
        <v>45281</v>
      </c>
      <c r="F157" s="2221" t="s">
        <v>45</v>
      </c>
      <c r="G157" s="19" t="s">
        <v>46</v>
      </c>
      <c r="H157" s="19"/>
      <c r="I157" s="19"/>
      <c r="J157" s="19" t="s">
        <v>168</v>
      </c>
      <c r="K157" s="19" t="s">
        <v>310</v>
      </c>
      <c r="L157" s="2222" t="s">
        <v>4693</v>
      </c>
      <c r="M157" s="2537">
        <v>45286</v>
      </c>
      <c r="N157" s="2537">
        <v>45282</v>
      </c>
      <c r="O157" s="2537">
        <v>45286</v>
      </c>
      <c r="P157" s="2220" t="s">
        <v>4694</v>
      </c>
      <c r="Q157" s="19" t="s">
        <v>50</v>
      </c>
      <c r="R157" s="4191" t="s">
        <v>4695</v>
      </c>
      <c r="S157" s="19">
        <v>4</v>
      </c>
      <c r="T157" s="19">
        <v>3190</v>
      </c>
      <c r="U157" s="19"/>
      <c r="V157" s="19"/>
      <c r="W157" s="19"/>
      <c r="X157" s="19"/>
      <c r="Y157" s="19"/>
      <c r="Z157" s="19"/>
    </row>
    <row r="158" spans="1:26" s="117" customFormat="1" hidden="1">
      <c r="A158" s="2154" t="s">
        <v>42</v>
      </c>
      <c r="B158" s="1724" t="s">
        <v>4696</v>
      </c>
      <c r="C158" s="2154" t="s">
        <v>28</v>
      </c>
      <c r="D158" s="2520">
        <v>45260</v>
      </c>
      <c r="E158" s="2526">
        <v>45281</v>
      </c>
      <c r="F158" s="2154" t="s">
        <v>86</v>
      </c>
      <c r="G158" s="2154" t="s">
        <v>46</v>
      </c>
      <c r="H158" s="2154"/>
      <c r="I158" s="2154"/>
      <c r="J158" s="2154" t="s">
        <v>168</v>
      </c>
      <c r="K158" s="2154" t="s">
        <v>310</v>
      </c>
      <c r="L158" s="2184" t="s">
        <v>4697</v>
      </c>
      <c r="M158" s="2520">
        <v>45286</v>
      </c>
      <c r="N158" s="2520">
        <v>45283</v>
      </c>
      <c r="O158" s="2520">
        <v>45286</v>
      </c>
      <c r="P158" s="2163" t="s">
        <v>4698</v>
      </c>
      <c r="Q158" s="2154" t="s">
        <v>50</v>
      </c>
      <c r="R158" s="2154" t="s">
        <v>51</v>
      </c>
      <c r="S158" s="2154"/>
      <c r="T158" s="2154"/>
      <c r="U158" s="2154"/>
      <c r="V158" s="2154"/>
      <c r="W158" s="2154"/>
      <c r="X158" s="2154"/>
      <c r="Y158" s="2154"/>
      <c r="Z158" s="2154"/>
    </row>
    <row r="159" spans="1:26" s="117" customFormat="1" ht="45">
      <c r="A159" s="663" t="s">
        <v>165</v>
      </c>
      <c r="B159" s="4908" t="s">
        <v>4699</v>
      </c>
      <c r="C159" s="663" t="s">
        <v>200</v>
      </c>
      <c r="D159" s="1074">
        <v>45270</v>
      </c>
      <c r="E159" s="1825">
        <v>45282</v>
      </c>
      <c r="F159" s="663" t="s">
        <v>167</v>
      </c>
      <c r="G159" s="4169" t="s">
        <v>302</v>
      </c>
      <c r="H159" s="1074">
        <v>45283</v>
      </c>
      <c r="I159" s="663"/>
      <c r="J159" s="4166" t="s">
        <v>32</v>
      </c>
      <c r="K159" s="1874" t="s">
        <v>2013</v>
      </c>
      <c r="L159" s="4166" t="s">
        <v>4700</v>
      </c>
      <c r="M159" s="2082">
        <v>45284</v>
      </c>
      <c r="N159" s="2082">
        <v>45283</v>
      </c>
      <c r="O159" s="1074">
        <v>45283</v>
      </c>
      <c r="P159" s="4266" t="s">
        <v>4701</v>
      </c>
      <c r="Q159" s="663" t="s">
        <v>75</v>
      </c>
      <c r="R159" s="4166" t="s">
        <v>4702</v>
      </c>
      <c r="S159" s="663">
        <v>4</v>
      </c>
      <c r="T159" s="663">
        <f>1150-80</f>
        <v>1070</v>
      </c>
      <c r="U159" s="663">
        <f>870</f>
        <v>870</v>
      </c>
      <c r="V159" s="663">
        <v>1</v>
      </c>
      <c r="W159" s="3268">
        <f>Table10[[#This Row],[Sales Amount]]-Table10[[#This Row],[Cost]]</f>
        <v>200</v>
      </c>
      <c r="X159" s="3269">
        <f>Table10[[#This Row],[Profit]]/Table10[[#This Row],[Cost]]</f>
        <v>0.22988505747126436</v>
      </c>
      <c r="Y159" s="663"/>
      <c r="Z159" s="663"/>
    </row>
    <row r="160" spans="1:26" s="1442" customFormat="1" hidden="1">
      <c r="A160" s="2071" t="s">
        <v>4703</v>
      </c>
      <c r="B160" s="1594" t="s">
        <v>4704</v>
      </c>
      <c r="C160" s="2071" t="s">
        <v>28</v>
      </c>
      <c r="D160" s="2524">
        <v>45272</v>
      </c>
      <c r="E160" s="2525">
        <v>45282</v>
      </c>
      <c r="F160" s="2071" t="s">
        <v>2389</v>
      </c>
      <c r="G160" s="2071" t="s">
        <v>4566</v>
      </c>
      <c r="H160" s="2295"/>
      <c r="I160" s="2071"/>
      <c r="J160" s="2071" t="s">
        <v>32</v>
      </c>
      <c r="K160" s="2071" t="s">
        <v>310</v>
      </c>
      <c r="L160" s="2071">
        <v>4235695</v>
      </c>
      <c r="M160" s="2524">
        <v>45283</v>
      </c>
      <c r="N160" s="2524">
        <v>45286</v>
      </c>
      <c r="O160" s="2524">
        <v>45288</v>
      </c>
      <c r="P160" s="1827" t="s">
        <v>4705</v>
      </c>
      <c r="Q160" s="2071" t="s">
        <v>50</v>
      </c>
      <c r="R160" s="1594" t="s">
        <v>4706</v>
      </c>
      <c r="S160" s="2071"/>
      <c r="T160" s="2071"/>
      <c r="U160" s="2071"/>
      <c r="V160" s="2071"/>
      <c r="W160" s="2071"/>
      <c r="X160" s="2296"/>
      <c r="Y160" s="2071"/>
      <c r="Z160" s="2071"/>
    </row>
    <row r="161" spans="1:26" s="117" customFormat="1" ht="15.75" hidden="1">
      <c r="A161" s="4848" t="s">
        <v>4707</v>
      </c>
      <c r="B161" s="4845" t="s">
        <v>4708</v>
      </c>
      <c r="C161" s="4848" t="s">
        <v>28</v>
      </c>
      <c r="D161" s="5204">
        <v>45276</v>
      </c>
      <c r="E161" s="2528">
        <v>45282</v>
      </c>
      <c r="F161" s="4848" t="s">
        <v>245</v>
      </c>
      <c r="G161" s="4848" t="s">
        <v>3424</v>
      </c>
      <c r="H161" s="4916"/>
      <c r="I161" s="4848"/>
      <c r="J161" s="4848" t="s">
        <v>32</v>
      </c>
      <c r="K161" s="4848" t="s">
        <v>310</v>
      </c>
      <c r="L161" s="25">
        <v>176402</v>
      </c>
      <c r="M161" s="5204">
        <v>45286</v>
      </c>
      <c r="N161" s="5204">
        <v>45286</v>
      </c>
      <c r="O161" s="5204">
        <v>45288</v>
      </c>
      <c r="P161" s="5249" t="s">
        <v>4709</v>
      </c>
      <c r="Q161" s="4848" t="s">
        <v>50</v>
      </c>
      <c r="R161" s="3" t="s">
        <v>4710</v>
      </c>
      <c r="S161" s="4848"/>
      <c r="T161" s="4848"/>
      <c r="U161" s="4848"/>
      <c r="V161" s="4848"/>
      <c r="W161" s="4848"/>
      <c r="X161" s="5250"/>
      <c r="Y161" s="4848"/>
      <c r="Z161" s="4848"/>
    </row>
    <row r="162" spans="1:26" s="1442" customFormat="1" hidden="1">
      <c r="A162" s="3384" t="s">
        <v>42</v>
      </c>
      <c r="B162" s="3252" t="s">
        <v>4711</v>
      </c>
      <c r="C162" s="3384" t="s">
        <v>85</v>
      </c>
      <c r="D162" s="3385">
        <v>45271</v>
      </c>
      <c r="E162" s="2531">
        <v>45282</v>
      </c>
      <c r="F162" s="3384" t="s">
        <v>3636</v>
      </c>
      <c r="G162" s="3384" t="s">
        <v>57</v>
      </c>
      <c r="H162" s="3391"/>
      <c r="I162" s="3384"/>
      <c r="J162" s="3384" t="s">
        <v>168</v>
      </c>
      <c r="K162" s="3384" t="s">
        <v>310</v>
      </c>
      <c r="L162" s="3384">
        <v>4175241</v>
      </c>
      <c r="M162" s="3385">
        <v>45284</v>
      </c>
      <c r="N162" s="3385">
        <v>45282</v>
      </c>
      <c r="O162" s="3385">
        <v>45286</v>
      </c>
      <c r="P162" s="3356" t="s">
        <v>4712</v>
      </c>
      <c r="Q162" s="3384" t="s">
        <v>50</v>
      </c>
      <c r="R162" s="3384" t="s">
        <v>51</v>
      </c>
      <c r="S162" s="3384"/>
      <c r="T162" s="3384"/>
      <c r="U162" s="3384"/>
      <c r="V162" s="3384"/>
      <c r="W162" s="3384"/>
      <c r="X162" s="3384"/>
      <c r="Y162" s="3384"/>
      <c r="Z162" s="3384"/>
    </row>
    <row r="163" spans="1:26" s="106" customFormat="1" hidden="1">
      <c r="A163" s="710" t="s">
        <v>2787</v>
      </c>
      <c r="B163" s="1712" t="s">
        <v>4713</v>
      </c>
      <c r="C163" s="710" t="s">
        <v>4714</v>
      </c>
      <c r="D163" s="2171">
        <v>45283</v>
      </c>
      <c r="E163" s="2173">
        <v>45283</v>
      </c>
      <c r="F163" s="710" t="s">
        <v>56</v>
      </c>
      <c r="G163" s="710" t="s">
        <v>4715</v>
      </c>
      <c r="H163" s="1986">
        <v>45288</v>
      </c>
      <c r="I163" s="1117" t="s">
        <v>115</v>
      </c>
      <c r="J163" s="710" t="s">
        <v>4716</v>
      </c>
      <c r="K163" s="710" t="s">
        <v>4717</v>
      </c>
      <c r="L163" s="1117" t="s">
        <v>542</v>
      </c>
      <c r="M163" s="1986">
        <v>45289</v>
      </c>
      <c r="N163" s="1985">
        <v>45288</v>
      </c>
      <c r="O163" s="1985">
        <v>45288</v>
      </c>
      <c r="P163" s="1871" t="s">
        <v>4718</v>
      </c>
      <c r="Q163" s="18" t="s">
        <v>35</v>
      </c>
      <c r="R163" s="18" t="s">
        <v>36</v>
      </c>
      <c r="S163" s="18" t="s">
        <v>37</v>
      </c>
      <c r="T163" s="84">
        <v>640</v>
      </c>
      <c r="U163" s="84">
        <v>440</v>
      </c>
      <c r="V163" s="84"/>
      <c r="W163" s="84"/>
      <c r="X163" s="84"/>
      <c r="Y163" s="84"/>
      <c r="Z163" s="84"/>
    </row>
    <row r="164" spans="1:26" s="117" customFormat="1" ht="105">
      <c r="A164" s="4921" t="s">
        <v>4719</v>
      </c>
      <c r="B164" s="4921" t="s">
        <v>4720</v>
      </c>
      <c r="C164" s="4970" t="s">
        <v>28</v>
      </c>
      <c r="D164" s="5207">
        <v>45280</v>
      </c>
      <c r="E164" s="5208">
        <v>45283</v>
      </c>
      <c r="F164" s="4921" t="s">
        <v>135</v>
      </c>
      <c r="G164" s="4921" t="s">
        <v>4721</v>
      </c>
      <c r="H164" s="5210">
        <v>45289</v>
      </c>
      <c r="I164" s="4976" t="s">
        <v>672</v>
      </c>
      <c r="J164" s="4921" t="s">
        <v>510</v>
      </c>
      <c r="K164" s="4838" t="s">
        <v>4722</v>
      </c>
      <c r="L164" s="5251">
        <v>1024</v>
      </c>
      <c r="M164" s="5235">
        <v>45287</v>
      </c>
      <c r="N164" s="5235">
        <v>45287</v>
      </c>
      <c r="O164" s="5147">
        <v>45293</v>
      </c>
      <c r="P164" s="4119" t="s">
        <v>4723</v>
      </c>
      <c r="Q164" s="1848" t="s">
        <v>75</v>
      </c>
      <c r="R164" s="4119" t="s">
        <v>4724</v>
      </c>
      <c r="S164" s="1848">
        <v>4</v>
      </c>
      <c r="T164" s="5241">
        <v>1415</v>
      </c>
      <c r="U164" s="4921">
        <v>996.7</v>
      </c>
      <c r="V164" s="4921"/>
      <c r="W164" s="5174">
        <f>Table10[[#This Row],[Sales Amount]]-Table10[[#This Row],[Cost]]</f>
        <v>418.29999999999995</v>
      </c>
      <c r="X164" s="5213">
        <f>Table10[[#This Row],[Profit]]/Table10[[#This Row],[Sales Amount]]</f>
        <v>0.29561837455830386</v>
      </c>
      <c r="Y164" s="4921"/>
      <c r="Z164" s="4921"/>
    </row>
    <row r="165" spans="1:26" s="117" customFormat="1" hidden="1">
      <c r="A165" s="1145" t="s">
        <v>1431</v>
      </c>
      <c r="B165" s="1145" t="s">
        <v>4725</v>
      </c>
      <c r="C165" s="1145" t="s">
        <v>28</v>
      </c>
      <c r="D165" s="1817">
        <v>45273</v>
      </c>
      <c r="E165" s="1826">
        <v>45284</v>
      </c>
      <c r="F165" s="1145" t="s">
        <v>29</v>
      </c>
      <c r="G165" s="1145" t="s">
        <v>57</v>
      </c>
      <c r="H165" s="1821">
        <v>45294</v>
      </c>
      <c r="I165" s="1820" t="s">
        <v>115</v>
      </c>
      <c r="J165" s="1154" t="s">
        <v>32</v>
      </c>
      <c r="K165" s="4841" t="s">
        <v>1433</v>
      </c>
      <c r="L165" s="4841">
        <v>4353856</v>
      </c>
      <c r="M165" s="4990">
        <v>45286</v>
      </c>
      <c r="N165" s="5078">
        <v>45286</v>
      </c>
      <c r="O165" s="4957">
        <v>45294</v>
      </c>
      <c r="P165" s="5199" t="s">
        <v>4726</v>
      </c>
      <c r="Q165" s="4839" t="s">
        <v>35</v>
      </c>
      <c r="R165" s="4839" t="s">
        <v>36</v>
      </c>
      <c r="S165" s="4839" t="s">
        <v>37</v>
      </c>
      <c r="T165" s="4895">
        <v>2173.5</v>
      </c>
      <c r="U165" s="4895">
        <v>1920</v>
      </c>
      <c r="V165" s="4895"/>
      <c r="W165" s="4895"/>
      <c r="X165" s="4895"/>
      <c r="Y165" s="4895"/>
      <c r="Z165" s="4895"/>
    </row>
    <row r="166" spans="1:26" s="106" customFormat="1">
      <c r="A166" s="663" t="s">
        <v>468</v>
      </c>
      <c r="B166" s="714" t="s">
        <v>4727</v>
      </c>
      <c r="C166" s="663" t="s">
        <v>200</v>
      </c>
      <c r="D166" s="1074">
        <v>45266</v>
      </c>
      <c r="E166" s="1825">
        <v>45284</v>
      </c>
      <c r="F166" s="663" t="s">
        <v>29</v>
      </c>
      <c r="G166" s="38" t="s">
        <v>57</v>
      </c>
      <c r="H166" s="1494">
        <v>45287</v>
      </c>
      <c r="I166" s="1874" t="s">
        <v>178</v>
      </c>
      <c r="J166" s="117" t="s">
        <v>297</v>
      </c>
      <c r="K166" s="1782" t="s">
        <v>4376</v>
      </c>
      <c r="L166" s="2081">
        <v>3597488</v>
      </c>
      <c r="M166" s="2082">
        <v>45286</v>
      </c>
      <c r="N166" s="2082">
        <v>45286</v>
      </c>
      <c r="O166" s="1074">
        <v>45287</v>
      </c>
      <c r="P166" s="714" t="s">
        <v>4728</v>
      </c>
      <c r="Q166" s="663" t="s">
        <v>75</v>
      </c>
      <c r="R166" s="714" t="s">
        <v>4729</v>
      </c>
      <c r="S166" s="663">
        <v>4</v>
      </c>
      <c r="T166" s="2083">
        <v>1945</v>
      </c>
      <c r="U166" s="2083">
        <v>1433.2</v>
      </c>
      <c r="V166" s="663">
        <v>1</v>
      </c>
      <c r="W166" s="2083">
        <f>Table10[[#This Row],[Sales Amount]]-Table10[[#This Row],[Cost]]</f>
        <v>511.79999999999995</v>
      </c>
      <c r="X166" s="2079">
        <f>Table10[[#This Row],[Profit]]/Table10[[#This Row],[Cost]]</f>
        <v>0.3571029863243092</v>
      </c>
      <c r="Y166" s="2170" t="s">
        <v>4730</v>
      </c>
      <c r="Z166" s="663"/>
    </row>
    <row r="167" spans="1:26" s="709" customFormat="1" hidden="1">
      <c r="A167" s="4839" t="s">
        <v>732</v>
      </c>
      <c r="B167" s="4861" t="s">
        <v>4731</v>
      </c>
      <c r="C167" s="4839" t="s">
        <v>3181</v>
      </c>
      <c r="D167" s="5179">
        <v>45271</v>
      </c>
      <c r="E167" s="5219">
        <v>45284</v>
      </c>
      <c r="F167" s="4839" t="s">
        <v>990</v>
      </c>
      <c r="G167" s="4839" t="s">
        <v>46</v>
      </c>
      <c r="H167" s="4885"/>
      <c r="I167" s="4839"/>
      <c r="J167" s="4839" t="s">
        <v>32</v>
      </c>
      <c r="K167" s="4839" t="s">
        <v>310</v>
      </c>
      <c r="L167" s="4870" t="s">
        <v>4732</v>
      </c>
      <c r="M167" s="5179">
        <v>45288</v>
      </c>
      <c r="N167" s="5179">
        <v>45286</v>
      </c>
      <c r="O167" s="5179">
        <v>45287</v>
      </c>
      <c r="P167" s="4968" t="s">
        <v>4733</v>
      </c>
      <c r="Q167" s="4839" t="s">
        <v>50</v>
      </c>
      <c r="R167" s="58" t="s">
        <v>51</v>
      </c>
      <c r="S167" s="4839"/>
      <c r="T167" s="4839"/>
      <c r="U167" s="4839"/>
      <c r="V167" s="4839"/>
      <c r="W167" s="4839"/>
      <c r="X167" s="4839"/>
      <c r="Y167" s="4839"/>
      <c r="Z167" s="4839"/>
    </row>
    <row r="168" spans="1:26" s="1442" customFormat="1" hidden="1">
      <c r="A168" s="3275" t="s">
        <v>1035</v>
      </c>
      <c r="B168" s="3258" t="s">
        <v>4734</v>
      </c>
      <c r="C168" s="3275" t="s">
        <v>28</v>
      </c>
      <c r="D168" s="3279">
        <v>45274</v>
      </c>
      <c r="E168" s="5071">
        <v>45285</v>
      </c>
      <c r="F168" s="3275" t="s">
        <v>151</v>
      </c>
      <c r="G168" s="3275" t="s">
        <v>46</v>
      </c>
      <c r="H168" s="4839" t="s">
        <v>1038</v>
      </c>
      <c r="I168" s="3275"/>
      <c r="J168" s="3275" t="s">
        <v>32</v>
      </c>
      <c r="K168" s="3278" t="s">
        <v>162</v>
      </c>
      <c r="L168" s="4901" t="s">
        <v>4735</v>
      </c>
      <c r="M168" s="3350">
        <v>45288</v>
      </c>
      <c r="N168" s="3350">
        <v>45288</v>
      </c>
      <c r="O168" s="3350">
        <v>45288</v>
      </c>
      <c r="P168" s="3372" t="s">
        <v>4736</v>
      </c>
      <c r="Q168" s="3275" t="s">
        <v>35</v>
      </c>
      <c r="R168" s="3275" t="s">
        <v>36</v>
      </c>
      <c r="S168" s="3275" t="s">
        <v>1320</v>
      </c>
      <c r="T168" s="3241"/>
      <c r="U168" s="3241"/>
      <c r="V168" s="3241"/>
      <c r="W168" s="3241"/>
      <c r="X168" s="3241"/>
      <c r="Y168" s="3241"/>
      <c r="Z168" s="3241"/>
    </row>
    <row r="169" spans="1:26" hidden="1">
      <c r="A169" s="4839" t="s">
        <v>1035</v>
      </c>
      <c r="B169" s="4861" t="s">
        <v>4737</v>
      </c>
      <c r="C169" s="4839" t="s">
        <v>28</v>
      </c>
      <c r="D169" s="4957">
        <v>45274</v>
      </c>
      <c r="E169" s="5071">
        <v>45285</v>
      </c>
      <c r="F169" s="4839" t="s">
        <v>151</v>
      </c>
      <c r="G169" s="4839" t="s">
        <v>46</v>
      </c>
      <c r="H169" s="4839" t="s">
        <v>1038</v>
      </c>
      <c r="I169" s="4839"/>
      <c r="J169" s="4839" t="s">
        <v>32</v>
      </c>
      <c r="K169" s="4894" t="s">
        <v>162</v>
      </c>
      <c r="L169" s="4901" t="s">
        <v>4738</v>
      </c>
      <c r="M169" s="4990">
        <v>45288</v>
      </c>
      <c r="N169" s="4990">
        <v>45285</v>
      </c>
      <c r="O169" s="4957">
        <v>45290</v>
      </c>
      <c r="P169" s="5199" t="s">
        <v>4739</v>
      </c>
      <c r="Q169" s="4839" t="s">
        <v>35</v>
      </c>
      <c r="R169" s="4839" t="s">
        <v>36</v>
      </c>
      <c r="S169" s="4839" t="s">
        <v>1320</v>
      </c>
      <c r="T169" s="4895"/>
      <c r="U169" s="4895"/>
      <c r="V169" s="4895"/>
      <c r="W169" s="4895"/>
      <c r="X169" s="4895"/>
      <c r="Y169" s="4895"/>
      <c r="Z169" s="4895"/>
    </row>
    <row r="170" spans="1:26" s="106" customFormat="1" hidden="1">
      <c r="A170" s="1145" t="s">
        <v>1035</v>
      </c>
      <c r="B170" s="1495" t="s">
        <v>4740</v>
      </c>
      <c r="C170" s="1145" t="s">
        <v>28</v>
      </c>
      <c r="D170" s="1817">
        <v>45274</v>
      </c>
      <c r="E170" s="1826">
        <v>45285</v>
      </c>
      <c r="F170" s="1145" t="s">
        <v>151</v>
      </c>
      <c r="G170" s="1145" t="s">
        <v>46</v>
      </c>
      <c r="H170" s="4839" t="s">
        <v>1038</v>
      </c>
      <c r="I170" s="1145"/>
      <c r="J170" s="1145" t="s">
        <v>32</v>
      </c>
      <c r="K170" s="1781" t="s">
        <v>162</v>
      </c>
      <c r="L170" s="4901" t="s">
        <v>4741</v>
      </c>
      <c r="M170" s="1821">
        <v>45288</v>
      </c>
      <c r="N170" s="1817">
        <v>45286</v>
      </c>
      <c r="O170" s="1817">
        <v>45287</v>
      </c>
      <c r="P170" s="1872" t="s">
        <v>4739</v>
      </c>
      <c r="Q170" s="1145" t="s">
        <v>35</v>
      </c>
      <c r="R170" s="1145" t="s">
        <v>36</v>
      </c>
      <c r="S170" s="1145" t="s">
        <v>1320</v>
      </c>
      <c r="T170" s="16"/>
      <c r="U170" s="16"/>
      <c r="V170" s="16"/>
      <c r="W170" s="16"/>
      <c r="X170" s="16"/>
      <c r="Y170" s="16"/>
      <c r="Z170" s="16"/>
    </row>
    <row r="171" spans="1:26" s="106" customFormat="1" hidden="1">
      <c r="A171" s="4839" t="s">
        <v>171</v>
      </c>
      <c r="B171" s="4861" t="s">
        <v>4742</v>
      </c>
      <c r="C171" s="4839" t="s">
        <v>200</v>
      </c>
      <c r="D171" s="4957">
        <v>45274</v>
      </c>
      <c r="E171" s="5071">
        <v>45285</v>
      </c>
      <c r="F171" s="4839" t="s">
        <v>151</v>
      </c>
      <c r="G171" s="4839" t="s">
        <v>46</v>
      </c>
      <c r="H171" s="4957">
        <v>45286</v>
      </c>
      <c r="I171" s="4839"/>
      <c r="J171" s="4839" t="s">
        <v>32</v>
      </c>
      <c r="K171" s="4841" t="s">
        <v>174</v>
      </c>
      <c r="L171" s="4901" t="s">
        <v>4743</v>
      </c>
      <c r="M171" s="1821">
        <v>45288</v>
      </c>
      <c r="N171" s="1817">
        <v>45286</v>
      </c>
      <c r="O171" s="1817">
        <v>45286</v>
      </c>
      <c r="P171" s="5199" t="s">
        <v>4744</v>
      </c>
      <c r="Q171" s="4839" t="s">
        <v>35</v>
      </c>
      <c r="R171" s="18" t="s">
        <v>36</v>
      </c>
      <c r="S171" s="4839" t="s">
        <v>37</v>
      </c>
      <c r="T171" s="16">
        <v>640</v>
      </c>
      <c r="U171" s="16">
        <v>520</v>
      </c>
      <c r="V171" s="4895"/>
      <c r="W171" s="4895"/>
      <c r="X171" s="4895"/>
      <c r="Y171" s="4895"/>
      <c r="Z171" s="4895"/>
    </row>
    <row r="172" spans="1:26" s="106" customFormat="1" ht="60">
      <c r="A172" s="4845" t="s">
        <v>468</v>
      </c>
      <c r="B172" s="4908" t="s">
        <v>4745</v>
      </c>
      <c r="C172" s="4845" t="s">
        <v>200</v>
      </c>
      <c r="D172" s="5209">
        <v>45285</v>
      </c>
      <c r="E172" s="5252">
        <v>45285</v>
      </c>
      <c r="F172" s="4845" t="s">
        <v>260</v>
      </c>
      <c r="G172" s="4838" t="s">
        <v>4746</v>
      </c>
      <c r="H172" s="5037">
        <v>45294</v>
      </c>
      <c r="I172" s="4857" t="s">
        <v>618</v>
      </c>
      <c r="J172" s="4845" t="s">
        <v>297</v>
      </c>
      <c r="K172" s="4837" t="s">
        <v>4747</v>
      </c>
      <c r="L172" s="5253" t="s">
        <v>162</v>
      </c>
      <c r="M172" s="1074">
        <v>45294</v>
      </c>
      <c r="N172" s="1074">
        <v>45293</v>
      </c>
      <c r="O172" s="4303">
        <v>45294</v>
      </c>
      <c r="P172" s="4947" t="s">
        <v>4748</v>
      </c>
      <c r="Q172" s="4845" t="s">
        <v>75</v>
      </c>
      <c r="R172" s="4837" t="s">
        <v>4749</v>
      </c>
      <c r="S172" s="4845">
        <v>4</v>
      </c>
      <c r="T172" s="2196">
        <v>681.25</v>
      </c>
      <c r="U172" s="663">
        <v>321.5</v>
      </c>
      <c r="V172" s="4845">
        <v>1</v>
      </c>
      <c r="W172" s="4922">
        <f>Table10[[#This Row],[Sales Amount]]-Table10[[#This Row],[Cost]]</f>
        <v>359.75</v>
      </c>
      <c r="X172" s="5060">
        <f>Table10[[#This Row],[Profit]]/Table10[[#This Row],[Cost]]</f>
        <v>1.1189735614307932</v>
      </c>
      <c r="Y172" s="4845"/>
      <c r="Z172" s="4845"/>
    </row>
    <row r="173" spans="1:26" s="106" customFormat="1" ht="15.75" hidden="1">
      <c r="A173" s="739" t="s">
        <v>409</v>
      </c>
      <c r="B173" s="2169" t="s">
        <v>4750</v>
      </c>
      <c r="C173" s="3275" t="s">
        <v>994</v>
      </c>
      <c r="D173" s="3388">
        <v>45275</v>
      </c>
      <c r="E173" s="3389">
        <v>45285</v>
      </c>
      <c r="F173" s="3275" t="s">
        <v>1017</v>
      </c>
      <c r="G173" s="3275" t="s">
        <v>46</v>
      </c>
      <c r="H173" s="4885"/>
      <c r="I173" s="3275"/>
      <c r="J173" s="3275" t="s">
        <v>32</v>
      </c>
      <c r="K173" s="3275" t="s">
        <v>310</v>
      </c>
      <c r="L173" s="3275" t="s">
        <v>4751</v>
      </c>
      <c r="M173" s="2532">
        <v>45287</v>
      </c>
      <c r="N173" s="2532">
        <v>45286</v>
      </c>
      <c r="O173" s="2532">
        <v>45287</v>
      </c>
      <c r="P173" s="4968" t="s">
        <v>4752</v>
      </c>
      <c r="Q173" s="4839" t="s">
        <v>50</v>
      </c>
      <c r="R173" s="4839" t="s">
        <v>51</v>
      </c>
      <c r="S173" s="4839"/>
      <c r="T173" s="1145"/>
      <c r="U173" s="1145"/>
      <c r="V173" s="4839"/>
      <c r="W173" s="4839"/>
      <c r="X173" s="4839"/>
      <c r="Y173" s="4839"/>
      <c r="Z173" s="4839"/>
    </row>
    <row r="174" spans="1:26" s="106" customFormat="1" hidden="1">
      <c r="A174" s="3275" t="s">
        <v>2618</v>
      </c>
      <c r="B174" s="3246" t="s">
        <v>4753</v>
      </c>
      <c r="C174" s="3275" t="s">
        <v>28</v>
      </c>
      <c r="D174" s="3279">
        <v>45284</v>
      </c>
      <c r="E174" s="3279">
        <v>45286</v>
      </c>
      <c r="F174" s="3275" t="s">
        <v>285</v>
      </c>
      <c r="G174" s="3275" t="s">
        <v>4754</v>
      </c>
      <c r="H174" s="3275" t="s">
        <v>4586</v>
      </c>
      <c r="I174" s="3275"/>
      <c r="J174" s="3275" t="s">
        <v>382</v>
      </c>
      <c r="K174" s="3275" t="s">
        <v>382</v>
      </c>
      <c r="L174" s="3357" t="s">
        <v>542</v>
      </c>
      <c r="M174" s="3350">
        <v>44929</v>
      </c>
      <c r="N174" s="3350">
        <v>45287</v>
      </c>
      <c r="O174" s="3279">
        <v>45655</v>
      </c>
      <c r="P174" s="3372" t="s">
        <v>4755</v>
      </c>
      <c r="Q174" s="3275" t="s">
        <v>35</v>
      </c>
      <c r="R174" s="3275" t="s">
        <v>36</v>
      </c>
      <c r="S174" s="3275" t="s">
        <v>2622</v>
      </c>
      <c r="T174" s="3241"/>
      <c r="U174" s="3241"/>
      <c r="V174" s="3241"/>
      <c r="W174" s="3241"/>
      <c r="X174" s="3241"/>
      <c r="Y174" s="3241"/>
      <c r="Z174" s="3241"/>
    </row>
    <row r="175" spans="1:26" s="117" customFormat="1" hidden="1">
      <c r="A175" s="3275" t="s">
        <v>61</v>
      </c>
      <c r="B175" s="3246" t="s">
        <v>4756</v>
      </c>
      <c r="C175" s="3275" t="s">
        <v>28</v>
      </c>
      <c r="D175" s="3279">
        <v>45283</v>
      </c>
      <c r="E175" s="3383">
        <v>45286</v>
      </c>
      <c r="F175" s="3275" t="s">
        <v>167</v>
      </c>
      <c r="G175" s="3275" t="s">
        <v>4757</v>
      </c>
      <c r="H175" s="3350">
        <v>45288</v>
      </c>
      <c r="I175" s="3357" t="s">
        <v>58</v>
      </c>
      <c r="J175" s="3235" t="s">
        <v>32</v>
      </c>
      <c r="K175" s="3275" t="s">
        <v>65</v>
      </c>
      <c r="L175" s="3357">
        <v>395676</v>
      </c>
      <c r="M175" s="3350">
        <v>45288</v>
      </c>
      <c r="N175" s="4990">
        <v>45288</v>
      </c>
      <c r="O175" s="4957">
        <v>45289</v>
      </c>
      <c r="P175" s="5254" t="s">
        <v>4758</v>
      </c>
      <c r="Q175" s="4839" t="s">
        <v>35</v>
      </c>
      <c r="R175" s="4839" t="s">
        <v>36</v>
      </c>
      <c r="S175" s="4839" t="s">
        <v>67</v>
      </c>
      <c r="T175" s="4895">
        <v>1945</v>
      </c>
      <c r="U175" s="4895">
        <v>1465</v>
      </c>
      <c r="V175" s="4895"/>
      <c r="W175" s="4895"/>
      <c r="X175" s="4895"/>
      <c r="Y175" s="4895"/>
      <c r="Z175" s="4895"/>
    </row>
    <row r="176" spans="1:26" s="36" customFormat="1" hidden="1">
      <c r="A176" s="4839" t="s">
        <v>171</v>
      </c>
      <c r="B176" s="709" t="s">
        <v>4759</v>
      </c>
      <c r="C176" s="4839" t="s">
        <v>28</v>
      </c>
      <c r="D176" s="5198">
        <v>45276</v>
      </c>
      <c r="E176" s="4867">
        <v>45286</v>
      </c>
      <c r="F176" s="4839" t="s">
        <v>56</v>
      </c>
      <c r="G176" s="4839" t="s">
        <v>57</v>
      </c>
      <c r="H176" s="4859">
        <v>45286</v>
      </c>
      <c r="I176" s="4839"/>
      <c r="J176" s="4839" t="s">
        <v>32</v>
      </c>
      <c r="K176" s="4901" t="s">
        <v>174</v>
      </c>
      <c r="L176" s="4841">
        <v>4640421</v>
      </c>
      <c r="M176" s="4855">
        <v>45287</v>
      </c>
      <c r="N176" s="2189">
        <v>45286</v>
      </c>
      <c r="O176" s="1993">
        <v>45286</v>
      </c>
      <c r="P176" s="3289" t="s">
        <v>4760</v>
      </c>
      <c r="Q176" s="3275" t="s">
        <v>35</v>
      </c>
      <c r="R176" s="58" t="s">
        <v>36</v>
      </c>
      <c r="S176" s="3275" t="s">
        <v>37</v>
      </c>
      <c r="T176" s="4895">
        <v>765</v>
      </c>
      <c r="U176" s="7">
        <v>620</v>
      </c>
      <c r="V176" s="4895"/>
      <c r="W176" s="4895"/>
      <c r="X176" s="5255"/>
      <c r="Y176" s="4895"/>
      <c r="Z176" s="4895"/>
    </row>
    <row r="177" spans="1:26" s="106" customFormat="1" hidden="1">
      <c r="A177" s="1325" t="s">
        <v>171</v>
      </c>
      <c r="B177" s="1748" t="s">
        <v>4761</v>
      </c>
      <c r="C177" s="1325" t="s">
        <v>28</v>
      </c>
      <c r="D177" s="2088">
        <v>45276</v>
      </c>
      <c r="E177" s="2108">
        <v>45286</v>
      </c>
      <c r="F177" s="1325" t="s">
        <v>56</v>
      </c>
      <c r="G177" s="1325" t="s">
        <v>57</v>
      </c>
      <c r="H177" s="2092">
        <v>45287</v>
      </c>
      <c r="I177" s="1325"/>
      <c r="J177" s="1325" t="s">
        <v>32</v>
      </c>
      <c r="K177" s="2177" t="s">
        <v>174</v>
      </c>
      <c r="L177" s="2026">
        <v>4640528</v>
      </c>
      <c r="M177" s="2091">
        <v>45287</v>
      </c>
      <c r="N177" s="1130">
        <v>45287</v>
      </c>
      <c r="O177" s="661">
        <v>45288</v>
      </c>
      <c r="P177" s="1995" t="s">
        <v>4762</v>
      </c>
      <c r="Q177" s="18" t="s">
        <v>35</v>
      </c>
      <c r="R177" s="18" t="s">
        <v>36</v>
      </c>
      <c r="S177" s="18" t="s">
        <v>37</v>
      </c>
      <c r="T177" s="84">
        <v>805</v>
      </c>
      <c r="U177" s="84">
        <v>660</v>
      </c>
      <c r="V177" s="84"/>
      <c r="W177" s="84"/>
      <c r="X177" s="1813"/>
      <c r="Y177" s="84"/>
      <c r="Z177" s="84"/>
    </row>
    <row r="178" spans="1:26" s="709" customFormat="1" hidden="1">
      <c r="A178" s="1145" t="s">
        <v>171</v>
      </c>
      <c r="B178" s="709" t="s">
        <v>4763</v>
      </c>
      <c r="C178" s="1145" t="s">
        <v>28</v>
      </c>
      <c r="D178" s="2077">
        <v>45276</v>
      </c>
      <c r="E178" s="1491">
        <v>45286</v>
      </c>
      <c r="F178" s="1145" t="s">
        <v>56</v>
      </c>
      <c r="G178" s="1145" t="s">
        <v>57</v>
      </c>
      <c r="H178" s="1153">
        <v>45287</v>
      </c>
      <c r="I178" s="1145"/>
      <c r="J178" s="1145" t="s">
        <v>32</v>
      </c>
      <c r="K178" s="1772" t="s">
        <v>174</v>
      </c>
      <c r="L178" s="1820">
        <v>4640577</v>
      </c>
      <c r="M178" s="2188">
        <v>45287</v>
      </c>
      <c r="N178" s="2188">
        <v>45287</v>
      </c>
      <c r="O178" s="1153">
        <v>45288</v>
      </c>
      <c r="P178" s="2097" t="s">
        <v>4764</v>
      </c>
      <c r="Q178" s="1145" t="s">
        <v>35</v>
      </c>
      <c r="R178" s="1145" t="s">
        <v>36</v>
      </c>
      <c r="S178" s="1145" t="s">
        <v>37</v>
      </c>
      <c r="T178" s="16">
        <v>805</v>
      </c>
      <c r="U178" s="16">
        <v>660</v>
      </c>
      <c r="V178" s="16"/>
      <c r="W178" s="16"/>
      <c r="X178" s="1984"/>
      <c r="Y178" s="16"/>
      <c r="Z178" s="16"/>
    </row>
    <row r="179" spans="1:26" s="106" customFormat="1" hidden="1">
      <c r="A179" s="4839" t="s">
        <v>171</v>
      </c>
      <c r="B179" s="4861" t="s">
        <v>4765</v>
      </c>
      <c r="C179" s="4839" t="s">
        <v>28</v>
      </c>
      <c r="D179" s="5198">
        <v>45276</v>
      </c>
      <c r="E179" s="4867">
        <v>45286</v>
      </c>
      <c r="F179" s="4839" t="s">
        <v>56</v>
      </c>
      <c r="G179" s="4839" t="s">
        <v>57</v>
      </c>
      <c r="H179" s="4859">
        <v>45287</v>
      </c>
      <c r="I179" s="4839"/>
      <c r="J179" s="4839" t="s">
        <v>32</v>
      </c>
      <c r="K179" s="4901" t="s">
        <v>174</v>
      </c>
      <c r="L179" s="4841">
        <v>4640357</v>
      </c>
      <c r="M179" s="4855">
        <v>45287</v>
      </c>
      <c r="N179" s="4855">
        <v>45287</v>
      </c>
      <c r="O179" s="4859">
        <v>45288</v>
      </c>
      <c r="P179" s="4864" t="s">
        <v>4766</v>
      </c>
      <c r="Q179" s="4839" t="s">
        <v>35</v>
      </c>
      <c r="R179" s="4839" t="s">
        <v>36</v>
      </c>
      <c r="S179" s="4839" t="s">
        <v>37</v>
      </c>
      <c r="T179" s="4895">
        <v>805</v>
      </c>
      <c r="U179" s="4895">
        <v>660</v>
      </c>
      <c r="V179" s="4895"/>
      <c r="W179" s="4895"/>
      <c r="X179" s="5255"/>
      <c r="Y179" s="4895"/>
      <c r="Z179" s="4895"/>
    </row>
    <row r="180" spans="1:26" s="106" customFormat="1" ht="30" hidden="1">
      <c r="A180" s="4839" t="s">
        <v>263</v>
      </c>
      <c r="B180" s="650" t="s">
        <v>4767</v>
      </c>
      <c r="C180" s="4839" t="s">
        <v>44</v>
      </c>
      <c r="D180" s="4859">
        <v>45286</v>
      </c>
      <c r="E180" s="4859">
        <v>45286</v>
      </c>
      <c r="F180" s="4839" t="s">
        <v>2039</v>
      </c>
      <c r="G180" s="4839" t="s">
        <v>2194</v>
      </c>
      <c r="H180" s="4957">
        <v>45293</v>
      </c>
      <c r="I180" s="4839"/>
      <c r="J180" s="4839" t="s">
        <v>859</v>
      </c>
      <c r="K180" s="4839" t="s">
        <v>3825</v>
      </c>
      <c r="L180" s="5256"/>
      <c r="M180" s="5179">
        <v>45293</v>
      </c>
      <c r="N180" s="4957">
        <v>45293</v>
      </c>
      <c r="O180" s="4957">
        <v>45293</v>
      </c>
      <c r="P180" s="4834" t="s">
        <v>4768</v>
      </c>
      <c r="Q180" s="4839" t="s">
        <v>128</v>
      </c>
      <c r="R180" s="3275" t="s">
        <v>36</v>
      </c>
      <c r="S180" s="4839"/>
      <c r="T180" s="4839">
        <v>1570.15</v>
      </c>
      <c r="U180" s="4839">
        <f>149.01+905+91</f>
        <v>1145.01</v>
      </c>
      <c r="V180" s="4839"/>
      <c r="W180" s="4839"/>
      <c r="X180" s="4839"/>
      <c r="Y180" s="4839"/>
      <c r="Z180" s="4839"/>
    </row>
    <row r="181" spans="1:26" s="106" customFormat="1" ht="45">
      <c r="A181" s="3268" t="s">
        <v>4769</v>
      </c>
      <c r="B181" s="4242" t="s">
        <v>4770</v>
      </c>
      <c r="C181" s="3268" t="s">
        <v>44</v>
      </c>
      <c r="D181" s="3262">
        <v>45276</v>
      </c>
      <c r="E181" s="3264">
        <v>45286</v>
      </c>
      <c r="F181" s="3268" t="s">
        <v>260</v>
      </c>
      <c r="G181" s="3392" t="s">
        <v>4771</v>
      </c>
      <c r="H181" s="3366">
        <v>45288</v>
      </c>
      <c r="I181" s="3392" t="s">
        <v>4772</v>
      </c>
      <c r="J181" s="4242" t="s">
        <v>673</v>
      </c>
      <c r="K181" s="3364" t="s">
        <v>1455</v>
      </c>
      <c r="L181" s="3367">
        <v>17460860</v>
      </c>
      <c r="M181" s="3366">
        <v>45288</v>
      </c>
      <c r="N181" s="3366">
        <v>45288</v>
      </c>
      <c r="O181" s="4263">
        <v>45294</v>
      </c>
      <c r="P181" s="4246" t="s">
        <v>4773</v>
      </c>
      <c r="Q181" s="3268" t="s">
        <v>75</v>
      </c>
      <c r="R181" s="3376" t="s">
        <v>4774</v>
      </c>
      <c r="S181" s="3268">
        <v>4</v>
      </c>
      <c r="T181" s="3268">
        <v>1505</v>
      </c>
      <c r="U181" s="3393">
        <v>1136.8</v>
      </c>
      <c r="V181" s="3268">
        <v>1</v>
      </c>
      <c r="W181" s="3268">
        <f>Table10[[#This Row],[Sales Amount]]-Table10[[#This Row],[Cost]]</f>
        <v>368.20000000000005</v>
      </c>
      <c r="X181" s="3269">
        <f>Table10[[#This Row],[Profit]]/Table10[[#This Row],[Cost]]</f>
        <v>0.32389162561576362</v>
      </c>
      <c r="Y181" s="3268"/>
      <c r="Z181" s="3268"/>
    </row>
    <row r="182" spans="1:26" s="117" customFormat="1" ht="45">
      <c r="A182" s="4908" t="s">
        <v>2505</v>
      </c>
      <c r="B182" s="4908" t="s">
        <v>4775</v>
      </c>
      <c r="C182" s="4908" t="s">
        <v>28</v>
      </c>
      <c r="D182" s="4906">
        <v>45273</v>
      </c>
      <c r="E182" s="4907">
        <v>45286</v>
      </c>
      <c r="F182" s="4908" t="s">
        <v>93</v>
      </c>
      <c r="G182" s="4908" t="s">
        <v>3080</v>
      </c>
      <c r="H182" s="4906">
        <v>45288</v>
      </c>
      <c r="I182" s="4908" t="s">
        <v>4776</v>
      </c>
      <c r="J182" s="4970" t="s">
        <v>322</v>
      </c>
      <c r="K182" s="4909" t="s">
        <v>2508</v>
      </c>
      <c r="L182" s="4929">
        <v>4189584</v>
      </c>
      <c r="M182" s="4918">
        <v>45287</v>
      </c>
      <c r="N182" s="4918">
        <v>45287</v>
      </c>
      <c r="O182" s="4906">
        <v>45288</v>
      </c>
      <c r="P182" s="4909" t="s">
        <v>4777</v>
      </c>
      <c r="Q182" s="4845" t="s">
        <v>75</v>
      </c>
      <c r="R182" s="4837" t="s">
        <v>4778</v>
      </c>
      <c r="S182" s="4845">
        <v>4</v>
      </c>
      <c r="T182" s="4845">
        <v>1490</v>
      </c>
      <c r="U182" s="4845">
        <v>1181.25</v>
      </c>
      <c r="V182" s="4845"/>
      <c r="W182" s="5190">
        <f>Table10[[#This Row],[Sales Amount]]-Table10[[#This Row],[Cost]]</f>
        <v>308.75</v>
      </c>
      <c r="X182" s="5060">
        <f>Table10[[#This Row],[Profit]]/Table10[[#This Row],[Cost]]</f>
        <v>0.26137566137566137</v>
      </c>
      <c r="Y182" s="4845"/>
      <c r="Z182" s="4845"/>
    </row>
    <row r="183" spans="1:26" s="117" customFormat="1" ht="60">
      <c r="A183" s="4281" t="s">
        <v>409</v>
      </c>
      <c r="B183" s="4150" t="s">
        <v>4779</v>
      </c>
      <c r="C183" s="4281" t="s">
        <v>28</v>
      </c>
      <c r="D183" s="2172">
        <v>45274</v>
      </c>
      <c r="E183" s="2174">
        <v>45287</v>
      </c>
      <c r="F183" s="4169" t="s">
        <v>45</v>
      </c>
      <c r="G183" s="4150" t="s">
        <v>302</v>
      </c>
      <c r="H183" s="4303" t="s">
        <v>4780</v>
      </c>
      <c r="I183" s="4166" t="s">
        <v>4781</v>
      </c>
      <c r="J183" s="663" t="s">
        <v>32</v>
      </c>
      <c r="K183" s="4150" t="s">
        <v>1622</v>
      </c>
      <c r="L183" s="4166" t="s">
        <v>4782</v>
      </c>
      <c r="M183" s="1074">
        <v>45289</v>
      </c>
      <c r="N183" s="1074">
        <v>45289</v>
      </c>
      <c r="O183" s="1074">
        <v>45298</v>
      </c>
      <c r="P183" s="4104" t="s">
        <v>4783</v>
      </c>
      <c r="Q183" s="2080" t="s">
        <v>75</v>
      </c>
      <c r="R183" s="4150" t="s">
        <v>4784</v>
      </c>
      <c r="S183" s="857">
        <v>4</v>
      </c>
      <c r="T183" s="857">
        <v>2262.5</v>
      </c>
      <c r="U183" s="857">
        <v>1775</v>
      </c>
      <c r="V183" s="857">
        <v>1</v>
      </c>
      <c r="W183" s="857">
        <f>Table10[[#This Row],[Sales Amount]]-Table10[[#This Row],[Cost]]</f>
        <v>487.5</v>
      </c>
      <c r="X183" s="2085">
        <f>Table10[[#This Row],[Profit]]/Table10[[#This Row],[Cost]]</f>
        <v>0.27464788732394368</v>
      </c>
      <c r="Y183" s="857"/>
      <c r="Z183" s="857"/>
    </row>
    <row r="184" spans="1:26" s="117" customFormat="1" hidden="1">
      <c r="A184" s="25" t="s">
        <v>3343</v>
      </c>
      <c r="B184" s="4168" t="s">
        <v>4785</v>
      </c>
      <c r="C184" s="25" t="s">
        <v>28</v>
      </c>
      <c r="D184" s="2527">
        <v>45278</v>
      </c>
      <c r="E184" s="2541">
        <v>45287</v>
      </c>
      <c r="F184" s="25" t="s">
        <v>1017</v>
      </c>
      <c r="G184" s="25" t="s">
        <v>46</v>
      </c>
      <c r="H184" s="353"/>
      <c r="I184" s="25"/>
      <c r="J184" s="25" t="s">
        <v>168</v>
      </c>
      <c r="K184" s="25" t="s">
        <v>310</v>
      </c>
      <c r="L184" s="4154" t="s">
        <v>4786</v>
      </c>
      <c r="M184" s="2527">
        <v>45289</v>
      </c>
      <c r="N184" s="2527">
        <v>45288</v>
      </c>
      <c r="O184" s="2527">
        <v>45289</v>
      </c>
      <c r="P184" s="2207" t="s">
        <v>4787</v>
      </c>
      <c r="Q184" s="25" t="s">
        <v>50</v>
      </c>
      <c r="R184" s="4154" t="s">
        <v>4788</v>
      </c>
      <c r="S184" s="25">
        <v>4</v>
      </c>
      <c r="T184" s="25">
        <v>2917.2</v>
      </c>
      <c r="U184" s="25"/>
      <c r="V184" s="25"/>
      <c r="W184" s="25"/>
      <c r="X184" s="2208"/>
      <c r="Y184" s="25"/>
      <c r="Z184" s="25"/>
    </row>
    <row r="185" spans="1:26" s="117" customFormat="1" hidden="1">
      <c r="A185" s="19" t="s">
        <v>3343</v>
      </c>
      <c r="B185" s="120" t="s">
        <v>4789</v>
      </c>
      <c r="C185" s="19" t="s">
        <v>28</v>
      </c>
      <c r="D185" s="2537">
        <v>45274</v>
      </c>
      <c r="E185" s="2538">
        <v>45287</v>
      </c>
      <c r="F185" s="2221" t="s">
        <v>45</v>
      </c>
      <c r="G185" s="19" t="s">
        <v>46</v>
      </c>
      <c r="H185" s="49"/>
      <c r="I185" s="19"/>
      <c r="J185" s="19" t="s">
        <v>168</v>
      </c>
      <c r="K185" s="19" t="s">
        <v>310</v>
      </c>
      <c r="L185" s="19" t="s">
        <v>4790</v>
      </c>
      <c r="M185" s="2537">
        <v>45289</v>
      </c>
      <c r="N185" s="2537">
        <v>45288</v>
      </c>
      <c r="O185" s="2537">
        <v>45289</v>
      </c>
      <c r="P185" s="2220" t="s">
        <v>4791</v>
      </c>
      <c r="Q185" s="19" t="s">
        <v>50</v>
      </c>
      <c r="R185" s="4191" t="s">
        <v>4792</v>
      </c>
      <c r="S185" s="19">
        <v>4</v>
      </c>
      <c r="T185" s="19"/>
      <c r="U185" s="19"/>
      <c r="V185" s="19"/>
      <c r="W185" s="19"/>
      <c r="X185" s="2223"/>
      <c r="Y185" s="19"/>
      <c r="Z185" s="19"/>
    </row>
    <row r="186" spans="1:26" s="1442" customFormat="1" hidden="1">
      <c r="A186" s="2154" t="s">
        <v>4793</v>
      </c>
      <c r="B186" s="4304" t="s">
        <v>4794</v>
      </c>
      <c r="C186" s="2154" t="s">
        <v>28</v>
      </c>
      <c r="D186" s="2520">
        <v>45274</v>
      </c>
      <c r="E186" s="2526">
        <v>45287</v>
      </c>
      <c r="F186" s="2154" t="s">
        <v>86</v>
      </c>
      <c r="G186" s="2154" t="s">
        <v>46</v>
      </c>
      <c r="H186" s="2154"/>
      <c r="I186" s="2154"/>
      <c r="J186" s="2154" t="s">
        <v>32</v>
      </c>
      <c r="K186" s="2154" t="s">
        <v>310</v>
      </c>
      <c r="L186" s="2154" t="s">
        <v>4795</v>
      </c>
      <c r="M186" s="2520">
        <v>45289</v>
      </c>
      <c r="N186" s="2520">
        <v>45288</v>
      </c>
      <c r="O186" s="2520">
        <v>45656</v>
      </c>
      <c r="P186" s="2163" t="s">
        <v>4796</v>
      </c>
      <c r="Q186" s="2154" t="s">
        <v>50</v>
      </c>
      <c r="R186" s="2154" t="s">
        <v>36</v>
      </c>
      <c r="S186" s="2154"/>
      <c r="T186" s="2154"/>
      <c r="U186" s="2154"/>
      <c r="V186" s="2154"/>
      <c r="W186" s="2154"/>
      <c r="X186" s="2154"/>
      <c r="Y186" s="2154"/>
      <c r="Z186" s="2154"/>
    </row>
    <row r="187" spans="1:26" s="117" customFormat="1" hidden="1">
      <c r="A187" s="19" t="s">
        <v>3343</v>
      </c>
      <c r="B187" s="120" t="s">
        <v>4797</v>
      </c>
      <c r="C187" s="19" t="s">
        <v>28</v>
      </c>
      <c r="D187" s="2537">
        <v>45274</v>
      </c>
      <c r="E187" s="2542">
        <v>45287</v>
      </c>
      <c r="F187" s="19" t="s">
        <v>45</v>
      </c>
      <c r="G187" s="19" t="s">
        <v>46</v>
      </c>
      <c r="H187" s="49"/>
      <c r="I187" s="19"/>
      <c r="J187" s="19" t="s">
        <v>168</v>
      </c>
      <c r="K187" s="19" t="s">
        <v>310</v>
      </c>
      <c r="L187" s="19" t="s">
        <v>4798</v>
      </c>
      <c r="M187" s="2537">
        <v>45289</v>
      </c>
      <c r="N187" s="2537">
        <v>45288</v>
      </c>
      <c r="O187" s="2537">
        <v>45656</v>
      </c>
      <c r="P187" s="2220" t="s">
        <v>4799</v>
      </c>
      <c r="Q187" s="19" t="s">
        <v>50</v>
      </c>
      <c r="R187" s="4191" t="s">
        <v>4800</v>
      </c>
      <c r="S187" s="19">
        <v>4</v>
      </c>
      <c r="T187" s="2224">
        <v>2742.4</v>
      </c>
      <c r="U187" s="19"/>
      <c r="V187" s="19"/>
      <c r="W187" s="19"/>
      <c r="X187" s="2223"/>
      <c r="Y187" s="19"/>
      <c r="Z187" s="19"/>
    </row>
    <row r="188" spans="1:26" s="117" customFormat="1" ht="15.75" hidden="1">
      <c r="A188" s="19" t="s">
        <v>4707</v>
      </c>
      <c r="B188" s="3" t="s">
        <v>4801</v>
      </c>
      <c r="C188" s="19" t="s">
        <v>28</v>
      </c>
      <c r="D188" s="2537">
        <v>45281</v>
      </c>
      <c r="E188" s="2542">
        <v>45287</v>
      </c>
      <c r="F188" s="19" t="s">
        <v>245</v>
      </c>
      <c r="G188" s="19" t="s">
        <v>3424</v>
      </c>
      <c r="H188" s="49"/>
      <c r="I188" s="19"/>
      <c r="J188" s="19" t="s">
        <v>32</v>
      </c>
      <c r="K188" s="19" t="s">
        <v>310</v>
      </c>
      <c r="L188" s="19">
        <v>445024</v>
      </c>
      <c r="M188" s="2537">
        <v>45289</v>
      </c>
      <c r="N188" s="2537">
        <v>45288</v>
      </c>
      <c r="O188" s="2561">
        <v>45293</v>
      </c>
      <c r="P188" s="2247" t="s">
        <v>4802</v>
      </c>
      <c r="Q188" s="19" t="s">
        <v>50</v>
      </c>
      <c r="R188" s="3" t="s">
        <v>4803</v>
      </c>
      <c r="S188" s="19"/>
      <c r="T188" s="19"/>
      <c r="U188" s="19"/>
      <c r="V188" s="19"/>
      <c r="W188" s="19"/>
      <c r="X188" s="2223"/>
      <c r="Y188" s="19"/>
      <c r="Z188" s="19"/>
    </row>
    <row r="189" spans="1:26" s="106" customFormat="1" hidden="1">
      <c r="A189" s="18" t="s">
        <v>681</v>
      </c>
      <c r="B189" s="1062" t="s">
        <v>4804</v>
      </c>
      <c r="C189" s="18" t="s">
        <v>85</v>
      </c>
      <c r="D189" s="982">
        <v>45276</v>
      </c>
      <c r="E189" s="1822">
        <v>45288</v>
      </c>
      <c r="F189" s="18" t="s">
        <v>167</v>
      </c>
      <c r="G189" s="18" t="s">
        <v>46</v>
      </c>
      <c r="H189" s="1771">
        <v>45289</v>
      </c>
      <c r="I189" s="1116" t="s">
        <v>4805</v>
      </c>
      <c r="J189" s="18" t="s">
        <v>1353</v>
      </c>
      <c r="K189" s="18" t="s">
        <v>4806</v>
      </c>
      <c r="L189" s="2089">
        <v>91760</v>
      </c>
      <c r="M189" s="1771">
        <v>45290</v>
      </c>
      <c r="N189" s="982">
        <v>45655</v>
      </c>
      <c r="O189" s="982">
        <v>45655</v>
      </c>
      <c r="P189" s="1871" t="s">
        <v>4807</v>
      </c>
      <c r="Q189" s="18" t="s">
        <v>35</v>
      </c>
      <c r="R189" s="18" t="s">
        <v>36</v>
      </c>
      <c r="S189" s="18" t="s">
        <v>37</v>
      </c>
      <c r="T189" s="84">
        <v>1010</v>
      </c>
      <c r="U189" s="84">
        <v>848</v>
      </c>
      <c r="V189" s="84"/>
      <c r="W189" s="84"/>
      <c r="X189" s="84"/>
      <c r="Y189" s="84"/>
      <c r="Z189" s="84"/>
    </row>
    <row r="190" spans="1:26" s="106" customFormat="1" hidden="1">
      <c r="A190" s="1145" t="s">
        <v>2966</v>
      </c>
      <c r="B190" s="1145" t="s">
        <v>4808</v>
      </c>
      <c r="C190" s="1145" t="s">
        <v>200</v>
      </c>
      <c r="D190" s="1817">
        <v>45279</v>
      </c>
      <c r="E190" s="1491">
        <v>45288</v>
      </c>
      <c r="F190" s="1145" t="s">
        <v>56</v>
      </c>
      <c r="G190" s="1145" t="s">
        <v>46</v>
      </c>
      <c r="H190" s="1816">
        <v>45293</v>
      </c>
      <c r="I190" s="1145"/>
      <c r="J190" s="1145" t="s">
        <v>1353</v>
      </c>
      <c r="K190" s="1750" t="s">
        <v>2968</v>
      </c>
      <c r="L190" s="1820" t="s">
        <v>4809</v>
      </c>
      <c r="M190" s="1821">
        <v>45291</v>
      </c>
      <c r="N190" s="1816">
        <v>45656</v>
      </c>
      <c r="O190" s="1817">
        <v>45293</v>
      </c>
      <c r="P190" s="2194" t="s">
        <v>4810</v>
      </c>
      <c r="Q190" s="1145" t="s">
        <v>35</v>
      </c>
      <c r="R190" s="1145" t="s">
        <v>36</v>
      </c>
      <c r="S190" s="1145" t="s">
        <v>2971</v>
      </c>
      <c r="T190" s="16">
        <v>1585</v>
      </c>
      <c r="U190" s="16">
        <v>1268</v>
      </c>
      <c r="V190" s="16"/>
      <c r="W190" s="16"/>
      <c r="X190" s="16"/>
      <c r="Y190" s="16"/>
      <c r="Z190" s="16"/>
    </row>
    <row r="191" spans="1:26" s="106" customFormat="1" ht="90" hidden="1">
      <c r="A191" s="3275" t="s">
        <v>710</v>
      </c>
      <c r="B191" s="3275" t="s">
        <v>4811</v>
      </c>
      <c r="C191" s="3275" t="s">
        <v>28</v>
      </c>
      <c r="D191" s="3390">
        <v>45277</v>
      </c>
      <c r="E191" s="3394">
        <v>45288</v>
      </c>
      <c r="F191" s="3275" t="s">
        <v>173</v>
      </c>
      <c r="G191" s="3275" t="s">
        <v>30</v>
      </c>
      <c r="H191" s="3330" t="s">
        <v>4812</v>
      </c>
      <c r="I191" s="3331"/>
      <c r="J191" s="3275" t="s">
        <v>322</v>
      </c>
      <c r="K191" s="58" t="s">
        <v>4813</v>
      </c>
      <c r="L191" s="3395">
        <v>804523</v>
      </c>
      <c r="M191" s="3396">
        <v>45290</v>
      </c>
      <c r="N191" s="3396">
        <v>45290</v>
      </c>
      <c r="O191" s="3280">
        <v>45295</v>
      </c>
      <c r="P191" s="3397" t="s">
        <v>4814</v>
      </c>
      <c r="Q191" s="3275" t="s">
        <v>35</v>
      </c>
      <c r="R191" s="3275" t="s">
        <v>36</v>
      </c>
      <c r="S191" s="3275" t="s">
        <v>3398</v>
      </c>
      <c r="T191" s="3241">
        <v>2393.75</v>
      </c>
      <c r="U191" s="3241">
        <v>1545</v>
      </c>
      <c r="V191" s="3241"/>
      <c r="W191" s="3241"/>
      <c r="X191" s="3398"/>
      <c r="Y191" s="3241"/>
      <c r="Z191" s="3241"/>
    </row>
    <row r="192" spans="1:26" s="117" customFormat="1" ht="60" hidden="1">
      <c r="A192" s="4193" t="s">
        <v>4815</v>
      </c>
      <c r="B192" s="4193" t="s">
        <v>4816</v>
      </c>
      <c r="C192" s="4193" t="s">
        <v>28</v>
      </c>
      <c r="D192" s="2543">
        <v>45274</v>
      </c>
      <c r="E192" s="2544">
        <v>45288</v>
      </c>
      <c r="F192" s="4191" t="s">
        <v>45</v>
      </c>
      <c r="G192" s="4193" t="s">
        <v>302</v>
      </c>
      <c r="H192" s="4231"/>
      <c r="I192" s="4193"/>
      <c r="J192" s="120" t="s">
        <v>32</v>
      </c>
      <c r="K192" s="4128" t="s">
        <v>310</v>
      </c>
      <c r="L192" s="900" t="s">
        <v>4817</v>
      </c>
      <c r="M192" s="2562">
        <v>45288</v>
      </c>
      <c r="N192" s="2562">
        <v>45288</v>
      </c>
      <c r="O192" s="2563">
        <v>45301</v>
      </c>
      <c r="P192" s="4128" t="s">
        <v>4818</v>
      </c>
      <c r="Q192" s="4193" t="s">
        <v>50</v>
      </c>
      <c r="R192" s="4193" t="s">
        <v>4819</v>
      </c>
      <c r="S192" s="120">
        <v>4</v>
      </c>
      <c r="T192" s="2128">
        <v>6135</v>
      </c>
      <c r="U192" s="120">
        <f>2600+985</f>
        <v>3585</v>
      </c>
      <c r="V192" s="120"/>
      <c r="W192" s="120"/>
      <c r="X192" s="120"/>
      <c r="Y192" s="120"/>
      <c r="Z192" s="120"/>
    </row>
    <row r="193" spans="1:26" s="106" customFormat="1" hidden="1">
      <c r="A193" s="18" t="s">
        <v>42</v>
      </c>
      <c r="B193" s="718" t="s">
        <v>4820</v>
      </c>
      <c r="C193" s="18" t="s">
        <v>28</v>
      </c>
      <c r="D193" s="2511">
        <v>45276</v>
      </c>
      <c r="E193" s="2519">
        <v>45288</v>
      </c>
      <c r="F193" s="18" t="s">
        <v>86</v>
      </c>
      <c r="G193" s="18" t="s">
        <v>829</v>
      </c>
      <c r="H193" s="18"/>
      <c r="I193" s="18"/>
      <c r="J193" s="18" t="s">
        <v>168</v>
      </c>
      <c r="K193" s="18" t="s">
        <v>310</v>
      </c>
      <c r="L193" s="4106" t="s">
        <v>4821</v>
      </c>
      <c r="M193" s="2511">
        <v>45290</v>
      </c>
      <c r="N193" s="2511">
        <v>45289</v>
      </c>
      <c r="O193" s="2511">
        <v>45293</v>
      </c>
      <c r="P193" s="1643" t="s">
        <v>4822</v>
      </c>
      <c r="Q193" s="18" t="s">
        <v>50</v>
      </c>
      <c r="R193" s="18" t="s">
        <v>51</v>
      </c>
      <c r="S193" s="18"/>
      <c r="T193" s="18"/>
      <c r="U193" s="18"/>
      <c r="V193" s="18"/>
      <c r="W193" s="18"/>
      <c r="X193" s="18"/>
      <c r="Y193" s="18"/>
      <c r="Z193" s="18"/>
    </row>
    <row r="194" spans="1:26" s="106" customFormat="1" hidden="1">
      <c r="A194" s="1462" t="s">
        <v>42</v>
      </c>
      <c r="B194" s="1724" t="s">
        <v>4823</v>
      </c>
      <c r="C194" s="1462" t="s">
        <v>28</v>
      </c>
      <c r="D194" s="2545">
        <v>45276</v>
      </c>
      <c r="E194" s="2546">
        <v>45288</v>
      </c>
      <c r="F194" s="1462" t="s">
        <v>1017</v>
      </c>
      <c r="G194" s="1462" t="s">
        <v>829</v>
      </c>
      <c r="H194" s="1462" t="s">
        <v>847</v>
      </c>
      <c r="I194" s="1462"/>
      <c r="J194" s="1462" t="s">
        <v>168</v>
      </c>
      <c r="K194" s="1462" t="s">
        <v>310</v>
      </c>
      <c r="L194" s="4146" t="s">
        <v>4824</v>
      </c>
      <c r="M194" s="2545">
        <v>45290</v>
      </c>
      <c r="N194" s="2545">
        <v>45289</v>
      </c>
      <c r="O194" s="2545">
        <v>45656</v>
      </c>
      <c r="P194" s="2193" t="s">
        <v>4825</v>
      </c>
      <c r="Q194" s="1462" t="s">
        <v>50</v>
      </c>
      <c r="R194" s="1462" t="s">
        <v>51</v>
      </c>
      <c r="S194" s="1462"/>
      <c r="T194" s="1462"/>
      <c r="U194" s="1462"/>
      <c r="V194" s="1462"/>
      <c r="W194" s="1462"/>
      <c r="X194" s="3399"/>
      <c r="Y194" s="3384"/>
      <c r="Z194" s="3384"/>
    </row>
    <row r="195" spans="1:26" s="106" customFormat="1" ht="60" hidden="1">
      <c r="A195" s="4193" t="s">
        <v>4815</v>
      </c>
      <c r="B195" s="4163" t="s">
        <v>4826</v>
      </c>
      <c r="C195" s="4193" t="s">
        <v>28</v>
      </c>
      <c r="D195" s="2543">
        <v>45274</v>
      </c>
      <c r="E195" s="2547">
        <v>45289</v>
      </c>
      <c r="F195" s="4191" t="s">
        <v>45</v>
      </c>
      <c r="G195" s="4193" t="s">
        <v>302</v>
      </c>
      <c r="H195" s="4231" t="s">
        <v>4827</v>
      </c>
      <c r="I195" s="4193"/>
      <c r="J195" s="1138" t="s">
        <v>32</v>
      </c>
      <c r="K195" s="2225" t="s">
        <v>310</v>
      </c>
      <c r="L195" s="2185" t="s">
        <v>4828</v>
      </c>
      <c r="M195" s="2564" t="s">
        <v>4829</v>
      </c>
      <c r="N195" s="2564" t="s">
        <v>4829</v>
      </c>
      <c r="O195" s="2563">
        <v>45295</v>
      </c>
      <c r="P195" s="4128" t="s">
        <v>4830</v>
      </c>
      <c r="Q195" s="120" t="s">
        <v>50</v>
      </c>
      <c r="R195" s="4193" t="s">
        <v>4831</v>
      </c>
      <c r="S195" s="120">
        <v>4</v>
      </c>
      <c r="T195" s="2128">
        <v>4060</v>
      </c>
      <c r="U195" s="120"/>
      <c r="V195" s="120"/>
      <c r="W195" s="120"/>
      <c r="X195" s="120"/>
      <c r="Y195" s="120"/>
      <c r="Z195" s="120"/>
    </row>
    <row r="196" spans="1:26" s="117" customFormat="1" hidden="1">
      <c r="A196" s="25" t="s">
        <v>409</v>
      </c>
      <c r="B196" s="4929" t="s">
        <v>4832</v>
      </c>
      <c r="C196" s="25" t="s">
        <v>28</v>
      </c>
      <c r="D196" s="2527">
        <v>45282</v>
      </c>
      <c r="E196" s="2548">
        <v>45292</v>
      </c>
      <c r="F196" s="25" t="s">
        <v>86</v>
      </c>
      <c r="G196" s="25" t="s">
        <v>46</v>
      </c>
      <c r="H196" s="353"/>
      <c r="I196" s="25"/>
      <c r="J196" s="25" t="s">
        <v>168</v>
      </c>
      <c r="K196" s="25" t="s">
        <v>310</v>
      </c>
      <c r="L196" s="4305" t="s">
        <v>4833</v>
      </c>
      <c r="M196" s="2527">
        <v>45295</v>
      </c>
      <c r="N196" s="2527">
        <v>45293</v>
      </c>
      <c r="O196" s="2527">
        <v>45294</v>
      </c>
      <c r="P196" s="2207" t="s">
        <v>4834</v>
      </c>
      <c r="Q196" s="25" t="s">
        <v>50</v>
      </c>
      <c r="R196" s="2207" t="s">
        <v>4835</v>
      </c>
      <c r="S196" s="25"/>
      <c r="T196" s="25">
        <v>4830</v>
      </c>
      <c r="U196" s="25">
        <v>530</v>
      </c>
      <c r="V196" s="25"/>
      <c r="W196" s="25"/>
      <c r="X196" s="2208"/>
      <c r="Y196" s="25"/>
      <c r="Z196" s="25"/>
    </row>
    <row r="197" spans="1:26" s="117" customFormat="1" hidden="1">
      <c r="A197" s="3265" t="s">
        <v>2566</v>
      </c>
      <c r="B197" s="857" t="s">
        <v>4836</v>
      </c>
      <c r="C197" s="3265" t="s">
        <v>28</v>
      </c>
      <c r="D197" s="3400">
        <v>45272</v>
      </c>
      <c r="E197" s="3401">
        <v>45289</v>
      </c>
      <c r="F197" s="3265" t="s">
        <v>2292</v>
      </c>
      <c r="G197" s="3265" t="s">
        <v>46</v>
      </c>
      <c r="H197" s="3265"/>
      <c r="I197" s="3265"/>
      <c r="J197" s="3265" t="s">
        <v>32</v>
      </c>
      <c r="K197" s="3265" t="s">
        <v>310</v>
      </c>
      <c r="L197" s="3402" t="s">
        <v>4837</v>
      </c>
      <c r="M197" s="3400">
        <v>45291</v>
      </c>
      <c r="N197" s="3400">
        <v>45290</v>
      </c>
      <c r="O197" s="3400">
        <v>45293</v>
      </c>
      <c r="P197" s="4306" t="s">
        <v>4838</v>
      </c>
      <c r="Q197" s="3265" t="s">
        <v>50</v>
      </c>
      <c r="R197" s="25" t="s">
        <v>4839</v>
      </c>
      <c r="S197" s="3265"/>
      <c r="T197" s="3265"/>
      <c r="U197" s="3265"/>
      <c r="V197" s="3265"/>
      <c r="W197" s="3265"/>
      <c r="X197" s="3265"/>
      <c r="Y197" s="3265"/>
      <c r="Z197" s="3265"/>
    </row>
    <row r="198" spans="1:26" s="106" customFormat="1" hidden="1">
      <c r="A198" s="4839" t="s">
        <v>2787</v>
      </c>
      <c r="B198" s="4839" t="s">
        <v>4840</v>
      </c>
      <c r="C198" s="4839" t="s">
        <v>28</v>
      </c>
      <c r="D198" s="4957">
        <v>45276</v>
      </c>
      <c r="E198" s="4867">
        <v>45291</v>
      </c>
      <c r="F198" s="4839" t="s">
        <v>56</v>
      </c>
      <c r="G198" s="4839" t="s">
        <v>46</v>
      </c>
      <c r="H198" s="4990">
        <v>45630</v>
      </c>
      <c r="I198" s="4841" t="s">
        <v>178</v>
      </c>
      <c r="J198" s="4839" t="s">
        <v>247</v>
      </c>
      <c r="K198" s="4839" t="s">
        <v>2789</v>
      </c>
      <c r="L198" s="5257">
        <v>584100</v>
      </c>
      <c r="M198" s="4990">
        <v>45294</v>
      </c>
      <c r="N198" s="5078">
        <v>45294</v>
      </c>
      <c r="O198" s="4957">
        <v>45296</v>
      </c>
      <c r="P198" s="5199" t="s">
        <v>4841</v>
      </c>
      <c r="Q198" s="4839" t="s">
        <v>35</v>
      </c>
      <c r="R198" s="3275" t="s">
        <v>36</v>
      </c>
      <c r="S198" s="4839" t="s">
        <v>37</v>
      </c>
      <c r="T198" s="16">
        <v>710</v>
      </c>
      <c r="U198" s="4895">
        <v>580.9</v>
      </c>
      <c r="V198" s="4895"/>
      <c r="W198" s="4895"/>
      <c r="X198" s="4895"/>
      <c r="Y198" s="4895"/>
      <c r="Z198" s="4895"/>
    </row>
    <row r="199" spans="1:26" s="106" customFormat="1" hidden="1">
      <c r="A199" s="4839" t="s">
        <v>2787</v>
      </c>
      <c r="B199" s="4839" t="s">
        <v>4842</v>
      </c>
      <c r="C199" s="4839" t="s">
        <v>28</v>
      </c>
      <c r="D199" s="4957">
        <v>45276</v>
      </c>
      <c r="E199" s="4867">
        <v>45291</v>
      </c>
      <c r="F199" s="4839" t="s">
        <v>56</v>
      </c>
      <c r="G199" s="4839" t="s">
        <v>46</v>
      </c>
      <c r="H199" s="5078">
        <v>45294</v>
      </c>
      <c r="I199" s="4841"/>
      <c r="J199" s="4839" t="s">
        <v>247</v>
      </c>
      <c r="K199" s="4839" t="s">
        <v>2789</v>
      </c>
      <c r="L199" s="5257" t="s">
        <v>4843</v>
      </c>
      <c r="M199" s="4990">
        <v>45293</v>
      </c>
      <c r="N199" s="4957">
        <v>45293</v>
      </c>
      <c r="O199" s="4957">
        <v>45294</v>
      </c>
      <c r="P199" s="5199" t="s">
        <v>4844</v>
      </c>
      <c r="Q199" s="4839" t="s">
        <v>35</v>
      </c>
      <c r="R199" s="3275" t="s">
        <v>36</v>
      </c>
      <c r="S199" s="1145" t="s">
        <v>37</v>
      </c>
      <c r="T199" s="16">
        <v>615</v>
      </c>
      <c r="U199" s="16">
        <v>530.9</v>
      </c>
      <c r="V199" s="16"/>
      <c r="W199" s="16"/>
      <c r="X199" s="16"/>
      <c r="Y199" s="16"/>
      <c r="Z199" s="16"/>
    </row>
    <row r="200" spans="1:26" hidden="1">
      <c r="A200" s="3275" t="s">
        <v>2787</v>
      </c>
      <c r="B200" s="58" t="s">
        <v>4845</v>
      </c>
      <c r="C200" s="3275" t="s">
        <v>28</v>
      </c>
      <c r="D200" s="3279">
        <v>45276</v>
      </c>
      <c r="E200" s="3346">
        <v>45291</v>
      </c>
      <c r="F200" s="3275" t="s">
        <v>56</v>
      </c>
      <c r="G200" s="3275" t="s">
        <v>46</v>
      </c>
      <c r="H200" s="3371">
        <v>45294</v>
      </c>
      <c r="I200" s="3357" t="s">
        <v>650</v>
      </c>
      <c r="J200" s="3275" t="s">
        <v>247</v>
      </c>
      <c r="K200" s="3275" t="s">
        <v>2789</v>
      </c>
      <c r="L200" s="3395" t="s">
        <v>4846</v>
      </c>
      <c r="M200" s="3350">
        <v>45294</v>
      </c>
      <c r="N200" s="3371">
        <v>45294</v>
      </c>
      <c r="O200" s="3279">
        <v>45295</v>
      </c>
      <c r="P200" s="3372" t="s">
        <v>4847</v>
      </c>
      <c r="Q200" s="3275" t="s">
        <v>35</v>
      </c>
      <c r="R200" s="3275" t="s">
        <v>36</v>
      </c>
      <c r="S200" s="3275" t="s">
        <v>37</v>
      </c>
      <c r="T200" s="3241">
        <v>490</v>
      </c>
      <c r="U200" s="3241">
        <v>408.2</v>
      </c>
      <c r="V200" s="3241"/>
      <c r="W200" s="3241"/>
      <c r="X200" s="3241"/>
      <c r="Y200" s="3241"/>
      <c r="Z200" s="3241"/>
    </row>
    <row r="201" spans="1:26" s="106" customFormat="1" hidden="1">
      <c r="A201" s="18" t="s">
        <v>2396</v>
      </c>
      <c r="B201" s="656" t="s">
        <v>4848</v>
      </c>
      <c r="C201" s="18" t="s">
        <v>44</v>
      </c>
      <c r="D201" s="661">
        <v>45291</v>
      </c>
      <c r="E201" s="661">
        <v>45291</v>
      </c>
      <c r="F201" s="18" t="s">
        <v>260</v>
      </c>
      <c r="G201" s="18" t="s">
        <v>2983</v>
      </c>
      <c r="H201" s="982">
        <v>45296</v>
      </c>
      <c r="I201" s="1525">
        <v>0.58333333333333337</v>
      </c>
      <c r="J201" s="1161" t="s">
        <v>4849</v>
      </c>
      <c r="K201" s="18" t="s">
        <v>2523</v>
      </c>
      <c r="L201" s="2162"/>
      <c r="M201" s="982">
        <v>45296</v>
      </c>
      <c r="N201" s="1985">
        <v>45295</v>
      </c>
      <c r="O201" s="982">
        <v>45300</v>
      </c>
      <c r="P201" s="962" t="s">
        <v>4850</v>
      </c>
      <c r="Q201" s="18" t="s">
        <v>128</v>
      </c>
      <c r="R201" s="18" t="s">
        <v>36</v>
      </c>
      <c r="S201" s="18"/>
      <c r="T201" s="18"/>
      <c r="U201" s="18"/>
      <c r="V201" s="18"/>
      <c r="W201" s="18"/>
      <c r="X201" s="18"/>
      <c r="Y201" s="18"/>
      <c r="Z201" s="18"/>
    </row>
    <row r="202" spans="1:26" s="106" customFormat="1" hidden="1">
      <c r="A202" s="1145" t="s">
        <v>122</v>
      </c>
      <c r="B202" s="1495" t="s">
        <v>4851</v>
      </c>
      <c r="C202" s="1145" t="s">
        <v>44</v>
      </c>
      <c r="D202" s="1817">
        <v>45291</v>
      </c>
      <c r="E202" s="1817">
        <v>45291</v>
      </c>
      <c r="F202" s="1145" t="s">
        <v>45</v>
      </c>
      <c r="G202" s="1145" t="s">
        <v>3714</v>
      </c>
      <c r="H202" s="1817">
        <v>45299</v>
      </c>
      <c r="I202" s="2105">
        <v>0.41666666666666669</v>
      </c>
      <c r="J202" s="1145" t="s">
        <v>859</v>
      </c>
      <c r="K202" s="1145" t="s">
        <v>3860</v>
      </c>
      <c r="L202" s="2107"/>
      <c r="M202" s="1817">
        <v>45294</v>
      </c>
      <c r="N202" s="1817">
        <v>45294</v>
      </c>
      <c r="O202" s="1145"/>
      <c r="P202" s="1156" t="s">
        <v>4852</v>
      </c>
      <c r="Q202" s="1145" t="s">
        <v>128</v>
      </c>
      <c r="R202" s="739" t="s">
        <v>36</v>
      </c>
      <c r="S202" s="1145"/>
      <c r="T202" s="1145">
        <f>2624.89-91.14</f>
        <v>2533.75</v>
      </c>
      <c r="U202" s="1145">
        <f>1761.25+125</f>
        <v>1886.25</v>
      </c>
      <c r="V202" s="1145"/>
      <c r="W202" s="1145"/>
      <c r="X202" s="1145"/>
      <c r="Y202" s="1145"/>
      <c r="Z202" s="1145"/>
    </row>
    <row r="203" spans="1:26" s="106" customFormat="1">
      <c r="A203" s="4921" t="s">
        <v>468</v>
      </c>
      <c r="B203" s="4242" t="s">
        <v>4853</v>
      </c>
      <c r="C203" s="4848" t="s">
        <v>44</v>
      </c>
      <c r="D203" s="5258">
        <v>45283</v>
      </c>
      <c r="E203" s="5259">
        <v>45291</v>
      </c>
      <c r="F203" s="4848" t="s">
        <v>98</v>
      </c>
      <c r="G203" s="4908" t="s">
        <v>302</v>
      </c>
      <c r="H203" s="5147" t="s">
        <v>4854</v>
      </c>
      <c r="I203" s="4921"/>
      <c r="J203" s="4944" t="s">
        <v>32</v>
      </c>
      <c r="K203" s="4840" t="s">
        <v>310</v>
      </c>
      <c r="L203" s="5260" t="s">
        <v>4855</v>
      </c>
      <c r="M203" s="5204">
        <v>45295</v>
      </c>
      <c r="N203" s="5204">
        <v>45293</v>
      </c>
      <c r="O203" s="2527">
        <v>45294</v>
      </c>
      <c r="P203" s="5194" t="s">
        <v>4856</v>
      </c>
      <c r="Q203" s="4921" t="s">
        <v>75</v>
      </c>
      <c r="R203" s="4307" t="s">
        <v>4857</v>
      </c>
      <c r="S203" s="4921">
        <v>4</v>
      </c>
      <c r="T203" s="5174">
        <v>4355</v>
      </c>
      <c r="U203" s="4921">
        <f>530</f>
        <v>530</v>
      </c>
      <c r="V203" s="4921">
        <v>1</v>
      </c>
      <c r="W203" s="4921"/>
      <c r="X203" s="5213"/>
      <c r="Y203" s="4921"/>
      <c r="Z203" s="4921"/>
    </row>
    <row r="204" spans="1:26" s="117" customFormat="1" hidden="1">
      <c r="A204" s="3265" t="s">
        <v>3343</v>
      </c>
      <c r="B204" s="3" t="s">
        <v>4858</v>
      </c>
      <c r="C204" s="3265" t="s">
        <v>28</v>
      </c>
      <c r="D204" s="3400">
        <v>45283</v>
      </c>
      <c r="E204" s="3401">
        <v>45291</v>
      </c>
      <c r="F204" s="3265" t="s">
        <v>734</v>
      </c>
      <c r="G204" s="3265" t="s">
        <v>829</v>
      </c>
      <c r="H204" s="3373"/>
      <c r="I204" s="3265"/>
      <c r="J204" s="3265" t="s">
        <v>32</v>
      </c>
      <c r="K204" s="3265" t="s">
        <v>310</v>
      </c>
      <c r="L204" s="4308" t="s">
        <v>4859</v>
      </c>
      <c r="M204" s="3400">
        <v>45292</v>
      </c>
      <c r="N204" s="3400">
        <v>45292</v>
      </c>
      <c r="O204" s="3400">
        <v>45294</v>
      </c>
      <c r="P204" s="5194" t="s">
        <v>4860</v>
      </c>
      <c r="Q204" s="4848" t="s">
        <v>50</v>
      </c>
      <c r="R204" s="3" t="s">
        <v>4861</v>
      </c>
      <c r="S204" s="4848"/>
      <c r="T204" s="4848"/>
      <c r="U204" s="4848"/>
      <c r="V204" s="4848"/>
      <c r="W204" s="4848"/>
      <c r="X204" s="5250"/>
      <c r="Y204" s="4848"/>
      <c r="Z204" s="4848"/>
    </row>
    <row r="205" spans="1:26" s="117" customFormat="1" ht="27" hidden="1">
      <c r="A205" s="5217" t="s">
        <v>42</v>
      </c>
      <c r="B205" s="3" t="s">
        <v>4862</v>
      </c>
      <c r="C205" s="4603" t="s">
        <v>44</v>
      </c>
      <c r="D205" s="5204">
        <v>45274</v>
      </c>
      <c r="E205" s="5201">
        <v>45292</v>
      </c>
      <c r="F205" s="4848" t="s">
        <v>86</v>
      </c>
      <c r="G205" s="4848" t="s">
        <v>829</v>
      </c>
      <c r="H205" s="4848"/>
      <c r="I205" s="4848"/>
      <c r="J205" s="4848" t="s">
        <v>32</v>
      </c>
      <c r="K205" s="4848" t="s">
        <v>310</v>
      </c>
      <c r="L205" s="5218" t="s">
        <v>4863</v>
      </c>
      <c r="M205" s="5204">
        <v>45295</v>
      </c>
      <c r="N205" s="2527">
        <v>45293</v>
      </c>
      <c r="O205" s="5204">
        <v>45294</v>
      </c>
      <c r="P205" s="2274" t="s">
        <v>4864</v>
      </c>
      <c r="Q205" s="3265" t="s">
        <v>50</v>
      </c>
      <c r="R205" s="3" t="s">
        <v>4865</v>
      </c>
      <c r="S205" s="4848"/>
      <c r="T205" s="4848"/>
      <c r="U205" s="4848"/>
      <c r="V205" s="4848"/>
      <c r="W205" s="4848"/>
      <c r="X205" s="4848"/>
      <c r="Y205" s="4848"/>
      <c r="Z205" s="4848"/>
    </row>
    <row r="206" spans="1:26" s="106" customFormat="1" hidden="1">
      <c r="A206" s="3384" t="s">
        <v>409</v>
      </c>
      <c r="B206" s="2073" t="s">
        <v>4866</v>
      </c>
      <c r="C206" s="3384" t="s">
        <v>994</v>
      </c>
      <c r="D206" s="3385">
        <v>45275</v>
      </c>
      <c r="E206" s="3403">
        <v>45291</v>
      </c>
      <c r="F206" s="3384" t="s">
        <v>86</v>
      </c>
      <c r="G206" s="3384" t="s">
        <v>46</v>
      </c>
      <c r="H206" s="3384"/>
      <c r="I206" s="3384"/>
      <c r="J206" s="3384" t="s">
        <v>32</v>
      </c>
      <c r="K206" s="3384" t="s">
        <v>310</v>
      </c>
      <c r="L206" s="3404" t="s">
        <v>4867</v>
      </c>
      <c r="M206" s="3385">
        <v>45294</v>
      </c>
      <c r="N206" s="3385">
        <v>45293</v>
      </c>
      <c r="O206" s="3385">
        <v>45295</v>
      </c>
      <c r="P206" s="3387" t="s">
        <v>4868</v>
      </c>
      <c r="Q206" s="3384" t="s">
        <v>50</v>
      </c>
      <c r="R206" s="3384" t="s">
        <v>51</v>
      </c>
      <c r="S206" s="3384"/>
      <c r="T206" s="3384"/>
      <c r="U206" s="3384"/>
      <c r="V206" s="3384"/>
      <c r="W206" s="3384"/>
      <c r="X206" s="3384"/>
      <c r="Y206" s="3384"/>
      <c r="Z206" s="3384"/>
    </row>
    <row r="207" spans="1:26" s="106" customFormat="1" ht="60">
      <c r="A207" s="4193" t="s">
        <v>2847</v>
      </c>
      <c r="B207" s="4193" t="s">
        <v>4869</v>
      </c>
      <c r="C207" s="4193" t="s">
        <v>28</v>
      </c>
      <c r="D207" s="838">
        <v>45279</v>
      </c>
      <c r="E207" s="55">
        <v>45292</v>
      </c>
      <c r="F207" s="4193" t="s">
        <v>93</v>
      </c>
      <c r="G207" s="939" t="s">
        <v>2849</v>
      </c>
      <c r="H207" s="62">
        <v>45294</v>
      </c>
      <c r="I207" s="82" t="s">
        <v>618</v>
      </c>
      <c r="J207" s="4193" t="s">
        <v>322</v>
      </c>
      <c r="K207" s="4193" t="s">
        <v>2652</v>
      </c>
      <c r="L207" s="2180" t="s">
        <v>4870</v>
      </c>
      <c r="M207" s="838">
        <v>45295</v>
      </c>
      <c r="N207" s="62">
        <v>45294</v>
      </c>
      <c r="O207" s="653">
        <v>45294</v>
      </c>
      <c r="P207" s="4128" t="s">
        <v>4871</v>
      </c>
      <c r="Q207" s="120" t="s">
        <v>75</v>
      </c>
      <c r="R207" s="4193" t="s">
        <v>4872</v>
      </c>
      <c r="S207" s="120">
        <v>4</v>
      </c>
      <c r="T207" s="120">
        <v>1081.25</v>
      </c>
      <c r="U207" s="120">
        <v>716.75</v>
      </c>
      <c r="V207" s="120">
        <v>1</v>
      </c>
      <c r="W207" s="120">
        <f>Table10[[#This Row],[Sales Amount]]-Table10[[#This Row],[Cost]]</f>
        <v>364.5</v>
      </c>
      <c r="X207" s="1041">
        <f>Table10[[#This Row],[Profit]]/Table10[[#This Row],[Cost]]</f>
        <v>0.5085455179630276</v>
      </c>
      <c r="Y207" s="120"/>
      <c r="Z207" s="120"/>
    </row>
    <row r="208" spans="1:26" s="106" customFormat="1" ht="75">
      <c r="A208" s="4193" t="s">
        <v>2847</v>
      </c>
      <c r="B208" s="4193" t="s">
        <v>4873</v>
      </c>
      <c r="C208" s="4193" t="s">
        <v>28</v>
      </c>
      <c r="D208" s="838">
        <v>45279</v>
      </c>
      <c r="E208" s="55">
        <v>45292</v>
      </c>
      <c r="F208" s="4193" t="s">
        <v>93</v>
      </c>
      <c r="G208" s="939" t="s">
        <v>2849</v>
      </c>
      <c r="H208" s="1533">
        <v>45294</v>
      </c>
      <c r="I208" s="82" t="s">
        <v>1196</v>
      </c>
      <c r="J208" s="4193" t="s">
        <v>322</v>
      </c>
      <c r="K208" s="4193" t="s">
        <v>2652</v>
      </c>
      <c r="L208" s="4309" t="s">
        <v>4874</v>
      </c>
      <c r="M208" s="653">
        <v>45295</v>
      </c>
      <c r="N208" s="62">
        <v>45294</v>
      </c>
      <c r="O208" s="653">
        <v>45295</v>
      </c>
      <c r="P208" s="900" t="s">
        <v>4875</v>
      </c>
      <c r="Q208" s="120" t="s">
        <v>75</v>
      </c>
      <c r="R208" s="4193" t="s">
        <v>4876</v>
      </c>
      <c r="S208" s="120">
        <v>4</v>
      </c>
      <c r="T208" s="2128">
        <v>1313.75</v>
      </c>
      <c r="U208" s="120">
        <v>976.75</v>
      </c>
      <c r="V208" s="120">
        <v>1</v>
      </c>
      <c r="W208" s="120">
        <f>Table10[[#This Row],[Sales Amount]]-Table10[[#This Row],[Cost]]</f>
        <v>337</v>
      </c>
      <c r="X208" s="1041">
        <f>Table10[[#This Row],[Profit]]/Table10[[#This Row],[Cost]]</f>
        <v>0.34502175582288203</v>
      </c>
      <c r="Y208" s="120"/>
      <c r="Z208" s="120"/>
    </row>
    <row r="209" spans="1:26" s="106" customFormat="1" ht="60">
      <c r="A209" s="4193" t="s">
        <v>2847</v>
      </c>
      <c r="B209" s="4193" t="s">
        <v>4877</v>
      </c>
      <c r="C209" s="4193" t="s">
        <v>28</v>
      </c>
      <c r="D209" s="838">
        <v>45279</v>
      </c>
      <c r="E209" s="55">
        <v>45292</v>
      </c>
      <c r="F209" s="4193" t="s">
        <v>93</v>
      </c>
      <c r="G209" s="939" t="s">
        <v>2849</v>
      </c>
      <c r="H209" s="1533">
        <v>45295</v>
      </c>
      <c r="I209" s="82" t="s">
        <v>618</v>
      </c>
      <c r="J209" s="4193" t="s">
        <v>322</v>
      </c>
      <c r="K209" s="4193" t="s">
        <v>2652</v>
      </c>
      <c r="L209" s="4309" t="s">
        <v>4878</v>
      </c>
      <c r="M209" s="653">
        <v>45295</v>
      </c>
      <c r="N209" s="62">
        <v>45294</v>
      </c>
      <c r="O209" s="653">
        <v>45295</v>
      </c>
      <c r="P209" s="4128" t="s">
        <v>4879</v>
      </c>
      <c r="Q209" s="120" t="s">
        <v>75</v>
      </c>
      <c r="R209" s="4193" t="s">
        <v>4880</v>
      </c>
      <c r="S209" s="120">
        <v>4</v>
      </c>
      <c r="T209" s="4310">
        <v>1283.75</v>
      </c>
      <c r="U209" s="120">
        <v>980.5</v>
      </c>
      <c r="V209" s="120">
        <v>1</v>
      </c>
      <c r="W209" s="120">
        <f>Table10[[#This Row],[Sales Amount]]-Table10[[#This Row],[Cost]]</f>
        <v>303.25</v>
      </c>
      <c r="X209" s="1041">
        <f>Table10[[#This Row],[Profit]]/Table10[[#This Row],[Cost]]</f>
        <v>0.30928097909229985</v>
      </c>
      <c r="Y209" s="120"/>
      <c r="Z209" s="120"/>
    </row>
    <row r="210" spans="1:26" s="117" customFormat="1" ht="60">
      <c r="A210" s="4166" t="s">
        <v>2847</v>
      </c>
      <c r="B210" s="714" t="s">
        <v>4881</v>
      </c>
      <c r="C210" s="4166" t="s">
        <v>28</v>
      </c>
      <c r="D210" s="1494">
        <v>45279</v>
      </c>
      <c r="E210" s="2109">
        <v>45292</v>
      </c>
      <c r="F210" s="4166" t="s">
        <v>93</v>
      </c>
      <c r="G210" s="2050" t="s">
        <v>2849</v>
      </c>
      <c r="H210" s="833">
        <v>45299</v>
      </c>
      <c r="I210" s="2084" t="s">
        <v>445</v>
      </c>
      <c r="J210" s="4166" t="s">
        <v>322</v>
      </c>
      <c r="K210" s="4166" t="s">
        <v>2652</v>
      </c>
      <c r="L210" s="4311" t="s">
        <v>4882</v>
      </c>
      <c r="M210" s="1074">
        <v>45295</v>
      </c>
      <c r="N210" s="638">
        <v>45295</v>
      </c>
      <c r="O210" s="1074">
        <v>45299</v>
      </c>
      <c r="P210" s="4266" t="s">
        <v>4883</v>
      </c>
      <c r="Q210" s="663" t="s">
        <v>75</v>
      </c>
      <c r="R210" s="4312" t="s">
        <v>4884</v>
      </c>
      <c r="S210" s="663">
        <v>4</v>
      </c>
      <c r="T210" s="663">
        <v>1650</v>
      </c>
      <c r="U210" s="2167">
        <v>1113</v>
      </c>
      <c r="V210" s="663">
        <v>1</v>
      </c>
      <c r="W210" s="663">
        <f>Table10[[#This Row],[Sales Amount]]-Table10[[#This Row],[Cost]]</f>
        <v>537</v>
      </c>
      <c r="X210" s="2079">
        <f>Table10[[#This Row],[Profit]]/Table10[[#This Row],[Cost]]</f>
        <v>0.48247978436657685</v>
      </c>
      <c r="Y210" s="663"/>
      <c r="Z210" s="663"/>
    </row>
    <row r="211" spans="1:26" s="106" customFormat="1" hidden="1">
      <c r="A211" s="739" t="s">
        <v>3343</v>
      </c>
      <c r="B211" s="1992" t="s">
        <v>4885</v>
      </c>
      <c r="C211" s="739" t="s">
        <v>28</v>
      </c>
      <c r="D211" s="2532">
        <v>45282</v>
      </c>
      <c r="E211" s="2549">
        <v>45292</v>
      </c>
      <c r="F211" s="739" t="s">
        <v>45</v>
      </c>
      <c r="G211" s="739" t="s">
        <v>46</v>
      </c>
      <c r="H211" s="1785"/>
      <c r="I211" s="739"/>
      <c r="J211" s="58" t="s">
        <v>168</v>
      </c>
      <c r="K211" s="739" t="s">
        <v>310</v>
      </c>
      <c r="L211" s="2181" t="s">
        <v>4886</v>
      </c>
      <c r="M211" s="2532">
        <v>45295</v>
      </c>
      <c r="N211" s="2532">
        <v>45294</v>
      </c>
      <c r="O211" s="2532">
        <v>45296</v>
      </c>
      <c r="P211" s="2078" t="s">
        <v>4887</v>
      </c>
      <c r="Q211" s="58" t="s">
        <v>50</v>
      </c>
      <c r="R211" s="739" t="s">
        <v>51</v>
      </c>
      <c r="S211" s="739"/>
      <c r="T211" s="739"/>
      <c r="U211" s="739"/>
      <c r="V211" s="739"/>
      <c r="W211" s="739"/>
      <c r="X211" s="2198"/>
      <c r="Y211" s="739"/>
      <c r="Z211" s="739"/>
    </row>
    <row r="212" spans="1:26" s="117" customFormat="1" hidden="1">
      <c r="A212" s="5217" t="s">
        <v>409</v>
      </c>
      <c r="B212" s="4845" t="s">
        <v>4888</v>
      </c>
      <c r="C212" s="4607" t="s">
        <v>28</v>
      </c>
      <c r="D212" s="5204">
        <v>45282</v>
      </c>
      <c r="E212" s="5203">
        <v>45295</v>
      </c>
      <c r="F212" s="4848" t="s">
        <v>86</v>
      </c>
      <c r="G212" s="4848" t="s">
        <v>46</v>
      </c>
      <c r="H212" s="4853"/>
      <c r="I212" s="4848"/>
      <c r="J212" s="4848" t="s">
        <v>168</v>
      </c>
      <c r="K212" s="4848" t="s">
        <v>310</v>
      </c>
      <c r="L212" s="5261" t="s">
        <v>4889</v>
      </c>
      <c r="M212" s="5204">
        <v>45295</v>
      </c>
      <c r="N212" s="5204">
        <v>45293</v>
      </c>
      <c r="O212" s="5204">
        <v>45294</v>
      </c>
      <c r="P212" s="5194" t="s">
        <v>4890</v>
      </c>
      <c r="Q212" s="4848" t="s">
        <v>50</v>
      </c>
      <c r="R212" s="4848" t="s">
        <v>4891</v>
      </c>
      <c r="S212" s="4848"/>
      <c r="T212" s="4848"/>
      <c r="U212" s="4848"/>
      <c r="V212" s="4848"/>
      <c r="W212" s="4848"/>
      <c r="X212" s="5250"/>
      <c r="Y212" s="4848"/>
      <c r="Z212" s="4848"/>
    </row>
    <row r="213" spans="1:26" s="36" customFormat="1" hidden="1">
      <c r="A213" s="5217" t="s">
        <v>42</v>
      </c>
      <c r="B213" s="4845" t="s">
        <v>4892</v>
      </c>
      <c r="C213" s="4603" t="s">
        <v>994</v>
      </c>
      <c r="D213" s="5204">
        <v>45275</v>
      </c>
      <c r="E213" s="5201">
        <v>45291</v>
      </c>
      <c r="F213" s="4848" t="s">
        <v>86</v>
      </c>
      <c r="G213" s="4848" t="s">
        <v>46</v>
      </c>
      <c r="H213" s="4848"/>
      <c r="I213" s="4848"/>
      <c r="J213" s="4848" t="s">
        <v>32</v>
      </c>
      <c r="K213" s="4848" t="s">
        <v>310</v>
      </c>
      <c r="L213" s="5218" t="s">
        <v>4893</v>
      </c>
      <c r="M213" s="5204">
        <v>45294</v>
      </c>
      <c r="N213" s="5204">
        <v>45293</v>
      </c>
      <c r="O213" s="5204">
        <v>45295</v>
      </c>
      <c r="P213" s="4837" t="s">
        <v>4894</v>
      </c>
      <c r="Q213" s="4848" t="s">
        <v>50</v>
      </c>
      <c r="R213" s="4848" t="s">
        <v>36</v>
      </c>
      <c r="S213" s="4848"/>
      <c r="T213" s="4848"/>
      <c r="U213" s="4848"/>
      <c r="V213" s="4848"/>
      <c r="W213" s="4848"/>
      <c r="X213" s="4848"/>
      <c r="Y213" s="4848"/>
      <c r="Z213" s="4848"/>
    </row>
    <row r="214" spans="1:26" s="1442" customFormat="1" hidden="1">
      <c r="A214" s="4996" t="s">
        <v>3835</v>
      </c>
      <c r="B214" s="2073" t="s">
        <v>4895</v>
      </c>
      <c r="C214" s="4996" t="s">
        <v>28</v>
      </c>
      <c r="D214" s="5185">
        <v>45282</v>
      </c>
      <c r="E214" s="5262">
        <v>45292</v>
      </c>
      <c r="F214" s="4996" t="s">
        <v>45</v>
      </c>
      <c r="G214" s="4996" t="s">
        <v>302</v>
      </c>
      <c r="H214" s="5006"/>
      <c r="I214" s="4996"/>
      <c r="J214" s="5031" t="s">
        <v>4896</v>
      </c>
      <c r="K214" s="4996" t="s">
        <v>47</v>
      </c>
      <c r="L214" s="5263" t="s">
        <v>4897</v>
      </c>
      <c r="M214" s="5185">
        <v>45295</v>
      </c>
      <c r="N214" s="5185">
        <v>45294</v>
      </c>
      <c r="O214" s="5185">
        <v>45295</v>
      </c>
      <c r="P214" s="5232" t="s">
        <v>4898</v>
      </c>
      <c r="Q214" s="4911" t="s">
        <v>50</v>
      </c>
      <c r="R214" s="4996" t="s">
        <v>51</v>
      </c>
      <c r="S214" s="4996"/>
      <c r="T214" s="4996"/>
      <c r="U214" s="4996"/>
      <c r="V214" s="4996"/>
      <c r="W214" s="4996"/>
      <c r="X214" s="5264"/>
      <c r="Y214" s="4996"/>
      <c r="Z214" s="4996"/>
    </row>
    <row r="215" spans="1:26" s="117" customFormat="1" hidden="1">
      <c r="A215" s="3405" t="s">
        <v>409</v>
      </c>
      <c r="B215" s="4845" t="s">
        <v>4899</v>
      </c>
      <c r="C215" s="3234" t="s">
        <v>28</v>
      </c>
      <c r="D215" s="3400">
        <v>45282</v>
      </c>
      <c r="E215" s="3401">
        <v>45292</v>
      </c>
      <c r="F215" s="3265" t="s">
        <v>45</v>
      </c>
      <c r="G215" s="3265" t="s">
        <v>46</v>
      </c>
      <c r="H215" s="3373"/>
      <c r="I215" s="3265"/>
      <c r="J215" s="4183" t="s">
        <v>32</v>
      </c>
      <c r="K215" s="3265" t="s">
        <v>310</v>
      </c>
      <c r="L215" s="3402" t="s">
        <v>4900</v>
      </c>
      <c r="M215" s="3400">
        <v>45295</v>
      </c>
      <c r="N215" s="3400">
        <v>45294</v>
      </c>
      <c r="O215" s="3400">
        <v>45296</v>
      </c>
      <c r="P215" s="2207" t="s">
        <v>4901</v>
      </c>
      <c r="Q215" s="3265" t="s">
        <v>50</v>
      </c>
      <c r="R215" s="3265" t="s">
        <v>4902</v>
      </c>
      <c r="S215" s="3265">
        <v>4</v>
      </c>
      <c r="T215" s="3265">
        <v>2952.79</v>
      </c>
      <c r="U215" s="3265"/>
      <c r="V215" s="3265"/>
      <c r="W215" s="3265"/>
      <c r="X215" s="3406"/>
      <c r="Y215" s="3265"/>
      <c r="Z215" s="3265"/>
    </row>
    <row r="216" spans="1:26" s="117" customFormat="1" hidden="1">
      <c r="A216" s="19" t="s">
        <v>313</v>
      </c>
      <c r="B216" s="3" t="s">
        <v>4903</v>
      </c>
      <c r="C216" s="19" t="s">
        <v>28</v>
      </c>
      <c r="D216" s="2537">
        <v>45287</v>
      </c>
      <c r="E216" s="2538">
        <v>45293</v>
      </c>
      <c r="F216" s="19" t="s">
        <v>98</v>
      </c>
      <c r="G216" s="4191" t="s">
        <v>302</v>
      </c>
      <c r="H216" s="635"/>
      <c r="I216" s="19"/>
      <c r="J216" s="15" t="s">
        <v>32</v>
      </c>
      <c r="K216" s="4191" t="s">
        <v>310</v>
      </c>
      <c r="L216" s="4313" t="s">
        <v>4904</v>
      </c>
      <c r="M216" s="2537">
        <v>45295</v>
      </c>
      <c r="N216" s="2537">
        <v>45294</v>
      </c>
      <c r="O216" s="2537">
        <v>45295</v>
      </c>
      <c r="P216" s="2220" t="s">
        <v>4905</v>
      </c>
      <c r="Q216" s="15" t="s">
        <v>89</v>
      </c>
      <c r="R216" s="3" t="s">
        <v>4906</v>
      </c>
      <c r="S216" s="19"/>
      <c r="T216" s="19"/>
      <c r="U216" s="19"/>
      <c r="V216" s="19"/>
      <c r="W216" s="19"/>
      <c r="X216" s="2223"/>
      <c r="Y216" s="19"/>
      <c r="Z216" s="19"/>
    </row>
    <row r="217" spans="1:26" s="106" customFormat="1" hidden="1">
      <c r="A217" s="1145" t="s">
        <v>1035</v>
      </c>
      <c r="B217" s="67" t="s">
        <v>4907</v>
      </c>
      <c r="C217" s="1145" t="s">
        <v>28</v>
      </c>
      <c r="D217" s="1817">
        <v>45274</v>
      </c>
      <c r="E217" s="1826">
        <v>45294</v>
      </c>
      <c r="F217" s="1145" t="s">
        <v>151</v>
      </c>
      <c r="G217" s="1145" t="s">
        <v>46</v>
      </c>
      <c r="H217" s="1145" t="s">
        <v>1038</v>
      </c>
      <c r="I217" s="1145"/>
      <c r="J217" s="1145" t="s">
        <v>32</v>
      </c>
      <c r="K217" s="1781" t="s">
        <v>162</v>
      </c>
      <c r="L217" s="2182" t="s">
        <v>4908</v>
      </c>
      <c r="M217" s="1821">
        <v>45296</v>
      </c>
      <c r="N217" s="1821">
        <v>45296</v>
      </c>
      <c r="O217" s="1817">
        <v>45297</v>
      </c>
      <c r="P217" s="2192" t="s">
        <v>4736</v>
      </c>
      <c r="Q217" s="739" t="s">
        <v>35</v>
      </c>
      <c r="R217" s="739" t="s">
        <v>36</v>
      </c>
      <c r="S217" s="739" t="s">
        <v>1320</v>
      </c>
      <c r="T217" s="484"/>
      <c r="U217" s="484"/>
      <c r="V217" s="484"/>
      <c r="W217" s="484"/>
      <c r="X217" s="484"/>
      <c r="Y217" s="484"/>
      <c r="Z217" s="484"/>
    </row>
    <row r="218" spans="1:26" s="106" customFormat="1" ht="30" hidden="1">
      <c r="A218" s="4839" t="s">
        <v>263</v>
      </c>
      <c r="B218" s="3246" t="s">
        <v>4909</v>
      </c>
      <c r="C218" s="4839" t="s">
        <v>44</v>
      </c>
      <c r="D218" s="4859">
        <v>45294</v>
      </c>
      <c r="E218" s="4859">
        <v>45294</v>
      </c>
      <c r="F218" s="4839" t="s">
        <v>2039</v>
      </c>
      <c r="G218" s="4839" t="s">
        <v>4538</v>
      </c>
      <c r="H218" s="4957">
        <v>45300</v>
      </c>
      <c r="I218" s="4958">
        <v>0.33333333333333331</v>
      </c>
      <c r="J218" s="5265" t="s">
        <v>4539</v>
      </c>
      <c r="K218" s="4839" t="s">
        <v>4910</v>
      </c>
      <c r="L218" s="5256"/>
      <c r="M218" s="4957">
        <v>45299</v>
      </c>
      <c r="N218" s="4957">
        <v>45299</v>
      </c>
      <c r="O218" s="4957" t="s">
        <v>4911</v>
      </c>
      <c r="P218" s="4589" t="s">
        <v>4912</v>
      </c>
      <c r="Q218" s="4839" t="s">
        <v>128</v>
      </c>
      <c r="R218" s="4839" t="s">
        <v>36</v>
      </c>
      <c r="S218" s="4839"/>
      <c r="T218" s="4839">
        <v>1280.1500000000001</v>
      </c>
      <c r="U218" s="4839">
        <f>740+170.15+35</f>
        <v>945.15</v>
      </c>
      <c r="V218" s="4839"/>
      <c r="W218" s="4839"/>
      <c r="X218" s="4839"/>
      <c r="Y218" s="4839"/>
      <c r="Z218" s="4839"/>
    </row>
    <row r="219" spans="1:26" s="117" customFormat="1" hidden="1">
      <c r="A219" s="5217" t="s">
        <v>409</v>
      </c>
      <c r="B219" s="4845" t="s">
        <v>4913</v>
      </c>
      <c r="C219" s="4603" t="s">
        <v>28</v>
      </c>
      <c r="D219" s="5204">
        <v>45282</v>
      </c>
      <c r="E219" s="5203">
        <v>45298</v>
      </c>
      <c r="F219" s="5223" t="s">
        <v>45</v>
      </c>
      <c r="G219" s="4848" t="s">
        <v>46</v>
      </c>
      <c r="H219" s="4853"/>
      <c r="I219" s="4848"/>
      <c r="J219" s="4848" t="s">
        <v>32</v>
      </c>
      <c r="K219" s="4848" t="s">
        <v>310</v>
      </c>
      <c r="L219" s="5261" t="s">
        <v>4914</v>
      </c>
      <c r="M219" s="5204">
        <v>45300</v>
      </c>
      <c r="N219" s="5204">
        <v>45299</v>
      </c>
      <c r="O219" s="5204">
        <v>45300</v>
      </c>
      <c r="P219" s="2207" t="s">
        <v>4915</v>
      </c>
      <c r="Q219" s="4848" t="s">
        <v>50</v>
      </c>
      <c r="R219" s="4850" t="s">
        <v>4916</v>
      </c>
      <c r="S219" s="4848">
        <v>4</v>
      </c>
      <c r="T219" s="4848"/>
      <c r="U219" s="4848"/>
      <c r="V219" s="4848"/>
      <c r="W219" s="4848"/>
      <c r="X219" s="5250"/>
      <c r="Y219" s="4848"/>
      <c r="Z219" s="4848"/>
    </row>
    <row r="220" spans="1:26" s="106" customFormat="1" hidden="1">
      <c r="A220" s="4767" t="s">
        <v>409</v>
      </c>
      <c r="B220" s="4861" t="s">
        <v>4917</v>
      </c>
      <c r="C220" s="4599" t="s">
        <v>28</v>
      </c>
      <c r="D220" s="5179">
        <v>45288</v>
      </c>
      <c r="E220" s="5219">
        <v>45299</v>
      </c>
      <c r="F220" s="4839" t="s">
        <v>86</v>
      </c>
      <c r="G220" s="4839" t="s">
        <v>46</v>
      </c>
      <c r="H220" s="4859"/>
      <c r="I220" s="4839"/>
      <c r="J220" s="4839" t="s">
        <v>32</v>
      </c>
      <c r="K220" s="4839" t="s">
        <v>310</v>
      </c>
      <c r="L220" s="5256" t="s">
        <v>4918</v>
      </c>
      <c r="M220" s="5179">
        <v>45301</v>
      </c>
      <c r="N220" s="5179">
        <v>45300</v>
      </c>
      <c r="O220" s="5179">
        <v>45301</v>
      </c>
      <c r="P220" s="4638" t="s">
        <v>4919</v>
      </c>
      <c r="Q220" s="4839" t="s">
        <v>50</v>
      </c>
      <c r="R220" s="4839" t="s">
        <v>36</v>
      </c>
      <c r="S220" s="4839"/>
      <c r="T220" s="4839">
        <v>2570</v>
      </c>
      <c r="U220" s="4839"/>
      <c r="V220" s="4839"/>
      <c r="W220" s="4839"/>
      <c r="X220" s="5221"/>
      <c r="Y220" s="4839"/>
      <c r="Z220" s="4839"/>
    </row>
    <row r="221" spans="1:26" s="106" customFormat="1" hidden="1">
      <c r="A221" s="3275" t="s">
        <v>26</v>
      </c>
      <c r="B221" s="739" t="s">
        <v>4920</v>
      </c>
      <c r="C221" s="3275" t="s">
        <v>200</v>
      </c>
      <c r="D221" s="3279">
        <v>45261</v>
      </c>
      <c r="E221" s="3383">
        <v>45295</v>
      </c>
      <c r="F221" s="3275" t="s">
        <v>245</v>
      </c>
      <c r="G221" s="3275" t="s">
        <v>57</v>
      </c>
      <c r="H221" s="3350">
        <v>45296</v>
      </c>
      <c r="I221" s="3370"/>
      <c r="J221" s="3275" t="s">
        <v>32</v>
      </c>
      <c r="K221" s="3275" t="s">
        <v>1582</v>
      </c>
      <c r="L221" s="3395" t="s">
        <v>4921</v>
      </c>
      <c r="M221" s="3350">
        <v>45296</v>
      </c>
      <c r="N221" s="3371">
        <v>45296</v>
      </c>
      <c r="O221" s="3371">
        <v>45296</v>
      </c>
      <c r="P221" s="4639" t="s">
        <v>4922</v>
      </c>
      <c r="Q221" s="4839" t="s">
        <v>35</v>
      </c>
      <c r="R221" s="4839" t="s">
        <v>36</v>
      </c>
      <c r="S221" s="4839" t="s">
        <v>37</v>
      </c>
      <c r="T221" s="4895">
        <v>660</v>
      </c>
      <c r="U221" s="4895">
        <v>530</v>
      </c>
      <c r="V221" s="4895"/>
      <c r="W221" s="4895"/>
      <c r="X221" s="4895"/>
      <c r="Y221" s="4895"/>
      <c r="Z221" s="4895"/>
    </row>
    <row r="222" spans="1:26" s="117" customFormat="1" hidden="1">
      <c r="A222" s="5217" t="s">
        <v>409</v>
      </c>
      <c r="B222" s="5266" t="s">
        <v>4923</v>
      </c>
      <c r="C222" s="4603" t="s">
        <v>28</v>
      </c>
      <c r="D222" s="5204">
        <v>45295</v>
      </c>
      <c r="E222" s="5203">
        <v>45302</v>
      </c>
      <c r="F222" s="4848" t="s">
        <v>86</v>
      </c>
      <c r="G222" s="4848" t="s">
        <v>46</v>
      </c>
      <c r="H222" s="4853"/>
      <c r="I222" s="4848"/>
      <c r="J222" s="4848" t="s">
        <v>32</v>
      </c>
      <c r="K222" s="4848" t="s">
        <v>310</v>
      </c>
      <c r="L222" s="5267" t="s">
        <v>4924</v>
      </c>
      <c r="M222" s="5204">
        <v>45302</v>
      </c>
      <c r="N222" s="5204">
        <v>45301</v>
      </c>
      <c r="O222" s="5204">
        <v>45304</v>
      </c>
      <c r="P222" s="3407" t="s">
        <v>4925</v>
      </c>
      <c r="Q222" s="3265" t="s">
        <v>50</v>
      </c>
      <c r="R222" s="3265" t="s">
        <v>4926</v>
      </c>
      <c r="S222" s="3265"/>
      <c r="T222" s="3265">
        <v>3100</v>
      </c>
      <c r="U222" s="3265"/>
      <c r="V222" s="3265"/>
      <c r="W222" s="3265"/>
      <c r="X222" s="3406"/>
      <c r="Y222" s="3265"/>
      <c r="Z222" s="3265"/>
    </row>
    <row r="223" spans="1:26" s="106" customFormat="1" ht="30" hidden="1">
      <c r="A223" s="4767" t="s">
        <v>409</v>
      </c>
      <c r="B223" s="4861" t="s">
        <v>4927</v>
      </c>
      <c r="C223" s="4599" t="s">
        <v>28</v>
      </c>
      <c r="D223" s="5179">
        <v>45288</v>
      </c>
      <c r="E223" s="5219">
        <v>45301</v>
      </c>
      <c r="F223" s="4839" t="s">
        <v>86</v>
      </c>
      <c r="G223" s="4839" t="s">
        <v>46</v>
      </c>
      <c r="H223" s="4859" t="s">
        <v>4928</v>
      </c>
      <c r="I223" s="4839"/>
      <c r="J223" s="4839" t="s">
        <v>32</v>
      </c>
      <c r="K223" s="4839" t="s">
        <v>310</v>
      </c>
      <c r="L223" s="5256" t="s">
        <v>4929</v>
      </c>
      <c r="M223" s="5179">
        <v>45303</v>
      </c>
      <c r="N223" s="5179">
        <v>45302</v>
      </c>
      <c r="O223" s="5179">
        <v>45305</v>
      </c>
      <c r="P223" s="3408" t="s">
        <v>4930</v>
      </c>
      <c r="Q223" s="3275" t="s">
        <v>50</v>
      </c>
      <c r="R223" s="4314" t="s">
        <v>4931</v>
      </c>
      <c r="S223" s="3275"/>
      <c r="T223" s="3275"/>
      <c r="U223" s="3275"/>
      <c r="V223" s="3275"/>
      <c r="W223" s="3275"/>
      <c r="X223" s="3409"/>
      <c r="Y223" s="3275"/>
      <c r="Z223" s="3275"/>
    </row>
    <row r="224" spans="1:26" s="709" customFormat="1" hidden="1">
      <c r="A224" s="4996" t="s">
        <v>42</v>
      </c>
      <c r="B224" s="2074" t="s">
        <v>4932</v>
      </c>
      <c r="C224" s="4996" t="s">
        <v>28</v>
      </c>
      <c r="D224" s="5185">
        <v>45276</v>
      </c>
      <c r="E224" s="5186">
        <v>45295</v>
      </c>
      <c r="F224" s="4996" t="s">
        <v>86</v>
      </c>
      <c r="G224" s="4996" t="s">
        <v>829</v>
      </c>
      <c r="H224" s="4996"/>
      <c r="I224" s="4996"/>
      <c r="J224" s="4996" t="s">
        <v>168</v>
      </c>
      <c r="K224" s="4996" t="s">
        <v>310</v>
      </c>
      <c r="L224" s="5268" t="s">
        <v>4933</v>
      </c>
      <c r="M224" s="5185">
        <v>45297</v>
      </c>
      <c r="N224" s="5185">
        <v>45296</v>
      </c>
      <c r="O224" s="5185">
        <v>45299</v>
      </c>
      <c r="P224" s="3410" t="s">
        <v>4934</v>
      </c>
      <c r="Q224" s="3384" t="s">
        <v>50</v>
      </c>
      <c r="R224" s="3384" t="s">
        <v>51</v>
      </c>
      <c r="S224" s="3384"/>
      <c r="T224" s="3384"/>
      <c r="U224" s="3384"/>
      <c r="V224" s="3384"/>
      <c r="W224" s="3384"/>
      <c r="X224" s="3384"/>
      <c r="Y224" s="3384"/>
      <c r="Z224" s="3384"/>
    </row>
    <row r="225" spans="1:26" s="117" customFormat="1" hidden="1">
      <c r="A225" s="4848" t="s">
        <v>3343</v>
      </c>
      <c r="B225" s="3268" t="s">
        <v>4935</v>
      </c>
      <c r="C225" s="4848" t="s">
        <v>28</v>
      </c>
      <c r="D225" s="5204">
        <v>45282</v>
      </c>
      <c r="E225" s="5203">
        <v>45297</v>
      </c>
      <c r="F225" s="5223" t="s">
        <v>45</v>
      </c>
      <c r="G225" s="4848" t="s">
        <v>46</v>
      </c>
      <c r="H225" s="4853"/>
      <c r="I225" s="4848"/>
      <c r="J225" s="4850" t="s">
        <v>168</v>
      </c>
      <c r="K225" s="4848" t="s">
        <v>310</v>
      </c>
      <c r="L225" s="5260" t="s">
        <v>4936</v>
      </c>
      <c r="M225" s="5204">
        <v>45295</v>
      </c>
      <c r="N225" s="5204">
        <v>45294</v>
      </c>
      <c r="O225" s="5204"/>
      <c r="P225" s="3407" t="s">
        <v>4937</v>
      </c>
      <c r="Q225" s="3265" t="s">
        <v>50</v>
      </c>
      <c r="R225" s="4183" t="s">
        <v>4938</v>
      </c>
      <c r="S225" s="3265">
        <v>4</v>
      </c>
      <c r="T225" s="3265">
        <v>2930</v>
      </c>
      <c r="U225" s="3265"/>
      <c r="V225" s="3265"/>
      <c r="W225" s="3265"/>
      <c r="X225" s="3406"/>
      <c r="Y225" s="3265"/>
      <c r="Z225" s="3265"/>
    </row>
    <row r="226" spans="1:26" s="117" customFormat="1" hidden="1">
      <c r="A226" s="5217" t="s">
        <v>409</v>
      </c>
      <c r="B226" s="4837" t="s">
        <v>4939</v>
      </c>
      <c r="C226" s="4603" t="s">
        <v>44</v>
      </c>
      <c r="D226" s="5204">
        <v>45240</v>
      </c>
      <c r="E226" s="5201">
        <v>45272</v>
      </c>
      <c r="F226" s="4848" t="s">
        <v>86</v>
      </c>
      <c r="G226" s="4848" t="s">
        <v>46</v>
      </c>
      <c r="H226" s="5200">
        <v>45304</v>
      </c>
      <c r="I226" s="4848"/>
      <c r="J226" s="25" t="s">
        <v>32</v>
      </c>
      <c r="K226" s="4848" t="s">
        <v>310</v>
      </c>
      <c r="L226" s="5269" t="s">
        <v>4940</v>
      </c>
      <c r="M226" s="5204">
        <v>45272</v>
      </c>
      <c r="N226" s="5204">
        <v>45280</v>
      </c>
      <c r="O226" s="5204">
        <v>45313</v>
      </c>
      <c r="P226" s="3411" t="s">
        <v>4941</v>
      </c>
      <c r="Q226" s="3265" t="s">
        <v>50</v>
      </c>
      <c r="R226" s="3265" t="s">
        <v>4942</v>
      </c>
      <c r="S226" s="3265">
        <v>4</v>
      </c>
      <c r="T226" s="3265">
        <v>142993</v>
      </c>
      <c r="U226" s="3265"/>
      <c r="V226" s="3265"/>
      <c r="W226" s="3265">
        <f>IFERROR((Table6[[#This Row],[Sales Amount]]-Table6[[#This Row],[Cost]])/Table6[[#This Row],[CNTR AMOUNT]],Table6[[#This Row],[Sales Amount]]-Table6[[#This Row],[Cost]])</f>
        <v>0</v>
      </c>
      <c r="X226" s="3265" t="str">
        <f>IFERROR(Table6[[#This Row],[Profit]]/Table6[[#This Row],[Cost]]," ")</f>
        <v xml:space="preserve"> </v>
      </c>
      <c r="Y226" s="3265"/>
      <c r="Z226" s="3265"/>
    </row>
    <row r="227" spans="1:26" s="117" customFormat="1" hidden="1">
      <c r="A227" s="5217" t="s">
        <v>409</v>
      </c>
      <c r="B227" s="4908" t="s">
        <v>4943</v>
      </c>
      <c r="C227" s="4607" t="s">
        <v>28</v>
      </c>
      <c r="D227" s="5204">
        <v>45282</v>
      </c>
      <c r="E227" s="5203">
        <v>45294</v>
      </c>
      <c r="F227" s="4848" t="s">
        <v>86</v>
      </c>
      <c r="G227" s="4848" t="s">
        <v>46</v>
      </c>
      <c r="H227" s="4853"/>
      <c r="I227" s="4848"/>
      <c r="J227" s="4848" t="s">
        <v>168</v>
      </c>
      <c r="K227" s="4848" t="s">
        <v>310</v>
      </c>
      <c r="L227" s="13" t="s">
        <v>4944</v>
      </c>
      <c r="M227" s="5204">
        <v>45297</v>
      </c>
      <c r="N227" s="5204">
        <v>45295</v>
      </c>
      <c r="O227" s="5204">
        <v>45299</v>
      </c>
      <c r="P227" s="4315" t="s">
        <v>4945</v>
      </c>
      <c r="Q227" s="3265" t="s">
        <v>50</v>
      </c>
      <c r="R227" s="4183" t="s">
        <v>4946</v>
      </c>
      <c r="S227" s="3265"/>
      <c r="T227" s="25"/>
      <c r="U227" s="3265"/>
      <c r="V227" s="3265"/>
      <c r="W227" s="3265"/>
      <c r="X227" s="3406"/>
      <c r="Y227" s="3265"/>
      <c r="Z227" s="3265"/>
    </row>
    <row r="228" spans="1:26" s="117" customFormat="1" hidden="1">
      <c r="A228" s="5217" t="s">
        <v>42</v>
      </c>
      <c r="B228" s="4908" t="s">
        <v>4947</v>
      </c>
      <c r="C228" s="4603" t="s">
        <v>28</v>
      </c>
      <c r="D228" s="5204">
        <v>45274</v>
      </c>
      <c r="E228" s="5201">
        <v>45294</v>
      </c>
      <c r="F228" s="4848" t="s">
        <v>86</v>
      </c>
      <c r="G228" s="4848" t="s">
        <v>46</v>
      </c>
      <c r="H228" s="4848"/>
      <c r="I228" s="4848"/>
      <c r="J228" s="4848" t="s">
        <v>32</v>
      </c>
      <c r="K228" s="4848" t="s">
        <v>310</v>
      </c>
      <c r="L228" s="104" t="s">
        <v>4948</v>
      </c>
      <c r="M228" s="5204">
        <v>45296</v>
      </c>
      <c r="N228" s="5204">
        <v>45295</v>
      </c>
      <c r="O228" s="5204">
        <v>45299</v>
      </c>
      <c r="P228" s="3407" t="s">
        <v>4949</v>
      </c>
      <c r="Q228" s="3265" t="s">
        <v>50</v>
      </c>
      <c r="R228" s="3265" t="s">
        <v>4950</v>
      </c>
      <c r="S228" s="3265"/>
      <c r="T228" s="3265">
        <v>3495</v>
      </c>
      <c r="U228" s="3265"/>
      <c r="V228" s="3265"/>
      <c r="W228" s="3265"/>
      <c r="X228" s="3265"/>
      <c r="Y228" s="3265"/>
      <c r="Z228" s="3265"/>
    </row>
    <row r="229" spans="1:26" s="117" customFormat="1" hidden="1">
      <c r="A229" s="25" t="s">
        <v>4951</v>
      </c>
      <c r="B229" s="117" t="s">
        <v>4952</v>
      </c>
      <c r="C229" s="25" t="s">
        <v>28</v>
      </c>
      <c r="D229" s="2527">
        <v>45288</v>
      </c>
      <c r="E229" s="2541">
        <v>45301</v>
      </c>
      <c r="F229" s="25" t="s">
        <v>86</v>
      </c>
      <c r="G229" s="25" t="s">
        <v>46</v>
      </c>
      <c r="H229" s="25"/>
      <c r="I229" s="25"/>
      <c r="J229" s="4154" t="s">
        <v>32</v>
      </c>
      <c r="K229" s="25" t="s">
        <v>310</v>
      </c>
      <c r="L229" s="2242" t="s">
        <v>4953</v>
      </c>
      <c r="M229" s="2527">
        <v>45303</v>
      </c>
      <c r="N229" s="2527">
        <v>45302</v>
      </c>
      <c r="O229" s="2527">
        <v>45304</v>
      </c>
      <c r="P229" s="2207" t="s">
        <v>4954</v>
      </c>
      <c r="Q229" s="25" t="s">
        <v>50</v>
      </c>
      <c r="R229" s="3" t="s">
        <v>4955</v>
      </c>
      <c r="S229" s="25">
        <v>4</v>
      </c>
      <c r="T229" s="25"/>
      <c r="U229" s="25"/>
      <c r="V229" s="25"/>
      <c r="W229" s="25"/>
      <c r="X229" s="2208"/>
      <c r="Y229" s="25"/>
      <c r="Z229" s="25"/>
    </row>
    <row r="230" spans="1:26" s="117" customFormat="1" hidden="1">
      <c r="A230" s="1443" t="s">
        <v>4951</v>
      </c>
      <c r="B230" s="857" t="s">
        <v>4956</v>
      </c>
      <c r="C230" s="1443" t="s">
        <v>28</v>
      </c>
      <c r="D230" s="2550">
        <v>45288</v>
      </c>
      <c r="E230" s="2551">
        <v>45301</v>
      </c>
      <c r="F230" s="1443" t="s">
        <v>86</v>
      </c>
      <c r="G230" s="4300" t="s">
        <v>46</v>
      </c>
      <c r="H230" s="1443"/>
      <c r="I230" s="1443"/>
      <c r="J230" s="1443" t="s">
        <v>32</v>
      </c>
      <c r="K230" s="1443" t="s">
        <v>310</v>
      </c>
      <c r="L230" s="2243" t="s">
        <v>4957</v>
      </c>
      <c r="M230" s="2550">
        <v>45303</v>
      </c>
      <c r="N230" s="2550">
        <v>45302</v>
      </c>
      <c r="O230" s="2550">
        <v>45304</v>
      </c>
      <c r="P230" s="5194" t="s">
        <v>4958</v>
      </c>
      <c r="Q230" s="4848" t="s">
        <v>50</v>
      </c>
      <c r="R230" t="s">
        <v>4959</v>
      </c>
      <c r="S230" s="4848"/>
      <c r="T230" s="4848"/>
      <c r="U230" s="4848"/>
      <c r="V230" s="4848"/>
      <c r="W230" s="25"/>
      <c r="X230" s="25"/>
      <c r="Y230" s="4848"/>
      <c r="Z230" s="4848"/>
    </row>
    <row r="231" spans="1:26" hidden="1">
      <c r="A231" s="5270" t="s">
        <v>409</v>
      </c>
      <c r="B231" s="4971" t="s">
        <v>4960</v>
      </c>
      <c r="C231" s="4591" t="s">
        <v>28</v>
      </c>
      <c r="D231" s="5271">
        <v>45288</v>
      </c>
      <c r="E231" s="5271">
        <f>7+D231</f>
        <v>45295</v>
      </c>
      <c r="F231" s="4895" t="s">
        <v>86</v>
      </c>
      <c r="G231" s="4895" t="s">
        <v>46</v>
      </c>
      <c r="H231" s="5169" t="s">
        <v>4961</v>
      </c>
      <c r="I231" s="4895"/>
      <c r="J231" s="5272" t="s">
        <v>532</v>
      </c>
      <c r="K231" s="4842" t="s">
        <v>407</v>
      </c>
      <c r="L231" s="5273"/>
      <c r="M231" s="5169"/>
      <c r="N231" s="5169"/>
      <c r="O231" s="5169"/>
      <c r="P231" s="3240" t="s">
        <v>4962</v>
      </c>
      <c r="Q231" s="3241" t="s">
        <v>4963</v>
      </c>
      <c r="R231" s="3241"/>
      <c r="S231" s="3241"/>
      <c r="T231" s="3241"/>
      <c r="U231" s="3241"/>
      <c r="V231" s="3241"/>
      <c r="W231" s="3241"/>
      <c r="X231" s="3398"/>
      <c r="Y231" s="3241"/>
      <c r="Z231" s="3241"/>
    </row>
    <row r="232" spans="1:26" s="709" customFormat="1" hidden="1">
      <c r="A232" s="4839" t="s">
        <v>61</v>
      </c>
      <c r="B232" s="1145" t="s">
        <v>4964</v>
      </c>
      <c r="C232" s="4839" t="s">
        <v>28</v>
      </c>
      <c r="D232" s="4957">
        <v>45283</v>
      </c>
      <c r="E232" s="5071">
        <v>45302</v>
      </c>
      <c r="F232" s="4839" t="s">
        <v>245</v>
      </c>
      <c r="G232" s="4839" t="s">
        <v>57</v>
      </c>
      <c r="H232" s="4990">
        <v>45309</v>
      </c>
      <c r="I232" s="4841" t="s">
        <v>261</v>
      </c>
      <c r="J232" s="4839" t="s">
        <v>32</v>
      </c>
      <c r="K232" s="4839" t="s">
        <v>65</v>
      </c>
      <c r="L232" s="4841">
        <v>140863</v>
      </c>
      <c r="M232" s="4990">
        <v>45304</v>
      </c>
      <c r="N232" s="4990">
        <v>45304</v>
      </c>
      <c r="O232" s="4957">
        <v>45310</v>
      </c>
      <c r="P232" s="3412" t="s">
        <v>4965</v>
      </c>
      <c r="Q232" s="3275" t="s">
        <v>35</v>
      </c>
      <c r="R232" s="3275" t="s">
        <v>36</v>
      </c>
      <c r="S232" s="3275" t="s">
        <v>67</v>
      </c>
      <c r="T232" s="3241">
        <v>1650</v>
      </c>
      <c r="U232" s="3241">
        <v>1640</v>
      </c>
      <c r="V232" s="3241"/>
      <c r="W232" s="3241"/>
      <c r="X232" s="3241"/>
      <c r="Y232" s="3241"/>
      <c r="Z232" s="3241"/>
    </row>
    <row r="233" spans="1:26" s="117" customFormat="1" hidden="1">
      <c r="A233" s="4848" t="s">
        <v>4951</v>
      </c>
      <c r="B233" s="3268" t="s">
        <v>4966</v>
      </c>
      <c r="C233" s="4848" t="s">
        <v>28</v>
      </c>
      <c r="D233" s="5204">
        <v>45288</v>
      </c>
      <c r="E233" s="5203">
        <v>45302</v>
      </c>
      <c r="F233" s="4848" t="s">
        <v>86</v>
      </c>
      <c r="G233" s="4848" t="s">
        <v>46</v>
      </c>
      <c r="H233" s="4848"/>
      <c r="I233" s="4848"/>
      <c r="J233" s="4850" t="s">
        <v>32</v>
      </c>
      <c r="K233" s="4848" t="s">
        <v>310</v>
      </c>
      <c r="L233" s="5261" t="s">
        <v>4967</v>
      </c>
      <c r="M233" s="5204">
        <v>45305</v>
      </c>
      <c r="N233" s="5204">
        <v>45304</v>
      </c>
      <c r="O233" s="5204">
        <v>45307</v>
      </c>
      <c r="P233" s="4640" t="s">
        <v>4968</v>
      </c>
      <c r="Q233" s="4848" t="s">
        <v>50</v>
      </c>
      <c r="R233" t="s">
        <v>4969</v>
      </c>
      <c r="S233" s="4848"/>
      <c r="T233" s="4848"/>
      <c r="U233" s="4848"/>
      <c r="V233" s="4848"/>
      <c r="W233" s="4848"/>
      <c r="X233" s="4848"/>
      <c r="Y233" s="4848"/>
      <c r="Z233" s="4848"/>
    </row>
    <row r="234" spans="1:26" s="117" customFormat="1" hidden="1">
      <c r="A234" s="5217" t="s">
        <v>409</v>
      </c>
      <c r="B234" s="5266" t="s">
        <v>4970</v>
      </c>
      <c r="C234" s="4603" t="s">
        <v>44</v>
      </c>
      <c r="D234" s="5204">
        <v>45293</v>
      </c>
      <c r="E234" s="5203">
        <v>45301</v>
      </c>
      <c r="F234" s="4848" t="s">
        <v>56</v>
      </c>
      <c r="G234" s="4848" t="s">
        <v>46</v>
      </c>
      <c r="H234" s="4853"/>
      <c r="I234" s="4848"/>
      <c r="J234" s="4850" t="s">
        <v>168</v>
      </c>
      <c r="K234" s="4848" t="s">
        <v>310</v>
      </c>
      <c r="L234" s="5261" t="s">
        <v>4971</v>
      </c>
      <c r="M234" s="5204">
        <v>45304</v>
      </c>
      <c r="N234" s="5204">
        <v>45304</v>
      </c>
      <c r="O234" s="5204">
        <v>45306</v>
      </c>
      <c r="P234" s="4640" t="s">
        <v>4972</v>
      </c>
      <c r="Q234" s="4848" t="s">
        <v>50</v>
      </c>
      <c r="R234" s="4850" t="s">
        <v>4973</v>
      </c>
      <c r="S234" s="4848">
        <v>4</v>
      </c>
      <c r="T234" s="5274">
        <v>4407.97</v>
      </c>
      <c r="U234" s="4848"/>
      <c r="V234" s="4848"/>
      <c r="W234" s="4848"/>
      <c r="X234" s="5250"/>
      <c r="Y234" s="4848"/>
      <c r="Z234" s="4848"/>
    </row>
    <row r="235" spans="1:26" s="106" customFormat="1" hidden="1">
      <c r="A235" s="3275" t="s">
        <v>622</v>
      </c>
      <c r="B235" s="739" t="s">
        <v>4974</v>
      </c>
      <c r="C235" s="3275" t="s">
        <v>28</v>
      </c>
      <c r="D235" s="3279">
        <v>44930</v>
      </c>
      <c r="E235" s="3383">
        <v>45303</v>
      </c>
      <c r="F235" s="3275" t="s">
        <v>245</v>
      </c>
      <c r="G235" s="3275" t="s">
        <v>57</v>
      </c>
      <c r="H235" s="3279">
        <v>45309</v>
      </c>
      <c r="I235" s="3275"/>
      <c r="J235" s="3275" t="s">
        <v>32</v>
      </c>
      <c r="K235" s="3275" t="s">
        <v>1445</v>
      </c>
      <c r="L235" s="3281">
        <v>136988</v>
      </c>
      <c r="M235" s="3350">
        <v>45306</v>
      </c>
      <c r="N235" s="3371">
        <v>45306</v>
      </c>
      <c r="O235" s="3279">
        <v>45310</v>
      </c>
      <c r="P235" s="3412" t="s">
        <v>4975</v>
      </c>
      <c r="Q235" s="3275" t="s">
        <v>35</v>
      </c>
      <c r="R235" s="3275" t="s">
        <v>36</v>
      </c>
      <c r="S235" s="3275" t="s">
        <v>67</v>
      </c>
      <c r="T235" s="3241">
        <v>770</v>
      </c>
      <c r="U235" s="3241">
        <v>670</v>
      </c>
      <c r="V235" s="3241"/>
      <c r="W235" s="3241"/>
      <c r="X235" s="3241"/>
      <c r="Y235" s="3241"/>
      <c r="Z235" s="3241"/>
    </row>
    <row r="236" spans="1:26" s="106" customFormat="1" hidden="1">
      <c r="A236" s="18" t="s">
        <v>622</v>
      </c>
      <c r="B236" s="18" t="s">
        <v>4976</v>
      </c>
      <c r="C236" s="18" t="s">
        <v>28</v>
      </c>
      <c r="D236" s="1865">
        <v>44930</v>
      </c>
      <c r="E236" s="2123">
        <v>45303</v>
      </c>
      <c r="F236" s="18" t="s">
        <v>245</v>
      </c>
      <c r="G236" s="18" t="s">
        <v>57</v>
      </c>
      <c r="H236" s="982">
        <v>45313</v>
      </c>
      <c r="I236" s="18"/>
      <c r="J236" s="18" t="s">
        <v>32</v>
      </c>
      <c r="K236" s="18" t="s">
        <v>1445</v>
      </c>
      <c r="L236" s="2089" t="s">
        <v>4977</v>
      </c>
      <c r="M236" s="1771">
        <v>45306</v>
      </c>
      <c r="N236" s="982">
        <v>45307</v>
      </c>
      <c r="O236" s="982">
        <v>45315</v>
      </c>
      <c r="P236" s="724" t="s">
        <v>4978</v>
      </c>
      <c r="Q236" s="18" t="s">
        <v>35</v>
      </c>
      <c r="R236" s="18" t="s">
        <v>36</v>
      </c>
      <c r="S236" s="18" t="s">
        <v>67</v>
      </c>
      <c r="T236" s="84">
        <v>650</v>
      </c>
      <c r="U236" s="84">
        <v>550</v>
      </c>
      <c r="V236" s="84"/>
      <c r="W236" s="84"/>
      <c r="X236" s="84"/>
      <c r="Y236" s="84"/>
      <c r="Z236" s="84"/>
    </row>
    <row r="237" spans="1:26" s="117" customFormat="1" hidden="1">
      <c r="A237" s="2230" t="s">
        <v>409</v>
      </c>
      <c r="B237" s="2231" t="s">
        <v>4979</v>
      </c>
      <c r="C237" s="1377" t="s">
        <v>28</v>
      </c>
      <c r="D237" s="2550">
        <v>45288</v>
      </c>
      <c r="E237" s="2551">
        <v>45303</v>
      </c>
      <c r="F237" s="1443" t="s">
        <v>86</v>
      </c>
      <c r="G237" s="1443" t="s">
        <v>46</v>
      </c>
      <c r="H237" s="2232"/>
      <c r="I237" s="1443"/>
      <c r="J237" s="1443" t="s">
        <v>32</v>
      </c>
      <c r="K237" s="1443" t="s">
        <v>310</v>
      </c>
      <c r="L237" s="2233" t="s">
        <v>4980</v>
      </c>
      <c r="M237" s="2550">
        <v>45305</v>
      </c>
      <c r="N237" s="2550">
        <v>45304</v>
      </c>
      <c r="O237" s="2550">
        <v>45307</v>
      </c>
      <c r="P237" s="4316" t="s">
        <v>4981</v>
      </c>
      <c r="Q237" s="1443" t="s">
        <v>50</v>
      </c>
      <c r="R237" s="4300" t="s">
        <v>4982</v>
      </c>
      <c r="S237" s="1443">
        <v>4</v>
      </c>
      <c r="T237" s="1443">
        <v>3845</v>
      </c>
      <c r="U237" s="1443"/>
      <c r="V237" s="1443"/>
      <c r="W237" s="1443"/>
      <c r="X237" s="2234"/>
      <c r="Y237" s="1443"/>
      <c r="Z237" s="1443"/>
    </row>
    <row r="238" spans="1:26" s="106" customFormat="1" hidden="1">
      <c r="A238" s="18" t="s">
        <v>710</v>
      </c>
      <c r="B238" s="1062" t="s">
        <v>4983</v>
      </c>
      <c r="C238" s="18" t="s">
        <v>28</v>
      </c>
      <c r="D238" s="982">
        <v>45296</v>
      </c>
      <c r="E238" s="1822">
        <v>45304</v>
      </c>
      <c r="F238" s="18" t="s">
        <v>245</v>
      </c>
      <c r="G238" s="18" t="s">
        <v>4757</v>
      </c>
      <c r="H238" s="1771">
        <v>45315</v>
      </c>
      <c r="I238" s="1116" t="s">
        <v>115</v>
      </c>
      <c r="J238" s="18" t="s">
        <v>297</v>
      </c>
      <c r="K238" s="18" t="s">
        <v>4984</v>
      </c>
      <c r="L238" s="1116">
        <v>68781740</v>
      </c>
      <c r="M238" s="1771">
        <v>45315</v>
      </c>
      <c r="N238" s="1771">
        <v>45314</v>
      </c>
      <c r="O238" s="982">
        <v>45316</v>
      </c>
      <c r="P238" s="1871" t="s">
        <v>4985</v>
      </c>
      <c r="Q238" s="18" t="s">
        <v>35</v>
      </c>
      <c r="R238" s="18" t="s">
        <v>36</v>
      </c>
      <c r="S238" s="18" t="s">
        <v>3398</v>
      </c>
      <c r="T238" s="84">
        <v>1675</v>
      </c>
      <c r="U238" s="84">
        <v>1024.4000000000001</v>
      </c>
      <c r="V238" s="84"/>
      <c r="W238" s="84"/>
      <c r="X238" s="84"/>
      <c r="Y238" s="84"/>
      <c r="Z238" s="84"/>
    </row>
    <row r="239" spans="1:26" s="117" customFormat="1" hidden="1">
      <c r="A239" s="112" t="s">
        <v>409</v>
      </c>
      <c r="B239" s="857" t="s">
        <v>4986</v>
      </c>
      <c r="C239" s="2237" t="s">
        <v>28</v>
      </c>
      <c r="D239" s="2552">
        <v>45289</v>
      </c>
      <c r="E239" s="2553">
        <v>45304</v>
      </c>
      <c r="F239" s="2238" t="s">
        <v>3636</v>
      </c>
      <c r="G239" s="2238" t="s">
        <v>2206</v>
      </c>
      <c r="H239" s="2239"/>
      <c r="I239" s="2238"/>
      <c r="J239" s="4317" t="s">
        <v>32</v>
      </c>
      <c r="K239" s="2238" t="s">
        <v>310</v>
      </c>
      <c r="L239" s="104">
        <v>5336704</v>
      </c>
      <c r="M239" s="2552">
        <v>45306</v>
      </c>
      <c r="N239" s="2550">
        <v>45306</v>
      </c>
      <c r="O239" s="2550">
        <v>45307</v>
      </c>
      <c r="P239" s="2240" t="s">
        <v>4987</v>
      </c>
      <c r="Q239" s="2238" t="s">
        <v>50</v>
      </c>
      <c r="R239" s="3" t="s">
        <v>4988</v>
      </c>
      <c r="S239" s="2238">
        <v>4</v>
      </c>
      <c r="T239" s="2238"/>
      <c r="U239" s="2238"/>
      <c r="V239" s="2238"/>
      <c r="W239" s="2238"/>
      <c r="X239" s="2241"/>
      <c r="Y239" s="2238"/>
      <c r="Z239" s="2238"/>
    </row>
    <row r="240" spans="1:26" s="106" customFormat="1" hidden="1">
      <c r="A240" s="18" t="s">
        <v>2787</v>
      </c>
      <c r="B240" s="18" t="s">
        <v>4989</v>
      </c>
      <c r="C240" s="18" t="s">
        <v>4990</v>
      </c>
      <c r="D240" s="1865">
        <v>44931</v>
      </c>
      <c r="E240" s="2123">
        <v>45307</v>
      </c>
      <c r="F240" s="18" t="s">
        <v>245</v>
      </c>
      <c r="G240" s="18" t="s">
        <v>57</v>
      </c>
      <c r="H240" s="1771">
        <v>45313</v>
      </c>
      <c r="I240" s="2000"/>
      <c r="J240" s="18" t="s">
        <v>247</v>
      </c>
      <c r="K240" s="18" t="s">
        <v>2789</v>
      </c>
      <c r="L240" s="2090" t="s">
        <v>4991</v>
      </c>
      <c r="M240" s="1130">
        <v>45310</v>
      </c>
      <c r="N240" s="1184">
        <v>45310</v>
      </c>
      <c r="O240" s="661">
        <v>45314</v>
      </c>
      <c r="P240" s="724" t="s">
        <v>4992</v>
      </c>
      <c r="Q240" s="18" t="s">
        <v>35</v>
      </c>
      <c r="R240" s="18" t="s">
        <v>36</v>
      </c>
      <c r="S240" s="18" t="s">
        <v>37</v>
      </c>
      <c r="T240" s="84">
        <v>900</v>
      </c>
      <c r="U240" s="84">
        <v>555.9</v>
      </c>
      <c r="V240" s="84"/>
      <c r="W240" s="84"/>
      <c r="X240" s="1813"/>
      <c r="Y240" s="84"/>
      <c r="Z240" s="84"/>
    </row>
    <row r="241" spans="1:26" s="117" customFormat="1" hidden="1">
      <c r="A241" s="2218" t="s">
        <v>732</v>
      </c>
      <c r="B241" s="182" t="s">
        <v>4993</v>
      </c>
      <c r="C241" s="2218" t="s">
        <v>44</v>
      </c>
      <c r="D241" s="2534">
        <v>45285</v>
      </c>
      <c r="E241" s="2554">
        <v>45309</v>
      </c>
      <c r="F241" s="2218" t="s">
        <v>56</v>
      </c>
      <c r="G241" s="2218" t="s">
        <v>46</v>
      </c>
      <c r="H241" s="2219"/>
      <c r="I241" s="2218"/>
      <c r="J241" s="2218" t="s">
        <v>32</v>
      </c>
      <c r="K241" s="2297" t="s">
        <v>310</v>
      </c>
      <c r="L241" s="5267" t="s">
        <v>4994</v>
      </c>
      <c r="M241" s="2565">
        <v>45311</v>
      </c>
      <c r="N241" s="2534">
        <v>45311</v>
      </c>
      <c r="O241" s="2534">
        <v>45313</v>
      </c>
      <c r="P241" s="2298" t="s">
        <v>4995</v>
      </c>
      <c r="Q241" s="2218" t="s">
        <v>50</v>
      </c>
      <c r="R241" s="4318" t="s">
        <v>4996</v>
      </c>
      <c r="S241" s="2218"/>
      <c r="T241" s="2218"/>
      <c r="U241" s="2218"/>
      <c r="V241" s="2218"/>
      <c r="W241" s="2218"/>
      <c r="X241" s="2299"/>
      <c r="Y241" s="2218"/>
      <c r="Z241" s="2218"/>
    </row>
    <row r="242" spans="1:26" s="117" customFormat="1" hidden="1">
      <c r="A242" s="31" t="s">
        <v>4321</v>
      </c>
      <c r="B242" s="4163" t="s">
        <v>4997</v>
      </c>
      <c r="C242" s="31" t="s">
        <v>44</v>
      </c>
      <c r="D242" s="2555">
        <v>45293</v>
      </c>
      <c r="E242" s="2556">
        <v>45310</v>
      </c>
      <c r="F242" s="4153" t="s">
        <v>93</v>
      </c>
      <c r="G242" s="31" t="s">
        <v>46</v>
      </c>
      <c r="H242" s="66"/>
      <c r="I242" s="31"/>
      <c r="J242" s="31" t="s">
        <v>32</v>
      </c>
      <c r="K242" s="31" t="s">
        <v>310</v>
      </c>
      <c r="L242" s="2242" t="s">
        <v>4998</v>
      </c>
      <c r="M242" s="2555">
        <v>45312</v>
      </c>
      <c r="N242" s="2555">
        <v>45311</v>
      </c>
      <c r="O242" s="2555">
        <v>45313</v>
      </c>
      <c r="P242" s="2302" t="s">
        <v>4999</v>
      </c>
      <c r="Q242" s="31" t="s">
        <v>50</v>
      </c>
      <c r="R242" s="4153" t="s">
        <v>5000</v>
      </c>
      <c r="S242" s="31"/>
      <c r="T242" s="31"/>
      <c r="U242" s="31"/>
      <c r="V242" s="31"/>
      <c r="W242" s="31"/>
      <c r="X242" s="2303"/>
      <c r="Y242" s="31"/>
      <c r="Z242" s="31"/>
    </row>
    <row r="243" spans="1:26" s="106" customFormat="1" hidden="1">
      <c r="A243" s="18" t="s">
        <v>61</v>
      </c>
      <c r="B243" s="18" t="s">
        <v>5001</v>
      </c>
      <c r="C243" s="18" t="s">
        <v>28</v>
      </c>
      <c r="D243" s="982">
        <v>45301</v>
      </c>
      <c r="E243" s="1822">
        <v>45312</v>
      </c>
      <c r="F243" s="18" t="s">
        <v>29</v>
      </c>
      <c r="G243" s="18" t="s">
        <v>5002</v>
      </c>
      <c r="H243" s="1771">
        <v>45322</v>
      </c>
      <c r="I243" s="1116" t="s">
        <v>261</v>
      </c>
      <c r="J243" s="18" t="s">
        <v>32</v>
      </c>
      <c r="K243" s="18" t="s">
        <v>65</v>
      </c>
      <c r="L243" s="2089" t="s">
        <v>5003</v>
      </c>
      <c r="M243" s="1771">
        <v>45324</v>
      </c>
      <c r="N243" s="1770">
        <v>45322</v>
      </c>
      <c r="O243" s="1770" t="s">
        <v>5004</v>
      </c>
      <c r="P243" s="1871" t="s">
        <v>5005</v>
      </c>
      <c r="Q243" s="18" t="s">
        <v>35</v>
      </c>
      <c r="R243" s="18" t="s">
        <v>36</v>
      </c>
      <c r="S243" s="18" t="s">
        <v>67</v>
      </c>
      <c r="T243" s="84">
        <v>1945</v>
      </c>
      <c r="U243" s="84">
        <v>1435</v>
      </c>
      <c r="V243" s="84"/>
      <c r="W243" s="84"/>
      <c r="X243" s="84"/>
      <c r="Y243" s="84"/>
      <c r="Z243" s="84"/>
    </row>
    <row r="244" spans="1:26" s="106" customFormat="1" hidden="1">
      <c r="A244" s="18" t="s">
        <v>622</v>
      </c>
      <c r="B244" s="18" t="s">
        <v>5006</v>
      </c>
      <c r="C244" s="18" t="s">
        <v>28</v>
      </c>
      <c r="D244" s="982">
        <v>45310</v>
      </c>
      <c r="E244" s="1822">
        <v>45331</v>
      </c>
      <c r="F244" s="18" t="s">
        <v>167</v>
      </c>
      <c r="G244" s="1116" t="s">
        <v>46</v>
      </c>
      <c r="H244" s="1770">
        <v>45335</v>
      </c>
      <c r="I244" s="2000"/>
      <c r="J244" s="18" t="s">
        <v>32</v>
      </c>
      <c r="K244" s="18" t="s">
        <v>1445</v>
      </c>
      <c r="L244" s="2089" t="s">
        <v>5007</v>
      </c>
      <c r="M244" s="1771">
        <v>45334</v>
      </c>
      <c r="N244" s="1771">
        <v>45334</v>
      </c>
      <c r="O244" s="982">
        <v>45335</v>
      </c>
      <c r="P244" s="1871" t="s">
        <v>5008</v>
      </c>
      <c r="Q244" s="18" t="s">
        <v>35</v>
      </c>
      <c r="R244" s="18" t="s">
        <v>36</v>
      </c>
      <c r="S244" s="18" t="s">
        <v>67</v>
      </c>
      <c r="T244" s="84">
        <v>650</v>
      </c>
      <c r="U244" s="84">
        <v>550</v>
      </c>
      <c r="V244" s="84"/>
      <c r="W244" s="84"/>
      <c r="X244" s="84"/>
      <c r="Y244" s="84"/>
      <c r="Z244" s="84"/>
    </row>
    <row r="245" spans="1:26" s="106" customFormat="1" hidden="1">
      <c r="A245" s="18" t="s">
        <v>61</v>
      </c>
      <c r="B245" s="18" t="s">
        <v>5009</v>
      </c>
      <c r="C245" s="18" t="s">
        <v>28</v>
      </c>
      <c r="D245" s="982">
        <v>45298</v>
      </c>
      <c r="E245" s="1822">
        <v>45314</v>
      </c>
      <c r="F245" s="18" t="s">
        <v>63</v>
      </c>
      <c r="G245" s="18" t="s">
        <v>152</v>
      </c>
      <c r="H245" s="1771">
        <v>45317</v>
      </c>
      <c r="I245" s="1116" t="s">
        <v>108</v>
      </c>
      <c r="J245" s="18" t="s">
        <v>32</v>
      </c>
      <c r="K245" s="18" t="s">
        <v>65</v>
      </c>
      <c r="L245" s="1116">
        <v>6624</v>
      </c>
      <c r="M245" s="1771">
        <v>45316</v>
      </c>
      <c r="N245" s="1771">
        <v>45316</v>
      </c>
      <c r="O245" s="982">
        <v>45317</v>
      </c>
      <c r="P245" s="2229" t="s">
        <v>5010</v>
      </c>
      <c r="Q245" s="18" t="s">
        <v>35</v>
      </c>
      <c r="R245" s="18" t="s">
        <v>36</v>
      </c>
      <c r="S245" s="18" t="s">
        <v>67</v>
      </c>
      <c r="T245" s="84">
        <v>1900</v>
      </c>
      <c r="U245" s="84">
        <v>1535</v>
      </c>
      <c r="V245" s="84"/>
      <c r="W245" s="84"/>
      <c r="X245" s="84"/>
      <c r="Y245" s="84"/>
      <c r="Z245" s="84"/>
    </row>
    <row r="246" spans="1:26" s="106" customFormat="1" ht="30" hidden="1">
      <c r="A246" s="18" t="s">
        <v>1945</v>
      </c>
      <c r="B246" s="18" t="s">
        <v>5011</v>
      </c>
      <c r="C246" s="18" t="s">
        <v>28</v>
      </c>
      <c r="D246" s="982">
        <v>45284</v>
      </c>
      <c r="E246" s="1822">
        <v>45315</v>
      </c>
      <c r="F246" s="18" t="s">
        <v>45</v>
      </c>
      <c r="G246" s="18" t="s">
        <v>46</v>
      </c>
      <c r="H246" s="1771">
        <v>45314</v>
      </c>
      <c r="I246" s="2000"/>
      <c r="J246" s="18" t="s">
        <v>221</v>
      </c>
      <c r="K246" s="18" t="s">
        <v>5012</v>
      </c>
      <c r="L246" s="1116">
        <v>304037</v>
      </c>
      <c r="M246" s="1771">
        <v>45315</v>
      </c>
      <c r="N246" s="1771">
        <v>45314</v>
      </c>
      <c r="O246" s="1771">
        <v>45316</v>
      </c>
      <c r="P246" s="1871" t="s">
        <v>5013</v>
      </c>
      <c r="Q246" s="18" t="s">
        <v>35</v>
      </c>
      <c r="R246" s="18" t="s">
        <v>36</v>
      </c>
      <c r="S246" s="18" t="s">
        <v>67</v>
      </c>
      <c r="T246" s="84">
        <v>920</v>
      </c>
      <c r="U246" s="84">
        <v>655</v>
      </c>
      <c r="V246" s="84"/>
      <c r="W246" s="84"/>
      <c r="X246" s="84"/>
      <c r="Y246" s="84"/>
      <c r="Z246" s="84"/>
    </row>
    <row r="247" spans="1:26" s="106" customFormat="1" hidden="1">
      <c r="A247" s="18" t="s">
        <v>61</v>
      </c>
      <c r="B247" s="18" t="s">
        <v>5014</v>
      </c>
      <c r="C247" s="18" t="s">
        <v>28</v>
      </c>
      <c r="D247" s="982">
        <v>45313</v>
      </c>
      <c r="E247" s="1822">
        <v>45326</v>
      </c>
      <c r="F247" s="18" t="s">
        <v>29</v>
      </c>
      <c r="G247" s="18" t="s">
        <v>152</v>
      </c>
      <c r="H247" s="1771">
        <v>45328</v>
      </c>
      <c r="I247" s="1116" t="s">
        <v>261</v>
      </c>
      <c r="J247" s="18" t="s">
        <v>32</v>
      </c>
      <c r="K247" s="18" t="s">
        <v>65</v>
      </c>
      <c r="L247" s="1116">
        <v>2647</v>
      </c>
      <c r="M247" s="1771">
        <v>45327</v>
      </c>
      <c r="N247" s="1770">
        <v>45327</v>
      </c>
      <c r="O247" s="982">
        <v>45329</v>
      </c>
      <c r="P247" s="1871" t="s">
        <v>5015</v>
      </c>
      <c r="Q247" s="18" t="s">
        <v>35</v>
      </c>
      <c r="R247" s="18" t="s">
        <v>36</v>
      </c>
      <c r="S247" s="18" t="s">
        <v>67</v>
      </c>
      <c r="T247" s="84">
        <v>2410</v>
      </c>
      <c r="U247" s="84">
        <v>2110</v>
      </c>
      <c r="V247" s="84"/>
      <c r="W247" s="84"/>
      <c r="X247" s="84"/>
      <c r="Y247" s="84"/>
      <c r="Z247" s="84"/>
    </row>
    <row r="248" spans="1:26" s="117" customFormat="1" hidden="1">
      <c r="A248" s="25" t="s">
        <v>409</v>
      </c>
      <c r="B248" s="663" t="s">
        <v>5016</v>
      </c>
      <c r="C248" s="25" t="s">
        <v>28</v>
      </c>
      <c r="D248" s="2527">
        <v>45289</v>
      </c>
      <c r="E248" s="2541">
        <v>45319</v>
      </c>
      <c r="F248" s="25" t="s">
        <v>3636</v>
      </c>
      <c r="G248" s="25" t="s">
        <v>2206</v>
      </c>
      <c r="H248" s="353"/>
      <c r="I248" s="25"/>
      <c r="J248" s="4154" t="s">
        <v>32</v>
      </c>
      <c r="K248" s="25" t="s">
        <v>310</v>
      </c>
      <c r="L248" s="2242" t="s">
        <v>5017</v>
      </c>
      <c r="M248" s="2527">
        <v>45321</v>
      </c>
      <c r="N248" s="2527">
        <v>45320</v>
      </c>
      <c r="O248" s="2527">
        <v>45321</v>
      </c>
      <c r="P248" s="806" t="s">
        <v>5018</v>
      </c>
      <c r="Q248" s="25" t="s">
        <v>50</v>
      </c>
      <c r="R248" s="4154" t="s">
        <v>5019</v>
      </c>
      <c r="S248" s="25"/>
      <c r="T248" s="25"/>
      <c r="U248" s="25"/>
      <c r="V248" s="25"/>
      <c r="W248" s="25"/>
      <c r="X248" s="2208"/>
      <c r="Y248" s="25"/>
      <c r="Z248" s="25"/>
    </row>
    <row r="249" spans="1:26" customFormat="1"/>
    <row r="250" spans="1:26" customFormat="1"/>
    <row r="251" spans="1:26" customFormat="1">
      <c r="J251" s="52"/>
      <c r="K251" s="826"/>
      <c r="L251" s="2152"/>
      <c r="M251" s="2376"/>
      <c r="N251" s="2376"/>
      <c r="O251" s="2376"/>
      <c r="P251" s="826"/>
      <c r="Q251" s="52"/>
      <c r="R251" s="52"/>
      <c r="S251" s="52"/>
      <c r="T251" s="52"/>
      <c r="U251" s="52"/>
    </row>
    <row r="252" spans="1:26" customFormat="1"/>
    <row r="253" spans="1:26" customFormat="1"/>
    <row r="254" spans="1:26" customFormat="1"/>
    <row r="255" spans="1:26" customFormat="1"/>
    <row r="256" spans="1:26" customFormat="1"/>
    <row r="257" spans="4:45" customFormat="1"/>
    <row r="258" spans="4:45" customFormat="1"/>
    <row r="259" spans="4:45" customFormat="1"/>
    <row r="260" spans="4:45" customFormat="1"/>
    <row r="261" spans="4:45" customFormat="1"/>
    <row r="262" spans="4:45" customFormat="1"/>
    <row r="263" spans="4:45" customFormat="1"/>
    <row r="264" spans="4:45" customFormat="1"/>
    <row r="265" spans="4:45">
      <c r="H265" s="52"/>
      <c r="K265" s="52"/>
      <c r="L265" s="52"/>
      <c r="P265" s="52"/>
    </row>
    <row r="266" spans="4:45">
      <c r="H266" s="52"/>
      <c r="K266" s="52"/>
      <c r="L266" s="52"/>
      <c r="P266" s="52"/>
    </row>
    <row r="267" spans="4:45">
      <c r="H267" s="52"/>
      <c r="K267" s="52"/>
      <c r="L267" s="52"/>
      <c r="AA267" s="826"/>
    </row>
    <row r="268" spans="4:45">
      <c r="H268" s="52"/>
      <c r="K268" s="52"/>
      <c r="L268" s="52"/>
      <c r="P268" s="52"/>
      <c r="AA268" s="826"/>
    </row>
    <row r="269" spans="4:45">
      <c r="H269" s="52"/>
    </row>
    <row r="270" spans="4:45">
      <c r="H270" s="1207"/>
      <c r="I270" s="1207"/>
      <c r="J270" s="1207"/>
      <c r="AS270" s="2075"/>
    </row>
    <row r="271" spans="4:45">
      <c r="H271" s="1207"/>
      <c r="I271" s="1207"/>
      <c r="J271" s="1207"/>
      <c r="S271" s="826"/>
      <c r="AS271" s="2075"/>
    </row>
    <row r="272" spans="4:45">
      <c r="D272" s="2557"/>
      <c r="H272" s="1207"/>
      <c r="I272" s="1207"/>
    </row>
    <row r="273" spans="1:32">
      <c r="P273" s="1207"/>
      <c r="Q273" s="1207"/>
      <c r="R273" s="1207"/>
      <c r="S273" s="1207"/>
      <c r="T273" s="1207"/>
    </row>
    <row r="274" spans="1:32">
      <c r="A274" s="826"/>
    </row>
    <row r="275" spans="1:32">
      <c r="N275" s="2376" t="s">
        <v>847</v>
      </c>
    </row>
    <row r="280" spans="1:32">
      <c r="AF280" s="826"/>
    </row>
  </sheetData>
  <phoneticPr fontId="27" type="noConversion"/>
  <conditionalFormatting sqref="B1">
    <cfRule type="duplicateValues" dxfId="340" priority="1"/>
  </conditionalFormatting>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00E68-A4EC-43E4-ACD7-05D17A16E121}">
  <dimension ref="A1:AQ277"/>
  <sheetViews>
    <sheetView zoomScaleNormal="100" workbookViewId="0">
      <pane xSplit="7" ySplit="1" topLeftCell="N2" activePane="bottomRight" state="frozen"/>
      <selection pane="bottomRight" activeCell="B1" sqref="B1:B1048576"/>
      <selection pane="bottomLeft" activeCell="H283" sqref="H283"/>
      <selection pane="topRight" activeCell="H1" sqref="H1"/>
    </sheetView>
  </sheetViews>
  <sheetFormatPr defaultColWidth="9" defaultRowHeight="15"/>
  <cols>
    <col min="1" max="1" width="23.875" style="106" customWidth="1"/>
    <col min="2" max="2" width="21.125" style="106" customWidth="1"/>
    <col min="3" max="3" width="8.875" style="106"/>
    <col min="4" max="4" width="10.875" style="144" bestFit="1" customWidth="1"/>
    <col min="5" max="5" width="9.125" style="126"/>
    <col min="6" max="6" width="15.125" style="106" customWidth="1"/>
    <col min="7" max="7" width="22.125" style="147" customWidth="1"/>
    <col min="8" max="8" width="24.25" style="761" customWidth="1"/>
    <col min="9" max="9" width="23.25" style="952" customWidth="1"/>
    <col min="10" max="10" width="21.25" style="147" customWidth="1"/>
    <col min="11" max="11" width="28.25" style="147" bestFit="1" customWidth="1"/>
    <col min="12" max="12" width="18.25" style="106" customWidth="1"/>
    <col min="13" max="13" width="19.25" style="761" customWidth="1"/>
    <col min="14" max="14" width="20.125" style="144" customWidth="1"/>
    <col min="15" max="15" width="16.25" style="144" customWidth="1"/>
    <col min="16" max="16" width="56.25" style="106" customWidth="1"/>
    <col min="17" max="17" width="9.125" style="106"/>
    <col min="18" max="18" width="26.25" style="106" customWidth="1"/>
    <col min="19" max="19" width="15.25" style="106" customWidth="1"/>
    <col min="20" max="20" width="14" style="106" bestFit="1" customWidth="1"/>
    <col min="21" max="21" width="9.875" style="106" bestFit="1" customWidth="1"/>
    <col min="22" max="22" width="15.25" style="106" bestFit="1" customWidth="1"/>
    <col min="23" max="23" width="9.125" style="106"/>
    <col min="24" max="24" width="12.125" style="876" bestFit="1" customWidth="1"/>
    <col min="25" max="25" width="9.125" style="106"/>
    <col min="26" max="26" width="10.875" style="106" bestFit="1" customWidth="1"/>
    <col min="27" max="28" width="9.125" customWidth="1"/>
    <col min="44" max="16384" width="9" style="106"/>
  </cols>
  <sheetData>
    <row r="1" spans="1:43" s="7" customFormat="1">
      <c r="A1" s="2285" t="s">
        <v>0</v>
      </c>
      <c r="B1" s="2286" t="s">
        <v>1</v>
      </c>
      <c r="C1" s="2286" t="s">
        <v>2</v>
      </c>
      <c r="D1" s="2286" t="s">
        <v>3</v>
      </c>
      <c r="E1" s="2287" t="s">
        <v>4</v>
      </c>
      <c r="F1" s="2286" t="s">
        <v>5</v>
      </c>
      <c r="G1" s="1540" t="s">
        <v>6</v>
      </c>
      <c r="H1" s="1540" t="s">
        <v>7</v>
      </c>
      <c r="I1" s="2288" t="s">
        <v>8</v>
      </c>
      <c r="J1" s="5275" t="s">
        <v>9</v>
      </c>
      <c r="K1" s="1542" t="s">
        <v>10</v>
      </c>
      <c r="L1" s="2289" t="s">
        <v>11</v>
      </c>
      <c r="M1" s="1541" t="s">
        <v>12</v>
      </c>
      <c r="N1" s="2286" t="s">
        <v>13</v>
      </c>
      <c r="O1" s="2286" t="s">
        <v>14</v>
      </c>
      <c r="P1" s="2290" t="s">
        <v>15</v>
      </c>
      <c r="Q1" s="1544" t="s">
        <v>16</v>
      </c>
      <c r="R1" s="2291" t="s">
        <v>17</v>
      </c>
      <c r="S1" s="1032" t="s">
        <v>18</v>
      </c>
      <c r="T1" s="1033" t="s">
        <v>19</v>
      </c>
      <c r="U1" s="1032" t="s">
        <v>20</v>
      </c>
      <c r="V1" s="1032" t="s">
        <v>21</v>
      </c>
      <c r="W1" s="1032" t="s">
        <v>22</v>
      </c>
      <c r="X1" s="2292" t="s">
        <v>23</v>
      </c>
      <c r="Y1" s="2292" t="s">
        <v>24</v>
      </c>
      <c r="Z1" s="2293" t="s">
        <v>25</v>
      </c>
      <c r="AA1"/>
      <c r="AB1"/>
      <c r="AC1"/>
      <c r="AD1"/>
      <c r="AE1"/>
      <c r="AF1"/>
      <c r="AG1"/>
      <c r="AH1"/>
      <c r="AI1"/>
      <c r="AJ1"/>
      <c r="AK1"/>
      <c r="AL1"/>
      <c r="AM1"/>
      <c r="AN1"/>
      <c r="AO1"/>
      <c r="AP1"/>
      <c r="AQ1"/>
    </row>
    <row r="2" spans="1:43" s="52" customFormat="1" ht="16.5" hidden="1" customHeight="1">
      <c r="A2" s="4599" t="s">
        <v>254</v>
      </c>
      <c r="B2" s="4839" t="s">
        <v>5020</v>
      </c>
      <c r="C2" s="4839" t="s">
        <v>200</v>
      </c>
      <c r="D2" s="4859">
        <v>45313</v>
      </c>
      <c r="E2" s="4867">
        <v>45322</v>
      </c>
      <c r="F2" s="4839" t="s">
        <v>173</v>
      </c>
      <c r="G2" s="4839" t="s">
        <v>720</v>
      </c>
      <c r="H2" s="5102" t="s">
        <v>5021</v>
      </c>
      <c r="I2" s="5101" t="s">
        <v>5022</v>
      </c>
      <c r="J2" s="4839" t="s">
        <v>154</v>
      </c>
      <c r="K2" s="4839" t="s">
        <v>5023</v>
      </c>
      <c r="L2" s="1114">
        <v>34682172</v>
      </c>
      <c r="M2" s="1119">
        <v>45324</v>
      </c>
      <c r="N2" s="4859">
        <v>45323</v>
      </c>
      <c r="O2" s="4859">
        <v>45329</v>
      </c>
      <c r="P2" s="5118" t="s">
        <v>5024</v>
      </c>
      <c r="Q2" s="4839" t="s">
        <v>35</v>
      </c>
      <c r="R2" s="1432" t="s">
        <v>36</v>
      </c>
      <c r="S2" s="18" t="s">
        <v>37</v>
      </c>
      <c r="T2" s="681">
        <v>2090</v>
      </c>
      <c r="U2" s="681">
        <v>1480</v>
      </c>
      <c r="V2" s="681"/>
      <c r="W2" s="681">
        <f>表12[[#This Row],[Sales Amount]]-表12[[#This Row],[Cost]]</f>
        <v>610</v>
      </c>
      <c r="X2" s="681" t="str">
        <f>IFERROR(Table6[[#This Row],[Profit]]/Table6[[#This Row],[Cost]]," ")</f>
        <v xml:space="preserve"> </v>
      </c>
      <c r="Y2" s="681"/>
      <c r="Z2" s="2138"/>
      <c r="AA2"/>
      <c r="AB2"/>
      <c r="AC2"/>
      <c r="AD2"/>
      <c r="AE2"/>
      <c r="AF2"/>
      <c r="AG2"/>
      <c r="AH2"/>
      <c r="AI2"/>
      <c r="AJ2"/>
      <c r="AK2"/>
      <c r="AL2"/>
      <c r="AM2"/>
      <c r="AN2"/>
      <c r="AO2"/>
      <c r="AP2"/>
      <c r="AQ2"/>
    </row>
    <row r="3" spans="1:43" s="52" customFormat="1" hidden="1">
      <c r="A3" s="4599" t="s">
        <v>254</v>
      </c>
      <c r="B3" s="3357" t="s">
        <v>5025</v>
      </c>
      <c r="C3" s="4839" t="s">
        <v>200</v>
      </c>
      <c r="D3" s="4859">
        <v>45327</v>
      </c>
      <c r="E3" s="4867">
        <v>45331</v>
      </c>
      <c r="F3" s="4839" t="s">
        <v>245</v>
      </c>
      <c r="G3" s="4839" t="s">
        <v>152</v>
      </c>
      <c r="H3" s="5102">
        <v>45335</v>
      </c>
      <c r="I3" s="5276"/>
      <c r="J3" s="4839" t="s">
        <v>154</v>
      </c>
      <c r="K3" s="4839" t="s">
        <v>5023</v>
      </c>
      <c r="L3" s="915">
        <v>6392</v>
      </c>
      <c r="M3" s="1115">
        <v>45334</v>
      </c>
      <c r="N3" s="1119">
        <v>45334</v>
      </c>
      <c r="O3" s="4859">
        <v>45335</v>
      </c>
      <c r="P3" s="5277" t="s">
        <v>5026</v>
      </c>
      <c r="Q3" s="4839" t="s">
        <v>35</v>
      </c>
      <c r="R3" s="2093" t="s">
        <v>36</v>
      </c>
      <c r="S3" s="710" t="s">
        <v>37</v>
      </c>
      <c r="T3" s="705">
        <v>1065</v>
      </c>
      <c r="U3" s="705">
        <v>715</v>
      </c>
      <c r="V3" s="705"/>
      <c r="W3" s="705">
        <f>表12[[#This Row],[Sales Amount]]-表12[[#This Row],[Cost]]</f>
        <v>350</v>
      </c>
      <c r="X3" s="705" t="str">
        <f>IFERROR(Table6[[#This Row],[Profit]]/Table6[[#This Row],[Cost]]," ")</f>
        <v xml:space="preserve"> </v>
      </c>
      <c r="Y3" s="705"/>
      <c r="Z3" s="704"/>
      <c r="AA3"/>
      <c r="AB3"/>
      <c r="AC3"/>
      <c r="AD3"/>
      <c r="AE3"/>
      <c r="AF3"/>
      <c r="AG3"/>
      <c r="AH3"/>
      <c r="AI3"/>
      <c r="AJ3"/>
      <c r="AK3"/>
      <c r="AL3"/>
      <c r="AM3"/>
      <c r="AN3"/>
      <c r="AO3"/>
      <c r="AP3"/>
      <c r="AQ3"/>
    </row>
    <row r="4" spans="1:43" s="52" customFormat="1" ht="30" hidden="1">
      <c r="A4" s="3413" t="s">
        <v>263</v>
      </c>
      <c r="B4" s="3357" t="s">
        <v>5027</v>
      </c>
      <c r="C4" s="5278" t="s">
        <v>44</v>
      </c>
      <c r="D4" s="3396">
        <v>45295</v>
      </c>
      <c r="E4" s="4855">
        <v>45295</v>
      </c>
      <c r="F4" s="3357" t="s">
        <v>135</v>
      </c>
      <c r="G4" s="3357" t="s">
        <v>265</v>
      </c>
      <c r="H4" s="3304">
        <v>45300</v>
      </c>
      <c r="I4" s="3414">
        <v>0.5</v>
      </c>
      <c r="J4" s="4841" t="s">
        <v>377</v>
      </c>
      <c r="K4" s="3357" t="s">
        <v>4409</v>
      </c>
      <c r="L4" s="3357"/>
      <c r="M4" s="3396">
        <v>45301</v>
      </c>
      <c r="N4" s="3396">
        <v>45300</v>
      </c>
      <c r="O4" s="3396" t="s">
        <v>5028</v>
      </c>
      <c r="P4" s="3415" t="s">
        <v>5029</v>
      </c>
      <c r="Q4" s="3357" t="s">
        <v>128</v>
      </c>
      <c r="R4" s="2112" t="s">
        <v>36</v>
      </c>
      <c r="S4" s="1117"/>
      <c r="T4" s="2141">
        <v>1546.41</v>
      </c>
      <c r="U4" s="2141">
        <f>120+80.16+90+977.5</f>
        <v>1267.6599999999999</v>
      </c>
      <c r="V4" s="2141"/>
      <c r="W4" s="2141">
        <f>表12[[#This Row],[Sales Amount]]-表12[[#This Row],[Cost]]</f>
        <v>278.75000000000023</v>
      </c>
      <c r="X4" s="2142">
        <f>IFERROR(Table6[[#This Row],[Profit]]/Table6[[#This Row],[Cost]]," ")</f>
        <v>0.19801980198019803</v>
      </c>
      <c r="Y4" s="2141"/>
      <c r="Z4" s="2143"/>
      <c r="AA4"/>
      <c r="AB4"/>
      <c r="AC4"/>
      <c r="AD4"/>
      <c r="AE4"/>
      <c r="AF4"/>
      <c r="AG4"/>
      <c r="AH4"/>
      <c r="AI4"/>
      <c r="AJ4"/>
      <c r="AK4"/>
      <c r="AL4"/>
      <c r="AM4"/>
      <c r="AN4"/>
      <c r="AO4"/>
      <c r="AP4"/>
      <c r="AQ4"/>
    </row>
    <row r="5" spans="1:43" ht="105">
      <c r="A5" s="4319" t="s">
        <v>409</v>
      </c>
      <c r="B5" s="4242" t="s">
        <v>5030</v>
      </c>
      <c r="C5" s="4242" t="s">
        <v>28</v>
      </c>
      <c r="D5" s="3262">
        <v>45280</v>
      </c>
      <c r="E5" s="4907">
        <v>45293</v>
      </c>
      <c r="F5" s="4242" t="s">
        <v>45</v>
      </c>
      <c r="G5" s="4246" t="s">
        <v>801</v>
      </c>
      <c r="H5" s="3292">
        <v>45296</v>
      </c>
      <c r="I5" s="3416" t="s">
        <v>5031</v>
      </c>
      <c r="J5" s="4242" t="s">
        <v>32</v>
      </c>
      <c r="K5" s="4246" t="s">
        <v>5032</v>
      </c>
      <c r="L5" s="890" t="s">
        <v>5033</v>
      </c>
      <c r="M5" s="825">
        <v>45295</v>
      </c>
      <c r="N5" s="4918">
        <v>45295</v>
      </c>
      <c r="O5" s="3262">
        <v>45300</v>
      </c>
      <c r="P5" s="4246" t="s">
        <v>5034</v>
      </c>
      <c r="Q5" s="3268" t="s">
        <v>75</v>
      </c>
      <c r="R5" s="2125" t="s">
        <v>5035</v>
      </c>
      <c r="S5" s="660">
        <v>4</v>
      </c>
      <c r="T5" s="2126">
        <v>1250</v>
      </c>
      <c r="U5" s="1447">
        <v>955</v>
      </c>
      <c r="V5" s="660">
        <v>1</v>
      </c>
      <c r="W5" s="660">
        <f>表12[[#This Row],[Sales Amount]]-表12[[#This Row],[Cost]]</f>
        <v>295</v>
      </c>
      <c r="X5" s="885">
        <f>IFERROR(Table6[[#This Row],[Profit]]/Table6[[#This Row],[Cost]]," ")</f>
        <v>0.19801980198019803</v>
      </c>
      <c r="Y5" s="660"/>
      <c r="Z5" s="113"/>
    </row>
    <row r="6" spans="1:43" ht="45">
      <c r="A6" s="3417" t="s">
        <v>468</v>
      </c>
      <c r="B6" s="4150" t="s">
        <v>5036</v>
      </c>
      <c r="C6" s="3268" t="s">
        <v>28</v>
      </c>
      <c r="D6" s="3262">
        <v>45275</v>
      </c>
      <c r="E6" s="3365">
        <v>45293</v>
      </c>
      <c r="F6" s="3268" t="s">
        <v>151</v>
      </c>
      <c r="G6" s="4246" t="s">
        <v>4274</v>
      </c>
      <c r="H6" s="3292">
        <v>45296</v>
      </c>
      <c r="I6" s="3268" t="s">
        <v>5037</v>
      </c>
      <c r="J6" s="4150" t="s">
        <v>673</v>
      </c>
      <c r="K6" s="4266" t="s">
        <v>5038</v>
      </c>
      <c r="L6" s="4320" t="s">
        <v>5039</v>
      </c>
      <c r="M6" s="3418">
        <v>45295</v>
      </c>
      <c r="N6" s="3418">
        <v>45295</v>
      </c>
      <c r="O6" s="3262">
        <v>45296</v>
      </c>
      <c r="P6" s="4246" t="s">
        <v>5040</v>
      </c>
      <c r="Q6" s="3268" t="s">
        <v>75</v>
      </c>
      <c r="R6" s="2127" t="s">
        <v>5041</v>
      </c>
      <c r="S6" s="660">
        <v>4</v>
      </c>
      <c r="T6" s="660">
        <v>1855</v>
      </c>
      <c r="U6" s="1447">
        <v>1301.5</v>
      </c>
      <c r="V6" s="660">
        <v>1</v>
      </c>
      <c r="W6" s="660">
        <f>表12[[#This Row],[Sales Amount]]-表12[[#This Row],[Cost]]</f>
        <v>553.5</v>
      </c>
      <c r="X6" s="885">
        <f>IFERROR(Table6[[#This Row],[Profit]]/Table6[[#This Row],[Cost]]," ")</f>
        <v>0.77692307692307694</v>
      </c>
      <c r="Y6" s="660"/>
      <c r="Z6" s="113"/>
    </row>
    <row r="7" spans="1:43" s="36" customFormat="1" ht="30" hidden="1">
      <c r="A7" s="3417" t="s">
        <v>409</v>
      </c>
      <c r="B7" s="3419" t="s">
        <v>5042</v>
      </c>
      <c r="C7" s="3265" t="s">
        <v>28</v>
      </c>
      <c r="D7" s="3373">
        <v>45282</v>
      </c>
      <c r="E7" s="3365">
        <v>45293</v>
      </c>
      <c r="F7" s="4154" t="s">
        <v>45</v>
      </c>
      <c r="G7" s="4261" t="s">
        <v>302</v>
      </c>
      <c r="H7" s="3318"/>
      <c r="I7" s="4183"/>
      <c r="J7" s="3265" t="s">
        <v>32</v>
      </c>
      <c r="K7" s="4261" t="s">
        <v>310</v>
      </c>
      <c r="L7" s="3420" t="s">
        <v>5043</v>
      </c>
      <c r="M7" s="3290">
        <v>45295</v>
      </c>
      <c r="N7" s="3365">
        <v>45294</v>
      </c>
      <c r="O7" s="3373">
        <v>45298</v>
      </c>
      <c r="P7" s="4321" t="s">
        <v>5044</v>
      </c>
      <c r="Q7" s="3421" t="s">
        <v>89</v>
      </c>
      <c r="R7" s="2216" t="s">
        <v>5045</v>
      </c>
      <c r="S7" s="31">
        <v>4</v>
      </c>
      <c r="T7" s="660">
        <v>3140</v>
      </c>
      <c r="U7" s="660"/>
      <c r="V7" s="660"/>
      <c r="W7" s="712">
        <f>表12[[#This Row],[Sales Amount]]-表12[[#This Row],[Cost]]</f>
        <v>3140</v>
      </c>
      <c r="X7" s="2217">
        <f>IFERROR(Table6[[#This Row],[Profit]]/Table6[[#This Row],[Cost]]," ")</f>
        <v>0.12901155327342748</v>
      </c>
      <c r="Y7" s="660"/>
      <c r="Z7" s="113"/>
      <c r="AA7"/>
      <c r="AB7"/>
      <c r="AC7"/>
      <c r="AD7"/>
      <c r="AE7"/>
      <c r="AF7"/>
      <c r="AG7"/>
      <c r="AH7"/>
      <c r="AI7"/>
      <c r="AJ7"/>
      <c r="AK7"/>
      <c r="AL7"/>
      <c r="AM7"/>
      <c r="AN7"/>
      <c r="AO7"/>
      <c r="AP7"/>
      <c r="AQ7"/>
    </row>
    <row r="8" spans="1:43" s="36" customFormat="1" ht="45" hidden="1">
      <c r="A8" s="4184" t="s">
        <v>4815</v>
      </c>
      <c r="B8" s="4183" t="s">
        <v>5046</v>
      </c>
      <c r="C8" s="4183" t="s">
        <v>28</v>
      </c>
      <c r="D8" s="3373">
        <v>45282</v>
      </c>
      <c r="E8" s="3365">
        <v>45293</v>
      </c>
      <c r="F8" s="4183" t="s">
        <v>45</v>
      </c>
      <c r="G8" s="4261" t="s">
        <v>302</v>
      </c>
      <c r="H8" s="3422" t="s">
        <v>5047</v>
      </c>
      <c r="I8" s="3265"/>
      <c r="J8" s="4183" t="s">
        <v>32</v>
      </c>
      <c r="K8" s="4261" t="s">
        <v>310</v>
      </c>
      <c r="L8" s="3420" t="s">
        <v>5048</v>
      </c>
      <c r="M8" s="3290">
        <v>45295</v>
      </c>
      <c r="N8" s="3373">
        <v>45294</v>
      </c>
      <c r="O8" s="3373">
        <v>45298</v>
      </c>
      <c r="P8" s="4321" t="s">
        <v>5049</v>
      </c>
      <c r="Q8" s="4307" t="s">
        <v>89</v>
      </c>
      <c r="R8" s="2216" t="s">
        <v>5050</v>
      </c>
      <c r="S8" s="31">
        <v>4</v>
      </c>
      <c r="T8" s="660">
        <v>2330</v>
      </c>
      <c r="U8" s="660"/>
      <c r="V8" s="660"/>
      <c r="W8" s="712">
        <f>表12[[#This Row],[Sales Amount]]-表12[[#This Row],[Cost]]</f>
        <v>2330</v>
      </c>
      <c r="X8" s="2217">
        <f>IFERROR(Table6[[#This Row],[Profit]]/Table6[[#This Row],[Cost]]," ")</f>
        <v>0.12901155327342748</v>
      </c>
      <c r="Y8" s="660"/>
      <c r="Z8" s="113"/>
      <c r="AA8"/>
      <c r="AB8"/>
      <c r="AC8"/>
      <c r="AD8"/>
      <c r="AE8"/>
      <c r="AF8"/>
      <c r="AG8"/>
      <c r="AH8"/>
      <c r="AI8"/>
      <c r="AJ8"/>
      <c r="AK8"/>
      <c r="AL8"/>
      <c r="AM8"/>
      <c r="AN8"/>
      <c r="AO8"/>
      <c r="AP8"/>
      <c r="AQ8"/>
    </row>
    <row r="9" spans="1:43" s="52" customFormat="1" hidden="1">
      <c r="A9" s="3417" t="s">
        <v>409</v>
      </c>
      <c r="B9" s="3384" t="s">
        <v>5051</v>
      </c>
      <c r="C9" s="3384" t="s">
        <v>28</v>
      </c>
      <c r="D9" s="3423">
        <v>45282</v>
      </c>
      <c r="E9" s="3424">
        <v>45293</v>
      </c>
      <c r="F9" s="3384" t="s">
        <v>3636</v>
      </c>
      <c r="G9" s="3384" t="s">
        <v>2206</v>
      </c>
      <c r="H9" s="3359"/>
      <c r="I9" s="3384"/>
      <c r="J9" s="4996" t="s">
        <v>32</v>
      </c>
      <c r="K9" s="3384" t="s">
        <v>310</v>
      </c>
      <c r="L9" s="3404">
        <v>4900099</v>
      </c>
      <c r="M9" s="3423">
        <v>45295</v>
      </c>
      <c r="N9" s="3423">
        <v>45293</v>
      </c>
      <c r="O9" s="3423">
        <v>45295</v>
      </c>
      <c r="P9" s="3425" t="s">
        <v>5052</v>
      </c>
      <c r="Q9" s="3384" t="s">
        <v>50</v>
      </c>
      <c r="R9" s="2101" t="s">
        <v>51</v>
      </c>
      <c r="S9" s="1462"/>
      <c r="T9" s="1462"/>
      <c r="U9" s="1462"/>
      <c r="V9" s="1462"/>
      <c r="W9" s="1462">
        <f>表12[[#This Row],[Sales Amount]]-表12[[#This Row],[Cost]]</f>
        <v>0</v>
      </c>
      <c r="X9" s="2102">
        <f>IFERROR(Table6[[#This Row],[Profit]]/Table6[[#This Row],[Cost]]," ")</f>
        <v>0.21212121212121213</v>
      </c>
      <c r="Y9" s="1462"/>
      <c r="Z9" s="2103"/>
      <c r="AA9"/>
      <c r="AB9"/>
      <c r="AC9"/>
      <c r="AD9"/>
      <c r="AE9"/>
      <c r="AF9"/>
      <c r="AG9"/>
      <c r="AH9"/>
      <c r="AI9"/>
      <c r="AJ9"/>
      <c r="AK9"/>
      <c r="AL9"/>
      <c r="AM9"/>
      <c r="AN9"/>
      <c r="AO9"/>
      <c r="AP9"/>
      <c r="AQ9"/>
    </row>
    <row r="10" spans="1:43" ht="60">
      <c r="A10" s="3417" t="s">
        <v>409</v>
      </c>
      <c r="B10" s="4242" t="s">
        <v>5053</v>
      </c>
      <c r="C10" s="4242" t="s">
        <v>28</v>
      </c>
      <c r="D10" s="3262">
        <v>45274</v>
      </c>
      <c r="E10" s="3365">
        <v>45294</v>
      </c>
      <c r="F10" s="4242" t="s">
        <v>45</v>
      </c>
      <c r="G10" s="4246" t="s">
        <v>302</v>
      </c>
      <c r="H10" s="3418" t="s">
        <v>5054</v>
      </c>
      <c r="I10" s="4246" t="s">
        <v>5055</v>
      </c>
      <c r="J10" s="4845" t="s">
        <v>32</v>
      </c>
      <c r="K10" s="4909" t="s">
        <v>407</v>
      </c>
      <c r="L10" s="3426" t="s">
        <v>5056</v>
      </c>
      <c r="M10" s="3427">
        <v>45296</v>
      </c>
      <c r="N10" s="3292">
        <v>45296</v>
      </c>
      <c r="O10" s="3262">
        <v>45300</v>
      </c>
      <c r="P10" s="4246" t="s">
        <v>5057</v>
      </c>
      <c r="Q10" s="4845" t="s">
        <v>75</v>
      </c>
      <c r="R10" s="4938" t="s">
        <v>5058</v>
      </c>
      <c r="S10" s="4845">
        <v>4</v>
      </c>
      <c r="T10" s="660">
        <v>2402.5</v>
      </c>
      <c r="U10" s="1447">
        <v>1755</v>
      </c>
      <c r="V10" s="660">
        <v>1</v>
      </c>
      <c r="W10" s="660">
        <f>表12[[#This Row],[Sales Amount]]-表12[[#This Row],[Cost]]</f>
        <v>647.5</v>
      </c>
      <c r="X10" s="885">
        <f>IFERROR(Table6[[#This Row],[Profit]]/Table6[[#This Row],[Cost]]," ")</f>
        <v>0.22807017543859648</v>
      </c>
      <c r="Y10" s="660"/>
      <c r="Z10" s="113"/>
    </row>
    <row r="11" spans="1:43" s="36" customFormat="1" ht="15.75" hidden="1">
      <c r="A11" s="4848" t="s">
        <v>3343</v>
      </c>
      <c r="B11" s="3419" t="s">
        <v>5059</v>
      </c>
      <c r="C11" s="3265" t="s">
        <v>28</v>
      </c>
      <c r="D11" s="3373">
        <v>45287</v>
      </c>
      <c r="E11" s="3365">
        <v>45294</v>
      </c>
      <c r="F11" s="3265" t="s">
        <v>1017</v>
      </c>
      <c r="G11" s="3265" t="s">
        <v>46</v>
      </c>
      <c r="H11" s="3290"/>
      <c r="I11" s="3265"/>
      <c r="J11" s="4848" t="s">
        <v>32</v>
      </c>
      <c r="K11" s="4848" t="s">
        <v>310</v>
      </c>
      <c r="L11" s="3428" t="s">
        <v>5060</v>
      </c>
      <c r="M11" s="3373">
        <v>45297</v>
      </c>
      <c r="N11" s="3373">
        <v>45296</v>
      </c>
      <c r="O11" s="3373">
        <v>45299</v>
      </c>
      <c r="P11" s="3317" t="s">
        <v>5061</v>
      </c>
      <c r="Q11" s="4848" t="s">
        <v>50</v>
      </c>
      <c r="R11" s="4979" t="s">
        <v>5062</v>
      </c>
      <c r="S11" s="4848">
        <v>4</v>
      </c>
      <c r="T11" s="712"/>
      <c r="U11" s="712"/>
      <c r="V11" s="712"/>
      <c r="W11" s="712">
        <f>表12[[#This Row],[Sales Amount]]-表12[[#This Row],[Cost]]</f>
        <v>0</v>
      </c>
      <c r="X11" s="712">
        <f>IFERROR(Table6[[#This Row],[Profit]]/Table6[[#This Row],[Cost]]," ")</f>
        <v>0.10995370370370371</v>
      </c>
      <c r="Y11" s="712"/>
      <c r="Z11" s="2210"/>
      <c r="AA11"/>
      <c r="AB11"/>
      <c r="AC11"/>
      <c r="AD11"/>
      <c r="AE11"/>
      <c r="AF11"/>
      <c r="AG11"/>
      <c r="AH11"/>
      <c r="AI11"/>
      <c r="AJ11"/>
      <c r="AK11"/>
      <c r="AL11"/>
      <c r="AM11"/>
      <c r="AN11"/>
      <c r="AO11"/>
      <c r="AP11"/>
      <c r="AQ11"/>
    </row>
    <row r="12" spans="1:43" s="52" customFormat="1" hidden="1">
      <c r="A12" s="4839" t="s">
        <v>681</v>
      </c>
      <c r="B12" s="3357" t="s">
        <v>5063</v>
      </c>
      <c r="C12" s="3275" t="s">
        <v>28</v>
      </c>
      <c r="D12" s="3280">
        <v>44928</v>
      </c>
      <c r="E12" s="3346">
        <v>45295</v>
      </c>
      <c r="F12" s="3275" t="s">
        <v>151</v>
      </c>
      <c r="G12" s="3275" t="s">
        <v>46</v>
      </c>
      <c r="H12" s="3304">
        <v>45296</v>
      </c>
      <c r="I12" s="3357" t="s">
        <v>5064</v>
      </c>
      <c r="J12" s="4839" t="s">
        <v>1353</v>
      </c>
      <c r="K12" s="4839" t="s">
        <v>4806</v>
      </c>
      <c r="L12" s="2117" t="s">
        <v>5065</v>
      </c>
      <c r="M12" s="3396">
        <v>45297</v>
      </c>
      <c r="N12" s="3280">
        <v>45296</v>
      </c>
      <c r="O12" s="3280">
        <v>45296</v>
      </c>
      <c r="P12" s="3429" t="s">
        <v>5066</v>
      </c>
      <c r="Q12" s="4839" t="s">
        <v>35</v>
      </c>
      <c r="R12" s="4839" t="s">
        <v>36</v>
      </c>
      <c r="S12" s="4839" t="s">
        <v>37</v>
      </c>
      <c r="T12" s="705">
        <v>1020</v>
      </c>
      <c r="U12" s="705">
        <v>848</v>
      </c>
      <c r="V12" s="705"/>
      <c r="W12" s="705">
        <f>表12[[#This Row],[Sales Amount]]-表12[[#This Row],[Cost]]</f>
        <v>172</v>
      </c>
      <c r="X12" s="705">
        <f>IFERROR(Table6[[#This Row],[Profit]]/Table6[[#This Row],[Cost]]," ")</f>
        <v>0.11415696582801352</v>
      </c>
      <c r="Y12" s="705"/>
      <c r="Z12" s="704"/>
      <c r="AA12"/>
      <c r="AB12"/>
      <c r="AC12"/>
      <c r="AD12"/>
      <c r="AE12"/>
      <c r="AF12"/>
      <c r="AG12"/>
      <c r="AH12"/>
      <c r="AI12"/>
      <c r="AJ12"/>
      <c r="AK12"/>
      <c r="AL12"/>
      <c r="AM12"/>
      <c r="AN12"/>
      <c r="AO12"/>
      <c r="AP12"/>
      <c r="AQ12"/>
    </row>
    <row r="13" spans="1:43" s="52" customFormat="1" hidden="1">
      <c r="A13" s="4839" t="s">
        <v>681</v>
      </c>
      <c r="B13" s="3275" t="s">
        <v>5067</v>
      </c>
      <c r="C13" s="3275" t="s">
        <v>28</v>
      </c>
      <c r="D13" s="3280">
        <v>45288</v>
      </c>
      <c r="E13" s="3346">
        <v>45297</v>
      </c>
      <c r="F13" s="3275" t="s">
        <v>167</v>
      </c>
      <c r="G13" s="3275" t="s">
        <v>46</v>
      </c>
      <c r="H13" s="3304">
        <v>45299</v>
      </c>
      <c r="I13" s="3357" t="s">
        <v>5068</v>
      </c>
      <c r="J13" s="58" t="s">
        <v>1353</v>
      </c>
      <c r="K13" s="4839" t="s">
        <v>4806</v>
      </c>
      <c r="L13" s="3357" t="s">
        <v>5069</v>
      </c>
      <c r="M13" s="3396">
        <v>45299</v>
      </c>
      <c r="N13" s="3280">
        <v>45299</v>
      </c>
      <c r="O13" s="3280">
        <v>45299</v>
      </c>
      <c r="P13" s="3429" t="s">
        <v>5070</v>
      </c>
      <c r="Q13" s="4839" t="s">
        <v>35</v>
      </c>
      <c r="R13" s="4839" t="s">
        <v>36</v>
      </c>
      <c r="S13" s="4839" t="s">
        <v>37</v>
      </c>
      <c r="T13" s="705">
        <v>1020</v>
      </c>
      <c r="U13" s="705">
        <v>848</v>
      </c>
      <c r="V13" s="705"/>
      <c r="W13" s="705">
        <f>表12[[#This Row],[Sales Amount]]-表12[[#This Row],[Cost]]</f>
        <v>172</v>
      </c>
      <c r="X13" s="705">
        <f>IFERROR(Table6[[#This Row],[Profit]]/Table6[[#This Row],[Cost]]," ")</f>
        <v>0.10158102766798419</v>
      </c>
      <c r="Y13" s="705"/>
      <c r="Z13" s="704"/>
      <c r="AA13"/>
      <c r="AB13"/>
      <c r="AC13"/>
      <c r="AD13"/>
      <c r="AE13"/>
      <c r="AF13"/>
      <c r="AG13"/>
      <c r="AH13"/>
      <c r="AI13"/>
      <c r="AJ13"/>
      <c r="AK13"/>
      <c r="AL13"/>
      <c r="AM13"/>
      <c r="AN13"/>
      <c r="AO13"/>
      <c r="AP13"/>
      <c r="AQ13"/>
    </row>
    <row r="14" spans="1:43" s="117" customFormat="1" ht="30">
      <c r="A14" s="4845" t="s">
        <v>165</v>
      </c>
      <c r="B14" s="3430" t="s">
        <v>5071</v>
      </c>
      <c r="C14" s="3268" t="s">
        <v>28</v>
      </c>
      <c r="D14" s="3262">
        <v>45295</v>
      </c>
      <c r="E14" s="3365">
        <v>45295</v>
      </c>
      <c r="F14" s="3268" t="s">
        <v>151</v>
      </c>
      <c r="G14" s="3273" t="s">
        <v>4355</v>
      </c>
      <c r="H14" s="3427">
        <v>45302</v>
      </c>
      <c r="I14" s="3430" t="s">
        <v>5072</v>
      </c>
      <c r="J14" s="117" t="s">
        <v>322</v>
      </c>
      <c r="K14" s="4947" t="s">
        <v>4357</v>
      </c>
      <c r="L14" s="3268" t="s">
        <v>162</v>
      </c>
      <c r="M14" s="3431">
        <v>45302</v>
      </c>
      <c r="N14" s="3431">
        <v>45302</v>
      </c>
      <c r="O14" s="3314">
        <v>45303</v>
      </c>
      <c r="P14" s="3432" t="s">
        <v>5073</v>
      </c>
      <c r="Q14" s="4845" t="s">
        <v>75</v>
      </c>
      <c r="R14" s="4964" t="s">
        <v>5074</v>
      </c>
      <c r="S14" s="4845">
        <v>4</v>
      </c>
      <c r="T14" s="660">
        <v>1050</v>
      </c>
      <c r="U14" s="660">
        <v>862.8</v>
      </c>
      <c r="V14" s="660">
        <v>1</v>
      </c>
      <c r="W14" s="660">
        <f>表12[[#This Row],[Sales Amount]]-表12[[#This Row],[Cost]]</f>
        <v>187.20000000000005</v>
      </c>
      <c r="X14" s="885">
        <f>IFERROR(Table6[[#This Row],[Profit]]/Table6[[#This Row],[Cost]]," ")</f>
        <v>0.22713414634146342</v>
      </c>
      <c r="Y14" s="660"/>
      <c r="Z14" s="113"/>
      <c r="AA14"/>
      <c r="AB14"/>
      <c r="AC14"/>
      <c r="AD14"/>
      <c r="AE14"/>
      <c r="AF14"/>
      <c r="AG14"/>
      <c r="AH14"/>
      <c r="AI14"/>
      <c r="AJ14"/>
      <c r="AK14"/>
      <c r="AL14"/>
      <c r="AM14"/>
      <c r="AN14"/>
      <c r="AO14"/>
      <c r="AP14"/>
      <c r="AQ14"/>
    </row>
    <row r="15" spans="1:43" ht="30">
      <c r="A15" s="4938" t="s">
        <v>165</v>
      </c>
      <c r="B15" s="3430" t="s">
        <v>5075</v>
      </c>
      <c r="C15" s="3268" t="s">
        <v>28</v>
      </c>
      <c r="D15" s="3262">
        <v>45295</v>
      </c>
      <c r="E15" s="3365">
        <v>45295</v>
      </c>
      <c r="F15" s="3430" t="s">
        <v>135</v>
      </c>
      <c r="G15" s="3432" t="s">
        <v>5076</v>
      </c>
      <c r="H15" s="3418">
        <v>45302</v>
      </c>
      <c r="I15" s="4929" t="s">
        <v>5077</v>
      </c>
      <c r="J15" s="806" t="s">
        <v>510</v>
      </c>
      <c r="K15" s="4964" t="s">
        <v>5078</v>
      </c>
      <c r="L15" s="4845" t="s">
        <v>162</v>
      </c>
      <c r="M15" s="4918">
        <v>45302</v>
      </c>
      <c r="N15" s="4918">
        <v>45302</v>
      </c>
      <c r="O15" s="5279">
        <v>45306</v>
      </c>
      <c r="P15" s="4964" t="s">
        <v>5079</v>
      </c>
      <c r="Q15" s="4845" t="s">
        <v>75</v>
      </c>
      <c r="R15" s="4938" t="s">
        <v>5080</v>
      </c>
      <c r="S15" s="4845">
        <v>4</v>
      </c>
      <c r="T15" s="120">
        <v>1240</v>
      </c>
      <c r="U15" s="120">
        <v>971.5</v>
      </c>
      <c r="V15" s="120">
        <v>1</v>
      </c>
      <c r="W15" s="120">
        <f>表12[[#This Row],[Sales Amount]]-表12[[#This Row],[Cost]]</f>
        <v>268.5</v>
      </c>
      <c r="X15" s="1041">
        <f>IFERROR(Table6[[#This Row],[Profit]]/Table6[[#This Row],[Cost]]," ")</f>
        <v>0.23552123552123552</v>
      </c>
      <c r="Y15" s="120"/>
      <c r="Z15" s="1209"/>
    </row>
    <row r="16" spans="1:43" s="117" customFormat="1" ht="60">
      <c r="A16" s="4845" t="s">
        <v>165</v>
      </c>
      <c r="B16" s="3430" t="s">
        <v>5081</v>
      </c>
      <c r="C16" s="3268" t="s">
        <v>28</v>
      </c>
      <c r="D16" s="3262">
        <v>45295</v>
      </c>
      <c r="E16" s="3365">
        <v>45295</v>
      </c>
      <c r="F16" s="3430" t="s">
        <v>135</v>
      </c>
      <c r="G16" s="3430" t="s">
        <v>5082</v>
      </c>
      <c r="H16" s="3427">
        <v>45306</v>
      </c>
      <c r="I16" s="5280" t="s">
        <v>445</v>
      </c>
      <c r="J16" s="4938" t="s">
        <v>4230</v>
      </c>
      <c r="K16" s="4964" t="s">
        <v>5083</v>
      </c>
      <c r="L16" s="4845" t="s">
        <v>162</v>
      </c>
      <c r="M16" s="4931">
        <v>45304</v>
      </c>
      <c r="N16" s="4931">
        <v>45303</v>
      </c>
      <c r="O16" s="4906">
        <v>45306</v>
      </c>
      <c r="P16" s="4964" t="s">
        <v>5084</v>
      </c>
      <c r="Q16" s="4845" t="s">
        <v>75</v>
      </c>
      <c r="R16" s="2118" t="s">
        <v>5085</v>
      </c>
      <c r="S16" s="4845">
        <v>4</v>
      </c>
      <c r="T16" s="694">
        <v>850</v>
      </c>
      <c r="U16" s="120">
        <v>830</v>
      </c>
      <c r="V16" s="120">
        <v>1</v>
      </c>
      <c r="W16" s="120">
        <f>表12[[#This Row],[Sales Amount]]-表12[[#This Row],[Cost]]</f>
        <v>20</v>
      </c>
      <c r="X16" s="885">
        <f>IFERROR(Table6[[#This Row],[Profit]]/Table6[[#This Row],[Cost]]," ")</f>
        <v>0.30758807588075882</v>
      </c>
      <c r="Y16" s="120"/>
      <c r="Z16" s="1209"/>
      <c r="AA16"/>
      <c r="AB16"/>
      <c r="AC16"/>
      <c r="AD16"/>
      <c r="AE16"/>
      <c r="AF16"/>
      <c r="AG16"/>
      <c r="AH16"/>
      <c r="AI16"/>
      <c r="AJ16"/>
      <c r="AK16"/>
      <c r="AL16"/>
      <c r="AM16"/>
      <c r="AN16"/>
      <c r="AO16"/>
      <c r="AP16"/>
      <c r="AQ16"/>
    </row>
    <row r="17" spans="1:43" s="36" customFormat="1" hidden="1">
      <c r="A17" s="3417" t="s">
        <v>409</v>
      </c>
      <c r="B17" s="3265" t="s">
        <v>5086</v>
      </c>
      <c r="C17" s="3275" t="s">
        <v>28</v>
      </c>
      <c r="D17" s="3280">
        <v>45281</v>
      </c>
      <c r="E17" s="3433">
        <v>45295</v>
      </c>
      <c r="F17" s="3275" t="s">
        <v>3639</v>
      </c>
      <c r="G17" s="3275" t="s">
        <v>2206</v>
      </c>
      <c r="H17" s="3301"/>
      <c r="I17" s="4839"/>
      <c r="J17" s="4839" t="s">
        <v>168</v>
      </c>
      <c r="K17" s="4839" t="s">
        <v>310</v>
      </c>
      <c r="L17" s="5281" t="s">
        <v>5087</v>
      </c>
      <c r="M17" s="4859">
        <v>45296</v>
      </c>
      <c r="N17" s="4859">
        <v>45295</v>
      </c>
      <c r="O17" s="4859">
        <v>45296</v>
      </c>
      <c r="P17" s="5118" t="s">
        <v>5088</v>
      </c>
      <c r="Q17" s="4839" t="s">
        <v>50</v>
      </c>
      <c r="R17" s="4839" t="s">
        <v>51</v>
      </c>
      <c r="S17" s="4839"/>
      <c r="T17" s="18"/>
      <c r="U17" s="18"/>
      <c r="V17" s="18"/>
      <c r="W17" s="18">
        <f>表12[[#This Row],[Sales Amount]]-表12[[#This Row],[Cost]]</f>
        <v>0</v>
      </c>
      <c r="X17" s="2119">
        <f>IFERROR(Table6[[#This Row],[Profit]]/Table6[[#This Row],[Cost]]," ")</f>
        <v>0.22141997593261131</v>
      </c>
      <c r="Y17" s="18"/>
      <c r="Z17" s="2120"/>
      <c r="AA17"/>
      <c r="AB17"/>
      <c r="AC17"/>
      <c r="AD17"/>
      <c r="AE17"/>
      <c r="AF17"/>
      <c r="AG17"/>
      <c r="AH17"/>
      <c r="AI17"/>
      <c r="AJ17"/>
      <c r="AK17"/>
      <c r="AL17"/>
      <c r="AM17"/>
      <c r="AN17"/>
      <c r="AO17"/>
      <c r="AP17"/>
      <c r="AQ17"/>
    </row>
    <row r="18" spans="1:43" s="117" customFormat="1" ht="30">
      <c r="A18" s="4845" t="s">
        <v>165</v>
      </c>
      <c r="B18" s="4242" t="s">
        <v>5089</v>
      </c>
      <c r="C18" s="3268" t="s">
        <v>28</v>
      </c>
      <c r="D18" s="3262">
        <v>45295</v>
      </c>
      <c r="E18" s="3365">
        <v>45295</v>
      </c>
      <c r="F18" s="3430" t="s">
        <v>135</v>
      </c>
      <c r="G18" s="3430" t="s">
        <v>5090</v>
      </c>
      <c r="H18" s="3427">
        <v>45302</v>
      </c>
      <c r="I18" s="4938" t="s">
        <v>5091</v>
      </c>
      <c r="J18" s="4845" t="s">
        <v>322</v>
      </c>
      <c r="K18" s="4964" t="s">
        <v>4357</v>
      </c>
      <c r="L18" s="4845" t="s">
        <v>162</v>
      </c>
      <c r="M18" s="4931">
        <v>45302</v>
      </c>
      <c r="N18" s="4931">
        <v>45302</v>
      </c>
      <c r="O18" s="5070">
        <v>45308</v>
      </c>
      <c r="P18" s="4964" t="s">
        <v>5092</v>
      </c>
      <c r="Q18" s="4845" t="s">
        <v>75</v>
      </c>
      <c r="R18" s="36" t="s">
        <v>5093</v>
      </c>
      <c r="S18" s="4845">
        <v>4</v>
      </c>
      <c r="T18" s="120">
        <v>960</v>
      </c>
      <c r="U18" s="120">
        <v>772.8</v>
      </c>
      <c r="V18" s="120">
        <v>1</v>
      </c>
      <c r="W18" s="120">
        <f>表12[[#This Row],[Sales Amount]]-表12[[#This Row],[Cost]]</f>
        <v>187.20000000000005</v>
      </c>
      <c r="X18" s="1041">
        <f>IFERROR(Table6[[#This Row],[Profit]]/Table6[[#This Row],[Cost]]," ")</f>
        <v>0.3162118780096308</v>
      </c>
      <c r="Y18" s="120"/>
      <c r="Z18" s="1209"/>
      <c r="AA18"/>
      <c r="AB18"/>
      <c r="AC18"/>
      <c r="AD18"/>
      <c r="AE18"/>
      <c r="AF18"/>
      <c r="AG18"/>
      <c r="AH18"/>
      <c r="AI18"/>
      <c r="AJ18"/>
      <c r="AK18"/>
      <c r="AL18"/>
      <c r="AM18"/>
      <c r="AN18"/>
      <c r="AO18"/>
      <c r="AP18"/>
      <c r="AQ18"/>
    </row>
    <row r="19" spans="1:43" ht="45">
      <c r="A19" s="4938" t="s">
        <v>2489</v>
      </c>
      <c r="B19" s="4242" t="s">
        <v>5094</v>
      </c>
      <c r="C19" s="3268" t="s">
        <v>28</v>
      </c>
      <c r="D19" s="3262">
        <v>45296</v>
      </c>
      <c r="E19" s="3365">
        <v>45296</v>
      </c>
      <c r="F19" s="3430" t="s">
        <v>45</v>
      </c>
      <c r="G19" s="3432" t="s">
        <v>4355</v>
      </c>
      <c r="H19" s="3427">
        <v>45303</v>
      </c>
      <c r="I19" s="4938" t="s">
        <v>5095</v>
      </c>
      <c r="J19" s="4964" t="s">
        <v>784</v>
      </c>
      <c r="K19" s="4964" t="s">
        <v>5096</v>
      </c>
      <c r="L19" s="4929" t="s">
        <v>162</v>
      </c>
      <c r="M19" s="4936">
        <v>45304</v>
      </c>
      <c r="N19" s="4936">
        <v>45303</v>
      </c>
      <c r="O19" s="5282">
        <v>45306</v>
      </c>
      <c r="P19" s="4964" t="s">
        <v>5097</v>
      </c>
      <c r="Q19" s="4845" t="s">
        <v>75</v>
      </c>
      <c r="R19" s="4938" t="s">
        <v>5098</v>
      </c>
      <c r="S19" s="4845">
        <v>4</v>
      </c>
      <c r="T19" s="698">
        <v>680</v>
      </c>
      <c r="U19" s="120">
        <v>540</v>
      </c>
      <c r="V19" s="120">
        <v>1</v>
      </c>
      <c r="W19" s="120">
        <f>表12[[#This Row],[Sales Amount]]-表12[[#This Row],[Cost]]</f>
        <v>140</v>
      </c>
      <c r="X19" s="1041">
        <f>IFERROR(Table6[[#This Row],[Profit]]/Table6[[#This Row],[Cost]]," ")</f>
        <v>0.23786407766990292</v>
      </c>
      <c r="Y19" s="120"/>
      <c r="Z19" s="1209"/>
    </row>
    <row r="20" spans="1:43" s="2144" customFormat="1" hidden="1">
      <c r="A20" s="3413" t="s">
        <v>1035</v>
      </c>
      <c r="B20" s="915" t="s">
        <v>5099</v>
      </c>
      <c r="C20" s="3357" t="s">
        <v>28</v>
      </c>
      <c r="D20" s="3396">
        <v>45288</v>
      </c>
      <c r="E20" s="3396">
        <v>45297</v>
      </c>
      <c r="F20" s="3357" t="s">
        <v>151</v>
      </c>
      <c r="G20" s="3357" t="s">
        <v>46</v>
      </c>
      <c r="H20" s="3396" t="s">
        <v>1038</v>
      </c>
      <c r="I20" s="3357"/>
      <c r="J20" s="3357" t="s">
        <v>32</v>
      </c>
      <c r="K20" s="3278" t="s">
        <v>162</v>
      </c>
      <c r="L20" s="3357" t="s">
        <v>5100</v>
      </c>
      <c r="M20" s="3396">
        <v>45299</v>
      </c>
      <c r="N20" s="3396">
        <v>45299</v>
      </c>
      <c r="O20" s="3396">
        <v>45300</v>
      </c>
      <c r="P20" s="3434" t="s">
        <v>5101</v>
      </c>
      <c r="Q20" s="3357" t="s">
        <v>35</v>
      </c>
      <c r="R20" s="2112" t="s">
        <v>36</v>
      </c>
      <c r="S20" s="1117" t="s">
        <v>1320</v>
      </c>
      <c r="T20" s="705"/>
      <c r="U20" s="705"/>
      <c r="V20" s="705"/>
      <c r="W20" s="705">
        <f>表12[[#This Row],[Sales Amount]]-表12[[#This Row],[Cost]]</f>
        <v>0</v>
      </c>
      <c r="X20" s="705">
        <f>IFERROR(Table6[[#This Row],[Profit]]/Table6[[#This Row],[Cost]]," ")</f>
        <v>0.22713414634146342</v>
      </c>
      <c r="Y20" s="705"/>
      <c r="Z20" s="704"/>
      <c r="AA20"/>
      <c r="AB20"/>
      <c r="AC20"/>
      <c r="AD20"/>
      <c r="AE20"/>
      <c r="AF20"/>
      <c r="AG20"/>
      <c r="AH20"/>
      <c r="AI20"/>
      <c r="AJ20"/>
      <c r="AK20"/>
      <c r="AL20"/>
      <c r="AM20"/>
      <c r="AN20"/>
      <c r="AO20"/>
      <c r="AP20"/>
      <c r="AQ20"/>
    </row>
    <row r="21" spans="1:43" s="36" customFormat="1" hidden="1">
      <c r="A21" s="3413" t="s">
        <v>1035</v>
      </c>
      <c r="B21" s="3357" t="s">
        <v>5102</v>
      </c>
      <c r="C21" s="3357" t="s">
        <v>28</v>
      </c>
      <c r="D21" s="3396">
        <v>45288</v>
      </c>
      <c r="E21" s="3396">
        <v>45297</v>
      </c>
      <c r="F21" s="3357" t="s">
        <v>151</v>
      </c>
      <c r="G21" s="3357" t="s">
        <v>46</v>
      </c>
      <c r="H21" s="3396" t="s">
        <v>1038</v>
      </c>
      <c r="I21" s="3357"/>
      <c r="J21" s="4841" t="s">
        <v>32</v>
      </c>
      <c r="K21" s="3278" t="s">
        <v>162</v>
      </c>
      <c r="L21" s="3357" t="s">
        <v>5103</v>
      </c>
      <c r="M21" s="3329">
        <v>45299</v>
      </c>
      <c r="N21" s="3329">
        <v>45299</v>
      </c>
      <c r="O21" s="1115">
        <v>45300</v>
      </c>
      <c r="P21" s="3434" t="s">
        <v>5101</v>
      </c>
      <c r="Q21" s="3357" t="s">
        <v>35</v>
      </c>
      <c r="R21" s="2112" t="s">
        <v>36</v>
      </c>
      <c r="S21" s="1117" t="s">
        <v>1320</v>
      </c>
      <c r="T21" s="705"/>
      <c r="U21" s="705"/>
      <c r="V21" s="705"/>
      <c r="W21" s="705">
        <f>表12[[#This Row],[Sales Amount]]-表12[[#This Row],[Cost]]</f>
        <v>0</v>
      </c>
      <c r="X21" s="705">
        <f>IFERROR(Table6[[#This Row],[Profit]]/Table6[[#This Row],[Cost]]," ")</f>
        <v>0.22713414634146342</v>
      </c>
      <c r="Y21" s="705"/>
      <c r="Z21" s="704"/>
      <c r="AA21"/>
      <c r="AB21"/>
      <c r="AC21"/>
      <c r="AD21"/>
      <c r="AE21"/>
      <c r="AF21"/>
      <c r="AG21"/>
      <c r="AH21"/>
      <c r="AI21"/>
      <c r="AJ21"/>
      <c r="AK21"/>
      <c r="AL21"/>
      <c r="AM21"/>
      <c r="AN21"/>
      <c r="AO21"/>
      <c r="AP21"/>
      <c r="AQ21"/>
    </row>
    <row r="22" spans="1:43" s="52" customFormat="1" hidden="1">
      <c r="A22" s="3235" t="s">
        <v>1035</v>
      </c>
      <c r="B22" s="3357" t="s">
        <v>5104</v>
      </c>
      <c r="C22" s="3275" t="s">
        <v>28</v>
      </c>
      <c r="D22" s="3280">
        <v>45288</v>
      </c>
      <c r="E22" s="3346">
        <v>45297</v>
      </c>
      <c r="F22" s="3275" t="s">
        <v>151</v>
      </c>
      <c r="G22" s="3275" t="s">
        <v>46</v>
      </c>
      <c r="H22" s="3280" t="s">
        <v>1038</v>
      </c>
      <c r="I22" s="3275"/>
      <c r="J22" s="4901" t="s">
        <v>32</v>
      </c>
      <c r="K22" s="3278" t="s">
        <v>162</v>
      </c>
      <c r="L22" s="3357" t="s">
        <v>5105</v>
      </c>
      <c r="M22" s="3329">
        <v>45299</v>
      </c>
      <c r="N22" s="3329">
        <v>45299</v>
      </c>
      <c r="O22" s="3280">
        <v>45300</v>
      </c>
      <c r="P22" s="3246" t="s">
        <v>5101</v>
      </c>
      <c r="Q22" s="3275" t="s">
        <v>35</v>
      </c>
      <c r="R22" s="2093" t="s">
        <v>36</v>
      </c>
      <c r="S22" s="710" t="s">
        <v>1320</v>
      </c>
      <c r="T22" s="705"/>
      <c r="U22" s="705"/>
      <c r="V22" s="705"/>
      <c r="W22" s="705">
        <f>表12[[#This Row],[Sales Amount]]-表12[[#This Row],[Cost]]</f>
        <v>0</v>
      </c>
      <c r="X22" s="705">
        <f>IFERROR(Table6[[#This Row],[Profit]]/Table6[[#This Row],[Cost]]," ")</f>
        <v>0.13005780346820808</v>
      </c>
      <c r="Y22" s="705"/>
      <c r="Z22" s="704"/>
      <c r="AA22"/>
      <c r="AB22"/>
      <c r="AC22"/>
      <c r="AD22"/>
      <c r="AE22"/>
      <c r="AF22"/>
      <c r="AG22"/>
      <c r="AH22"/>
      <c r="AI22"/>
      <c r="AJ22"/>
      <c r="AK22"/>
      <c r="AL22"/>
      <c r="AM22"/>
      <c r="AN22"/>
      <c r="AO22"/>
      <c r="AP22"/>
      <c r="AQ22"/>
    </row>
    <row r="23" spans="1:43" s="52" customFormat="1" hidden="1">
      <c r="A23" s="3417" t="s">
        <v>409</v>
      </c>
      <c r="B23" s="3435" t="s">
        <v>5106</v>
      </c>
      <c r="C23" s="3265" t="s">
        <v>28</v>
      </c>
      <c r="D23" s="3373">
        <v>45290</v>
      </c>
      <c r="E23" s="3365">
        <v>45297</v>
      </c>
      <c r="F23" s="3265" t="s">
        <v>86</v>
      </c>
      <c r="G23" s="3265" t="s">
        <v>46</v>
      </c>
      <c r="H23" s="3290"/>
      <c r="I23" s="3265"/>
      <c r="J23" s="4901" t="s">
        <v>32</v>
      </c>
      <c r="K23" s="3265" t="s">
        <v>310</v>
      </c>
      <c r="L23" s="3265" t="s">
        <v>5107</v>
      </c>
      <c r="M23" s="3373">
        <v>45299</v>
      </c>
      <c r="N23" s="3373">
        <v>45298</v>
      </c>
      <c r="O23" s="3373">
        <v>45299</v>
      </c>
      <c r="P23" s="3317" t="s">
        <v>5108</v>
      </c>
      <c r="Q23" s="3265" t="s">
        <v>50</v>
      </c>
      <c r="R23" s="2209" t="s">
        <v>5109</v>
      </c>
      <c r="S23" s="31">
        <v>4</v>
      </c>
      <c r="T23" s="712">
        <v>3300</v>
      </c>
      <c r="U23" s="712"/>
      <c r="V23" s="712"/>
      <c r="W23" s="712">
        <f>表12[[#This Row],[Sales Amount]]-表12[[#This Row],[Cost]]</f>
        <v>3300</v>
      </c>
      <c r="X23" s="712">
        <f>IFERROR(Table6[[#This Row],[Profit]]/Table6[[#This Row],[Cost]]," ")</f>
        <v>0.25338753387533874</v>
      </c>
      <c r="Y23" s="712"/>
      <c r="Z23" s="2210"/>
      <c r="AA23"/>
      <c r="AB23"/>
      <c r="AC23"/>
      <c r="AD23"/>
      <c r="AE23"/>
      <c r="AF23"/>
      <c r="AG23"/>
      <c r="AH23"/>
      <c r="AI23"/>
      <c r="AJ23"/>
      <c r="AK23"/>
      <c r="AL23"/>
      <c r="AM23"/>
      <c r="AN23"/>
      <c r="AO23"/>
      <c r="AP23"/>
      <c r="AQ23"/>
    </row>
    <row r="24" spans="1:43" s="36" customFormat="1" hidden="1">
      <c r="A24" s="3436" t="s">
        <v>3343</v>
      </c>
      <c r="B24" s="3313" t="s">
        <v>5110</v>
      </c>
      <c r="C24" s="3313" t="s">
        <v>28</v>
      </c>
      <c r="D24" s="3290">
        <v>44928</v>
      </c>
      <c r="E24" s="3291">
        <v>45299</v>
      </c>
      <c r="F24" s="3313" t="s">
        <v>734</v>
      </c>
      <c r="G24" s="3313" t="s">
        <v>46</v>
      </c>
      <c r="H24" s="3290"/>
      <c r="I24" s="3313"/>
      <c r="J24" s="4848" t="s">
        <v>32</v>
      </c>
      <c r="K24" s="3313" t="s">
        <v>310</v>
      </c>
      <c r="L24" s="3313" t="s">
        <v>5111</v>
      </c>
      <c r="M24" s="3290">
        <v>45301</v>
      </c>
      <c r="N24" s="3290">
        <v>45300</v>
      </c>
      <c r="O24" s="3290">
        <v>45301</v>
      </c>
      <c r="P24" s="3317" t="s">
        <v>5112</v>
      </c>
      <c r="Q24" s="483" t="s">
        <v>50</v>
      </c>
      <c r="R24" s="3" t="s">
        <v>5113</v>
      </c>
      <c r="S24" s="31"/>
      <c r="T24" s="712"/>
      <c r="U24" s="712"/>
      <c r="V24" s="712"/>
      <c r="W24" s="712">
        <f>表12[[#This Row],[Sales Amount]]-表12[[#This Row],[Cost]]</f>
        <v>0</v>
      </c>
      <c r="X24" s="712">
        <f>IFERROR(Table6[[#This Row],[Profit]]/Table6[[#This Row],[Cost]]," ")</f>
        <v>0.28693994280266921</v>
      </c>
      <c r="Y24" s="712"/>
      <c r="Z24" s="2210"/>
      <c r="AA24" s="3"/>
      <c r="AB24" s="3"/>
      <c r="AC24" s="3"/>
      <c r="AD24" s="3"/>
      <c r="AE24" s="3"/>
      <c r="AF24" s="3"/>
      <c r="AG24" s="3"/>
      <c r="AH24" s="3"/>
      <c r="AI24" s="3"/>
      <c r="AJ24" s="3"/>
      <c r="AK24" s="3"/>
      <c r="AL24" s="3"/>
      <c r="AM24" s="3"/>
      <c r="AN24" s="3"/>
      <c r="AO24" s="3"/>
      <c r="AP24" s="3"/>
      <c r="AQ24" s="3"/>
    </row>
    <row r="25" spans="1:43" s="117" customFormat="1" ht="30">
      <c r="A25" s="3417" t="s">
        <v>5114</v>
      </c>
      <c r="B25" s="3432" t="s">
        <v>5115</v>
      </c>
      <c r="C25" s="3268" t="s">
        <v>28</v>
      </c>
      <c r="D25" s="3262">
        <v>45297</v>
      </c>
      <c r="E25" s="3365">
        <v>45297</v>
      </c>
      <c r="F25" s="3430" t="s">
        <v>93</v>
      </c>
      <c r="G25" s="3432" t="s">
        <v>5116</v>
      </c>
      <c r="H25" s="3418" t="s">
        <v>5117</v>
      </c>
      <c r="I25" s="3293" t="s">
        <v>5118</v>
      </c>
      <c r="J25" s="3432" t="s">
        <v>1562</v>
      </c>
      <c r="K25" s="3432" t="s">
        <v>5119</v>
      </c>
      <c r="L25" s="3268" t="s">
        <v>162</v>
      </c>
      <c r="M25" s="3292">
        <v>45302</v>
      </c>
      <c r="N25" s="3292">
        <v>45302</v>
      </c>
      <c r="O25" s="3377">
        <v>45307</v>
      </c>
      <c r="P25" s="3263" t="s">
        <v>5120</v>
      </c>
      <c r="Q25" s="3268" t="s">
        <v>75</v>
      </c>
      <c r="R25" s="716" t="s">
        <v>5121</v>
      </c>
      <c r="S25" s="660">
        <v>4</v>
      </c>
      <c r="T25" s="2126">
        <v>1947.5</v>
      </c>
      <c r="U25" s="1447">
        <v>1662.5</v>
      </c>
      <c r="V25" s="660">
        <v>1</v>
      </c>
      <c r="W25" s="660">
        <f>表12[[#This Row],[Sales Amount]]-表12[[#This Row],[Cost]]</f>
        <v>285</v>
      </c>
      <c r="X25" s="885">
        <f>IFERROR(Table6[[#This Row],[Profit]]/Table6[[#This Row],[Cost]]," ")</f>
        <v>0.47124628798459595</v>
      </c>
      <c r="Y25" s="660"/>
      <c r="Z25" s="113"/>
      <c r="AA25"/>
      <c r="AB25"/>
      <c r="AC25"/>
      <c r="AD25"/>
      <c r="AE25"/>
      <c r="AF25"/>
      <c r="AG25"/>
      <c r="AH25"/>
      <c r="AI25"/>
      <c r="AJ25"/>
      <c r="AK25"/>
      <c r="AL25"/>
      <c r="AM25"/>
      <c r="AN25"/>
      <c r="AO25"/>
      <c r="AP25"/>
      <c r="AQ25"/>
    </row>
    <row r="26" spans="1:43" s="117" customFormat="1" ht="45.75" customHeight="1">
      <c r="A26" s="3417" t="s">
        <v>3835</v>
      </c>
      <c r="B26" s="3430" t="s">
        <v>5122</v>
      </c>
      <c r="C26" s="3268" t="s">
        <v>28</v>
      </c>
      <c r="D26" s="3262">
        <v>45292</v>
      </c>
      <c r="E26" s="3365">
        <v>45298</v>
      </c>
      <c r="F26" s="3268" t="s">
        <v>45</v>
      </c>
      <c r="G26" s="4104" t="s">
        <v>1672</v>
      </c>
      <c r="H26" s="3431" t="s">
        <v>5123</v>
      </c>
      <c r="I26" s="3380" t="s">
        <v>5124</v>
      </c>
      <c r="J26" s="4242" t="s">
        <v>297</v>
      </c>
      <c r="K26" s="4246" t="s">
        <v>5125</v>
      </c>
      <c r="L26" s="3426" t="s">
        <v>5126</v>
      </c>
      <c r="M26" s="807">
        <v>45299</v>
      </c>
      <c r="N26" s="822">
        <v>45300</v>
      </c>
      <c r="O26" s="3262">
        <v>45307</v>
      </c>
      <c r="P26" s="4246" t="s">
        <v>5127</v>
      </c>
      <c r="Q26" s="3268" t="s">
        <v>75</v>
      </c>
      <c r="R26" s="716" t="s">
        <v>5128</v>
      </c>
      <c r="S26" s="660">
        <v>4</v>
      </c>
      <c r="T26" s="660">
        <v>2430</v>
      </c>
      <c r="U26" s="1447">
        <v>2171.5</v>
      </c>
      <c r="V26" s="660">
        <v>1</v>
      </c>
      <c r="W26" s="660">
        <f>表12[[#This Row],[Sales Amount]]-表12[[#This Row],[Cost]]</f>
        <v>258.5</v>
      </c>
      <c r="X26" s="885">
        <f>表12[[#This Row],[Profit]]/表12[[#This Row],[Cost]]</f>
        <v>0.11904213677181671</v>
      </c>
      <c r="Y26" s="660"/>
      <c r="Z26" s="113"/>
      <c r="AA26"/>
      <c r="AB26"/>
      <c r="AC26"/>
      <c r="AD26"/>
      <c r="AE26"/>
      <c r="AF26"/>
      <c r="AG26"/>
      <c r="AH26"/>
      <c r="AI26"/>
      <c r="AJ26"/>
      <c r="AK26"/>
      <c r="AL26"/>
      <c r="AM26"/>
      <c r="AN26"/>
      <c r="AO26"/>
      <c r="AP26"/>
      <c r="AQ26"/>
    </row>
    <row r="27" spans="1:43" s="36" customFormat="1" ht="48" hidden="1" customHeight="1">
      <c r="A27" s="3417" t="s">
        <v>409</v>
      </c>
      <c r="B27" s="3435" t="s">
        <v>5129</v>
      </c>
      <c r="C27" s="3265" t="s">
        <v>28</v>
      </c>
      <c r="D27" s="3373">
        <v>45290</v>
      </c>
      <c r="E27" s="3365">
        <v>45300</v>
      </c>
      <c r="F27" s="3265" t="s">
        <v>86</v>
      </c>
      <c r="G27" s="3265" t="s">
        <v>46</v>
      </c>
      <c r="H27" s="3290"/>
      <c r="I27" s="3265"/>
      <c r="J27" s="25" t="s">
        <v>32</v>
      </c>
      <c r="K27" s="3265" t="s">
        <v>310</v>
      </c>
      <c r="L27" s="3437" t="s">
        <v>5130</v>
      </c>
      <c r="M27" s="353">
        <v>45302</v>
      </c>
      <c r="N27" s="353">
        <v>45301</v>
      </c>
      <c r="O27" s="3373">
        <v>45302</v>
      </c>
      <c r="P27" s="3317" t="s">
        <v>5131</v>
      </c>
      <c r="Q27" s="3265" t="s">
        <v>50</v>
      </c>
      <c r="R27" s="3" t="s">
        <v>5132</v>
      </c>
      <c r="S27" s="31">
        <v>4</v>
      </c>
      <c r="T27" s="712">
        <v>3445</v>
      </c>
      <c r="U27" s="712"/>
      <c r="V27" s="712"/>
      <c r="W27" s="712">
        <f>表12[[#This Row],[Sales Amount]]-表12[[#This Row],[Cost]]</f>
        <v>3445</v>
      </c>
      <c r="X27" s="712">
        <f>IFERROR(Table6[[#This Row],[Profit]]/Table6[[#This Row],[Cost]]," ")</f>
        <v>0.26168224299065418</v>
      </c>
      <c r="Y27" s="712"/>
      <c r="Z27" s="2210"/>
      <c r="AA27"/>
      <c r="AB27"/>
      <c r="AC27"/>
      <c r="AD27"/>
      <c r="AE27"/>
      <c r="AF27"/>
      <c r="AG27"/>
      <c r="AH27"/>
      <c r="AI27"/>
      <c r="AJ27"/>
      <c r="AK27"/>
      <c r="AL27"/>
      <c r="AM27"/>
      <c r="AN27"/>
      <c r="AO27"/>
      <c r="AP27"/>
      <c r="AQ27"/>
    </row>
    <row r="28" spans="1:43" ht="31.5" customHeight="1">
      <c r="A28" s="3417" t="s">
        <v>165</v>
      </c>
      <c r="B28" s="3268" t="s">
        <v>5133</v>
      </c>
      <c r="C28" s="3268" t="s">
        <v>28</v>
      </c>
      <c r="D28" s="3262">
        <v>45300</v>
      </c>
      <c r="E28" s="3365">
        <v>45300</v>
      </c>
      <c r="F28" s="3268" t="s">
        <v>1357</v>
      </c>
      <c r="G28" s="3268" t="s">
        <v>5134</v>
      </c>
      <c r="H28" s="3292">
        <v>45303</v>
      </c>
      <c r="I28" s="3268" t="s">
        <v>3956</v>
      </c>
      <c r="J28" s="3268" t="s">
        <v>322</v>
      </c>
      <c r="K28" s="3432" t="s">
        <v>5135</v>
      </c>
      <c r="L28" s="3268" t="s">
        <v>162</v>
      </c>
      <c r="M28" s="3431">
        <v>45309</v>
      </c>
      <c r="N28" s="3438">
        <v>45302</v>
      </c>
      <c r="O28" s="3262">
        <v>45303</v>
      </c>
      <c r="P28" s="3432" t="s">
        <v>5136</v>
      </c>
      <c r="Q28" s="3270" t="s">
        <v>75</v>
      </c>
      <c r="R28" s="117" t="s">
        <v>5137</v>
      </c>
      <c r="S28" s="4845">
        <v>4</v>
      </c>
      <c r="T28" s="5110">
        <v>1365</v>
      </c>
      <c r="U28" s="4922">
        <v>1194</v>
      </c>
      <c r="V28" s="4845">
        <v>1</v>
      </c>
      <c r="W28" s="4845">
        <f>表12[[#This Row],[Sales Amount]]-表12[[#This Row],[Cost]]</f>
        <v>171</v>
      </c>
      <c r="X28" s="5060">
        <f>IFERROR(Table6[[#This Row],[Profit]]/Table6[[#This Row],[Cost]]," ")</f>
        <v>0.25899280575539568</v>
      </c>
      <c r="Y28" s="4845"/>
      <c r="Z28" s="4845"/>
    </row>
    <row r="29" spans="1:43" s="36" customFormat="1" ht="31.5" hidden="1" customHeight="1">
      <c r="A29" s="3235" t="s">
        <v>1035</v>
      </c>
      <c r="B29" s="3357" t="s">
        <v>5138</v>
      </c>
      <c r="C29" s="3275" t="s">
        <v>28</v>
      </c>
      <c r="D29" s="3280">
        <v>45288</v>
      </c>
      <c r="E29" s="3346">
        <v>45301</v>
      </c>
      <c r="F29" s="3275" t="s">
        <v>151</v>
      </c>
      <c r="G29" s="3275" t="s">
        <v>46</v>
      </c>
      <c r="H29" s="3280" t="s">
        <v>1038</v>
      </c>
      <c r="I29" s="3275"/>
      <c r="J29" s="3275" t="s">
        <v>32</v>
      </c>
      <c r="K29" s="3278" t="s">
        <v>162</v>
      </c>
      <c r="L29" s="3357" t="s">
        <v>5139</v>
      </c>
      <c r="M29" s="3396">
        <v>45304</v>
      </c>
      <c r="N29" s="3280">
        <v>45302</v>
      </c>
      <c r="O29" s="3280">
        <v>45303</v>
      </c>
      <c r="P29" s="3439" t="s">
        <v>5101</v>
      </c>
      <c r="Q29" s="3297" t="s">
        <v>35</v>
      </c>
      <c r="R29" s="58" t="s">
        <v>36</v>
      </c>
      <c r="S29" s="4839" t="s">
        <v>1320</v>
      </c>
      <c r="T29" s="5283"/>
      <c r="U29" s="5283"/>
      <c r="V29" s="5283"/>
      <c r="W29" s="5283">
        <f>表12[[#This Row],[Sales Amount]]-表12[[#This Row],[Cost]]</f>
        <v>0</v>
      </c>
      <c r="X29" s="5283">
        <f>IFERROR(Table6[[#This Row],[Profit]]/Table6[[#This Row],[Cost]]," ")</f>
        <v>0.47747602870524847</v>
      </c>
      <c r="Y29" s="5283"/>
      <c r="Z29" s="5283"/>
      <c r="AA29"/>
      <c r="AB29"/>
      <c r="AC29"/>
      <c r="AD29"/>
      <c r="AE29"/>
      <c r="AF29"/>
      <c r="AG29"/>
      <c r="AH29"/>
      <c r="AI29"/>
      <c r="AJ29"/>
      <c r="AK29"/>
      <c r="AL29"/>
      <c r="AM29"/>
      <c r="AN29"/>
      <c r="AO29"/>
      <c r="AP29"/>
      <c r="AQ29"/>
    </row>
    <row r="30" spans="1:43" s="52" customFormat="1" ht="55.5" hidden="1" customHeight="1">
      <c r="A30" s="3235" t="s">
        <v>1035</v>
      </c>
      <c r="B30" s="3357" t="s">
        <v>5140</v>
      </c>
      <c r="C30" s="3275" t="s">
        <v>28</v>
      </c>
      <c r="D30" s="3280">
        <v>45288</v>
      </c>
      <c r="E30" s="3346">
        <v>45301</v>
      </c>
      <c r="F30" s="3439" t="s">
        <v>5141</v>
      </c>
      <c r="G30" s="3275" t="s">
        <v>46</v>
      </c>
      <c r="H30" s="3280" t="s">
        <v>1038</v>
      </c>
      <c r="I30" s="3275"/>
      <c r="J30" s="3275" t="s">
        <v>32</v>
      </c>
      <c r="K30" s="3278" t="s">
        <v>162</v>
      </c>
      <c r="L30" s="3357" t="s">
        <v>5142</v>
      </c>
      <c r="M30" s="3396">
        <v>45303</v>
      </c>
      <c r="N30" s="3280">
        <v>45302</v>
      </c>
      <c r="O30" s="3280">
        <v>45302</v>
      </c>
      <c r="P30" s="3439" t="s">
        <v>5101</v>
      </c>
      <c r="Q30" s="3297" t="s">
        <v>35</v>
      </c>
      <c r="R30" s="4839" t="s">
        <v>36</v>
      </c>
      <c r="S30" s="4839" t="s">
        <v>1320</v>
      </c>
      <c r="T30" s="5283"/>
      <c r="U30" s="5283"/>
      <c r="V30" s="5283"/>
      <c r="W30" s="705">
        <f>表12[[#This Row],[Sales Amount]]-表12[[#This Row],[Cost]]</f>
        <v>0</v>
      </c>
      <c r="X30" s="5283">
        <f>IFERROR(Table6[[#This Row],[Profit]]/Table6[[#This Row],[Cost]]," ")</f>
        <v>0.16170150240605363</v>
      </c>
      <c r="Y30" s="5283"/>
      <c r="Z30" s="5283"/>
      <c r="AA30"/>
      <c r="AB30"/>
      <c r="AC30"/>
      <c r="AD30"/>
      <c r="AE30"/>
      <c r="AF30"/>
      <c r="AG30"/>
      <c r="AH30"/>
      <c r="AI30"/>
      <c r="AJ30"/>
      <c r="AK30"/>
      <c r="AL30"/>
      <c r="AM30"/>
      <c r="AN30"/>
      <c r="AO30"/>
      <c r="AP30"/>
      <c r="AQ30"/>
    </row>
    <row r="31" spans="1:43" s="52" customFormat="1" ht="31.5" hidden="1" customHeight="1">
      <c r="A31" s="4839" t="s">
        <v>1035</v>
      </c>
      <c r="B31" s="4841" t="s">
        <v>5143</v>
      </c>
      <c r="C31" s="4839" t="s">
        <v>28</v>
      </c>
      <c r="D31" s="4859">
        <v>45288</v>
      </c>
      <c r="E31" s="4867">
        <v>45301</v>
      </c>
      <c r="F31" s="4839" t="s">
        <v>151</v>
      </c>
      <c r="G31" s="4839" t="s">
        <v>46</v>
      </c>
      <c r="H31" s="4859" t="s">
        <v>1038</v>
      </c>
      <c r="I31" s="4839"/>
      <c r="J31" s="58" t="s">
        <v>32</v>
      </c>
      <c r="K31" s="4894" t="s">
        <v>162</v>
      </c>
      <c r="L31" s="4841" t="s">
        <v>5144</v>
      </c>
      <c r="M31" s="4855">
        <v>45303</v>
      </c>
      <c r="N31" s="4859">
        <v>45302</v>
      </c>
      <c r="O31" s="4859">
        <v>45303</v>
      </c>
      <c r="P31" s="5277" t="s">
        <v>5101</v>
      </c>
      <c r="Q31" s="4767" t="s">
        <v>35</v>
      </c>
      <c r="R31" s="4839" t="s">
        <v>36</v>
      </c>
      <c r="S31" s="4839" t="s">
        <v>1320</v>
      </c>
      <c r="T31" s="5283"/>
      <c r="U31" s="5283"/>
      <c r="V31" s="5283"/>
      <c r="W31" s="5283">
        <f>表12[[#This Row],[Sales Amount]]-表12[[#This Row],[Cost]]</f>
        <v>0</v>
      </c>
      <c r="X31" s="5283">
        <f>IFERROR(Table6[[#This Row],[Profit]]/Table6[[#This Row],[Cost]]," ")</f>
        <v>0.24463519313304721</v>
      </c>
      <c r="Y31" s="5283"/>
      <c r="Z31" s="5283"/>
      <c r="AA31"/>
      <c r="AB31"/>
      <c r="AC31"/>
      <c r="AD31"/>
      <c r="AE31"/>
      <c r="AF31"/>
      <c r="AG31"/>
      <c r="AH31"/>
      <c r="AI31"/>
      <c r="AJ31"/>
      <c r="AK31"/>
      <c r="AL31"/>
      <c r="AM31"/>
      <c r="AN31"/>
      <c r="AO31"/>
      <c r="AP31"/>
      <c r="AQ31"/>
    </row>
    <row r="32" spans="1:43" s="52" customFormat="1" ht="58.5" customHeight="1">
      <c r="A32" s="4607" t="s">
        <v>468</v>
      </c>
      <c r="B32" s="4908" t="s">
        <v>5145</v>
      </c>
      <c r="C32" s="4845" t="s">
        <v>44</v>
      </c>
      <c r="D32" s="3262">
        <v>45281</v>
      </c>
      <c r="E32" s="3365">
        <v>45301</v>
      </c>
      <c r="F32" s="4845" t="s">
        <v>1357</v>
      </c>
      <c r="G32" s="4964" t="s">
        <v>3510</v>
      </c>
      <c r="H32" s="4936">
        <v>45306</v>
      </c>
      <c r="I32" s="4929" t="s">
        <v>108</v>
      </c>
      <c r="J32" s="4845" t="s">
        <v>2306</v>
      </c>
      <c r="K32" s="4909" t="s">
        <v>2313</v>
      </c>
      <c r="L32" s="5284" t="s">
        <v>5146</v>
      </c>
      <c r="M32" s="4918">
        <v>45304</v>
      </c>
      <c r="N32" s="4918">
        <v>45304</v>
      </c>
      <c r="O32" s="4906">
        <v>45306</v>
      </c>
      <c r="P32" s="4981" t="s">
        <v>5147</v>
      </c>
      <c r="Q32" s="4845" t="s">
        <v>75</v>
      </c>
      <c r="R32" s="2140" t="s">
        <v>5148</v>
      </c>
      <c r="S32" s="120">
        <v>4</v>
      </c>
      <c r="T32" s="2128">
        <v>1020</v>
      </c>
      <c r="U32" s="2129">
        <v>835.47</v>
      </c>
      <c r="V32" s="120">
        <v>1</v>
      </c>
      <c r="W32" s="120">
        <f>表12[[#This Row],[Sales Amount]]-表12[[#This Row],[Cost]]</f>
        <v>184.52999999999997</v>
      </c>
      <c r="X32" s="1041">
        <f>表12[[#This Row],[Profit]]/表12[[#This Row],[Cost]]</f>
        <v>0.22086969011454627</v>
      </c>
      <c r="Y32" s="120"/>
      <c r="Z32" s="1209"/>
      <c r="AA32"/>
      <c r="AB32"/>
      <c r="AC32"/>
      <c r="AD32"/>
      <c r="AE32"/>
      <c r="AF32"/>
      <c r="AG32"/>
      <c r="AH32"/>
      <c r="AI32"/>
      <c r="AJ32"/>
      <c r="AK32"/>
      <c r="AL32"/>
      <c r="AM32"/>
      <c r="AN32"/>
      <c r="AO32"/>
      <c r="AP32"/>
      <c r="AQ32"/>
    </row>
    <row r="33" spans="1:43" s="117" customFormat="1" ht="31.5" hidden="1" customHeight="1">
      <c r="A33" s="4603" t="s">
        <v>3343</v>
      </c>
      <c r="B33" s="4848" t="s">
        <v>5149</v>
      </c>
      <c r="C33" s="4848" t="s">
        <v>28</v>
      </c>
      <c r="D33" s="4853">
        <v>45290</v>
      </c>
      <c r="E33" s="4907">
        <v>45301</v>
      </c>
      <c r="F33" s="4845" t="s">
        <v>86</v>
      </c>
      <c r="G33" s="4845" t="s">
        <v>46</v>
      </c>
      <c r="H33" s="4836"/>
      <c r="I33" s="4848"/>
      <c r="J33" s="4921" t="s">
        <v>32</v>
      </c>
      <c r="K33" s="4848" t="s">
        <v>310</v>
      </c>
      <c r="L33" s="5285" t="s">
        <v>5150</v>
      </c>
      <c r="M33" s="4853">
        <v>45303</v>
      </c>
      <c r="N33" s="4853">
        <v>45302</v>
      </c>
      <c r="O33" s="4853">
        <v>45304</v>
      </c>
      <c r="P33" s="4838" t="s">
        <v>5151</v>
      </c>
      <c r="Q33" s="4848" t="s">
        <v>50</v>
      </c>
      <c r="R33" s="2277" t="s">
        <v>5152</v>
      </c>
      <c r="S33" s="19"/>
      <c r="T33" s="1138"/>
      <c r="U33" s="1138"/>
      <c r="V33" s="1138"/>
      <c r="W33" s="1138">
        <f>表12[[#This Row],[Sales Amount]]-表12[[#This Row],[Cost]]</f>
        <v>0</v>
      </c>
      <c r="X33" s="1138">
        <f>IFERROR(Table6[[#This Row],[Profit]]/Table6[[#This Row],[Cost]]," ")</f>
        <v>0.6731517509727627</v>
      </c>
      <c r="Y33" s="1138"/>
      <c r="Z33" s="2253"/>
      <c r="AA33"/>
      <c r="AB33"/>
      <c r="AC33"/>
      <c r="AD33"/>
      <c r="AE33"/>
      <c r="AF33"/>
      <c r="AG33"/>
      <c r="AH33"/>
      <c r="AI33"/>
      <c r="AJ33"/>
      <c r="AK33"/>
      <c r="AL33"/>
      <c r="AM33"/>
      <c r="AN33"/>
      <c r="AO33"/>
      <c r="AP33"/>
      <c r="AQ33"/>
    </row>
    <row r="34" spans="1:43" s="36" customFormat="1" ht="31.5" hidden="1" customHeight="1">
      <c r="A34" s="3234" t="s">
        <v>732</v>
      </c>
      <c r="B34" s="3265" t="s">
        <v>5153</v>
      </c>
      <c r="C34" s="3265" t="s">
        <v>3181</v>
      </c>
      <c r="D34" s="4853">
        <v>45295</v>
      </c>
      <c r="E34" s="4907">
        <v>45301</v>
      </c>
      <c r="F34" s="3268" t="s">
        <v>990</v>
      </c>
      <c r="G34" s="3268" t="s">
        <v>46</v>
      </c>
      <c r="H34" s="3290"/>
      <c r="I34" s="3265"/>
      <c r="J34" s="36" t="s">
        <v>32</v>
      </c>
      <c r="K34" s="3364" t="s">
        <v>310</v>
      </c>
      <c r="L34" s="4848" t="s">
        <v>5154</v>
      </c>
      <c r="M34" s="4853">
        <v>45304</v>
      </c>
      <c r="N34" s="4853">
        <v>45303</v>
      </c>
      <c r="O34" s="3373">
        <v>45311</v>
      </c>
      <c r="P34" s="3317" t="s">
        <v>5155</v>
      </c>
      <c r="Q34" s="3265" t="s">
        <v>50</v>
      </c>
      <c r="R34" s="2216" t="s">
        <v>5156</v>
      </c>
      <c r="S34" s="31"/>
      <c r="T34" s="712"/>
      <c r="U34" s="712"/>
      <c r="V34" s="712"/>
      <c r="W34" s="712">
        <f>表12[[#This Row],[Sales Amount]]-表12[[#This Row],[Cost]]</f>
        <v>0</v>
      </c>
      <c r="X34" s="2280">
        <f>IFERROR(Table6[[#This Row],[Profit]]/Table6[[#This Row],[Cost]]," ")</f>
        <v>0.6731517509727627</v>
      </c>
      <c r="Y34" s="712"/>
      <c r="Z34" s="2210"/>
      <c r="AA34"/>
      <c r="AB34"/>
      <c r="AC34"/>
      <c r="AD34"/>
      <c r="AE34"/>
      <c r="AF34"/>
      <c r="AG34"/>
      <c r="AH34"/>
      <c r="AI34"/>
      <c r="AJ34"/>
      <c r="AK34"/>
      <c r="AL34"/>
      <c r="AM34"/>
      <c r="AN34"/>
      <c r="AO34"/>
      <c r="AP34"/>
      <c r="AQ34"/>
    </row>
    <row r="35" spans="1:43" s="117" customFormat="1" ht="31.5" customHeight="1">
      <c r="A35" s="3417" t="s">
        <v>165</v>
      </c>
      <c r="B35" s="4150" t="s">
        <v>5157</v>
      </c>
      <c r="C35" s="117" t="s">
        <v>28</v>
      </c>
      <c r="D35" s="3262">
        <v>45301</v>
      </c>
      <c r="E35" s="3365">
        <v>45301</v>
      </c>
      <c r="F35" s="1617" t="s">
        <v>135</v>
      </c>
      <c r="G35" s="1617" t="s">
        <v>5090</v>
      </c>
      <c r="H35" s="3292">
        <v>45320</v>
      </c>
      <c r="I35" s="3367" t="s">
        <v>5158</v>
      </c>
      <c r="J35" s="3268" t="s">
        <v>322</v>
      </c>
      <c r="K35" s="1617" t="s">
        <v>4357</v>
      </c>
      <c r="L35" s="3367" t="s">
        <v>5159</v>
      </c>
      <c r="M35" s="3366">
        <v>45310</v>
      </c>
      <c r="N35" s="3366">
        <v>45310</v>
      </c>
      <c r="O35" s="3427">
        <v>45327</v>
      </c>
      <c r="P35" s="2281" t="s">
        <v>5160</v>
      </c>
      <c r="Q35" s="117" t="s">
        <v>75</v>
      </c>
      <c r="R35" s="2318" t="s">
        <v>5161</v>
      </c>
      <c r="S35" s="660"/>
      <c r="T35" s="660">
        <v>2365</v>
      </c>
      <c r="U35" s="660">
        <v>1912.8</v>
      </c>
      <c r="V35" s="660">
        <v>1</v>
      </c>
      <c r="W35" s="660">
        <f>表12[[#This Row],[Sales Amount]]-表12[[#This Row],[Cost]]</f>
        <v>452.20000000000005</v>
      </c>
      <c r="X35" s="2282" t="str">
        <f>IFERROR(Table6[[#This Row],[Profit]]/Table6[[#This Row],[Cost]]," ")</f>
        <v xml:space="preserve"> </v>
      </c>
      <c r="Y35" s="660"/>
      <c r="Z35" s="113"/>
      <c r="AA35" s="3"/>
      <c r="AB35" s="3"/>
      <c r="AC35" s="3"/>
      <c r="AD35" s="3"/>
      <c r="AE35" s="3"/>
      <c r="AF35" s="3"/>
      <c r="AG35" s="3"/>
      <c r="AH35" s="3"/>
      <c r="AI35" s="3"/>
      <c r="AJ35" s="3"/>
      <c r="AK35" s="3"/>
      <c r="AL35" s="3"/>
      <c r="AM35" s="3"/>
      <c r="AN35" s="3"/>
      <c r="AO35" s="3"/>
      <c r="AP35" s="3"/>
      <c r="AQ35" s="3"/>
    </row>
    <row r="36" spans="1:43" s="36" customFormat="1" ht="31.5" customHeight="1">
      <c r="A36" s="4641" t="s">
        <v>165</v>
      </c>
      <c r="B36" s="4970" t="s">
        <v>5162</v>
      </c>
      <c r="C36" s="4921" t="s">
        <v>28</v>
      </c>
      <c r="D36" s="5207">
        <v>45301</v>
      </c>
      <c r="E36" s="4907">
        <v>45301</v>
      </c>
      <c r="F36" s="4920" t="s">
        <v>135</v>
      </c>
      <c r="G36" s="4920" t="s">
        <v>5090</v>
      </c>
      <c r="H36" s="3321">
        <v>45320</v>
      </c>
      <c r="I36" s="3392" t="s">
        <v>5158</v>
      </c>
      <c r="J36" s="3364" t="s">
        <v>322</v>
      </c>
      <c r="K36" s="4920" t="s">
        <v>4357</v>
      </c>
      <c r="L36" s="4976" t="s">
        <v>5163</v>
      </c>
      <c r="M36" s="3440">
        <v>45310</v>
      </c>
      <c r="N36" s="3440">
        <v>45310</v>
      </c>
      <c r="O36" s="3427">
        <v>45321</v>
      </c>
      <c r="P36" s="5286" t="s">
        <v>5164</v>
      </c>
      <c r="Q36" s="4921" t="s">
        <v>75</v>
      </c>
      <c r="R36" s="2334" t="s">
        <v>5165</v>
      </c>
      <c r="S36" s="1138">
        <v>4</v>
      </c>
      <c r="T36" s="1138">
        <v>1870</v>
      </c>
      <c r="U36" s="1138">
        <v>1642.8</v>
      </c>
      <c r="V36" s="1138">
        <v>1</v>
      </c>
      <c r="W36" s="1138">
        <f>表12[[#This Row],[Sales Amount]]-表12[[#This Row],[Cost]]</f>
        <v>227.20000000000005</v>
      </c>
      <c r="X36" s="2273" t="str">
        <f>IFERROR(Table6[[#This Row],[Profit]]/Table6[[#This Row],[Cost]]," ")</f>
        <v xml:space="preserve"> </v>
      </c>
      <c r="Y36" s="1138"/>
      <c r="Z36" s="2253"/>
      <c r="AA36"/>
      <c r="AB36"/>
      <c r="AC36"/>
      <c r="AD36"/>
      <c r="AE36"/>
      <c r="AF36"/>
      <c r="AG36"/>
      <c r="AH36"/>
      <c r="AI36"/>
      <c r="AJ36"/>
      <c r="AK36"/>
      <c r="AL36"/>
      <c r="AM36"/>
      <c r="AN36"/>
      <c r="AO36"/>
      <c r="AP36"/>
      <c r="AQ36"/>
    </row>
    <row r="37" spans="1:43" s="36" customFormat="1" ht="31.5" hidden="1" customHeight="1">
      <c r="A37" s="4603" t="s">
        <v>4793</v>
      </c>
      <c r="B37" s="4848" t="s">
        <v>5166</v>
      </c>
      <c r="C37" s="4848" t="s">
        <v>28</v>
      </c>
      <c r="D37" s="4853">
        <v>45291</v>
      </c>
      <c r="E37" s="3365">
        <v>45301</v>
      </c>
      <c r="F37" s="4845" t="s">
        <v>45</v>
      </c>
      <c r="G37" s="4845" t="s">
        <v>302</v>
      </c>
      <c r="H37" s="4836"/>
      <c r="I37" s="4848"/>
      <c r="J37" s="4848" t="s">
        <v>168</v>
      </c>
      <c r="K37" s="4921" t="s">
        <v>310</v>
      </c>
      <c r="L37" s="5287" t="s">
        <v>5167</v>
      </c>
      <c r="M37" s="4853">
        <v>45304</v>
      </c>
      <c r="N37" s="4853">
        <v>45304</v>
      </c>
      <c r="O37" s="4853">
        <v>45305</v>
      </c>
      <c r="P37" s="4838" t="s">
        <v>5168</v>
      </c>
      <c r="Q37" s="4848" t="s">
        <v>50</v>
      </c>
      <c r="R37" s="2277" t="s">
        <v>5169</v>
      </c>
      <c r="S37" s="19"/>
      <c r="T37" s="1138"/>
      <c r="U37" s="1138"/>
      <c r="V37" s="1138"/>
      <c r="W37" s="1138">
        <f>表12[[#This Row],[Sales Amount]]-表12[[#This Row],[Cost]]</f>
        <v>0</v>
      </c>
      <c r="X37" s="2275">
        <f>IFERROR(Table6[[#This Row],[Profit]]/Table6[[#This Row],[Cost]]," ")</f>
        <v>0.2087912087912088</v>
      </c>
      <c r="Y37" s="1138"/>
      <c r="Z37" s="2253"/>
      <c r="AA37" s="3"/>
      <c r="AB37" s="3"/>
      <c r="AC37" s="3"/>
      <c r="AD37" s="3"/>
      <c r="AE37" s="3"/>
      <c r="AF37" s="3"/>
      <c r="AG37" s="3"/>
      <c r="AH37" s="3"/>
      <c r="AI37" s="3"/>
      <c r="AJ37" s="3"/>
      <c r="AK37" s="3"/>
      <c r="AL37" s="3"/>
      <c r="AM37" s="3"/>
      <c r="AN37" s="3"/>
      <c r="AO37" s="3"/>
      <c r="AP37" s="3"/>
      <c r="AQ37" s="3"/>
    </row>
    <row r="38" spans="1:43" s="52" customFormat="1" ht="31.5" hidden="1" customHeight="1">
      <c r="A38" s="4589" t="s">
        <v>3562</v>
      </c>
      <c r="B38" s="5101" t="s">
        <v>5170</v>
      </c>
      <c r="C38" s="4834" t="s">
        <v>200</v>
      </c>
      <c r="D38" s="3301">
        <v>45288</v>
      </c>
      <c r="E38" s="3302">
        <v>45301</v>
      </c>
      <c r="F38" s="4834" t="s">
        <v>245</v>
      </c>
      <c r="G38" s="4834" t="s">
        <v>57</v>
      </c>
      <c r="H38" s="5102">
        <v>45308</v>
      </c>
      <c r="I38" s="5101" t="s">
        <v>115</v>
      </c>
      <c r="J38" s="4834" t="s">
        <v>32</v>
      </c>
      <c r="K38" s="4834" t="s">
        <v>5171</v>
      </c>
      <c r="L38" s="1195">
        <v>5086968</v>
      </c>
      <c r="M38" s="5102">
        <v>45303</v>
      </c>
      <c r="N38" s="5102">
        <v>45303</v>
      </c>
      <c r="O38" s="4833">
        <v>45309</v>
      </c>
      <c r="P38" s="5277" t="s">
        <v>5172</v>
      </c>
      <c r="Q38" s="4834" t="s">
        <v>35</v>
      </c>
      <c r="R38" s="4839" t="s">
        <v>36</v>
      </c>
      <c r="S38" s="962" t="s">
        <v>37</v>
      </c>
      <c r="T38" s="681">
        <v>1040</v>
      </c>
      <c r="U38" s="681">
        <v>870</v>
      </c>
      <c r="V38" s="681"/>
      <c r="W38" s="681">
        <f>表12[[#This Row],[Sales Amount]]-表12[[#This Row],[Cost]]</f>
        <v>170</v>
      </c>
      <c r="X38" s="2145">
        <f>IFERROR(Table6[[#This Row],[Profit]]/Table6[[#This Row],[Cost]]," ")</f>
        <v>0.2087912087912088</v>
      </c>
      <c r="Y38" s="681"/>
      <c r="Z38" s="2138"/>
      <c r="AA38"/>
      <c r="AB38"/>
      <c r="AC38"/>
      <c r="AD38"/>
      <c r="AE38"/>
      <c r="AF38"/>
      <c r="AG38"/>
      <c r="AH38"/>
      <c r="AI38"/>
      <c r="AJ38"/>
      <c r="AK38"/>
      <c r="AL38"/>
      <c r="AM38"/>
      <c r="AN38"/>
      <c r="AO38"/>
      <c r="AP38"/>
      <c r="AQ38"/>
    </row>
    <row r="39" spans="1:43" s="36" customFormat="1" ht="31.5" hidden="1" customHeight="1">
      <c r="A39" s="3239" t="s">
        <v>409</v>
      </c>
      <c r="B39" s="3441" t="s">
        <v>5173</v>
      </c>
      <c r="C39" s="3441" t="s">
        <v>28</v>
      </c>
      <c r="D39" s="3243">
        <v>45296</v>
      </c>
      <c r="E39" s="3243">
        <v>45302</v>
      </c>
      <c r="F39" s="3441" t="s">
        <v>151</v>
      </c>
      <c r="G39" s="2255" t="s">
        <v>302</v>
      </c>
      <c r="H39" s="3442" t="s">
        <v>4961</v>
      </c>
      <c r="I39" s="3295"/>
      <c r="J39" s="3443" t="s">
        <v>32</v>
      </c>
      <c r="K39" s="3443" t="s">
        <v>1622</v>
      </c>
      <c r="L39" s="3241"/>
      <c r="M39" s="3444"/>
      <c r="N39" s="3243"/>
      <c r="O39" s="3243"/>
      <c r="P39" s="2139" t="s">
        <v>5174</v>
      </c>
      <c r="Q39" s="3445" t="s">
        <v>5175</v>
      </c>
      <c r="R39" s="4895"/>
      <c r="S39" s="85"/>
      <c r="T39" s="705"/>
      <c r="U39" s="705"/>
      <c r="V39" s="705"/>
      <c r="W39" s="705">
        <f>表12[[#This Row],[Sales Amount]]-表12[[#This Row],[Cost]]</f>
        <v>0</v>
      </c>
      <c r="X39" s="2147">
        <f>IFERROR(Table6[[#This Row],[Profit]]/Table6[[#This Row],[Cost]]," ")</f>
        <v>0.2087912087912088</v>
      </c>
      <c r="Y39" s="705"/>
      <c r="Z39" s="704"/>
      <c r="AA39"/>
      <c r="AB39"/>
      <c r="AC39"/>
      <c r="AD39"/>
      <c r="AE39"/>
      <c r="AF39"/>
      <c r="AG39"/>
      <c r="AH39"/>
      <c r="AI39"/>
      <c r="AJ39"/>
      <c r="AK39"/>
      <c r="AL39"/>
      <c r="AM39"/>
      <c r="AN39"/>
      <c r="AO39"/>
      <c r="AP39"/>
      <c r="AQ39"/>
    </row>
    <row r="40" spans="1:43" s="52" customFormat="1" hidden="1">
      <c r="A40" s="3235" t="s">
        <v>1035</v>
      </c>
      <c r="B40" s="58" t="s">
        <v>5176</v>
      </c>
      <c r="C40" s="58" t="s">
        <v>451</v>
      </c>
      <c r="D40" s="3280">
        <v>45288</v>
      </c>
      <c r="E40" s="3346">
        <v>45302</v>
      </c>
      <c r="F40" s="58" t="s">
        <v>151</v>
      </c>
      <c r="G40" s="3275" t="s">
        <v>46</v>
      </c>
      <c r="H40" s="3280" t="s">
        <v>1038</v>
      </c>
      <c r="I40" s="3275"/>
      <c r="J40" s="3275" t="s">
        <v>32</v>
      </c>
      <c r="K40" s="1344" t="s">
        <v>162</v>
      </c>
      <c r="L40" s="3357" t="s">
        <v>5177</v>
      </c>
      <c r="M40" s="3350">
        <v>45305</v>
      </c>
      <c r="N40" s="3280">
        <v>45304</v>
      </c>
      <c r="O40" s="3280">
        <v>45304</v>
      </c>
      <c r="P40" s="3439" t="s">
        <v>5178</v>
      </c>
      <c r="Q40" s="58" t="s">
        <v>35</v>
      </c>
      <c r="R40" s="2093" t="s">
        <v>36</v>
      </c>
      <c r="S40" s="710" t="s">
        <v>1320</v>
      </c>
      <c r="T40" s="705"/>
      <c r="U40" s="705"/>
      <c r="V40" s="705"/>
      <c r="W40" s="705">
        <f>表12[[#This Row],[Sales Amount]]-表12[[#This Row],[Cost]]</f>
        <v>0</v>
      </c>
      <c r="X40" s="705" t="str">
        <f>IFERROR(Table6[[#This Row],[Profit]]/Table6[[#This Row],[Cost]]," ")</f>
        <v xml:space="preserve"> </v>
      </c>
      <c r="Y40" s="705"/>
      <c r="Z40" s="704"/>
      <c r="AA40"/>
      <c r="AB40"/>
      <c r="AC40"/>
      <c r="AD40"/>
      <c r="AE40"/>
      <c r="AF40"/>
      <c r="AG40"/>
      <c r="AH40"/>
      <c r="AI40"/>
      <c r="AJ40"/>
      <c r="AK40"/>
      <c r="AL40"/>
      <c r="AM40"/>
      <c r="AN40"/>
      <c r="AO40"/>
      <c r="AP40"/>
      <c r="AQ40"/>
    </row>
    <row r="41" spans="1:43" s="36" customFormat="1" hidden="1">
      <c r="A41" s="3235" t="s">
        <v>254</v>
      </c>
      <c r="B41" s="3275" t="s">
        <v>5179</v>
      </c>
      <c r="C41" s="3275" t="s">
        <v>28</v>
      </c>
      <c r="D41" s="3280">
        <v>45302</v>
      </c>
      <c r="E41" s="3346">
        <v>45302</v>
      </c>
      <c r="F41" s="3275" t="s">
        <v>135</v>
      </c>
      <c r="G41" s="3275" t="s">
        <v>5180</v>
      </c>
      <c r="H41" s="3304" t="s">
        <v>5181</v>
      </c>
      <c r="I41" s="3303" t="s">
        <v>5182</v>
      </c>
      <c r="J41" s="3275" t="s">
        <v>859</v>
      </c>
      <c r="K41" s="3275" t="s">
        <v>5183</v>
      </c>
      <c r="L41" s="3357" t="s">
        <v>542</v>
      </c>
      <c r="M41" s="3396">
        <v>45309</v>
      </c>
      <c r="N41" s="3396">
        <v>45308</v>
      </c>
      <c r="O41" s="3280">
        <v>45310</v>
      </c>
      <c r="P41" s="3439" t="s">
        <v>5184</v>
      </c>
      <c r="Q41" s="3275" t="s">
        <v>35</v>
      </c>
      <c r="R41" s="4839" t="s">
        <v>36</v>
      </c>
      <c r="S41" s="710" t="s">
        <v>37</v>
      </c>
      <c r="T41" s="705">
        <v>1427.75</v>
      </c>
      <c r="U41" s="705">
        <v>1216.25</v>
      </c>
      <c r="V41" s="705"/>
      <c r="W41" s="705">
        <f>表12[[#This Row],[Sales Amount]]-表12[[#This Row],[Cost]]</f>
        <v>211.5</v>
      </c>
      <c r="X41" s="705">
        <f>IFERROR(Table6[[#This Row],[Profit]]/Table6[[#This Row],[Cost]]," ")</f>
        <v>-1</v>
      </c>
      <c r="Y41" s="705"/>
      <c r="Z41" s="704"/>
      <c r="AA41"/>
      <c r="AB41"/>
      <c r="AC41"/>
      <c r="AD41"/>
      <c r="AE41"/>
      <c r="AF41"/>
      <c r="AG41"/>
      <c r="AH41"/>
      <c r="AI41"/>
      <c r="AJ41"/>
      <c r="AK41"/>
      <c r="AL41"/>
      <c r="AM41"/>
      <c r="AN41"/>
      <c r="AO41"/>
      <c r="AP41"/>
      <c r="AQ41"/>
    </row>
    <row r="42" spans="1:43" s="52" customFormat="1" hidden="1">
      <c r="A42" s="3239" t="s">
        <v>409</v>
      </c>
      <c r="B42" s="3446" t="s">
        <v>5185</v>
      </c>
      <c r="C42" s="3441" t="s">
        <v>28</v>
      </c>
      <c r="D42" s="3243">
        <v>45296</v>
      </c>
      <c r="E42" s="3243">
        <v>45302</v>
      </c>
      <c r="F42" s="3441" t="s">
        <v>151</v>
      </c>
      <c r="G42" s="3443" t="s">
        <v>302</v>
      </c>
      <c r="H42" s="3442" t="s">
        <v>4961</v>
      </c>
      <c r="I42" s="3295"/>
      <c r="J42" s="3443" t="s">
        <v>32</v>
      </c>
      <c r="K42" s="3443" t="s">
        <v>407</v>
      </c>
      <c r="L42" s="3241"/>
      <c r="M42" s="3444"/>
      <c r="N42" s="3243"/>
      <c r="O42" s="3243"/>
      <c r="P42" s="3447" t="s">
        <v>5186</v>
      </c>
      <c r="Q42" s="3445" t="s">
        <v>5175</v>
      </c>
      <c r="R42" s="1730"/>
      <c r="S42" s="85"/>
      <c r="T42" s="705"/>
      <c r="U42" s="705"/>
      <c r="V42" s="705"/>
      <c r="W42" s="705">
        <f>表12[[#This Row],[Sales Amount]]-表12[[#This Row],[Cost]]</f>
        <v>0</v>
      </c>
      <c r="X42" s="2147">
        <f>IFERROR(Table6[[#This Row],[Profit]]/Table6[[#This Row],[Cost]]," ")</f>
        <v>0.30541871921182268</v>
      </c>
      <c r="Y42" s="705"/>
      <c r="Z42" s="704"/>
      <c r="AA42"/>
      <c r="AB42"/>
      <c r="AC42"/>
      <c r="AD42"/>
      <c r="AE42"/>
      <c r="AF42"/>
      <c r="AG42"/>
      <c r="AH42"/>
      <c r="AI42"/>
      <c r="AJ42"/>
      <c r="AK42"/>
      <c r="AL42"/>
      <c r="AM42"/>
      <c r="AN42"/>
      <c r="AO42"/>
      <c r="AP42"/>
      <c r="AQ42"/>
    </row>
    <row r="43" spans="1:43" s="52" customFormat="1" hidden="1">
      <c r="A43" s="4214" t="s">
        <v>4815</v>
      </c>
      <c r="B43" s="4213" t="s">
        <v>5187</v>
      </c>
      <c r="C43" s="4213" t="s">
        <v>28</v>
      </c>
      <c r="D43" s="3243">
        <v>45293</v>
      </c>
      <c r="E43" s="3243">
        <v>45303</v>
      </c>
      <c r="F43" s="4213" t="s">
        <v>45</v>
      </c>
      <c r="G43" s="4213" t="s">
        <v>302</v>
      </c>
      <c r="H43" s="3442" t="s">
        <v>4961</v>
      </c>
      <c r="I43" s="3241"/>
      <c r="J43" s="3443" t="s">
        <v>32</v>
      </c>
      <c r="K43" s="4322" t="s">
        <v>1422</v>
      </c>
      <c r="L43" s="3448"/>
      <c r="M43" s="3444"/>
      <c r="N43" s="3243"/>
      <c r="O43" s="3243"/>
      <c r="P43" s="4323" t="s">
        <v>5188</v>
      </c>
      <c r="Q43" s="3445" t="s">
        <v>5175</v>
      </c>
      <c r="R43" s="1730"/>
      <c r="S43" s="85"/>
      <c r="T43" s="705"/>
      <c r="U43" s="705"/>
      <c r="V43" s="705"/>
      <c r="W43" s="705">
        <f>表12[[#This Row],[Sales Amount]]-表12[[#This Row],[Cost]]</f>
        <v>0</v>
      </c>
      <c r="X43" s="1996" t="str">
        <f>IFERROR(Table6[[#This Row],[Profit]]/Table6[[#This Row],[Cost]]," ")</f>
        <v xml:space="preserve"> </v>
      </c>
      <c r="Y43" s="705"/>
      <c r="Z43" s="704"/>
      <c r="AA43"/>
      <c r="AB43"/>
      <c r="AC43"/>
      <c r="AD43"/>
      <c r="AE43"/>
      <c r="AF43"/>
      <c r="AG43"/>
      <c r="AH43"/>
      <c r="AI43"/>
      <c r="AJ43"/>
      <c r="AK43"/>
      <c r="AL43"/>
      <c r="AM43"/>
      <c r="AN43"/>
      <c r="AO43"/>
      <c r="AP43"/>
      <c r="AQ43"/>
    </row>
    <row r="44" spans="1:43" s="52" customFormat="1" hidden="1">
      <c r="A44" s="3235" t="s">
        <v>1035</v>
      </c>
      <c r="B44" s="3275" t="s">
        <v>5189</v>
      </c>
      <c r="C44" s="3275" t="s">
        <v>451</v>
      </c>
      <c r="D44" s="3280">
        <v>45288</v>
      </c>
      <c r="E44" s="3346">
        <v>45303</v>
      </c>
      <c r="F44" s="3275" t="s">
        <v>151</v>
      </c>
      <c r="G44" s="3275" t="s">
        <v>46</v>
      </c>
      <c r="H44" s="3280" t="s">
        <v>1038</v>
      </c>
      <c r="I44" s="58"/>
      <c r="J44" s="3275" t="s">
        <v>32</v>
      </c>
      <c r="K44" s="3278" t="s">
        <v>162</v>
      </c>
      <c r="L44" s="3357" t="s">
        <v>5190</v>
      </c>
      <c r="M44" s="3350" t="s">
        <v>5191</v>
      </c>
      <c r="N44" s="3280">
        <v>45309</v>
      </c>
      <c r="O44" s="3280">
        <v>45313</v>
      </c>
      <c r="P44" s="3439" t="s">
        <v>5178</v>
      </c>
      <c r="Q44" s="3275" t="s">
        <v>35</v>
      </c>
      <c r="R44" s="58" t="s">
        <v>36</v>
      </c>
      <c r="S44" s="710" t="s">
        <v>1320</v>
      </c>
      <c r="T44" s="705"/>
      <c r="U44" s="705"/>
      <c r="V44" s="705"/>
      <c r="W44" s="705">
        <f>表12[[#This Row],[Sales Amount]]-表12[[#This Row],[Cost]]</f>
        <v>0</v>
      </c>
      <c r="X44" s="705">
        <f>IFERROR(Table6[[#This Row],[Profit]]/Table6[[#This Row],[Cost]]," ")</f>
        <v>0.17366946778711484</v>
      </c>
      <c r="Y44" s="705"/>
      <c r="Z44" s="704"/>
      <c r="AA44"/>
      <c r="AB44"/>
      <c r="AC44"/>
      <c r="AD44"/>
      <c r="AE44"/>
      <c r="AF44"/>
      <c r="AG44"/>
      <c r="AH44"/>
      <c r="AI44"/>
      <c r="AJ44"/>
      <c r="AK44"/>
      <c r="AL44"/>
      <c r="AM44"/>
      <c r="AN44"/>
      <c r="AO44"/>
      <c r="AP44"/>
      <c r="AQ44"/>
    </row>
    <row r="45" spans="1:43" s="52" customFormat="1" hidden="1">
      <c r="A45" s="3235" t="s">
        <v>1035</v>
      </c>
      <c r="B45" s="915" t="s">
        <v>5192</v>
      </c>
      <c r="C45" s="3275" t="s">
        <v>451</v>
      </c>
      <c r="D45" s="3280">
        <v>45288</v>
      </c>
      <c r="E45" s="3346">
        <v>45303</v>
      </c>
      <c r="F45" s="3275" t="s">
        <v>151</v>
      </c>
      <c r="G45" s="3275" t="s">
        <v>46</v>
      </c>
      <c r="H45" s="3280" t="s">
        <v>1038</v>
      </c>
      <c r="I45" s="3275"/>
      <c r="J45" s="3275" t="s">
        <v>32</v>
      </c>
      <c r="K45" s="3278" t="s">
        <v>162</v>
      </c>
      <c r="L45" s="3357" t="s">
        <v>5193</v>
      </c>
      <c r="M45" s="3396"/>
      <c r="N45" s="3280">
        <v>45304</v>
      </c>
      <c r="O45" s="3280">
        <v>45313</v>
      </c>
      <c r="P45" s="3439" t="s">
        <v>5178</v>
      </c>
      <c r="Q45" s="3275" t="s">
        <v>35</v>
      </c>
      <c r="R45" s="2093" t="s">
        <v>36</v>
      </c>
      <c r="S45" s="710" t="s">
        <v>1320</v>
      </c>
      <c r="T45" s="705"/>
      <c r="U45" s="705"/>
      <c r="V45" s="705"/>
      <c r="W45" s="705">
        <f>表12[[#This Row],[Sales Amount]]-表12[[#This Row],[Cost]]</f>
        <v>0</v>
      </c>
      <c r="X45" s="705">
        <f>IFERROR(Table6[[#This Row],[Profit]]/Table6[[#This Row],[Cost]]," ")</f>
        <v>7.909604519774012E-2</v>
      </c>
      <c r="Y45" s="705"/>
      <c r="Z45" s="704"/>
      <c r="AA45"/>
      <c r="AB45"/>
      <c r="AC45"/>
      <c r="AD45"/>
      <c r="AE45"/>
      <c r="AF45"/>
      <c r="AG45"/>
      <c r="AH45"/>
      <c r="AI45"/>
      <c r="AJ45"/>
      <c r="AK45"/>
      <c r="AL45"/>
      <c r="AM45"/>
      <c r="AN45"/>
      <c r="AO45"/>
      <c r="AP45"/>
      <c r="AQ45"/>
    </row>
    <row r="46" spans="1:43" s="52" customFormat="1" hidden="1">
      <c r="A46" s="3235" t="s">
        <v>1035</v>
      </c>
      <c r="B46" s="3357" t="s">
        <v>5194</v>
      </c>
      <c r="C46" s="3275" t="s">
        <v>451</v>
      </c>
      <c r="D46" s="3280">
        <v>45288</v>
      </c>
      <c r="E46" s="3346">
        <v>45303</v>
      </c>
      <c r="F46" s="3275" t="s">
        <v>151</v>
      </c>
      <c r="G46" s="3275" t="s">
        <v>46</v>
      </c>
      <c r="H46" s="3280" t="s">
        <v>1038</v>
      </c>
      <c r="I46" s="3275"/>
      <c r="J46" s="3275" t="s">
        <v>32</v>
      </c>
      <c r="K46" s="3278" t="s">
        <v>162</v>
      </c>
      <c r="L46" s="3357" t="s">
        <v>5195</v>
      </c>
      <c r="M46" s="3350" t="s">
        <v>5191</v>
      </c>
      <c r="N46" s="3280">
        <v>45309</v>
      </c>
      <c r="O46" s="3280">
        <v>45313</v>
      </c>
      <c r="P46" s="3439" t="s">
        <v>5178</v>
      </c>
      <c r="Q46" s="3275" t="s">
        <v>35</v>
      </c>
      <c r="R46" s="2093" t="s">
        <v>36</v>
      </c>
      <c r="S46" s="710" t="s">
        <v>1320</v>
      </c>
      <c r="T46" s="705"/>
      <c r="U46" s="705"/>
      <c r="V46" s="705"/>
      <c r="W46" s="705">
        <f>表12[[#This Row],[Sales Amount]]-表12[[#This Row],[Cost]]</f>
        <v>0</v>
      </c>
      <c r="X46" s="705">
        <f>IFERROR(Table6[[#This Row],[Profit]]/Table6[[#This Row],[Cost]]," ")</f>
        <v>0.19580419580419581</v>
      </c>
      <c r="Y46" s="705"/>
      <c r="Z46" s="704"/>
      <c r="AA46"/>
      <c r="AB46"/>
      <c r="AC46"/>
      <c r="AD46"/>
      <c r="AE46"/>
      <c r="AF46"/>
      <c r="AG46"/>
      <c r="AH46"/>
      <c r="AI46"/>
      <c r="AJ46"/>
      <c r="AK46"/>
      <c r="AL46"/>
      <c r="AM46"/>
      <c r="AN46"/>
      <c r="AO46"/>
      <c r="AP46"/>
      <c r="AQ46"/>
    </row>
    <row r="47" spans="1:43" s="52" customFormat="1" hidden="1">
      <c r="A47" s="3235" t="s">
        <v>2396</v>
      </c>
      <c r="B47" s="3449" t="s">
        <v>5196</v>
      </c>
      <c r="C47" s="3275" t="s">
        <v>44</v>
      </c>
      <c r="D47" s="3280">
        <v>45303</v>
      </c>
      <c r="E47" s="3280">
        <v>45303</v>
      </c>
      <c r="F47" s="3275" t="s">
        <v>151</v>
      </c>
      <c r="G47" s="3275" t="s">
        <v>5197</v>
      </c>
      <c r="H47" s="3304">
        <v>45306</v>
      </c>
      <c r="I47" s="3370"/>
      <c r="J47" s="3275" t="s">
        <v>1478</v>
      </c>
      <c r="K47" s="3275" t="s">
        <v>5198</v>
      </c>
      <c r="L47" s="3275"/>
      <c r="M47" s="3280">
        <v>45309</v>
      </c>
      <c r="N47" s="3280">
        <v>45306</v>
      </c>
      <c r="O47" s="3280">
        <v>45310</v>
      </c>
      <c r="P47" s="3429" t="s">
        <v>5199</v>
      </c>
      <c r="Q47" s="3275" t="s">
        <v>35</v>
      </c>
      <c r="R47" s="2093" t="s">
        <v>36</v>
      </c>
      <c r="S47" s="710" t="s">
        <v>37</v>
      </c>
      <c r="T47" s="705">
        <v>1800</v>
      </c>
      <c r="U47" s="705">
        <v>1323.2</v>
      </c>
      <c r="V47" s="705">
        <v>3</v>
      </c>
      <c r="W47" s="705">
        <f>表12[[#This Row],[Sales Amount]]-表12[[#This Row],[Cost]]</f>
        <v>476.79999999999995</v>
      </c>
      <c r="X47" s="2146" t="str">
        <f>IFERROR(Table6[[#This Row],[Profit]]/Table6[[#This Row],[Cost]]," ")</f>
        <v xml:space="preserve"> </v>
      </c>
      <c r="Y47" s="705"/>
      <c r="Z47" s="704"/>
      <c r="AA47"/>
      <c r="AB47"/>
      <c r="AC47"/>
      <c r="AD47"/>
      <c r="AE47"/>
      <c r="AF47"/>
      <c r="AG47"/>
      <c r="AH47"/>
      <c r="AI47"/>
      <c r="AJ47"/>
      <c r="AK47"/>
      <c r="AL47"/>
      <c r="AM47"/>
      <c r="AN47"/>
      <c r="AO47"/>
      <c r="AP47"/>
      <c r="AQ47"/>
    </row>
    <row r="48" spans="1:43" s="36" customFormat="1" hidden="1">
      <c r="A48" s="3234" t="s">
        <v>732</v>
      </c>
      <c r="B48" s="117" t="s">
        <v>5200</v>
      </c>
      <c r="C48" s="3265" t="s">
        <v>3181</v>
      </c>
      <c r="D48" s="3373">
        <v>45295</v>
      </c>
      <c r="E48" s="3365">
        <v>45303</v>
      </c>
      <c r="F48" s="117" t="s">
        <v>990</v>
      </c>
      <c r="G48" s="3268" t="s">
        <v>46</v>
      </c>
      <c r="H48" s="3290"/>
      <c r="I48" s="3265"/>
      <c r="J48" s="25" t="s">
        <v>168</v>
      </c>
      <c r="K48" s="3364" t="s">
        <v>310</v>
      </c>
      <c r="L48" s="3450" t="s">
        <v>5201</v>
      </c>
      <c r="M48" s="3373">
        <v>45310</v>
      </c>
      <c r="N48" s="3373">
        <v>45307</v>
      </c>
      <c r="O48" s="3373">
        <v>45309</v>
      </c>
      <c r="P48" s="3451" t="s">
        <v>5202</v>
      </c>
      <c r="Q48" s="3265" t="s">
        <v>50</v>
      </c>
      <c r="R48" s="2216" t="s">
        <v>5203</v>
      </c>
      <c r="S48" s="31"/>
      <c r="T48" s="712"/>
      <c r="U48" s="712"/>
      <c r="V48" s="712"/>
      <c r="W48" s="712">
        <f>表12[[#This Row],[Sales Amount]]-表12[[#This Row],[Cost]]</f>
        <v>0</v>
      </c>
      <c r="X48" s="2280" t="str">
        <f>IFERROR(Table6[[#This Row],[Profit]]/Table6[[#This Row],[Cost]]," ")</f>
        <v xml:space="preserve"> </v>
      </c>
      <c r="Y48" s="712"/>
      <c r="Z48" s="2210"/>
      <c r="AA48"/>
      <c r="AB48"/>
      <c r="AC48"/>
      <c r="AD48"/>
      <c r="AE48"/>
      <c r="AF48"/>
      <c r="AG48"/>
      <c r="AH48"/>
      <c r="AI48"/>
      <c r="AJ48"/>
      <c r="AK48"/>
      <c r="AL48"/>
      <c r="AM48"/>
      <c r="AN48"/>
      <c r="AO48"/>
      <c r="AP48"/>
      <c r="AQ48"/>
    </row>
    <row r="49" spans="1:43" s="52" customFormat="1" hidden="1">
      <c r="A49" s="3235" t="s">
        <v>2396</v>
      </c>
      <c r="B49" s="3449" t="s">
        <v>5204</v>
      </c>
      <c r="C49" s="3275" t="s">
        <v>44</v>
      </c>
      <c r="D49" s="3280">
        <v>45303</v>
      </c>
      <c r="E49" s="3280">
        <v>45303</v>
      </c>
      <c r="F49" s="3275" t="s">
        <v>151</v>
      </c>
      <c r="G49" s="3275" t="s">
        <v>5197</v>
      </c>
      <c r="H49" s="3304">
        <v>45307</v>
      </c>
      <c r="I49" s="3370"/>
      <c r="J49" s="710" t="s">
        <v>1478</v>
      </c>
      <c r="K49" s="3275" t="s">
        <v>5198</v>
      </c>
      <c r="L49" s="3275"/>
      <c r="M49" s="3280">
        <v>45309</v>
      </c>
      <c r="N49" s="3280">
        <v>45307</v>
      </c>
      <c r="O49" s="3280">
        <v>45309</v>
      </c>
      <c r="P49" s="3429" t="s">
        <v>5199</v>
      </c>
      <c r="Q49" s="3275" t="s">
        <v>35</v>
      </c>
      <c r="R49" s="2093" t="s">
        <v>36</v>
      </c>
      <c r="S49" s="710" t="s">
        <v>37</v>
      </c>
      <c r="T49" s="705">
        <v>1800</v>
      </c>
      <c r="U49" s="705">
        <v>1323.2</v>
      </c>
      <c r="V49" s="705">
        <v>3</v>
      </c>
      <c r="W49" s="705">
        <f>表12[[#This Row],[Sales Amount]]-表12[[#This Row],[Cost]]</f>
        <v>476.79999999999995</v>
      </c>
      <c r="X49" s="2146">
        <f>IFERROR(Table6[[#This Row],[Profit]]/Table6[[#This Row],[Cost]]," ")</f>
        <v>0.17412140575079874</v>
      </c>
      <c r="Y49" s="705"/>
      <c r="Z49" s="704"/>
      <c r="AA49"/>
      <c r="AB49"/>
      <c r="AC49"/>
      <c r="AD49"/>
      <c r="AE49"/>
      <c r="AF49"/>
      <c r="AG49"/>
      <c r="AH49"/>
      <c r="AI49"/>
      <c r="AJ49"/>
      <c r="AK49"/>
      <c r="AL49"/>
      <c r="AM49"/>
      <c r="AN49"/>
      <c r="AO49"/>
      <c r="AP49"/>
      <c r="AQ49"/>
    </row>
    <row r="50" spans="1:43" s="52" customFormat="1" hidden="1">
      <c r="A50" s="3235" t="s">
        <v>2396</v>
      </c>
      <c r="B50" s="3275" t="s">
        <v>5205</v>
      </c>
      <c r="C50" s="3275" t="s">
        <v>44</v>
      </c>
      <c r="D50" s="3280">
        <v>45303</v>
      </c>
      <c r="E50" s="3280">
        <v>45303</v>
      </c>
      <c r="F50" s="3275" t="s">
        <v>151</v>
      </c>
      <c r="G50" s="3275" t="s">
        <v>5197</v>
      </c>
      <c r="H50" s="3304">
        <v>45306</v>
      </c>
      <c r="I50" s="3370"/>
      <c r="J50" s="710" t="s">
        <v>1478</v>
      </c>
      <c r="K50" s="3275" t="s">
        <v>5198</v>
      </c>
      <c r="L50" s="3275"/>
      <c r="M50" s="3280">
        <v>45309</v>
      </c>
      <c r="N50" s="3280">
        <v>45306</v>
      </c>
      <c r="O50" s="3280">
        <v>45309</v>
      </c>
      <c r="P50" s="3429" t="s">
        <v>5206</v>
      </c>
      <c r="Q50" s="3275" t="s">
        <v>35</v>
      </c>
      <c r="R50" s="2093" t="s">
        <v>36</v>
      </c>
      <c r="S50" s="710" t="s">
        <v>37</v>
      </c>
      <c r="T50" s="705">
        <v>1800</v>
      </c>
      <c r="U50" s="705">
        <v>1323.2</v>
      </c>
      <c r="V50" s="705">
        <v>3</v>
      </c>
      <c r="W50" s="705">
        <f>表12[[#This Row],[Sales Amount]]-表12[[#This Row],[Cost]]</f>
        <v>476.79999999999995</v>
      </c>
      <c r="X50" s="2146">
        <f>IFERROR(Table6[[#This Row],[Profit]]/Table6[[#This Row],[Cost]]," ")</f>
        <v>2.6866914737846081E-4</v>
      </c>
      <c r="Y50" s="705"/>
      <c r="Z50" s="704"/>
      <c r="AA50"/>
      <c r="AB50"/>
      <c r="AC50"/>
      <c r="AD50"/>
      <c r="AE50"/>
      <c r="AF50"/>
      <c r="AG50"/>
      <c r="AH50"/>
      <c r="AI50"/>
      <c r="AJ50"/>
      <c r="AK50"/>
      <c r="AL50"/>
      <c r="AM50"/>
      <c r="AN50"/>
      <c r="AO50"/>
      <c r="AP50"/>
      <c r="AQ50"/>
    </row>
    <row r="51" spans="1:43" s="52" customFormat="1" hidden="1">
      <c r="A51" s="7" t="s">
        <v>409</v>
      </c>
      <c r="B51" s="3241" t="s">
        <v>5207</v>
      </c>
      <c r="C51" s="3241" t="s">
        <v>28</v>
      </c>
      <c r="D51" s="3243">
        <v>45296</v>
      </c>
      <c r="E51" s="3243">
        <v>45304</v>
      </c>
      <c r="F51" s="3241" t="s">
        <v>45</v>
      </c>
      <c r="G51" s="3443" t="s">
        <v>302</v>
      </c>
      <c r="H51" s="3442" t="s">
        <v>4961</v>
      </c>
      <c r="I51" s="3295"/>
      <c r="J51" s="850" t="s">
        <v>32</v>
      </c>
      <c r="K51" s="3295" t="s">
        <v>1622</v>
      </c>
      <c r="L51" s="3241"/>
      <c r="M51" s="3444"/>
      <c r="N51" s="3243"/>
      <c r="O51" s="3243"/>
      <c r="P51" s="3445" t="s">
        <v>5208</v>
      </c>
      <c r="Q51" s="3445" t="s">
        <v>5175</v>
      </c>
      <c r="R51" s="1730"/>
      <c r="S51" s="85"/>
      <c r="T51" s="705"/>
      <c r="U51" s="705"/>
      <c r="V51" s="705"/>
      <c r="W51" s="705">
        <f>表12[[#This Row],[Sales Amount]]-表12[[#This Row],[Cost]]</f>
        <v>0</v>
      </c>
      <c r="X51" s="2147">
        <f>IFERROR(Table6[[#This Row],[Profit]]/Table6[[#This Row],[Cost]]," ")</f>
        <v>0.31189213085764811</v>
      </c>
      <c r="Y51" s="705"/>
      <c r="Z51" s="704"/>
      <c r="AA51"/>
      <c r="AB51"/>
      <c r="AC51"/>
      <c r="AD51"/>
      <c r="AE51"/>
      <c r="AF51"/>
      <c r="AG51"/>
      <c r="AH51"/>
      <c r="AI51"/>
      <c r="AJ51"/>
      <c r="AK51"/>
      <c r="AL51"/>
      <c r="AM51"/>
      <c r="AN51"/>
      <c r="AO51"/>
      <c r="AP51"/>
      <c r="AQ51"/>
    </row>
    <row r="52" spans="1:43" s="36" customFormat="1" hidden="1">
      <c r="A52" s="3417" t="s">
        <v>409</v>
      </c>
      <c r="B52" s="3" t="s">
        <v>5209</v>
      </c>
      <c r="C52" s="25" t="s">
        <v>28</v>
      </c>
      <c r="D52" s="3373">
        <v>44931</v>
      </c>
      <c r="E52" s="3365">
        <v>45304</v>
      </c>
      <c r="F52" s="117" t="s">
        <v>86</v>
      </c>
      <c r="G52" s="117" t="s">
        <v>46</v>
      </c>
      <c r="H52" s="3290"/>
      <c r="I52" s="3265"/>
      <c r="J52" s="25" t="s">
        <v>32</v>
      </c>
      <c r="K52" s="25" t="s">
        <v>310</v>
      </c>
      <c r="L52" s="4848">
        <v>652293</v>
      </c>
      <c r="M52" s="4853">
        <v>45310</v>
      </c>
      <c r="N52" s="3373">
        <v>45306</v>
      </c>
      <c r="O52" s="3373">
        <v>45308</v>
      </c>
      <c r="P52" s="3" t="s">
        <v>5210</v>
      </c>
      <c r="Q52" s="25" t="s">
        <v>50</v>
      </c>
      <c r="R52" s="3" t="s">
        <v>5211</v>
      </c>
      <c r="S52" s="31"/>
      <c r="T52" s="712"/>
      <c r="U52" s="712"/>
      <c r="V52" s="712"/>
      <c r="W52" s="712">
        <f>表12[[#This Row],[Sales Amount]]-表12[[#This Row],[Cost]]</f>
        <v>0</v>
      </c>
      <c r="X52" s="712">
        <f>IFERROR(Table6[[#This Row],[Profit]]/Table6[[#This Row],[Cost]]," ")</f>
        <v>0.43195266272189348</v>
      </c>
      <c r="Y52" s="712"/>
      <c r="Z52" s="2210"/>
      <c r="AA52"/>
      <c r="AB52"/>
      <c r="AC52"/>
      <c r="AD52"/>
      <c r="AE52"/>
      <c r="AF52"/>
      <c r="AG52"/>
      <c r="AH52"/>
      <c r="AI52"/>
      <c r="AJ52"/>
      <c r="AK52"/>
      <c r="AL52"/>
      <c r="AM52"/>
      <c r="AN52"/>
      <c r="AO52"/>
      <c r="AP52"/>
      <c r="AQ52"/>
    </row>
    <row r="53" spans="1:43" s="36" customFormat="1" hidden="1">
      <c r="A53" s="3417" t="s">
        <v>409</v>
      </c>
      <c r="B53" s="117" t="s">
        <v>5212</v>
      </c>
      <c r="C53" s="25" t="s">
        <v>28</v>
      </c>
      <c r="D53" s="3373">
        <v>45296</v>
      </c>
      <c r="E53" s="3365">
        <v>45304</v>
      </c>
      <c r="F53" s="117" t="s">
        <v>151</v>
      </c>
      <c r="G53" s="117" t="s">
        <v>302</v>
      </c>
      <c r="H53" s="3290"/>
      <c r="I53" s="3265"/>
      <c r="J53" s="3265" t="s">
        <v>32</v>
      </c>
      <c r="K53" s="36" t="s">
        <v>47</v>
      </c>
      <c r="L53" s="4848" t="s">
        <v>5213</v>
      </c>
      <c r="M53" s="4853">
        <v>45310</v>
      </c>
      <c r="N53" s="3373">
        <v>45308</v>
      </c>
      <c r="O53" s="3373">
        <v>45309</v>
      </c>
      <c r="P53" s="3" t="s">
        <v>5214</v>
      </c>
      <c r="Q53" s="3364" t="s">
        <v>89</v>
      </c>
      <c r="R53" s="3" t="s">
        <v>5215</v>
      </c>
      <c r="S53" s="31">
        <v>4</v>
      </c>
      <c r="T53" s="712"/>
      <c r="U53" s="712"/>
      <c r="V53" s="712"/>
      <c r="W53" s="712">
        <f>表12[[#This Row],[Sales Amount]]-表12[[#This Row],[Cost]]</f>
        <v>0</v>
      </c>
      <c r="X53" s="712" t="str">
        <f>IFERROR(Table6[[#This Row],[Profit]]/Table6[[#This Row],[Cost]]," ")</f>
        <v xml:space="preserve"> </v>
      </c>
      <c r="Y53" s="712"/>
      <c r="Z53" s="2210"/>
      <c r="AA53"/>
      <c r="AB53"/>
      <c r="AC53"/>
      <c r="AD53"/>
      <c r="AE53"/>
      <c r="AF53"/>
      <c r="AG53"/>
      <c r="AH53"/>
      <c r="AI53"/>
      <c r="AJ53"/>
      <c r="AK53"/>
      <c r="AL53"/>
      <c r="AM53"/>
      <c r="AN53"/>
      <c r="AO53"/>
      <c r="AP53"/>
      <c r="AQ53"/>
    </row>
    <row r="54" spans="1:43" s="117" customFormat="1" ht="30">
      <c r="A54" s="3417" t="s">
        <v>165</v>
      </c>
      <c r="B54" s="3430" t="s">
        <v>5216</v>
      </c>
      <c r="C54" s="117" t="s">
        <v>28</v>
      </c>
      <c r="D54" s="3438">
        <v>45304</v>
      </c>
      <c r="E54" s="3452">
        <v>45304</v>
      </c>
      <c r="F54" s="1617" t="s">
        <v>260</v>
      </c>
      <c r="G54" s="716" t="s">
        <v>5217</v>
      </c>
      <c r="H54" s="3418">
        <v>45308</v>
      </c>
      <c r="I54" s="3367" t="s">
        <v>618</v>
      </c>
      <c r="J54" s="117" t="s">
        <v>322</v>
      </c>
      <c r="K54" s="1617" t="s">
        <v>5218</v>
      </c>
      <c r="L54" s="2130" t="s">
        <v>5219</v>
      </c>
      <c r="M54" s="2018">
        <v>45309</v>
      </c>
      <c r="N54" s="3366">
        <v>45307</v>
      </c>
      <c r="O54" s="3264">
        <v>45308</v>
      </c>
      <c r="P54" s="4104" t="s">
        <v>5220</v>
      </c>
      <c r="Q54" s="3268" t="s">
        <v>75</v>
      </c>
      <c r="R54" s="2125" t="s">
        <v>5221</v>
      </c>
      <c r="S54" s="660">
        <v>4</v>
      </c>
      <c r="T54" s="2126">
        <v>1580</v>
      </c>
      <c r="U54" s="2131">
        <v>1217.5999999999999</v>
      </c>
      <c r="V54" s="660">
        <v>1</v>
      </c>
      <c r="W54" s="660">
        <f>表12[[#This Row],[Sales Amount]]-表12[[#This Row],[Cost]]</f>
        <v>362.40000000000009</v>
      </c>
      <c r="X54" s="885">
        <f>表12[[#This Row],[Profit]]/表12[[#This Row],[Cost]]</f>
        <v>0.29763469119579511</v>
      </c>
      <c r="Y54" s="660"/>
      <c r="Z54" s="113"/>
      <c r="AA54"/>
      <c r="AB54"/>
      <c r="AC54"/>
      <c r="AD54"/>
      <c r="AE54"/>
      <c r="AF54"/>
      <c r="AG54"/>
      <c r="AH54"/>
      <c r="AI54"/>
      <c r="AJ54"/>
      <c r="AK54"/>
      <c r="AL54"/>
      <c r="AM54"/>
      <c r="AN54"/>
      <c r="AO54"/>
      <c r="AP54"/>
      <c r="AQ54"/>
    </row>
    <row r="55" spans="1:43" s="117" customFormat="1" ht="30">
      <c r="A55" s="3417" t="s">
        <v>165</v>
      </c>
      <c r="B55" s="3430" t="s">
        <v>5222</v>
      </c>
      <c r="C55" s="117" t="s">
        <v>28</v>
      </c>
      <c r="D55" s="3438">
        <v>45304</v>
      </c>
      <c r="E55" s="3452">
        <v>45304</v>
      </c>
      <c r="F55" s="1617" t="s">
        <v>260</v>
      </c>
      <c r="G55" s="716" t="s">
        <v>5217</v>
      </c>
      <c r="H55" s="3418">
        <v>45309</v>
      </c>
      <c r="I55" s="3367" t="s">
        <v>618</v>
      </c>
      <c r="J55" s="4845" t="s">
        <v>322</v>
      </c>
      <c r="K55" s="4104" t="s">
        <v>5135</v>
      </c>
      <c r="L55" s="908" t="s">
        <v>162</v>
      </c>
      <c r="M55" s="3453">
        <v>45309</v>
      </c>
      <c r="N55" s="3262">
        <v>45308</v>
      </c>
      <c r="O55" s="3264">
        <v>45310</v>
      </c>
      <c r="P55" s="716" t="s">
        <v>5223</v>
      </c>
      <c r="Q55" s="117" t="s">
        <v>75</v>
      </c>
      <c r="R55" s="2125" t="s">
        <v>5224</v>
      </c>
      <c r="S55" s="660">
        <v>4</v>
      </c>
      <c r="T55" s="2126">
        <v>1420</v>
      </c>
      <c r="U55" s="1447">
        <v>1239</v>
      </c>
      <c r="V55" s="660">
        <v>1</v>
      </c>
      <c r="W55" s="660">
        <f>表12[[#This Row],[Sales Amount]]-表12[[#This Row],[Cost]]</f>
        <v>181</v>
      </c>
      <c r="X55" s="885">
        <f>表12[[#This Row],[Profit]]/表12[[#This Row],[Cost]]</f>
        <v>0.14608555286521388</v>
      </c>
      <c r="Y55" s="660"/>
      <c r="Z55" s="113"/>
      <c r="AA55"/>
      <c r="AB55"/>
      <c r="AC55"/>
      <c r="AD55"/>
      <c r="AE55"/>
      <c r="AF55"/>
      <c r="AG55"/>
      <c r="AH55"/>
      <c r="AI55"/>
      <c r="AJ55"/>
      <c r="AK55"/>
      <c r="AL55"/>
      <c r="AM55"/>
      <c r="AN55"/>
      <c r="AO55"/>
      <c r="AP55"/>
      <c r="AQ55"/>
    </row>
    <row r="56" spans="1:43" s="52" customFormat="1" hidden="1">
      <c r="A56" s="3235" t="s">
        <v>2396</v>
      </c>
      <c r="B56" s="58" t="s">
        <v>5225</v>
      </c>
      <c r="C56" s="58" t="s">
        <v>44</v>
      </c>
      <c r="D56" s="3280">
        <v>45304</v>
      </c>
      <c r="E56" s="3280">
        <v>45304</v>
      </c>
      <c r="F56" s="58" t="s">
        <v>260</v>
      </c>
      <c r="G56" s="58" t="s">
        <v>2983</v>
      </c>
      <c r="H56" s="3304">
        <v>45310</v>
      </c>
      <c r="I56" s="3454" t="s">
        <v>115</v>
      </c>
      <c r="J56" s="3275" t="s">
        <v>5226</v>
      </c>
      <c r="K56" s="3275" t="s">
        <v>5227</v>
      </c>
      <c r="L56" s="3357" t="s">
        <v>542</v>
      </c>
      <c r="M56" s="3396">
        <v>45310</v>
      </c>
      <c r="N56" s="3280">
        <v>45309</v>
      </c>
      <c r="O56" s="3280">
        <v>45314</v>
      </c>
      <c r="P56" s="1365" t="s">
        <v>5228</v>
      </c>
      <c r="Q56" s="3275" t="s">
        <v>35</v>
      </c>
      <c r="R56" s="2093" t="s">
        <v>36</v>
      </c>
      <c r="S56" s="710" t="s">
        <v>37</v>
      </c>
      <c r="T56" s="705">
        <v>1390</v>
      </c>
      <c r="U56" s="705">
        <v>1114</v>
      </c>
      <c r="V56" s="705"/>
      <c r="W56" s="705">
        <f>表12[[#This Row],[Sales Amount]]-表12[[#This Row],[Cost]]</f>
        <v>276</v>
      </c>
      <c r="X56" s="705">
        <f>IFERROR(Table6[[#This Row],[Profit]]/Table6[[#This Row],[Cost]]," ")</f>
        <v>0.3411764705882353</v>
      </c>
      <c r="Y56" s="705"/>
      <c r="Z56" s="704"/>
      <c r="AA56"/>
      <c r="AB56"/>
      <c r="AC56"/>
      <c r="AD56"/>
      <c r="AE56"/>
      <c r="AF56"/>
      <c r="AG56"/>
      <c r="AH56"/>
      <c r="AI56"/>
      <c r="AJ56"/>
      <c r="AK56"/>
      <c r="AL56"/>
      <c r="AM56"/>
      <c r="AN56"/>
      <c r="AO56"/>
      <c r="AP56"/>
      <c r="AQ56"/>
    </row>
    <row r="57" spans="1:43" s="52" customFormat="1" hidden="1">
      <c r="A57" s="3239" t="s">
        <v>409</v>
      </c>
      <c r="B57" s="4213" t="s">
        <v>5229</v>
      </c>
      <c r="C57" s="3441" t="s">
        <v>28</v>
      </c>
      <c r="D57" s="3243">
        <v>45296</v>
      </c>
      <c r="E57" s="3243">
        <v>45304</v>
      </c>
      <c r="F57" s="3441" t="s">
        <v>45</v>
      </c>
      <c r="G57" s="3443" t="s">
        <v>302</v>
      </c>
      <c r="H57" s="3442" t="s">
        <v>4961</v>
      </c>
      <c r="I57" s="3295"/>
      <c r="J57" s="5288" t="s">
        <v>32</v>
      </c>
      <c r="K57" s="3443" t="s">
        <v>407</v>
      </c>
      <c r="L57" s="3241"/>
      <c r="M57" s="3444"/>
      <c r="N57" s="3243"/>
      <c r="O57" s="3243"/>
      <c r="P57" s="3447" t="s">
        <v>5230</v>
      </c>
      <c r="Q57" s="3445" t="s">
        <v>5175</v>
      </c>
      <c r="R57" s="1730"/>
      <c r="S57" s="85"/>
      <c r="T57" s="705"/>
      <c r="U57" s="705"/>
      <c r="V57" s="705"/>
      <c r="W57" s="705">
        <f>表12[[#This Row],[Sales Amount]]-表12[[#This Row],[Cost]]</f>
        <v>0</v>
      </c>
      <c r="X57" s="2147">
        <f>IFERROR(Table6[[#This Row],[Profit]]/Table6[[#This Row],[Cost]]," ")</f>
        <v>0.1474269819193324</v>
      </c>
      <c r="Y57" s="705"/>
      <c r="Z57" s="704"/>
      <c r="AA57"/>
      <c r="AB57"/>
      <c r="AC57"/>
      <c r="AD57"/>
      <c r="AE57"/>
      <c r="AF57"/>
      <c r="AG57"/>
      <c r="AH57"/>
      <c r="AI57"/>
      <c r="AJ57"/>
      <c r="AK57"/>
      <c r="AL57"/>
      <c r="AM57"/>
      <c r="AN57"/>
      <c r="AO57"/>
      <c r="AP57"/>
      <c r="AQ57"/>
    </row>
    <row r="58" spans="1:43" s="52" customFormat="1" ht="30">
      <c r="A58" s="3417" t="s">
        <v>165</v>
      </c>
      <c r="B58" s="3455" t="s">
        <v>5231</v>
      </c>
      <c r="C58" s="3268" t="s">
        <v>200</v>
      </c>
      <c r="D58" s="3262">
        <v>45290</v>
      </c>
      <c r="E58" s="3365">
        <v>45304</v>
      </c>
      <c r="F58" s="3268" t="s">
        <v>167</v>
      </c>
      <c r="G58" s="3432" t="s">
        <v>302</v>
      </c>
      <c r="H58" s="3292">
        <v>45310</v>
      </c>
      <c r="I58" s="3268" t="s">
        <v>618</v>
      </c>
      <c r="J58" s="3268" t="s">
        <v>32</v>
      </c>
      <c r="K58" s="3268" t="s">
        <v>2013</v>
      </c>
      <c r="L58" s="3430" t="s">
        <v>5232</v>
      </c>
      <c r="M58" s="4931">
        <v>45309</v>
      </c>
      <c r="N58" s="3431">
        <v>45309</v>
      </c>
      <c r="O58" s="3262">
        <v>45310</v>
      </c>
      <c r="P58" s="4246" t="s">
        <v>5233</v>
      </c>
      <c r="Q58" s="3268" t="s">
        <v>75</v>
      </c>
      <c r="R58" s="2127" t="s">
        <v>5234</v>
      </c>
      <c r="S58" s="660">
        <v>4</v>
      </c>
      <c r="T58" s="2148">
        <v>1250</v>
      </c>
      <c r="U58" s="660">
        <v>1045</v>
      </c>
      <c r="V58" s="660">
        <v>1</v>
      </c>
      <c r="W58" s="660">
        <f>表12[[#This Row],[Sales Amount]]-表12[[#This Row],[Cost]]</f>
        <v>205</v>
      </c>
      <c r="X58" s="885">
        <f>表12[[#This Row],[Profit]]/表12[[#This Row],[Cost]]</f>
        <v>0.19617224880382775</v>
      </c>
      <c r="Y58" s="660"/>
      <c r="Z58" s="113"/>
      <c r="AA58"/>
      <c r="AB58"/>
      <c r="AC58"/>
      <c r="AD58"/>
      <c r="AE58"/>
      <c r="AF58"/>
      <c r="AG58"/>
      <c r="AH58"/>
      <c r="AI58"/>
      <c r="AJ58"/>
      <c r="AK58"/>
      <c r="AL58"/>
      <c r="AM58"/>
      <c r="AN58"/>
      <c r="AO58"/>
      <c r="AP58"/>
      <c r="AQ58"/>
    </row>
    <row r="59" spans="1:43" s="117" customFormat="1" ht="30">
      <c r="A59" s="3417" t="s">
        <v>165</v>
      </c>
      <c r="B59" s="3455" t="s">
        <v>5235</v>
      </c>
      <c r="C59" s="117" t="s">
        <v>451</v>
      </c>
      <c r="D59" s="3262">
        <v>45290</v>
      </c>
      <c r="E59" s="889">
        <v>45304</v>
      </c>
      <c r="F59" s="3268" t="s">
        <v>167</v>
      </c>
      <c r="G59" s="3432" t="s">
        <v>302</v>
      </c>
      <c r="H59" s="3292">
        <v>45310</v>
      </c>
      <c r="I59" s="3268" t="s">
        <v>618</v>
      </c>
      <c r="J59" s="3268" t="s">
        <v>32</v>
      </c>
      <c r="K59" s="3268" t="s">
        <v>2013</v>
      </c>
      <c r="L59" s="3430" t="s">
        <v>5236</v>
      </c>
      <c r="M59" s="3431">
        <v>45309</v>
      </c>
      <c r="N59" s="3431">
        <v>45309</v>
      </c>
      <c r="O59" s="3262">
        <v>45310</v>
      </c>
      <c r="P59" s="4246" t="s">
        <v>5237</v>
      </c>
      <c r="Q59" s="117" t="s">
        <v>75</v>
      </c>
      <c r="R59" s="716" t="s">
        <v>5238</v>
      </c>
      <c r="S59" s="660">
        <v>4</v>
      </c>
      <c r="T59" s="660">
        <v>1420</v>
      </c>
      <c r="U59" s="660">
        <v>1045</v>
      </c>
      <c r="V59" s="660">
        <v>1</v>
      </c>
      <c r="W59" s="660">
        <f>表12[[#This Row],[Sales Amount]]-表12[[#This Row],[Cost]]</f>
        <v>375</v>
      </c>
      <c r="X59" s="885">
        <f>表12[[#This Row],[Profit]]/表12[[#This Row],[Cost]]</f>
        <v>0.35885167464114831</v>
      </c>
      <c r="Y59" s="660"/>
      <c r="Z59" s="113"/>
      <c r="AA59"/>
      <c r="AB59"/>
      <c r="AC59"/>
      <c r="AD59"/>
      <c r="AE59"/>
      <c r="AF59"/>
      <c r="AG59"/>
      <c r="AH59"/>
      <c r="AI59"/>
      <c r="AJ59"/>
      <c r="AK59"/>
      <c r="AL59"/>
      <c r="AM59"/>
      <c r="AN59"/>
      <c r="AO59"/>
      <c r="AP59"/>
      <c r="AQ59"/>
    </row>
    <row r="60" spans="1:43" s="117" customFormat="1" hidden="1">
      <c r="A60" s="3234" t="s">
        <v>3343</v>
      </c>
      <c r="B60" s="117" t="s">
        <v>5239</v>
      </c>
      <c r="C60" s="25" t="s">
        <v>28</v>
      </c>
      <c r="D60" s="3373">
        <v>45296</v>
      </c>
      <c r="E60" s="3365">
        <v>45304</v>
      </c>
      <c r="F60" s="117" t="s">
        <v>1017</v>
      </c>
      <c r="G60" s="117" t="s">
        <v>46</v>
      </c>
      <c r="H60" s="3290"/>
      <c r="I60" s="3265"/>
      <c r="J60" s="3265" t="s">
        <v>168</v>
      </c>
      <c r="K60" s="36" t="s">
        <v>310</v>
      </c>
      <c r="L60" s="2310" t="s">
        <v>5240</v>
      </c>
      <c r="M60" s="3373">
        <v>45310</v>
      </c>
      <c r="N60" s="3373">
        <v>45307</v>
      </c>
      <c r="O60" s="3456">
        <v>45311</v>
      </c>
      <c r="P60" s="745" t="s">
        <v>5241</v>
      </c>
      <c r="Q60" s="25" t="s">
        <v>50</v>
      </c>
      <c r="R60" s="3" t="s">
        <v>5242</v>
      </c>
      <c r="S60" s="31"/>
      <c r="T60" s="712"/>
      <c r="U60" s="712"/>
      <c r="V60" s="712"/>
      <c r="W60" s="712">
        <f>表12[[#This Row],[Sales Amount]]-表12[[#This Row],[Cost]]</f>
        <v>0</v>
      </c>
      <c r="X60" s="2280" t="str">
        <f>IFERROR(Table6[[#This Row],[Profit]]/Table6[[#This Row],[Cost]]," ")</f>
        <v xml:space="preserve"> </v>
      </c>
      <c r="Y60" s="712"/>
      <c r="Z60" s="2210"/>
      <c r="AA60" s="3"/>
      <c r="AB60" s="3"/>
      <c r="AC60" s="3"/>
      <c r="AD60" s="3"/>
      <c r="AE60" s="3"/>
      <c r="AF60" s="3"/>
      <c r="AG60" s="3"/>
      <c r="AH60" s="3"/>
      <c r="AI60" s="3"/>
      <c r="AJ60" s="3"/>
      <c r="AK60" s="3"/>
      <c r="AL60" s="3"/>
      <c r="AM60" s="3"/>
      <c r="AN60" s="3"/>
      <c r="AO60" s="3"/>
      <c r="AP60" s="3"/>
      <c r="AQ60" s="3"/>
    </row>
    <row r="61" spans="1:43" s="1350" customFormat="1" hidden="1">
      <c r="A61" s="3235" t="s">
        <v>4793</v>
      </c>
      <c r="B61" s="3275" t="s">
        <v>5243</v>
      </c>
      <c r="C61" s="3275" t="s">
        <v>28</v>
      </c>
      <c r="D61" s="3280">
        <v>45297</v>
      </c>
      <c r="E61" s="3346">
        <f>7+表12[[#This Row],[ETA PORT]]</f>
        <v>45304</v>
      </c>
      <c r="F61" s="3246" t="s">
        <v>86</v>
      </c>
      <c r="G61" s="3246" t="s">
        <v>46</v>
      </c>
      <c r="H61" s="3444"/>
      <c r="I61" s="3241"/>
      <c r="J61" s="3275" t="s">
        <v>168</v>
      </c>
      <c r="K61" s="3439" t="s">
        <v>310</v>
      </c>
      <c r="L61" s="3275" t="s">
        <v>5244</v>
      </c>
      <c r="M61" s="3280">
        <v>45306</v>
      </c>
      <c r="N61" s="3280">
        <v>45304</v>
      </c>
      <c r="O61" s="3280">
        <v>45308</v>
      </c>
      <c r="P61" s="650" t="s">
        <v>5245</v>
      </c>
      <c r="Q61" s="3275" t="s">
        <v>50</v>
      </c>
      <c r="R61" s="2093" t="s">
        <v>51</v>
      </c>
      <c r="S61" s="710"/>
      <c r="T61" s="1372"/>
      <c r="U61" s="1372"/>
      <c r="V61" s="1372"/>
      <c r="W61" s="1372">
        <f>表12[[#This Row],[Sales Amount]]-表12[[#This Row],[Cost]]</f>
        <v>0</v>
      </c>
      <c r="X61" s="2268">
        <f>IFERROR(Table6[[#This Row],[Profit]]/Table6[[#This Row],[Cost]]," ")</f>
        <v>0.41509433962264153</v>
      </c>
      <c r="Y61" s="1372"/>
      <c r="Z61" s="2261"/>
      <c r="AA61"/>
      <c r="AB61"/>
      <c r="AC61"/>
      <c r="AD61"/>
      <c r="AE61"/>
      <c r="AF61"/>
      <c r="AG61"/>
      <c r="AH61"/>
      <c r="AI61"/>
      <c r="AJ61"/>
      <c r="AK61"/>
      <c r="AL61"/>
      <c r="AM61"/>
      <c r="AN61"/>
      <c r="AO61"/>
      <c r="AP61"/>
      <c r="AQ61"/>
    </row>
    <row r="62" spans="1:43" s="36" customFormat="1" hidden="1">
      <c r="A62" s="3234" t="s">
        <v>3343</v>
      </c>
      <c r="B62" s="4845" t="s">
        <v>5246</v>
      </c>
      <c r="C62" s="3265" t="s">
        <v>28</v>
      </c>
      <c r="D62" s="3373">
        <v>45301</v>
      </c>
      <c r="E62" s="3365">
        <v>45304</v>
      </c>
      <c r="F62" s="3268" t="s">
        <v>1017</v>
      </c>
      <c r="G62" s="3268" t="s">
        <v>302</v>
      </c>
      <c r="H62" s="3290"/>
      <c r="I62" s="4848"/>
      <c r="J62" s="3265" t="s">
        <v>168</v>
      </c>
      <c r="K62" s="4921" t="s">
        <v>310</v>
      </c>
      <c r="L62" s="4921" t="s">
        <v>5247</v>
      </c>
      <c r="M62" s="4853">
        <v>45306</v>
      </c>
      <c r="N62" s="4853">
        <v>45305</v>
      </c>
      <c r="O62" s="4853">
        <v>45308</v>
      </c>
      <c r="P62" s="3317" t="s">
        <v>5248</v>
      </c>
      <c r="Q62" s="25" t="s">
        <v>50</v>
      </c>
      <c r="R62" s="2277" t="s">
        <v>5249</v>
      </c>
      <c r="S62" s="19"/>
      <c r="T62" s="1138"/>
      <c r="U62" s="1138"/>
      <c r="V62" s="1138"/>
      <c r="W62" s="1138">
        <f>表12[[#This Row],[Sales Amount]]-表12[[#This Row],[Cost]]</f>
        <v>0</v>
      </c>
      <c r="X62" s="2275">
        <f>IFERROR(Table6[[#This Row],[Profit]]/Table6[[#This Row],[Cost]]," ")</f>
        <v>0.37823585810162991</v>
      </c>
      <c r="Y62" s="1138"/>
      <c r="Z62" s="2253"/>
      <c r="AA62" s="3"/>
      <c r="AB62" s="3"/>
      <c r="AC62" s="3"/>
      <c r="AD62" s="3"/>
      <c r="AE62" s="3"/>
      <c r="AF62" s="3"/>
      <c r="AG62" s="3"/>
      <c r="AH62" s="3"/>
      <c r="AI62" s="3"/>
      <c r="AJ62" s="3"/>
      <c r="AK62" s="3"/>
      <c r="AL62" s="3"/>
      <c r="AM62" s="3"/>
      <c r="AN62" s="3"/>
      <c r="AO62" s="3"/>
      <c r="AP62" s="3"/>
      <c r="AQ62" s="3"/>
    </row>
    <row r="63" spans="1:43" s="52" customFormat="1" hidden="1">
      <c r="A63" s="3239" t="s">
        <v>409</v>
      </c>
      <c r="B63" s="4213" t="s">
        <v>5250</v>
      </c>
      <c r="C63" s="4213" t="s">
        <v>28</v>
      </c>
      <c r="D63" s="4216">
        <v>45322</v>
      </c>
      <c r="E63" s="4216">
        <v>45305</v>
      </c>
      <c r="F63" s="4213" t="s">
        <v>45</v>
      </c>
      <c r="G63" s="4213" t="s">
        <v>302</v>
      </c>
      <c r="H63" s="3442" t="s">
        <v>4961</v>
      </c>
      <c r="I63" s="3241"/>
      <c r="J63" s="4895" t="s">
        <v>32</v>
      </c>
      <c r="K63" s="4322" t="s">
        <v>407</v>
      </c>
      <c r="L63" s="3448"/>
      <c r="M63" s="3444"/>
      <c r="N63" s="3243"/>
      <c r="O63" s="3243"/>
      <c r="P63" s="3457" t="s">
        <v>5251</v>
      </c>
      <c r="Q63" s="2137" t="s">
        <v>5175</v>
      </c>
      <c r="R63" s="1730"/>
      <c r="S63" s="85"/>
      <c r="T63" s="705"/>
      <c r="U63" s="705"/>
      <c r="V63" s="705"/>
      <c r="W63" s="705">
        <f>表12[[#This Row],[Sales Amount]]-表12[[#This Row],[Cost]]</f>
        <v>0</v>
      </c>
      <c r="X63" s="1996" t="str">
        <f>IFERROR(Table6[[#This Row],[Profit]]/Table6[[#This Row],[Cost]]," ")</f>
        <v xml:space="preserve"> </v>
      </c>
      <c r="Y63" s="152"/>
      <c r="Z63" s="645"/>
      <c r="AA63"/>
      <c r="AB63"/>
      <c r="AC63"/>
      <c r="AD63"/>
      <c r="AE63"/>
      <c r="AF63"/>
      <c r="AG63"/>
      <c r="AH63"/>
      <c r="AI63"/>
      <c r="AJ63"/>
      <c r="AK63"/>
      <c r="AL63"/>
      <c r="AM63"/>
      <c r="AN63"/>
      <c r="AO63"/>
      <c r="AP63"/>
      <c r="AQ63"/>
    </row>
    <row r="64" spans="1:43" s="117" customFormat="1" ht="45">
      <c r="A64" s="3417" t="s">
        <v>165</v>
      </c>
      <c r="B64" s="3430" t="s">
        <v>5252</v>
      </c>
      <c r="C64" s="3268" t="s">
        <v>28</v>
      </c>
      <c r="D64" s="3262">
        <v>45297</v>
      </c>
      <c r="E64" s="3365">
        <v>45305</v>
      </c>
      <c r="F64" s="3268" t="s">
        <v>63</v>
      </c>
      <c r="G64" s="3268" t="s">
        <v>3515</v>
      </c>
      <c r="H64" s="3418">
        <v>45307</v>
      </c>
      <c r="I64" s="3458">
        <v>0.54166666666666663</v>
      </c>
      <c r="J64" s="3268" t="s">
        <v>297</v>
      </c>
      <c r="K64" s="3432" t="s">
        <v>4367</v>
      </c>
      <c r="L64" s="3459" t="s">
        <v>5253</v>
      </c>
      <c r="M64" s="3292">
        <v>45307</v>
      </c>
      <c r="N64" s="3262">
        <v>45307</v>
      </c>
      <c r="O64" s="3262">
        <v>45307</v>
      </c>
      <c r="P64" s="4104" t="s">
        <v>5254</v>
      </c>
      <c r="Q64" s="3268" t="s">
        <v>75</v>
      </c>
      <c r="R64" s="2125" t="s">
        <v>5255</v>
      </c>
      <c r="S64" s="660">
        <v>4</v>
      </c>
      <c r="T64" s="660">
        <v>880</v>
      </c>
      <c r="U64" s="1447">
        <v>737.5</v>
      </c>
      <c r="V64" s="660">
        <v>1</v>
      </c>
      <c r="W64" s="660">
        <f>表12[[#This Row],[Sales Amount]]-表12[[#This Row],[Cost]]</f>
        <v>142.5</v>
      </c>
      <c r="X64" s="885">
        <f>表12[[#This Row],[Profit]]/表12[[#This Row],[Cost]]</f>
        <v>0.19322033898305085</v>
      </c>
      <c r="Y64" s="660"/>
      <c r="Z64" s="113"/>
      <c r="AA64"/>
      <c r="AB64"/>
      <c r="AC64"/>
      <c r="AD64"/>
      <c r="AE64"/>
      <c r="AF64"/>
      <c r="AG64"/>
      <c r="AH64"/>
      <c r="AI64"/>
      <c r="AJ64"/>
      <c r="AK64"/>
      <c r="AL64"/>
      <c r="AM64"/>
      <c r="AN64"/>
      <c r="AO64"/>
      <c r="AP64"/>
      <c r="AQ64"/>
    </row>
    <row r="65" spans="1:43" s="117" customFormat="1" ht="90">
      <c r="A65" s="3417" t="s">
        <v>165</v>
      </c>
      <c r="B65" s="3430" t="s">
        <v>5256</v>
      </c>
      <c r="C65" s="3268" t="s">
        <v>28</v>
      </c>
      <c r="D65" s="3262">
        <v>45297</v>
      </c>
      <c r="E65" s="3365">
        <v>45305</v>
      </c>
      <c r="F65" s="3268" t="s">
        <v>63</v>
      </c>
      <c r="G65" s="3268" t="s">
        <v>3515</v>
      </c>
      <c r="H65" s="3418">
        <v>45313</v>
      </c>
      <c r="I65" s="3458" t="s">
        <v>790</v>
      </c>
      <c r="J65" s="3268" t="s">
        <v>297</v>
      </c>
      <c r="K65" s="3432" t="s">
        <v>4367</v>
      </c>
      <c r="L65" s="3459" t="s">
        <v>5257</v>
      </c>
      <c r="M65" s="3292">
        <v>45307</v>
      </c>
      <c r="N65" s="3292">
        <v>45307</v>
      </c>
      <c r="O65" s="3262">
        <v>45313</v>
      </c>
      <c r="P65" s="4246" t="s">
        <v>5258</v>
      </c>
      <c r="Q65" s="3268" t="s">
        <v>75</v>
      </c>
      <c r="R65" s="2127" t="s">
        <v>5259</v>
      </c>
      <c r="S65" s="660">
        <v>4</v>
      </c>
      <c r="T65" s="660">
        <v>1395</v>
      </c>
      <c r="U65" s="660">
        <v>987.5</v>
      </c>
      <c r="V65" s="660">
        <v>1</v>
      </c>
      <c r="W65" s="660">
        <f>表12[[#This Row],[Sales Amount]]-表12[[#This Row],[Cost]]</f>
        <v>407.5</v>
      </c>
      <c r="X65" s="885">
        <f>表12[[#This Row],[Profit]]/表12[[#This Row],[Cost]]</f>
        <v>0.41265822784810124</v>
      </c>
      <c r="Y65" s="660"/>
      <c r="Z65" s="113"/>
      <c r="AA65"/>
      <c r="AB65"/>
      <c r="AC65"/>
      <c r="AD65"/>
      <c r="AE65"/>
      <c r="AF65"/>
      <c r="AG65"/>
      <c r="AH65"/>
      <c r="AI65"/>
      <c r="AJ65"/>
      <c r="AK65"/>
      <c r="AL65"/>
      <c r="AM65"/>
      <c r="AN65"/>
      <c r="AO65"/>
      <c r="AP65"/>
      <c r="AQ65"/>
    </row>
    <row r="66" spans="1:43" s="52" customFormat="1" hidden="1">
      <c r="A66" s="3239" t="s">
        <v>409</v>
      </c>
      <c r="B66" s="4213" t="s">
        <v>5260</v>
      </c>
      <c r="C66" s="4213" t="s">
        <v>28</v>
      </c>
      <c r="D66" s="4216">
        <v>45322</v>
      </c>
      <c r="E66" s="4216">
        <v>45305</v>
      </c>
      <c r="F66" s="4213" t="s">
        <v>45</v>
      </c>
      <c r="G66" s="4213" t="s">
        <v>302</v>
      </c>
      <c r="H66" s="3442" t="s">
        <v>4961</v>
      </c>
      <c r="I66" s="3241"/>
      <c r="J66" s="3241" t="s">
        <v>32</v>
      </c>
      <c r="K66" s="4322" t="s">
        <v>1622</v>
      </c>
      <c r="L66" s="3448"/>
      <c r="M66" s="3444"/>
      <c r="N66" s="3243"/>
      <c r="O66" s="3243"/>
      <c r="P66" s="3457" t="s">
        <v>5261</v>
      </c>
      <c r="Q66" s="3445" t="s">
        <v>5175</v>
      </c>
      <c r="R66" s="1730"/>
      <c r="S66" s="85"/>
      <c r="T66" s="705"/>
      <c r="U66" s="705"/>
      <c r="V66" s="705"/>
      <c r="W66" s="705">
        <f>表12[[#This Row],[Sales Amount]]-表12[[#This Row],[Cost]]</f>
        <v>0</v>
      </c>
      <c r="X66" s="1996" t="str">
        <f>IFERROR(Table6[[#This Row],[Profit]]/Table6[[#This Row],[Cost]]," ")</f>
        <v xml:space="preserve"> </v>
      </c>
      <c r="Y66" s="85"/>
      <c r="Z66" s="116"/>
      <c r="AA66"/>
      <c r="AB66"/>
      <c r="AC66"/>
      <c r="AD66"/>
      <c r="AE66"/>
      <c r="AF66"/>
      <c r="AG66"/>
      <c r="AH66"/>
      <c r="AI66"/>
      <c r="AJ66"/>
      <c r="AK66"/>
      <c r="AL66"/>
      <c r="AM66"/>
      <c r="AN66"/>
      <c r="AO66"/>
      <c r="AP66"/>
      <c r="AQ66"/>
    </row>
    <row r="67" spans="1:43" s="52" customFormat="1" ht="45" hidden="1">
      <c r="A67" s="3239" t="s">
        <v>165</v>
      </c>
      <c r="B67" s="3441" t="s">
        <v>5262</v>
      </c>
      <c r="C67" s="3241" t="s">
        <v>28</v>
      </c>
      <c r="D67" s="3243">
        <v>45306</v>
      </c>
      <c r="E67" s="3243">
        <v>45306</v>
      </c>
      <c r="F67" s="3241" t="s">
        <v>260</v>
      </c>
      <c r="G67" s="3443" t="s">
        <v>5263</v>
      </c>
      <c r="H67" s="3442" t="s">
        <v>4961</v>
      </c>
      <c r="I67" s="3295"/>
      <c r="J67" s="3443" t="s">
        <v>3732</v>
      </c>
      <c r="K67" s="3295" t="s">
        <v>5264</v>
      </c>
      <c r="L67" s="7"/>
      <c r="M67" s="3444"/>
      <c r="N67" s="3243"/>
      <c r="O67" s="3243"/>
      <c r="P67" s="3447" t="s">
        <v>5265</v>
      </c>
      <c r="Q67" s="3445" t="s">
        <v>5175</v>
      </c>
      <c r="R67" s="1730"/>
      <c r="S67" s="85"/>
      <c r="T67" s="705"/>
      <c r="U67" s="705"/>
      <c r="V67" s="705"/>
      <c r="W67" s="705">
        <f>表12[[#This Row],[Sales Amount]]-表12[[#This Row],[Cost]]</f>
        <v>0</v>
      </c>
      <c r="X67" s="2147">
        <f>IFERROR(Table6[[#This Row],[Profit]]/Table6[[#This Row],[Cost]]," ")</f>
        <v>0.34495705395257936</v>
      </c>
      <c r="Y67" s="705"/>
      <c r="Z67" s="704"/>
      <c r="AA67"/>
      <c r="AB67"/>
      <c r="AC67"/>
      <c r="AD67"/>
      <c r="AE67"/>
      <c r="AF67"/>
      <c r="AG67"/>
      <c r="AH67"/>
      <c r="AI67"/>
      <c r="AJ67"/>
      <c r="AK67"/>
      <c r="AL67"/>
      <c r="AM67"/>
      <c r="AN67"/>
      <c r="AO67"/>
      <c r="AP67"/>
      <c r="AQ67"/>
    </row>
    <row r="68" spans="1:43" s="52" customFormat="1" ht="45" hidden="1">
      <c r="A68" s="3239" t="s">
        <v>165</v>
      </c>
      <c r="B68" s="3241" t="s">
        <v>5266</v>
      </c>
      <c r="C68" s="3241" t="s">
        <v>28</v>
      </c>
      <c r="D68" s="3243">
        <v>45306</v>
      </c>
      <c r="E68" s="3243">
        <v>45306</v>
      </c>
      <c r="F68" s="3241" t="s">
        <v>260</v>
      </c>
      <c r="G68" s="3295" t="s">
        <v>5263</v>
      </c>
      <c r="H68" s="3442" t="s">
        <v>4961</v>
      </c>
      <c r="I68" s="43"/>
      <c r="J68" s="3443" t="s">
        <v>3732</v>
      </c>
      <c r="K68" s="3443" t="s">
        <v>5264</v>
      </c>
      <c r="L68" s="3241"/>
      <c r="M68" s="3444"/>
      <c r="N68" s="3243"/>
      <c r="O68" s="3243"/>
      <c r="P68" s="3447" t="s">
        <v>5265</v>
      </c>
      <c r="Q68" s="3445" t="s">
        <v>5175</v>
      </c>
      <c r="R68" s="1730"/>
      <c r="S68" s="85"/>
      <c r="T68" s="705"/>
      <c r="U68" s="705"/>
      <c r="V68" s="705"/>
      <c r="W68" s="705">
        <f>表12[[#This Row],[Sales Amount]]-表12[[#This Row],[Cost]]</f>
        <v>0</v>
      </c>
      <c r="X68" s="2147" t="str">
        <f>IFERROR(Table6[[#This Row],[Profit]]/Table6[[#This Row],[Cost]]," ")</f>
        <v xml:space="preserve"> </v>
      </c>
      <c r="Y68" s="705"/>
      <c r="Z68" s="704"/>
      <c r="AA68"/>
      <c r="AB68"/>
      <c r="AC68"/>
      <c r="AD68"/>
      <c r="AE68"/>
      <c r="AF68"/>
      <c r="AG68"/>
      <c r="AH68"/>
      <c r="AI68"/>
      <c r="AJ68"/>
      <c r="AK68"/>
      <c r="AL68"/>
      <c r="AM68"/>
      <c r="AN68"/>
      <c r="AO68"/>
      <c r="AP68"/>
      <c r="AQ68"/>
    </row>
    <row r="69" spans="1:43" s="36" customFormat="1" hidden="1">
      <c r="A69" s="3234" t="s">
        <v>4793</v>
      </c>
      <c r="B69" s="3268" t="s">
        <v>5267</v>
      </c>
      <c r="C69" s="3265" t="s">
        <v>28</v>
      </c>
      <c r="D69" s="3373">
        <v>45297</v>
      </c>
      <c r="E69" s="3365">
        <v>45305</v>
      </c>
      <c r="F69" s="3430" t="s">
        <v>45</v>
      </c>
      <c r="G69" s="3268" t="s">
        <v>46</v>
      </c>
      <c r="H69" s="3290"/>
      <c r="I69" s="25"/>
      <c r="J69" s="3265" t="s">
        <v>168</v>
      </c>
      <c r="K69" s="3364" t="s">
        <v>310</v>
      </c>
      <c r="L69" s="3460" t="s">
        <v>5268</v>
      </c>
      <c r="M69" s="3373">
        <v>45308</v>
      </c>
      <c r="N69" s="3373">
        <v>45308</v>
      </c>
      <c r="O69" s="3373">
        <v>45311</v>
      </c>
      <c r="P69" s="3461" t="s">
        <v>5269</v>
      </c>
      <c r="Q69" s="3265" t="s">
        <v>50</v>
      </c>
      <c r="R69" s="2216" t="s">
        <v>5270</v>
      </c>
      <c r="S69" s="31"/>
      <c r="T69" s="712"/>
      <c r="U69" s="712"/>
      <c r="V69" s="712"/>
      <c r="W69" s="712">
        <f>表12[[#This Row],[Sales Amount]]-表12[[#This Row],[Cost]]</f>
        <v>0</v>
      </c>
      <c r="X69" s="2280" t="str">
        <f>IFERROR(Table6[[#This Row],[Profit]]/Table6[[#This Row],[Cost]]," ")</f>
        <v xml:space="preserve"> </v>
      </c>
      <c r="Y69" s="712"/>
      <c r="Z69" s="2210"/>
      <c r="AA69" s="3"/>
      <c r="AB69" s="3"/>
      <c r="AC69" s="3"/>
      <c r="AD69" s="3"/>
      <c r="AE69" s="3"/>
      <c r="AF69" s="3"/>
      <c r="AG69" s="3"/>
      <c r="AH69" s="3"/>
      <c r="AI69" s="3"/>
      <c r="AJ69" s="3"/>
      <c r="AK69" s="3"/>
      <c r="AL69" s="3"/>
      <c r="AM69" s="3"/>
      <c r="AN69" s="3"/>
      <c r="AO69" s="3"/>
      <c r="AP69" s="3"/>
      <c r="AQ69" s="3"/>
    </row>
    <row r="70" spans="1:43" s="36" customFormat="1" hidden="1">
      <c r="A70" s="3417" t="s">
        <v>409</v>
      </c>
      <c r="B70" s="3462" t="s">
        <v>5271</v>
      </c>
      <c r="C70" s="4183" t="s">
        <v>28</v>
      </c>
      <c r="D70" s="3373">
        <v>45296</v>
      </c>
      <c r="E70" s="3365">
        <v>45306</v>
      </c>
      <c r="F70" s="4908" t="s">
        <v>151</v>
      </c>
      <c r="G70" s="4908" t="s">
        <v>302</v>
      </c>
      <c r="H70" s="3290"/>
      <c r="I70" s="3265"/>
      <c r="J70" s="4183" t="s">
        <v>32</v>
      </c>
      <c r="K70" s="4154" t="s">
        <v>310</v>
      </c>
      <c r="L70" s="3265" t="s">
        <v>5272</v>
      </c>
      <c r="M70" s="3373">
        <v>45308</v>
      </c>
      <c r="N70" s="3373">
        <v>45308</v>
      </c>
      <c r="O70" s="3373">
        <v>45309</v>
      </c>
      <c r="P70" s="4321" t="s">
        <v>5273</v>
      </c>
      <c r="Q70" s="4183" t="s">
        <v>89</v>
      </c>
      <c r="R70" s="2216" t="s">
        <v>5274</v>
      </c>
      <c r="S70" s="31">
        <v>4</v>
      </c>
      <c r="T70" s="712">
        <v>2970</v>
      </c>
      <c r="U70" s="712"/>
      <c r="V70" s="712"/>
      <c r="W70" s="712">
        <f>表12[[#This Row],[Sales Amount]]-表12[[#This Row],[Cost]]</f>
        <v>2970</v>
      </c>
      <c r="X70" s="712" t="str">
        <f>IFERROR(Table6[[#This Row],[Profit]]/Table6[[#This Row],[Cost]]," ")</f>
        <v xml:space="preserve"> </v>
      </c>
      <c r="Y70" s="712"/>
      <c r="Z70" s="2210"/>
      <c r="AA70"/>
      <c r="AB70"/>
      <c r="AC70"/>
      <c r="AD70"/>
      <c r="AE70"/>
      <c r="AF70"/>
      <c r="AG70"/>
      <c r="AH70"/>
      <c r="AI70"/>
      <c r="AJ70"/>
      <c r="AK70"/>
      <c r="AL70"/>
      <c r="AM70"/>
      <c r="AN70"/>
      <c r="AO70"/>
      <c r="AP70"/>
      <c r="AQ70"/>
    </row>
    <row r="71" spans="1:43" s="36" customFormat="1" hidden="1">
      <c r="A71" s="3234" t="s">
        <v>4815</v>
      </c>
      <c r="B71" s="3268" t="s">
        <v>5275</v>
      </c>
      <c r="C71" s="3265" t="s">
        <v>28</v>
      </c>
      <c r="D71" s="3373">
        <v>45296</v>
      </c>
      <c r="E71" s="3365">
        <v>45306</v>
      </c>
      <c r="F71" s="3268" t="s">
        <v>45</v>
      </c>
      <c r="G71" s="3268" t="s">
        <v>46</v>
      </c>
      <c r="H71" s="3290"/>
      <c r="I71" s="3265"/>
      <c r="J71" s="3364" t="s">
        <v>32</v>
      </c>
      <c r="K71" s="25" t="s">
        <v>310</v>
      </c>
      <c r="L71" s="3450">
        <v>738609</v>
      </c>
      <c r="M71" s="3373">
        <v>45308</v>
      </c>
      <c r="N71" s="3373">
        <v>45308</v>
      </c>
      <c r="O71" s="3373">
        <v>45309</v>
      </c>
      <c r="P71" s="3317" t="s">
        <v>5276</v>
      </c>
      <c r="Q71" s="3265" t="s">
        <v>50</v>
      </c>
      <c r="R71" s="3" t="s">
        <v>5277</v>
      </c>
      <c r="S71" s="31"/>
      <c r="T71" s="712"/>
      <c r="U71" s="712"/>
      <c r="V71" s="712"/>
      <c r="W71" s="712">
        <f>表12[[#This Row],[Sales Amount]]-表12[[#This Row],[Cost]]</f>
        <v>0</v>
      </c>
      <c r="X71" s="712" t="str">
        <f>IFERROR(Table6[[#This Row],[Profit]]/Table6[[#This Row],[Cost]]," ")</f>
        <v xml:space="preserve"> </v>
      </c>
      <c r="Y71" s="712"/>
      <c r="Z71" s="2210"/>
      <c r="AA71" s="3"/>
      <c r="AB71" s="3"/>
      <c r="AC71" s="3"/>
      <c r="AD71" s="3"/>
      <c r="AE71" s="3"/>
      <c r="AF71" s="3"/>
      <c r="AG71" s="3"/>
      <c r="AH71" s="3"/>
      <c r="AI71" s="3"/>
      <c r="AJ71" s="3"/>
      <c r="AK71" s="3"/>
      <c r="AL71" s="3"/>
      <c r="AM71" s="3"/>
      <c r="AN71" s="3"/>
      <c r="AO71" s="3"/>
      <c r="AP71" s="3"/>
      <c r="AQ71" s="3"/>
    </row>
    <row r="72" spans="1:43" s="52" customFormat="1" hidden="1">
      <c r="A72" s="3235" t="s">
        <v>2396</v>
      </c>
      <c r="B72" s="3275" t="s">
        <v>5278</v>
      </c>
      <c r="C72" s="3275" t="s">
        <v>44</v>
      </c>
      <c r="D72" s="3280">
        <v>45306</v>
      </c>
      <c r="E72" s="3433">
        <v>45306</v>
      </c>
      <c r="F72" s="3275" t="s">
        <v>151</v>
      </c>
      <c r="G72" s="3275" t="s">
        <v>5197</v>
      </c>
      <c r="H72" s="3304">
        <v>45316</v>
      </c>
      <c r="I72" s="3357" t="s">
        <v>899</v>
      </c>
      <c r="J72" s="710" t="s">
        <v>1478</v>
      </c>
      <c r="K72" s="3275" t="s">
        <v>5279</v>
      </c>
      <c r="L72" s="3357" t="s">
        <v>542</v>
      </c>
      <c r="M72" s="3396">
        <v>45313</v>
      </c>
      <c r="N72" s="3280">
        <v>45314</v>
      </c>
      <c r="O72" s="1130">
        <v>45317</v>
      </c>
      <c r="P72" s="3429" t="s">
        <v>5280</v>
      </c>
      <c r="Q72" s="3275" t="s">
        <v>35</v>
      </c>
      <c r="R72" s="2093" t="s">
        <v>36</v>
      </c>
      <c r="S72" s="710" t="s">
        <v>37</v>
      </c>
      <c r="T72" s="705">
        <v>500</v>
      </c>
      <c r="U72" s="705">
        <v>386.1</v>
      </c>
      <c r="V72" s="705"/>
      <c r="W72" s="705">
        <f>表12[[#This Row],[Sales Amount]]-表12[[#This Row],[Cost]]</f>
        <v>113.89999999999998</v>
      </c>
      <c r="X72" s="705">
        <f>IFERROR(Table6[[#This Row],[Profit]]/Table6[[#This Row],[Cost]]," ")</f>
        <v>9.8089235694277646E-2</v>
      </c>
      <c r="Y72" s="705"/>
      <c r="Z72" s="704"/>
      <c r="AA72"/>
      <c r="AB72"/>
      <c r="AC72"/>
      <c r="AD72"/>
      <c r="AE72"/>
      <c r="AF72"/>
      <c r="AG72"/>
      <c r="AH72"/>
      <c r="AI72"/>
      <c r="AJ72"/>
      <c r="AK72"/>
      <c r="AL72"/>
      <c r="AM72"/>
      <c r="AN72"/>
      <c r="AO72"/>
      <c r="AP72"/>
      <c r="AQ72"/>
    </row>
    <row r="73" spans="1:43" s="52" customFormat="1" ht="45" hidden="1">
      <c r="A73" s="3239" t="s">
        <v>165</v>
      </c>
      <c r="B73" s="7" t="s">
        <v>5281</v>
      </c>
      <c r="C73" s="3241" t="s">
        <v>28</v>
      </c>
      <c r="D73" s="3243">
        <v>45306</v>
      </c>
      <c r="E73" s="3243">
        <v>45306</v>
      </c>
      <c r="F73" s="3241" t="s">
        <v>260</v>
      </c>
      <c r="G73" s="3295" t="s">
        <v>5263</v>
      </c>
      <c r="H73" s="3442" t="s">
        <v>4961</v>
      </c>
      <c r="I73" s="3295"/>
      <c r="J73" s="3443" t="s">
        <v>3732</v>
      </c>
      <c r="K73" s="3295" t="s">
        <v>5264</v>
      </c>
      <c r="L73" s="7"/>
      <c r="M73" s="3444"/>
      <c r="N73" s="3243"/>
      <c r="O73" s="3243"/>
      <c r="P73" s="6048" t="s">
        <v>5265</v>
      </c>
      <c r="Q73" s="3445" t="s">
        <v>5175</v>
      </c>
      <c r="R73" s="1730"/>
      <c r="S73" s="85"/>
      <c r="T73" s="705"/>
      <c r="U73" s="705"/>
      <c r="V73" s="705"/>
      <c r="W73" s="705">
        <f>表12[[#This Row],[Sales Amount]]-表12[[#This Row],[Cost]]</f>
        <v>0</v>
      </c>
      <c r="X73" s="2147">
        <f>IFERROR(Table6[[#This Row],[Profit]]/Table6[[#This Row],[Cost]]," ")</f>
        <v>9.8089235694277646E-2</v>
      </c>
      <c r="Y73" s="705"/>
      <c r="Z73" s="704"/>
      <c r="AA73"/>
      <c r="AB73"/>
      <c r="AC73"/>
      <c r="AD73"/>
      <c r="AE73"/>
      <c r="AF73"/>
      <c r="AG73"/>
      <c r="AH73"/>
      <c r="AI73"/>
      <c r="AJ73"/>
      <c r="AK73"/>
      <c r="AL73"/>
      <c r="AM73"/>
      <c r="AN73"/>
      <c r="AO73"/>
      <c r="AP73"/>
      <c r="AQ73"/>
    </row>
    <row r="74" spans="1:43" s="36" customFormat="1" ht="30" hidden="1">
      <c r="A74" s="3234" t="s">
        <v>3343</v>
      </c>
      <c r="B74" s="3462" t="s">
        <v>5282</v>
      </c>
      <c r="C74" s="3265" t="s">
        <v>1508</v>
      </c>
      <c r="D74" s="3373"/>
      <c r="E74" s="3365">
        <v>45306</v>
      </c>
      <c r="F74" s="117"/>
      <c r="G74" s="3268"/>
      <c r="H74" s="3290"/>
      <c r="I74" s="3265"/>
      <c r="J74" s="25" t="s">
        <v>738</v>
      </c>
      <c r="K74" s="4848" t="s">
        <v>310</v>
      </c>
      <c r="L74" s="3265"/>
      <c r="M74" s="3373"/>
      <c r="N74" s="3373">
        <v>45306</v>
      </c>
      <c r="O74" s="3373" t="s">
        <v>738</v>
      </c>
      <c r="P74" s="3317" t="s">
        <v>5283</v>
      </c>
      <c r="Q74" s="3265" t="s">
        <v>50</v>
      </c>
      <c r="R74" s="2216" t="s">
        <v>5284</v>
      </c>
      <c r="S74" s="31"/>
      <c r="T74" s="712"/>
      <c r="U74" s="712"/>
      <c r="V74" s="712"/>
      <c r="W74" s="712">
        <f>表12[[#This Row],[Sales Amount]]-表12[[#This Row],[Cost]]</f>
        <v>0</v>
      </c>
      <c r="X74" s="2280">
        <f>IFERROR(Table6[[#This Row],[Profit]]/Table6[[#This Row],[Cost]]," ")</f>
        <v>9.8089235694277646E-2</v>
      </c>
      <c r="Y74" s="712"/>
      <c r="Z74" s="2210"/>
      <c r="AA74" s="3"/>
      <c r="AB74" s="3"/>
      <c r="AC74" s="3"/>
      <c r="AD74" s="3"/>
      <c r="AE74" s="3"/>
      <c r="AF74" s="3"/>
      <c r="AG74" s="3"/>
      <c r="AH74" s="3"/>
      <c r="AI74" s="3"/>
      <c r="AJ74" s="3"/>
      <c r="AK74" s="3"/>
      <c r="AL74" s="3"/>
      <c r="AM74" s="3"/>
      <c r="AN74" s="3"/>
      <c r="AO74" s="3"/>
      <c r="AP74" s="3"/>
      <c r="AQ74" s="3"/>
    </row>
    <row r="75" spans="1:43" s="36" customFormat="1" hidden="1">
      <c r="A75" s="3234" t="s">
        <v>3343</v>
      </c>
      <c r="B75" s="3268" t="s">
        <v>5285</v>
      </c>
      <c r="C75" s="3265" t="s">
        <v>1508</v>
      </c>
      <c r="D75" s="3373"/>
      <c r="E75" s="3452">
        <v>45306</v>
      </c>
      <c r="F75" s="3265"/>
      <c r="G75" s="3268"/>
      <c r="H75" s="3290"/>
      <c r="I75" s="3265"/>
      <c r="J75" s="25" t="s">
        <v>738</v>
      </c>
      <c r="K75" s="3265" t="s">
        <v>310</v>
      </c>
      <c r="L75" s="3265"/>
      <c r="M75" s="3373"/>
      <c r="N75" s="3373">
        <v>45306</v>
      </c>
      <c r="O75" s="3373" t="s">
        <v>738</v>
      </c>
      <c r="P75" s="3317" t="s">
        <v>5286</v>
      </c>
      <c r="Q75" s="3265" t="s">
        <v>50</v>
      </c>
      <c r="R75" s="2216" t="s">
        <v>5287</v>
      </c>
      <c r="S75" s="31"/>
      <c r="T75" s="712"/>
      <c r="U75" s="712"/>
      <c r="V75" s="712"/>
      <c r="W75" s="712">
        <f>表12[[#This Row],[Sales Amount]]-表12[[#This Row],[Cost]]</f>
        <v>0</v>
      </c>
      <c r="X75" s="2280" t="str">
        <f>IFERROR(Table6[[#This Row],[Profit]]/Table6[[#This Row],[Cost]]," ")</f>
        <v xml:space="preserve"> </v>
      </c>
      <c r="Y75" s="712"/>
      <c r="Z75" s="2210"/>
      <c r="AA75" s="3"/>
      <c r="AB75" s="3"/>
      <c r="AC75" s="3"/>
      <c r="AD75" s="3"/>
      <c r="AE75" s="3"/>
      <c r="AF75" s="3"/>
      <c r="AG75" s="3"/>
      <c r="AH75" s="3"/>
      <c r="AI75" s="3"/>
      <c r="AJ75" s="3"/>
      <c r="AK75" s="3"/>
      <c r="AL75" s="3"/>
      <c r="AM75" s="3"/>
      <c r="AN75" s="3"/>
      <c r="AO75" s="3"/>
      <c r="AP75" s="3"/>
      <c r="AQ75" s="3"/>
    </row>
    <row r="76" spans="1:43" s="36" customFormat="1" hidden="1">
      <c r="A76" s="3234" t="s">
        <v>3343</v>
      </c>
      <c r="B76" s="3272" t="s">
        <v>5288</v>
      </c>
      <c r="C76" s="3265" t="s">
        <v>28</v>
      </c>
      <c r="D76" s="3373">
        <v>45297</v>
      </c>
      <c r="E76" s="3365">
        <v>45306</v>
      </c>
      <c r="F76" s="3430" t="s">
        <v>45</v>
      </c>
      <c r="G76" s="3268" t="s">
        <v>46</v>
      </c>
      <c r="H76" s="3290"/>
      <c r="I76" s="3265"/>
      <c r="J76" s="3265" t="s">
        <v>168</v>
      </c>
      <c r="K76" s="36" t="s">
        <v>310</v>
      </c>
      <c r="L76" s="36" t="s">
        <v>5289</v>
      </c>
      <c r="M76" s="3373">
        <v>45308</v>
      </c>
      <c r="N76" s="3373">
        <v>45308</v>
      </c>
      <c r="O76" s="3373">
        <v>45311</v>
      </c>
      <c r="P76" s="3364" t="s">
        <v>5290</v>
      </c>
      <c r="Q76" s="3364" t="s">
        <v>50</v>
      </c>
      <c r="R76" s="3" t="s">
        <v>5291</v>
      </c>
      <c r="S76" s="31"/>
      <c r="T76" s="712"/>
      <c r="U76" s="712"/>
      <c r="V76" s="712"/>
      <c r="W76" s="712"/>
      <c r="X76" s="2280"/>
      <c r="Y76" s="712"/>
      <c r="Z76" s="2210"/>
      <c r="AA76" s="3"/>
      <c r="AB76" s="3"/>
      <c r="AC76" s="3"/>
      <c r="AD76" s="3"/>
      <c r="AE76" s="3"/>
      <c r="AF76" s="3"/>
      <c r="AG76" s="3"/>
      <c r="AH76" s="3"/>
      <c r="AI76" s="3"/>
      <c r="AJ76" s="3"/>
      <c r="AK76" s="3"/>
      <c r="AL76" s="3"/>
      <c r="AM76" s="3"/>
      <c r="AN76" s="3"/>
      <c r="AO76" s="3"/>
      <c r="AP76" s="3"/>
      <c r="AQ76" s="3"/>
    </row>
    <row r="77" spans="1:43" s="52" customFormat="1" hidden="1">
      <c r="A77" s="3413" t="s">
        <v>122</v>
      </c>
      <c r="B77" s="3357" t="s">
        <v>5292</v>
      </c>
      <c r="C77" s="3357" t="s">
        <v>704</v>
      </c>
      <c r="D77" s="3396">
        <v>45308</v>
      </c>
      <c r="E77" s="3396">
        <v>45308</v>
      </c>
      <c r="F77" s="4841" t="s">
        <v>260</v>
      </c>
      <c r="G77" s="4841" t="s">
        <v>5293</v>
      </c>
      <c r="H77" s="3304">
        <v>45317</v>
      </c>
      <c r="I77" s="3454">
        <v>0.33333333333333331</v>
      </c>
      <c r="J77" s="3357" t="s">
        <v>297</v>
      </c>
      <c r="K77" s="4841" t="s">
        <v>5294</v>
      </c>
      <c r="L77" s="3395"/>
      <c r="M77" s="3396">
        <v>45316</v>
      </c>
      <c r="N77" s="3396">
        <v>45316</v>
      </c>
      <c r="O77" s="3396">
        <v>45320</v>
      </c>
      <c r="P77" s="3415" t="s">
        <v>5295</v>
      </c>
      <c r="Q77" s="3357" t="s">
        <v>128</v>
      </c>
      <c r="R77" s="2112" t="s">
        <v>36</v>
      </c>
      <c r="S77" s="1117"/>
      <c r="T77" s="2141">
        <f>3217.58-1772.58</f>
        <v>1445</v>
      </c>
      <c r="U77" s="2141">
        <f>90+792</f>
        <v>882</v>
      </c>
      <c r="V77" s="2141"/>
      <c r="W77" s="2141">
        <f>表12[[#This Row],[Sales Amount]]-表12[[#This Row],[Cost]]</f>
        <v>563</v>
      </c>
      <c r="X77" s="2142">
        <f>IFERROR(表12[[#This Row],[Profit]]/表12[[#This Row],[Cost]]," ")</f>
        <v>0.63832199546485258</v>
      </c>
      <c r="Y77" s="2141"/>
      <c r="Z77" s="2143"/>
      <c r="AA77"/>
      <c r="AB77"/>
      <c r="AC77"/>
      <c r="AD77"/>
      <c r="AE77"/>
      <c r="AF77"/>
      <c r="AG77"/>
      <c r="AH77"/>
      <c r="AI77"/>
      <c r="AJ77"/>
      <c r="AK77"/>
      <c r="AL77"/>
      <c r="AM77"/>
      <c r="AN77"/>
      <c r="AO77"/>
      <c r="AP77"/>
      <c r="AQ77"/>
    </row>
    <row r="78" spans="1:43" s="52" customFormat="1" hidden="1">
      <c r="A78" s="3239" t="s">
        <v>409</v>
      </c>
      <c r="B78" s="3441" t="s">
        <v>5296</v>
      </c>
      <c r="C78" s="3241" t="s">
        <v>28</v>
      </c>
      <c r="D78" s="3243">
        <v>45299</v>
      </c>
      <c r="E78" s="3243">
        <v>45308</v>
      </c>
      <c r="F78" s="3241" t="s">
        <v>2225</v>
      </c>
      <c r="G78" s="43" t="s">
        <v>1350</v>
      </c>
      <c r="H78" s="3442" t="s">
        <v>4961</v>
      </c>
      <c r="I78" s="3295"/>
      <c r="J78" s="3441" t="s">
        <v>32</v>
      </c>
      <c r="K78" s="43" t="s">
        <v>407</v>
      </c>
      <c r="L78" s="7"/>
      <c r="M78" s="3444"/>
      <c r="N78" s="3243"/>
      <c r="O78" s="3243"/>
      <c r="P78" s="3445" t="s">
        <v>5297</v>
      </c>
      <c r="Q78" s="3445" t="s">
        <v>5175</v>
      </c>
      <c r="R78" s="1730"/>
      <c r="S78" s="85"/>
      <c r="T78" s="705"/>
      <c r="U78" s="705"/>
      <c r="V78" s="705"/>
      <c r="W78" s="705">
        <f>表12[[#This Row],[Sales Amount]]-表12[[#This Row],[Cost]]</f>
        <v>0</v>
      </c>
      <c r="X78" s="2147">
        <f>IFERROR(Table6[[#This Row],[Profit]]/Table6[[#This Row],[Cost]]," ")</f>
        <v>8.1818181818181818E-2</v>
      </c>
      <c r="Y78" s="705"/>
      <c r="Z78" s="704"/>
      <c r="AA78"/>
      <c r="AB78"/>
      <c r="AC78"/>
      <c r="AD78"/>
      <c r="AE78"/>
      <c r="AF78"/>
      <c r="AG78"/>
      <c r="AH78"/>
      <c r="AI78"/>
      <c r="AJ78"/>
      <c r="AK78"/>
      <c r="AL78"/>
      <c r="AM78"/>
      <c r="AN78"/>
      <c r="AO78"/>
      <c r="AP78"/>
      <c r="AQ78"/>
    </row>
    <row r="79" spans="1:43" s="52" customFormat="1" hidden="1">
      <c r="A79" s="3235" t="s">
        <v>1035</v>
      </c>
      <c r="B79" s="3275" t="s">
        <v>5298</v>
      </c>
      <c r="C79" s="3275" t="s">
        <v>28</v>
      </c>
      <c r="D79" s="3280">
        <v>45307</v>
      </c>
      <c r="E79" s="3346">
        <v>45307</v>
      </c>
      <c r="F79" s="3275" t="s">
        <v>135</v>
      </c>
      <c r="G79" s="3275" t="s">
        <v>5180</v>
      </c>
      <c r="H79" s="3301" t="s">
        <v>1038</v>
      </c>
      <c r="I79" s="3275"/>
      <c r="J79" s="4839" t="s">
        <v>32</v>
      </c>
      <c r="K79" s="3278" t="s">
        <v>162</v>
      </c>
      <c r="L79" s="3347" t="s">
        <v>542</v>
      </c>
      <c r="M79" s="3280">
        <v>45316</v>
      </c>
      <c r="N79" s="3280">
        <v>45314</v>
      </c>
      <c r="O79" s="3280">
        <v>45316</v>
      </c>
      <c r="P79" s="3439" t="s">
        <v>5299</v>
      </c>
      <c r="Q79" s="3275" t="s">
        <v>35</v>
      </c>
      <c r="R79" s="2112" t="s">
        <v>36</v>
      </c>
      <c r="S79" s="710" t="s">
        <v>1320</v>
      </c>
      <c r="T79" s="705"/>
      <c r="U79" s="705"/>
      <c r="V79" s="705"/>
      <c r="W79" s="705">
        <f>表12[[#This Row],[Sales Amount]]-表12[[#This Row],[Cost]]</f>
        <v>0</v>
      </c>
      <c r="X79" s="2146">
        <f>IFERROR(Table6[[#This Row],[Profit]]/Table6[[#This Row],[Cost]]," ")</f>
        <v>7.745726495726496E-2</v>
      </c>
      <c r="Y79" s="705"/>
      <c r="Z79" s="704"/>
      <c r="AA79"/>
      <c r="AB79"/>
      <c r="AC79"/>
      <c r="AD79"/>
      <c r="AE79"/>
      <c r="AF79"/>
      <c r="AG79"/>
      <c r="AH79"/>
      <c r="AI79"/>
      <c r="AJ79"/>
      <c r="AK79"/>
      <c r="AL79"/>
      <c r="AM79"/>
      <c r="AN79"/>
      <c r="AO79"/>
      <c r="AP79"/>
      <c r="AQ79"/>
    </row>
    <row r="80" spans="1:43" s="52" customFormat="1" hidden="1">
      <c r="A80" s="3235" t="s">
        <v>1035</v>
      </c>
      <c r="B80" s="3275" t="s">
        <v>5300</v>
      </c>
      <c r="C80" s="3275" t="s">
        <v>28</v>
      </c>
      <c r="D80" s="3280">
        <v>45307</v>
      </c>
      <c r="E80" s="3346">
        <v>45307</v>
      </c>
      <c r="F80" s="3275" t="s">
        <v>135</v>
      </c>
      <c r="G80" s="3275" t="s">
        <v>5180</v>
      </c>
      <c r="H80" s="3301" t="s">
        <v>1038</v>
      </c>
      <c r="I80" s="3275"/>
      <c r="J80" s="3275" t="s">
        <v>32</v>
      </c>
      <c r="K80" s="3278" t="s">
        <v>162</v>
      </c>
      <c r="L80" s="3357" t="s">
        <v>542</v>
      </c>
      <c r="M80" s="3396">
        <v>45313</v>
      </c>
      <c r="N80" s="3280">
        <v>45309</v>
      </c>
      <c r="O80" s="3280">
        <v>45313</v>
      </c>
      <c r="P80" s="3439" t="s">
        <v>5299</v>
      </c>
      <c r="Q80" s="3275" t="s">
        <v>35</v>
      </c>
      <c r="R80" s="2093" t="s">
        <v>36</v>
      </c>
      <c r="S80" s="710" t="s">
        <v>1320</v>
      </c>
      <c r="T80" s="705"/>
      <c r="U80" s="705"/>
      <c r="V80" s="705"/>
      <c r="W80" s="705">
        <f>表12[[#This Row],[Sales Amount]]-表12[[#This Row],[Cost]]</f>
        <v>0</v>
      </c>
      <c r="X80" s="2146">
        <f>IFERROR(Table6[[#This Row],[Profit]]/Table6[[#This Row],[Cost]]," ")</f>
        <v>7.745726495726496E-2</v>
      </c>
      <c r="Y80" s="705"/>
      <c r="Z80" s="704"/>
      <c r="AA80"/>
      <c r="AB80"/>
      <c r="AC80"/>
      <c r="AD80"/>
      <c r="AE80"/>
      <c r="AF80"/>
      <c r="AG80"/>
      <c r="AH80"/>
      <c r="AI80"/>
      <c r="AJ80"/>
      <c r="AK80"/>
      <c r="AL80"/>
      <c r="AM80"/>
      <c r="AN80"/>
      <c r="AO80"/>
      <c r="AP80"/>
      <c r="AQ80"/>
    </row>
    <row r="81" spans="1:43" s="117" customFormat="1" ht="45">
      <c r="A81" s="3417" t="s">
        <v>3835</v>
      </c>
      <c r="B81" s="3430" t="s">
        <v>5301</v>
      </c>
      <c r="C81" s="3268" t="s">
        <v>28</v>
      </c>
      <c r="D81" s="3262">
        <v>45304</v>
      </c>
      <c r="E81" s="3365">
        <v>45308</v>
      </c>
      <c r="F81" s="3268" t="s">
        <v>45</v>
      </c>
      <c r="G81" s="117" t="s">
        <v>1672</v>
      </c>
      <c r="H81" s="3431" t="s">
        <v>5302</v>
      </c>
      <c r="I81" s="3380" t="s">
        <v>5303</v>
      </c>
      <c r="J81" s="3273" t="s">
        <v>297</v>
      </c>
      <c r="K81" s="4246" t="s">
        <v>5304</v>
      </c>
      <c r="L81" s="3367">
        <v>3869</v>
      </c>
      <c r="M81" s="3366">
        <v>45309</v>
      </c>
      <c r="N81" s="3366">
        <v>45309</v>
      </c>
      <c r="O81" s="3463">
        <v>45314</v>
      </c>
      <c r="P81" s="716" t="s">
        <v>5305</v>
      </c>
      <c r="Q81" s="3268" t="s">
        <v>75</v>
      </c>
      <c r="R81" s="3" t="s">
        <v>5306</v>
      </c>
      <c r="S81" s="660">
        <v>4</v>
      </c>
      <c r="T81" s="2126">
        <v>2170</v>
      </c>
      <c r="U81" s="1447">
        <v>1501.5</v>
      </c>
      <c r="V81" s="660">
        <v>1</v>
      </c>
      <c r="W81" s="660">
        <f>表12[[#This Row],[Sales Amount]]-表12[[#This Row],[Cost]]</f>
        <v>668.5</v>
      </c>
      <c r="X81" s="885">
        <f>表12[[#This Row],[Profit]]/表12[[#This Row],[Cost]]</f>
        <v>0.44522144522144524</v>
      </c>
      <c r="Y81" s="660"/>
      <c r="Z81" s="113"/>
      <c r="AA81"/>
      <c r="AB81"/>
      <c r="AC81"/>
      <c r="AD81"/>
      <c r="AE81"/>
      <c r="AF81"/>
      <c r="AG81"/>
      <c r="AH81"/>
      <c r="AI81"/>
      <c r="AJ81"/>
      <c r="AK81"/>
      <c r="AL81"/>
      <c r="AM81"/>
      <c r="AN81"/>
      <c r="AO81"/>
      <c r="AP81"/>
      <c r="AQ81"/>
    </row>
    <row r="82" spans="1:43" s="36" customFormat="1" hidden="1">
      <c r="A82" s="3234" t="s">
        <v>5307</v>
      </c>
      <c r="B82" s="3265" t="s">
        <v>5308</v>
      </c>
      <c r="C82" s="3265" t="s">
        <v>4010</v>
      </c>
      <c r="D82" s="3373"/>
      <c r="E82" s="3365">
        <v>45308</v>
      </c>
      <c r="F82" s="3265"/>
      <c r="G82" s="3265"/>
      <c r="H82" s="3290"/>
      <c r="I82" s="3265"/>
      <c r="J82" s="3265" t="s">
        <v>738</v>
      </c>
      <c r="K82" s="3265" t="s">
        <v>310</v>
      </c>
      <c r="L82" s="3265"/>
      <c r="M82" s="3373"/>
      <c r="N82" s="3373">
        <v>45308</v>
      </c>
      <c r="O82" s="3373" t="s">
        <v>738</v>
      </c>
      <c r="P82" s="3317"/>
      <c r="Q82" s="3265" t="s">
        <v>50</v>
      </c>
      <c r="R82" s="3" t="s">
        <v>5309</v>
      </c>
      <c r="S82" s="31"/>
      <c r="T82" s="31"/>
      <c r="U82" s="31"/>
      <c r="V82" s="31"/>
      <c r="W82" s="31">
        <f>表12[[#This Row],[Sales Amount]]-表12[[#This Row],[Cost]]</f>
        <v>0</v>
      </c>
      <c r="X82" s="2244">
        <f>IFERROR(Table6[[#This Row],[Profit]]/Table6[[#This Row],[Cost]]," ")</f>
        <v>5.0469483568075117E-2</v>
      </c>
      <c r="Y82" s="31"/>
      <c r="Z82" s="101"/>
      <c r="AA82"/>
      <c r="AB82"/>
      <c r="AC82"/>
      <c r="AD82"/>
      <c r="AE82"/>
      <c r="AF82"/>
      <c r="AG82"/>
      <c r="AH82"/>
      <c r="AI82"/>
      <c r="AJ82"/>
      <c r="AK82"/>
      <c r="AL82"/>
      <c r="AM82"/>
      <c r="AN82"/>
      <c r="AO82"/>
      <c r="AP82"/>
      <c r="AQ82"/>
    </row>
    <row r="83" spans="1:43" s="117" customFormat="1" ht="45">
      <c r="A83" s="3417" t="s">
        <v>468</v>
      </c>
      <c r="B83" s="3430" t="s">
        <v>5310</v>
      </c>
      <c r="C83" s="3430" t="s">
        <v>200</v>
      </c>
      <c r="D83" s="3262">
        <v>45299</v>
      </c>
      <c r="E83" s="3452">
        <v>45308</v>
      </c>
      <c r="F83" s="3430" t="s">
        <v>151</v>
      </c>
      <c r="G83" s="3430" t="s">
        <v>302</v>
      </c>
      <c r="H83" s="3292">
        <v>45310</v>
      </c>
      <c r="I83" s="3430" t="s">
        <v>115</v>
      </c>
      <c r="J83" s="3430" t="s">
        <v>32</v>
      </c>
      <c r="K83" s="3432" t="s">
        <v>2728</v>
      </c>
      <c r="L83" s="3367" t="s">
        <v>5311</v>
      </c>
      <c r="M83" s="3418">
        <v>45311</v>
      </c>
      <c r="N83" s="3366">
        <v>45310</v>
      </c>
      <c r="O83" s="3262">
        <v>45311</v>
      </c>
      <c r="P83" s="4246" t="s">
        <v>5312</v>
      </c>
      <c r="Q83" s="3268" t="s">
        <v>75</v>
      </c>
      <c r="R83" s="3" t="s">
        <v>5313</v>
      </c>
      <c r="S83" s="660">
        <v>4</v>
      </c>
      <c r="T83" s="660">
        <v>680</v>
      </c>
      <c r="U83" s="660">
        <v>560</v>
      </c>
      <c r="V83" s="660">
        <v>1</v>
      </c>
      <c r="W83" s="660">
        <f>表12[[#This Row],[Sales Amount]]-表12[[#This Row],[Cost]]</f>
        <v>120</v>
      </c>
      <c r="X83" s="885">
        <f>IFERROR(Table6[[#This Row],[Profit]]/Table6[[#This Row],[Cost]]," ")</f>
        <v>8.1818181818181818E-2</v>
      </c>
      <c r="Y83" s="660"/>
      <c r="Z83" s="113"/>
      <c r="AA83"/>
      <c r="AB83"/>
      <c r="AC83"/>
      <c r="AD83"/>
      <c r="AE83"/>
      <c r="AF83"/>
      <c r="AG83"/>
      <c r="AH83"/>
      <c r="AI83"/>
      <c r="AJ83"/>
      <c r="AK83"/>
      <c r="AL83"/>
      <c r="AM83"/>
      <c r="AN83"/>
      <c r="AO83"/>
      <c r="AP83"/>
      <c r="AQ83"/>
    </row>
    <row r="84" spans="1:43" s="52" customFormat="1" hidden="1">
      <c r="A84" s="3239" t="s">
        <v>409</v>
      </c>
      <c r="B84" s="3441" t="s">
        <v>5314</v>
      </c>
      <c r="C84" s="3441" t="s">
        <v>28</v>
      </c>
      <c r="D84" s="3243">
        <v>45303</v>
      </c>
      <c r="E84" s="3243">
        <v>45309</v>
      </c>
      <c r="F84" s="3441" t="s">
        <v>151</v>
      </c>
      <c r="G84" s="3441" t="s">
        <v>302</v>
      </c>
      <c r="H84" s="3442" t="s">
        <v>4961</v>
      </c>
      <c r="I84" s="3241"/>
      <c r="J84" s="3441" t="s">
        <v>32</v>
      </c>
      <c r="K84" s="4322" t="s">
        <v>407</v>
      </c>
      <c r="L84" s="3241"/>
      <c r="M84" s="3444"/>
      <c r="N84" s="3243"/>
      <c r="O84" s="3243"/>
      <c r="P84" s="3447" t="s">
        <v>5315</v>
      </c>
      <c r="Q84" s="3445" t="s">
        <v>5175</v>
      </c>
      <c r="R84" s="1730"/>
      <c r="S84" s="85"/>
      <c r="T84" s="705"/>
      <c r="U84" s="705"/>
      <c r="V84" s="705"/>
      <c r="W84" s="705">
        <f>表12[[#This Row],[Sales Amount]]-表12[[#This Row],[Cost]]</f>
        <v>0</v>
      </c>
      <c r="X84" s="2147">
        <f>IFERROR(Table6[[#This Row],[Profit]]/Table6[[#This Row],[Cost]]," ")</f>
        <v>7.745726495726496E-2</v>
      </c>
      <c r="Y84" s="705"/>
      <c r="Z84" s="704"/>
      <c r="AA84"/>
      <c r="AB84"/>
      <c r="AC84"/>
      <c r="AD84"/>
      <c r="AE84"/>
      <c r="AF84"/>
      <c r="AG84"/>
      <c r="AH84"/>
      <c r="AI84"/>
      <c r="AJ84"/>
      <c r="AK84"/>
      <c r="AL84"/>
      <c r="AM84"/>
      <c r="AN84"/>
      <c r="AO84"/>
      <c r="AP84"/>
      <c r="AQ84"/>
    </row>
    <row r="85" spans="1:43" s="52" customFormat="1" hidden="1">
      <c r="A85" s="3235" t="s">
        <v>2396</v>
      </c>
      <c r="B85" s="3275" t="s">
        <v>5316</v>
      </c>
      <c r="C85" s="3275" t="s">
        <v>28</v>
      </c>
      <c r="D85" s="3280">
        <v>45307</v>
      </c>
      <c r="E85" s="3346">
        <v>45308</v>
      </c>
      <c r="F85" s="3275" t="s">
        <v>260</v>
      </c>
      <c r="G85" s="58" t="s">
        <v>5317</v>
      </c>
      <c r="H85" s="3304">
        <v>45315</v>
      </c>
      <c r="I85" s="3357" t="s">
        <v>5318</v>
      </c>
      <c r="J85" s="3275" t="s">
        <v>297</v>
      </c>
      <c r="K85" s="3275" t="s">
        <v>5319</v>
      </c>
      <c r="L85" s="3357" t="s">
        <v>542</v>
      </c>
      <c r="M85" s="3396">
        <v>45316</v>
      </c>
      <c r="N85" s="3280">
        <v>45315</v>
      </c>
      <c r="O85" s="3280">
        <v>45316</v>
      </c>
      <c r="P85" s="3429" t="s">
        <v>5320</v>
      </c>
      <c r="Q85" s="3275" t="s">
        <v>35</v>
      </c>
      <c r="R85" s="2093" t="s">
        <v>36</v>
      </c>
      <c r="S85" s="710" t="s">
        <v>37</v>
      </c>
      <c r="T85" s="705">
        <v>1010</v>
      </c>
      <c r="U85" s="705">
        <v>733</v>
      </c>
      <c r="V85" s="705"/>
      <c r="W85" s="705">
        <f>表12[[#This Row],[Sales Amount]]-表12[[#This Row],[Cost]]</f>
        <v>277</v>
      </c>
      <c r="X85" s="2146">
        <f>IFERROR(Table6[[#This Row],[Profit]]/Table6[[#This Row],[Cost]]," ")</f>
        <v>7.745726495726496E-2</v>
      </c>
      <c r="Y85" s="705"/>
      <c r="Z85" s="704"/>
      <c r="AA85"/>
      <c r="AB85"/>
      <c r="AC85"/>
      <c r="AD85"/>
      <c r="AE85"/>
      <c r="AF85"/>
      <c r="AG85"/>
      <c r="AH85"/>
      <c r="AI85"/>
      <c r="AJ85"/>
      <c r="AK85"/>
      <c r="AL85"/>
      <c r="AM85"/>
      <c r="AN85"/>
      <c r="AO85"/>
      <c r="AP85"/>
      <c r="AQ85"/>
    </row>
    <row r="86" spans="1:43" s="52" customFormat="1" hidden="1">
      <c r="A86" s="3239" t="s">
        <v>409</v>
      </c>
      <c r="B86" s="4213" t="s">
        <v>5321</v>
      </c>
      <c r="C86" s="3441" t="s">
        <v>28</v>
      </c>
      <c r="D86" s="3243">
        <v>45303</v>
      </c>
      <c r="E86" s="3243">
        <v>45309</v>
      </c>
      <c r="F86" s="3441" t="s">
        <v>151</v>
      </c>
      <c r="G86" s="3441" t="s">
        <v>302</v>
      </c>
      <c r="H86" s="3442" t="s">
        <v>4961</v>
      </c>
      <c r="I86" s="3241"/>
      <c r="J86" s="3441" t="s">
        <v>32</v>
      </c>
      <c r="K86" s="4322" t="s">
        <v>407</v>
      </c>
      <c r="L86" s="3241"/>
      <c r="M86" s="3444"/>
      <c r="N86" s="3243"/>
      <c r="O86" s="3243"/>
      <c r="P86" s="3447" t="s">
        <v>5322</v>
      </c>
      <c r="Q86" s="3445" t="s">
        <v>5175</v>
      </c>
      <c r="R86" s="1730"/>
      <c r="S86" s="85"/>
      <c r="T86" s="705"/>
      <c r="U86" s="705"/>
      <c r="V86" s="705"/>
      <c r="W86" s="705">
        <f>表12[[#This Row],[Sales Amount]]-表12[[#This Row],[Cost]]</f>
        <v>0</v>
      </c>
      <c r="X86" s="2147">
        <f>IFERROR(Table6[[#This Row],[Profit]]/Table6[[#This Row],[Cost]]," ")</f>
        <v>8.9223344975604552E-2</v>
      </c>
      <c r="Y86" s="705"/>
      <c r="Z86" s="704"/>
      <c r="AA86"/>
      <c r="AB86"/>
      <c r="AC86"/>
      <c r="AD86"/>
      <c r="AE86"/>
      <c r="AF86"/>
      <c r="AG86"/>
      <c r="AH86"/>
      <c r="AI86"/>
      <c r="AJ86"/>
      <c r="AK86"/>
      <c r="AL86"/>
      <c r="AM86"/>
      <c r="AN86"/>
      <c r="AO86"/>
      <c r="AP86"/>
      <c r="AQ86"/>
    </row>
    <row r="87" spans="1:43" s="36" customFormat="1" hidden="1">
      <c r="A87" s="3234" t="s">
        <v>821</v>
      </c>
      <c r="B87" s="3464" t="s">
        <v>5323</v>
      </c>
      <c r="C87" s="3265" t="s">
        <v>28</v>
      </c>
      <c r="D87" s="3373">
        <v>44930</v>
      </c>
      <c r="E87" s="3365">
        <v>45309</v>
      </c>
      <c r="F87" s="3268" t="s">
        <v>86</v>
      </c>
      <c r="G87" s="3268" t="s">
        <v>46</v>
      </c>
      <c r="H87" s="3290"/>
      <c r="I87" s="3265"/>
      <c r="J87" s="3265" t="s">
        <v>32</v>
      </c>
      <c r="K87" s="3265" t="s">
        <v>310</v>
      </c>
      <c r="L87" s="3265" t="s">
        <v>5324</v>
      </c>
      <c r="M87" s="3373">
        <v>45311</v>
      </c>
      <c r="N87" s="3373">
        <v>45309</v>
      </c>
      <c r="O87" s="3373">
        <v>45311</v>
      </c>
      <c r="P87" s="3317" t="s">
        <v>5325</v>
      </c>
      <c r="Q87" s="3265" t="s">
        <v>50</v>
      </c>
      <c r="R87" s="2216" t="s">
        <v>5326</v>
      </c>
      <c r="S87" s="31"/>
      <c r="T87" s="712"/>
      <c r="U87" s="712"/>
      <c r="V87" s="712"/>
      <c r="W87" s="712">
        <f>表12[[#This Row],[Sales Amount]]-表12[[#This Row],[Cost]]</f>
        <v>0</v>
      </c>
      <c r="X87" s="712">
        <f>IFERROR(Table6[[#This Row],[Profit]]/Table6[[#This Row],[Cost]]," ")</f>
        <v>8.9223344975604552E-2</v>
      </c>
      <c r="Y87" s="712"/>
      <c r="Z87" s="2210"/>
      <c r="AA87" s="3"/>
      <c r="AB87" s="3"/>
      <c r="AC87" s="3"/>
      <c r="AD87" s="3"/>
      <c r="AE87" s="3"/>
      <c r="AF87" s="3"/>
      <c r="AG87" s="3"/>
      <c r="AH87" s="3"/>
      <c r="AI87" s="3"/>
      <c r="AJ87" s="3"/>
      <c r="AK87" s="3"/>
      <c r="AL87" s="3"/>
      <c r="AM87" s="3"/>
      <c r="AN87" s="3"/>
      <c r="AO87" s="3"/>
      <c r="AP87" s="3"/>
      <c r="AQ87" s="3"/>
    </row>
    <row r="88" spans="1:43" s="52" customFormat="1" hidden="1">
      <c r="A88" s="3239" t="s">
        <v>409</v>
      </c>
      <c r="B88" s="5289" t="s">
        <v>5327</v>
      </c>
      <c r="C88" s="4895" t="s">
        <v>28</v>
      </c>
      <c r="D88" s="3243">
        <v>45303</v>
      </c>
      <c r="E88" s="3243">
        <v>45309</v>
      </c>
      <c r="F88" s="4895" t="s">
        <v>151</v>
      </c>
      <c r="G88" s="4895" t="s">
        <v>302</v>
      </c>
      <c r="H88" s="3442" t="s">
        <v>4961</v>
      </c>
      <c r="I88" s="4895"/>
      <c r="J88" s="3441" t="s">
        <v>32</v>
      </c>
      <c r="K88" s="5290" t="s">
        <v>407</v>
      </c>
      <c r="L88" s="4895"/>
      <c r="M88" s="5291"/>
      <c r="N88" s="5169"/>
      <c r="O88" s="5169"/>
      <c r="P88" s="5292" t="s">
        <v>5328</v>
      </c>
      <c r="Q88" s="5293" t="s">
        <v>5175</v>
      </c>
      <c r="R88" s="1752"/>
      <c r="S88" s="84"/>
      <c r="T88" s="681"/>
      <c r="U88" s="681"/>
      <c r="V88" s="681"/>
      <c r="W88" s="681">
        <f>表12[[#This Row],[Sales Amount]]-表12[[#This Row],[Cost]]</f>
        <v>0</v>
      </c>
      <c r="X88" s="2149" t="str">
        <f>IFERROR(Table6[[#This Row],[Profit]]/Table6[[#This Row],[Cost]]," ")</f>
        <v xml:space="preserve"> </v>
      </c>
      <c r="Y88" s="681"/>
      <c r="Z88" s="2138"/>
      <c r="AA88"/>
      <c r="AB88"/>
      <c r="AC88"/>
      <c r="AD88"/>
      <c r="AE88"/>
      <c r="AF88"/>
      <c r="AG88"/>
      <c r="AH88"/>
      <c r="AI88"/>
      <c r="AJ88"/>
      <c r="AK88"/>
      <c r="AL88"/>
      <c r="AM88"/>
      <c r="AN88"/>
      <c r="AO88"/>
      <c r="AP88"/>
      <c r="AQ88"/>
    </row>
    <row r="89" spans="1:43" hidden="1">
      <c r="A89" s="3239" t="s">
        <v>409</v>
      </c>
      <c r="B89" s="3441" t="s">
        <v>5329</v>
      </c>
      <c r="C89" s="3241" t="s">
        <v>28</v>
      </c>
      <c r="D89" s="3243">
        <v>45303</v>
      </c>
      <c r="E89" s="3243">
        <v>45309</v>
      </c>
      <c r="F89" s="3241" t="s">
        <v>151</v>
      </c>
      <c r="G89" s="3241" t="s">
        <v>302</v>
      </c>
      <c r="H89" s="3442" t="s">
        <v>4961</v>
      </c>
      <c r="I89" s="3241"/>
      <c r="J89" s="3441" t="s">
        <v>32</v>
      </c>
      <c r="K89" s="3443" t="s">
        <v>1622</v>
      </c>
      <c r="L89" s="3241"/>
      <c r="M89" s="3444"/>
      <c r="N89" s="3243"/>
      <c r="O89" s="3243"/>
      <c r="P89" s="3447" t="s">
        <v>5330</v>
      </c>
      <c r="Q89" s="3445" t="s">
        <v>5175</v>
      </c>
      <c r="R89" s="1730"/>
      <c r="S89" s="85"/>
      <c r="T89" s="705"/>
      <c r="U89" s="705"/>
      <c r="V89" s="705"/>
      <c r="W89" s="705">
        <f>表12[[#This Row],[Sales Amount]]-表12[[#This Row],[Cost]]</f>
        <v>0</v>
      </c>
      <c r="X89" s="2147">
        <f>IFERROR(Table6[[#This Row],[Profit]]/Table6[[#This Row],[Cost]]," ")</f>
        <v>0.13790760869565216</v>
      </c>
      <c r="Y89" s="705"/>
      <c r="Z89" s="704"/>
    </row>
    <row r="90" spans="1:43" s="117" customFormat="1">
      <c r="A90" s="4607" t="s">
        <v>468</v>
      </c>
      <c r="B90" s="4938" t="s">
        <v>5331</v>
      </c>
      <c r="C90" s="4845" t="s">
        <v>28</v>
      </c>
      <c r="D90" s="4906">
        <v>45302</v>
      </c>
      <c r="E90" s="4945">
        <v>45310</v>
      </c>
      <c r="F90" s="4845" t="s">
        <v>98</v>
      </c>
      <c r="G90" s="4845" t="s">
        <v>302</v>
      </c>
      <c r="H90" s="3463" t="s">
        <v>5332</v>
      </c>
      <c r="I90" s="4845"/>
      <c r="J90" s="3268" t="s">
        <v>32</v>
      </c>
      <c r="K90" s="4947" t="s">
        <v>310</v>
      </c>
      <c r="L90" s="4845" t="s">
        <v>5333</v>
      </c>
      <c r="M90" s="5069">
        <v>45314</v>
      </c>
      <c r="N90" s="4906">
        <v>45313</v>
      </c>
      <c r="O90" s="4906">
        <v>45314</v>
      </c>
      <c r="P90" s="4964" t="s">
        <v>5334</v>
      </c>
      <c r="Q90" s="3268" t="s">
        <v>75</v>
      </c>
      <c r="R90" s="2284" t="s">
        <v>5335</v>
      </c>
      <c r="S90" s="120"/>
      <c r="T90" s="120"/>
      <c r="U90" s="120"/>
      <c r="V90" s="120"/>
      <c r="W90" s="120">
        <f>表12[[#This Row],[Sales Amount]]-表12[[#This Row],[Cost]]</f>
        <v>0</v>
      </c>
      <c r="X90" s="1041">
        <f>IFERROR(Table6[[#This Row],[Profit]]/Table6[[#This Row],[Cost]]," ")</f>
        <v>0.58367346938775511</v>
      </c>
      <c r="Y90" s="120"/>
      <c r="Z90" s="1209"/>
      <c r="AA90"/>
      <c r="AB90"/>
      <c r="AC90"/>
      <c r="AD90"/>
      <c r="AE90"/>
      <c r="AF90"/>
      <c r="AG90"/>
      <c r="AH90"/>
      <c r="AI90"/>
      <c r="AJ90"/>
      <c r="AK90"/>
      <c r="AL90"/>
      <c r="AM90"/>
      <c r="AN90"/>
      <c r="AO90"/>
      <c r="AP90"/>
      <c r="AQ90"/>
    </row>
    <row r="91" spans="1:43" s="117" customFormat="1" hidden="1">
      <c r="A91" s="3417" t="s">
        <v>4815</v>
      </c>
      <c r="B91" s="3" t="s">
        <v>5336</v>
      </c>
      <c r="C91" s="3268" t="s">
        <v>44</v>
      </c>
      <c r="D91" s="3262">
        <v>45300</v>
      </c>
      <c r="E91" s="4907">
        <v>45310</v>
      </c>
      <c r="F91" s="3268" t="s">
        <v>151</v>
      </c>
      <c r="G91" s="3268" t="s">
        <v>46</v>
      </c>
      <c r="H91" s="3290"/>
      <c r="I91" s="3265"/>
      <c r="J91" s="3268" t="s">
        <v>32</v>
      </c>
      <c r="K91" s="3268" t="s">
        <v>310</v>
      </c>
      <c r="L91" s="3268" t="s">
        <v>5337</v>
      </c>
      <c r="M91" s="3373">
        <v>45312</v>
      </c>
      <c r="N91" s="3373">
        <v>45311</v>
      </c>
      <c r="O91" s="3373">
        <v>45314</v>
      </c>
      <c r="P91" s="3364" t="s">
        <v>5338</v>
      </c>
      <c r="Q91" s="3364" t="s">
        <v>50</v>
      </c>
      <c r="R91" s="3" t="s">
        <v>5339</v>
      </c>
      <c r="S91" s="31"/>
      <c r="T91" s="712"/>
      <c r="U91" s="712"/>
      <c r="V91" s="712"/>
      <c r="W91" s="712">
        <f>表12[[#This Row],[Sales Amount]]-表12[[#This Row],[Cost]]</f>
        <v>0</v>
      </c>
      <c r="X91" s="2280">
        <f>IFERROR(Table6[[#This Row],[Profit]]/Table6[[#This Row],[Cost]]," ")</f>
        <v>0.32183908045977011</v>
      </c>
      <c r="Y91" s="712"/>
      <c r="Z91" s="2210"/>
      <c r="AA91" s="3"/>
      <c r="AB91" s="3"/>
      <c r="AC91" s="3"/>
      <c r="AD91" s="3"/>
      <c r="AE91" s="3"/>
      <c r="AF91" s="3"/>
      <c r="AG91" s="3"/>
      <c r="AH91" s="3"/>
      <c r="AI91" s="3"/>
      <c r="AJ91" s="3"/>
      <c r="AK91" s="3"/>
      <c r="AL91" s="3"/>
      <c r="AM91" s="3"/>
      <c r="AN91" s="3"/>
      <c r="AO91" s="3"/>
      <c r="AP91" s="3"/>
      <c r="AQ91" s="3"/>
    </row>
    <row r="92" spans="1:43" hidden="1">
      <c r="A92" s="4603" t="s">
        <v>5340</v>
      </c>
      <c r="B92" s="4837" t="s">
        <v>5341</v>
      </c>
      <c r="C92" s="4848" t="s">
        <v>28</v>
      </c>
      <c r="D92" s="3373">
        <v>45305</v>
      </c>
      <c r="E92" s="4907">
        <v>45311</v>
      </c>
      <c r="F92" s="4850" t="s">
        <v>93</v>
      </c>
      <c r="G92" s="4908" t="s">
        <v>669</v>
      </c>
      <c r="H92" s="4836"/>
      <c r="I92" s="4848"/>
      <c r="J92" s="4850" t="s">
        <v>32</v>
      </c>
      <c r="K92" s="4850" t="s">
        <v>310</v>
      </c>
      <c r="L92" s="4845" t="s">
        <v>5342</v>
      </c>
      <c r="M92" s="4853">
        <v>45317</v>
      </c>
      <c r="N92" s="4853">
        <v>45316</v>
      </c>
      <c r="O92" s="4853">
        <v>45319</v>
      </c>
      <c r="P92" s="4829" t="s">
        <v>5343</v>
      </c>
      <c r="Q92" s="4850" t="s">
        <v>89</v>
      </c>
      <c r="R92" s="2258" t="s">
        <v>5344</v>
      </c>
      <c r="S92" s="19">
        <v>4</v>
      </c>
      <c r="T92" s="19">
        <v>4660</v>
      </c>
      <c r="U92" s="19"/>
      <c r="V92" s="19"/>
      <c r="W92" s="19">
        <f>表12[[#This Row],[Sales Amount]]-表12[[#This Row],[Cost]]</f>
        <v>4660</v>
      </c>
      <c r="X92" s="2259">
        <f>IFERROR(Table6[[#This Row],[Profit]]/Table6[[#This Row],[Cost]]," ")</f>
        <v>0.28912071535022354</v>
      </c>
      <c r="Y92" s="19"/>
      <c r="Z92" s="2260"/>
    </row>
    <row r="93" spans="1:43" s="117" customFormat="1" hidden="1">
      <c r="A93" s="3417" t="s">
        <v>409</v>
      </c>
      <c r="B93" s="4938" t="s">
        <v>5345</v>
      </c>
      <c r="C93" s="4938" t="s">
        <v>28</v>
      </c>
      <c r="D93" s="4906">
        <v>45296</v>
      </c>
      <c r="E93" s="4945">
        <v>45314</v>
      </c>
      <c r="F93" s="4938" t="s">
        <v>151</v>
      </c>
      <c r="G93" s="4938" t="s">
        <v>302</v>
      </c>
      <c r="H93" s="4836"/>
      <c r="I93" s="4848"/>
      <c r="J93" s="4938" t="s">
        <v>32</v>
      </c>
      <c r="K93" s="4938" t="s">
        <v>47</v>
      </c>
      <c r="L93" s="4845" t="s">
        <v>5346</v>
      </c>
      <c r="M93" s="4853">
        <v>45316</v>
      </c>
      <c r="N93" s="4853">
        <v>45314</v>
      </c>
      <c r="O93" s="4853">
        <v>45316</v>
      </c>
      <c r="P93" s="4829" t="s">
        <v>5347</v>
      </c>
      <c r="Q93" s="4979" t="s">
        <v>89</v>
      </c>
      <c r="R93" s="2277" t="s">
        <v>5348</v>
      </c>
      <c r="S93" s="19"/>
      <c r="T93" s="1138"/>
      <c r="U93" s="1138"/>
      <c r="V93" s="1138"/>
      <c r="W93" s="1138">
        <f>表12[[#This Row],[Sales Amount]]-表12[[#This Row],[Cost]]</f>
        <v>0</v>
      </c>
      <c r="X93" s="1138">
        <f>IFERROR(Table6[[#This Row],[Profit]]/Table6[[#This Row],[Cost]]," ")</f>
        <v>0.39274279615795088</v>
      </c>
      <c r="Y93" s="1138"/>
      <c r="Z93" s="2253"/>
      <c r="AA93"/>
      <c r="AB93"/>
      <c r="AC93"/>
      <c r="AD93"/>
      <c r="AE93"/>
      <c r="AF93"/>
      <c r="AG93"/>
      <c r="AH93"/>
      <c r="AI93"/>
      <c r="AJ93"/>
      <c r="AK93"/>
      <c r="AL93"/>
      <c r="AM93"/>
      <c r="AN93"/>
      <c r="AO93"/>
      <c r="AP93"/>
      <c r="AQ93"/>
    </row>
    <row r="94" spans="1:43" s="117" customFormat="1" hidden="1">
      <c r="A94" s="117" t="s">
        <v>409</v>
      </c>
      <c r="B94" s="4908" t="s">
        <v>5349</v>
      </c>
      <c r="C94" s="4938" t="s">
        <v>28</v>
      </c>
      <c r="D94" s="4906">
        <v>44931</v>
      </c>
      <c r="E94" s="4907">
        <v>45314</v>
      </c>
      <c r="F94" s="4938" t="s">
        <v>45</v>
      </c>
      <c r="G94" s="4938" t="s">
        <v>302</v>
      </c>
      <c r="H94" s="4836"/>
      <c r="I94" s="4848"/>
      <c r="J94" s="4938" t="s">
        <v>32</v>
      </c>
      <c r="K94" s="4938" t="s">
        <v>47</v>
      </c>
      <c r="L94" s="5294" t="s">
        <v>5350</v>
      </c>
      <c r="M94" s="4853">
        <v>45316</v>
      </c>
      <c r="N94" s="4853">
        <v>45315</v>
      </c>
      <c r="O94" s="4853">
        <v>45320</v>
      </c>
      <c r="P94" s="5286" t="s">
        <v>5351</v>
      </c>
      <c r="Q94" s="4979" t="s">
        <v>89</v>
      </c>
      <c r="R94" s="2322" t="s">
        <v>5352</v>
      </c>
      <c r="S94" s="19"/>
      <c r="T94" s="1138"/>
      <c r="U94" s="1138"/>
      <c r="V94" s="1138"/>
      <c r="W94" s="1138">
        <f>表12[[#This Row],[Sales Amount]]-表12[[#This Row],[Cost]]</f>
        <v>0</v>
      </c>
      <c r="X94" s="1138">
        <f>IFERROR(Table6[[#This Row],[Profit]]/Table6[[#This Row],[Cost]]," ")</f>
        <v>0.28415300546448086</v>
      </c>
      <c r="Y94" s="1138"/>
      <c r="Z94" s="2253"/>
      <c r="AA94" s="3"/>
      <c r="AB94" s="3"/>
      <c r="AC94" s="3"/>
      <c r="AD94" s="3"/>
      <c r="AE94" s="3"/>
      <c r="AF94" s="3"/>
      <c r="AG94" s="3"/>
      <c r="AH94" s="3"/>
      <c r="AI94" s="3"/>
      <c r="AJ94" s="3"/>
      <c r="AK94" s="3"/>
      <c r="AL94" s="3"/>
      <c r="AM94" s="3"/>
      <c r="AN94" s="3"/>
      <c r="AO94" s="3"/>
      <c r="AP94" s="3"/>
      <c r="AQ94" s="3"/>
    </row>
    <row r="95" spans="1:43" hidden="1">
      <c r="A95" s="4599" t="s">
        <v>1035</v>
      </c>
      <c r="B95" s="4839" t="s">
        <v>5353</v>
      </c>
      <c r="C95" s="4839" t="s">
        <v>28</v>
      </c>
      <c r="D95" s="4859">
        <v>45303</v>
      </c>
      <c r="E95" s="4867">
        <v>45314</v>
      </c>
      <c r="F95" s="4839" t="s">
        <v>151</v>
      </c>
      <c r="G95" s="4839" t="s">
        <v>46</v>
      </c>
      <c r="H95" s="4859" t="s">
        <v>1038</v>
      </c>
      <c r="I95" s="4839"/>
      <c r="J95" s="58" t="s">
        <v>32</v>
      </c>
      <c r="K95" s="4894" t="s">
        <v>162</v>
      </c>
      <c r="L95" s="4841">
        <v>833796</v>
      </c>
      <c r="M95" s="4855">
        <v>45317</v>
      </c>
      <c r="N95" s="4876">
        <v>45317</v>
      </c>
      <c r="O95" s="4859">
        <v>45331</v>
      </c>
      <c r="P95" s="5277" t="s">
        <v>5354</v>
      </c>
      <c r="Q95" s="4839" t="s">
        <v>35</v>
      </c>
      <c r="R95" s="1432" t="s">
        <v>36</v>
      </c>
      <c r="S95" s="18" t="s">
        <v>1320</v>
      </c>
      <c r="T95" s="681"/>
      <c r="U95" s="681"/>
      <c r="V95" s="681"/>
      <c r="W95" s="681">
        <f>表12[[#This Row],[Sales Amount]]-表12[[#This Row],[Cost]]</f>
        <v>0</v>
      </c>
      <c r="X95" s="681">
        <f>IFERROR(Table6[[#This Row],[Profit]]/Table6[[#This Row],[Cost]]," ")</f>
        <v>0.18181818181818182</v>
      </c>
      <c r="Y95" s="681"/>
      <c r="Z95" s="2138"/>
    </row>
    <row r="96" spans="1:43" s="117" customFormat="1" hidden="1">
      <c r="A96" s="3234" t="s">
        <v>5307</v>
      </c>
      <c r="B96" s="3" t="s">
        <v>5355</v>
      </c>
      <c r="C96" s="3265" t="s">
        <v>4010</v>
      </c>
      <c r="D96" s="3373"/>
      <c r="E96" s="3365">
        <v>45309</v>
      </c>
      <c r="F96" s="3265"/>
      <c r="G96" s="3268"/>
      <c r="H96" s="4836"/>
      <c r="I96" s="3265"/>
      <c r="J96" s="3265" t="s">
        <v>738</v>
      </c>
      <c r="K96" s="3265" t="s">
        <v>310</v>
      </c>
      <c r="L96" s="3265"/>
      <c r="M96" s="3373"/>
      <c r="N96" s="3373">
        <v>45309</v>
      </c>
      <c r="O96" s="3373" t="s">
        <v>738</v>
      </c>
      <c r="P96" s="3317" t="s">
        <v>5356</v>
      </c>
      <c r="Q96" s="3265" t="s">
        <v>50</v>
      </c>
      <c r="R96" s="3" t="s">
        <v>5357</v>
      </c>
      <c r="S96" s="31"/>
      <c r="T96" s="31"/>
      <c r="U96" s="31"/>
      <c r="V96" s="31"/>
      <c r="W96" s="31">
        <f>表12[[#This Row],[Sales Amount]]-表12[[#This Row],[Cost]]</f>
        <v>0</v>
      </c>
      <c r="X96" s="2244">
        <f>IFERROR(Table6[[#This Row],[Profit]]/Table6[[#This Row],[Cost]]," ")</f>
        <v>0.4652956298200514</v>
      </c>
      <c r="Y96" s="31"/>
      <c r="Z96" s="101"/>
      <c r="AA96"/>
      <c r="AB96"/>
      <c r="AC96"/>
      <c r="AD96"/>
      <c r="AE96"/>
      <c r="AF96"/>
      <c r="AG96"/>
      <c r="AH96"/>
      <c r="AI96"/>
      <c r="AJ96"/>
      <c r="AK96"/>
      <c r="AL96"/>
      <c r="AM96"/>
      <c r="AN96"/>
      <c r="AO96"/>
      <c r="AP96"/>
      <c r="AQ96"/>
    </row>
    <row r="97" spans="1:43" s="36" customFormat="1" hidden="1">
      <c r="A97" s="3234" t="s">
        <v>3343</v>
      </c>
      <c r="B97" s="3419" t="s">
        <v>5358</v>
      </c>
      <c r="C97" s="3265" t="s">
        <v>1508</v>
      </c>
      <c r="D97" s="3373"/>
      <c r="E97" s="3365">
        <v>45313</v>
      </c>
      <c r="F97" s="3265"/>
      <c r="G97" s="3268"/>
      <c r="H97" s="3290"/>
      <c r="I97" s="3265"/>
      <c r="J97" s="4848" t="s">
        <v>738</v>
      </c>
      <c r="K97" s="4848" t="s">
        <v>310</v>
      </c>
      <c r="L97" s="3265"/>
      <c r="M97" s="3373"/>
      <c r="N97" s="3373">
        <v>45313</v>
      </c>
      <c r="O97" s="3373" t="s">
        <v>738</v>
      </c>
      <c r="P97" s="3317" t="s">
        <v>5359</v>
      </c>
      <c r="Q97" s="4848" t="s">
        <v>50</v>
      </c>
      <c r="R97" s="4979" t="s">
        <v>5360</v>
      </c>
      <c r="S97" s="4848"/>
      <c r="T97" s="31"/>
      <c r="U97" s="31"/>
      <c r="V97" s="31"/>
      <c r="W97" s="31">
        <f>表12[[#This Row],[Sales Amount]]-表12[[#This Row],[Cost]]</f>
        <v>0</v>
      </c>
      <c r="X97" s="2244">
        <f>IFERROR(Table6[[#This Row],[Profit]]/Table6[[#This Row],[Cost]]," ")</f>
        <v>0.22988505747126436</v>
      </c>
      <c r="Y97" s="31"/>
      <c r="Z97" s="101"/>
      <c r="AA97" s="3"/>
      <c r="AB97" s="3"/>
      <c r="AC97" s="3"/>
      <c r="AD97" s="3"/>
      <c r="AE97" s="3"/>
      <c r="AF97" s="3"/>
      <c r="AG97" s="3"/>
      <c r="AH97" s="3"/>
      <c r="AI97" s="3"/>
      <c r="AJ97" s="3"/>
      <c r="AK97" s="3"/>
      <c r="AL97" s="3"/>
      <c r="AM97" s="3"/>
      <c r="AN97" s="3"/>
      <c r="AO97" s="3"/>
      <c r="AP97" s="3"/>
      <c r="AQ97" s="3"/>
    </row>
    <row r="98" spans="1:43" s="1350" customFormat="1" hidden="1">
      <c r="A98" s="3235" t="s">
        <v>3343</v>
      </c>
      <c r="B98" s="3275" t="s">
        <v>5361</v>
      </c>
      <c r="C98" s="3275" t="s">
        <v>1508</v>
      </c>
      <c r="D98" s="3280"/>
      <c r="E98" s="3346">
        <v>45313</v>
      </c>
      <c r="F98" s="3275"/>
      <c r="G98" s="3275"/>
      <c r="H98" s="3301"/>
      <c r="I98" s="3275"/>
      <c r="J98" s="4839"/>
      <c r="K98" s="4839"/>
      <c r="L98" s="3275"/>
      <c r="M98" s="3280"/>
      <c r="N98" s="3280"/>
      <c r="O98" s="3280"/>
      <c r="P98" s="3429" t="s">
        <v>5362</v>
      </c>
      <c r="Q98" s="4839" t="s">
        <v>50</v>
      </c>
      <c r="R98" s="4839" t="s">
        <v>5363</v>
      </c>
      <c r="S98" s="4839"/>
      <c r="T98" s="710"/>
      <c r="U98" s="710"/>
      <c r="V98" s="710"/>
      <c r="W98" s="710">
        <f>表12[[#This Row],[Sales Amount]]-表12[[#This Row],[Cost]]</f>
        <v>0</v>
      </c>
      <c r="X98" s="2319">
        <f>IFERROR(Table6[[#This Row],[Profit]]/Table6[[#This Row],[Cost]]," ")</f>
        <v>0.22988505747126436</v>
      </c>
      <c r="Y98" s="710"/>
      <c r="Z98" s="977"/>
      <c r="AA98" s="650"/>
      <c r="AB98" s="650"/>
      <c r="AC98" s="650"/>
      <c r="AD98" s="650"/>
      <c r="AE98" s="650"/>
      <c r="AF98" s="650"/>
      <c r="AG98" s="650"/>
      <c r="AH98" s="650"/>
      <c r="AI98" s="650"/>
      <c r="AJ98" s="650"/>
      <c r="AK98" s="650"/>
      <c r="AL98" s="650"/>
      <c r="AM98" s="650"/>
      <c r="AN98" s="650"/>
      <c r="AO98" s="650"/>
      <c r="AP98" s="650"/>
      <c r="AQ98" s="650"/>
    </row>
    <row r="99" spans="1:43" s="1350" customFormat="1" hidden="1">
      <c r="A99" s="3235" t="s">
        <v>3343</v>
      </c>
      <c r="B99" s="3275" t="s">
        <v>5364</v>
      </c>
      <c r="C99" s="3275" t="s">
        <v>1508</v>
      </c>
      <c r="D99" s="3280"/>
      <c r="E99" s="3346">
        <v>45313</v>
      </c>
      <c r="F99" s="3275"/>
      <c r="G99" s="3275"/>
      <c r="H99" s="3301"/>
      <c r="I99" s="3275"/>
      <c r="J99" s="4839"/>
      <c r="K99" s="4839"/>
      <c r="L99" s="3275"/>
      <c r="M99" s="3280"/>
      <c r="N99" s="3280"/>
      <c r="O99" s="3280"/>
      <c r="P99" s="3429" t="s">
        <v>5365</v>
      </c>
      <c r="Q99" s="4839" t="s">
        <v>50</v>
      </c>
      <c r="R99" s="5295" t="s">
        <v>5366</v>
      </c>
      <c r="S99" s="4839"/>
      <c r="T99" s="710"/>
      <c r="U99" s="710"/>
      <c r="V99" s="710"/>
      <c r="W99" s="710">
        <f>表12[[#This Row],[Sales Amount]]-表12[[#This Row],[Cost]]</f>
        <v>0</v>
      </c>
      <c r="X99" s="2319">
        <f>IFERROR(Table6[[#This Row],[Profit]]/Table6[[#This Row],[Cost]]," ")</f>
        <v>0.24218907478330975</v>
      </c>
      <c r="Y99" s="710"/>
      <c r="Z99" s="977"/>
      <c r="AA99" s="650"/>
      <c r="AB99" s="650"/>
      <c r="AC99" s="650"/>
      <c r="AD99" s="650"/>
      <c r="AE99" s="650"/>
      <c r="AF99" s="650"/>
      <c r="AG99" s="650"/>
      <c r="AH99" s="650"/>
      <c r="AI99" s="650"/>
      <c r="AJ99" s="650"/>
      <c r="AK99" s="650"/>
      <c r="AL99" s="650"/>
      <c r="AM99" s="650"/>
      <c r="AN99" s="650"/>
      <c r="AO99" s="650"/>
      <c r="AP99" s="650"/>
      <c r="AQ99" s="650"/>
    </row>
    <row r="100" spans="1:43" s="52" customFormat="1" hidden="1">
      <c r="A100" s="3235" t="s">
        <v>1035</v>
      </c>
      <c r="B100" s="3275" t="s">
        <v>5367</v>
      </c>
      <c r="C100" s="3275" t="s">
        <v>28</v>
      </c>
      <c r="D100" s="3280">
        <v>45303</v>
      </c>
      <c r="E100" s="3346">
        <v>45314</v>
      </c>
      <c r="F100" s="3275" t="s">
        <v>151</v>
      </c>
      <c r="G100" s="3275" t="s">
        <v>46</v>
      </c>
      <c r="H100" s="3280" t="s">
        <v>1038</v>
      </c>
      <c r="I100" s="3275"/>
      <c r="J100" s="4839" t="s">
        <v>32</v>
      </c>
      <c r="K100" s="4894" t="s">
        <v>162</v>
      </c>
      <c r="L100" s="3357" t="s">
        <v>5368</v>
      </c>
      <c r="M100" s="3396">
        <v>45317</v>
      </c>
      <c r="N100" s="3329">
        <v>45317</v>
      </c>
      <c r="O100" s="3280" t="s">
        <v>5369</v>
      </c>
      <c r="P100" s="3439" t="s">
        <v>5370</v>
      </c>
      <c r="Q100" s="4839" t="s">
        <v>35</v>
      </c>
      <c r="R100" s="4839" t="s">
        <v>36</v>
      </c>
      <c r="S100" s="4839" t="s">
        <v>1320</v>
      </c>
      <c r="T100" s="705"/>
      <c r="U100" s="705"/>
      <c r="V100" s="705"/>
      <c r="W100" s="705">
        <f>表12[[#This Row],[Sales Amount]]-表12[[#This Row],[Cost]]</f>
        <v>0</v>
      </c>
      <c r="X100" s="705">
        <f>IFERROR(Table6[[#This Row],[Profit]]/Table6[[#This Row],[Cost]]," ")</f>
        <v>0.32183908045977011</v>
      </c>
      <c r="Y100" s="705"/>
      <c r="Z100" s="704"/>
      <c r="AA100"/>
      <c r="AB100"/>
      <c r="AC100"/>
      <c r="AD100"/>
      <c r="AE100"/>
      <c r="AF100"/>
      <c r="AG100"/>
      <c r="AH100"/>
      <c r="AI100"/>
      <c r="AJ100"/>
      <c r="AK100"/>
      <c r="AL100"/>
      <c r="AM100"/>
      <c r="AN100"/>
      <c r="AO100"/>
      <c r="AP100"/>
      <c r="AQ100"/>
    </row>
    <row r="101" spans="1:43" s="36" customFormat="1" hidden="1">
      <c r="A101" s="3417" t="s">
        <v>409</v>
      </c>
      <c r="B101" s="117" t="s">
        <v>5371</v>
      </c>
      <c r="C101" s="3268" t="s">
        <v>28</v>
      </c>
      <c r="D101" s="3262">
        <v>45299</v>
      </c>
      <c r="E101" s="3365">
        <v>45310</v>
      </c>
      <c r="F101" s="3268" t="s">
        <v>2225</v>
      </c>
      <c r="G101" s="3268" t="s">
        <v>1350</v>
      </c>
      <c r="H101" s="3290"/>
      <c r="I101" s="3265"/>
      <c r="J101" s="4845" t="s">
        <v>32</v>
      </c>
      <c r="K101" s="4845" t="s">
        <v>310</v>
      </c>
      <c r="L101" s="3268">
        <v>533678</v>
      </c>
      <c r="M101" s="3373">
        <v>45312</v>
      </c>
      <c r="N101" s="3373">
        <v>45310</v>
      </c>
      <c r="O101" s="3373">
        <v>45313</v>
      </c>
      <c r="P101" s="3364" t="s">
        <v>5372</v>
      </c>
      <c r="Q101" s="36" t="s">
        <v>89</v>
      </c>
      <c r="R101" s="3" t="s">
        <v>5373</v>
      </c>
      <c r="S101" s="4848">
        <v>4</v>
      </c>
      <c r="T101" s="712">
        <v>4200</v>
      </c>
      <c r="U101" s="712"/>
      <c r="V101" s="712"/>
      <c r="W101" s="712">
        <f>表12[[#This Row],[Sales Amount]]-表12[[#This Row],[Cost]]</f>
        <v>4200</v>
      </c>
      <c r="X101" s="712">
        <f>IFERROR(Table6[[#This Row],[Profit]]/Table6[[#This Row],[Cost]]," ")</f>
        <v>0.22988505747126436</v>
      </c>
      <c r="Y101" s="712"/>
      <c r="Z101" s="2210"/>
      <c r="AA101"/>
      <c r="AB101"/>
      <c r="AC101"/>
      <c r="AD101"/>
      <c r="AE101"/>
      <c r="AF101"/>
      <c r="AG101"/>
      <c r="AH101"/>
      <c r="AI101"/>
      <c r="AJ101"/>
      <c r="AK101"/>
      <c r="AL101"/>
      <c r="AM101"/>
      <c r="AN101"/>
      <c r="AO101"/>
      <c r="AP101"/>
      <c r="AQ101"/>
    </row>
    <row r="102" spans="1:43" s="36" customFormat="1" hidden="1">
      <c r="A102" s="3417" t="s">
        <v>409</v>
      </c>
      <c r="B102" s="3268" t="s">
        <v>5374</v>
      </c>
      <c r="C102" s="3268" t="s">
        <v>28</v>
      </c>
      <c r="D102" s="3262">
        <v>45299</v>
      </c>
      <c r="E102" s="3365">
        <v>45310</v>
      </c>
      <c r="F102" s="3268" t="s">
        <v>2225</v>
      </c>
      <c r="G102" s="3268" t="s">
        <v>1350</v>
      </c>
      <c r="H102" s="3290"/>
      <c r="I102" s="3265"/>
      <c r="J102" s="4845" t="s">
        <v>32</v>
      </c>
      <c r="K102" s="4845" t="s">
        <v>47</v>
      </c>
      <c r="L102" s="3465" t="s">
        <v>5375</v>
      </c>
      <c r="M102" s="3373">
        <v>45312</v>
      </c>
      <c r="N102" s="3373">
        <v>45311</v>
      </c>
      <c r="O102" s="3373">
        <v>45313</v>
      </c>
      <c r="P102" s="3364" t="s">
        <v>5376</v>
      </c>
      <c r="Q102" s="4921" t="s">
        <v>89</v>
      </c>
      <c r="R102" s="4979" t="s">
        <v>5377</v>
      </c>
      <c r="S102" s="4848">
        <v>4</v>
      </c>
      <c r="T102" s="712"/>
      <c r="U102" s="712"/>
      <c r="V102" s="712"/>
      <c r="W102" s="712">
        <f>表12[[#This Row],[Sales Amount]]-表12[[#This Row],[Cost]]</f>
        <v>0</v>
      </c>
      <c r="X102" s="712">
        <f>IFERROR(Table6[[#This Row],[Profit]]/Table6[[#This Row],[Cost]]," ")</f>
        <v>4.3165467625899283E-2</v>
      </c>
      <c r="Y102" s="712"/>
      <c r="Z102" s="2210"/>
      <c r="AA102"/>
      <c r="AB102"/>
      <c r="AC102"/>
      <c r="AD102"/>
      <c r="AE102"/>
      <c r="AF102"/>
      <c r="AG102"/>
      <c r="AH102"/>
      <c r="AI102"/>
      <c r="AJ102"/>
      <c r="AK102"/>
      <c r="AL102"/>
      <c r="AM102"/>
      <c r="AN102"/>
      <c r="AO102"/>
      <c r="AP102"/>
      <c r="AQ102"/>
    </row>
    <row r="103" spans="1:43" hidden="1">
      <c r="A103" s="3235" t="s">
        <v>1035</v>
      </c>
      <c r="B103" s="3275" t="s">
        <v>5378</v>
      </c>
      <c r="C103" s="3275" t="s">
        <v>28</v>
      </c>
      <c r="D103" s="3280">
        <v>45303</v>
      </c>
      <c r="E103" s="3346">
        <v>45314</v>
      </c>
      <c r="F103" s="3275" t="s">
        <v>151</v>
      </c>
      <c r="G103" s="3275" t="s">
        <v>46</v>
      </c>
      <c r="H103" s="3280" t="s">
        <v>1038</v>
      </c>
      <c r="I103" s="3275"/>
      <c r="J103" s="4839" t="s">
        <v>32</v>
      </c>
      <c r="K103" s="4894" t="s">
        <v>162</v>
      </c>
      <c r="L103" s="3357" t="s">
        <v>5379</v>
      </c>
      <c r="M103" s="3396">
        <v>45317</v>
      </c>
      <c r="N103" s="3329">
        <v>45317</v>
      </c>
      <c r="O103" s="3280" t="s">
        <v>5369</v>
      </c>
      <c r="P103" s="3439" t="s">
        <v>5370</v>
      </c>
      <c r="Q103" s="4839" t="s">
        <v>35</v>
      </c>
      <c r="R103" s="4839" t="s">
        <v>36</v>
      </c>
      <c r="S103" s="4839" t="s">
        <v>1320</v>
      </c>
      <c r="T103" s="705"/>
      <c r="U103" s="705"/>
      <c r="V103" s="705"/>
      <c r="W103" s="705">
        <f>表12[[#This Row],[Sales Amount]]-表12[[#This Row],[Cost]]</f>
        <v>0</v>
      </c>
      <c r="X103" s="705" t="str">
        <f>IFERROR(Table6[[#This Row],[Profit]]/Table6[[#This Row],[Cost]]," ")</f>
        <v xml:space="preserve"> </v>
      </c>
      <c r="Y103" s="705"/>
      <c r="Z103" s="704"/>
    </row>
    <row r="104" spans="1:43" s="52" customFormat="1" ht="45">
      <c r="A104" s="3466" t="s">
        <v>4685</v>
      </c>
      <c r="B104" s="3421" t="s">
        <v>5380</v>
      </c>
      <c r="C104" s="3364" t="s">
        <v>28</v>
      </c>
      <c r="D104" s="3467">
        <v>45304</v>
      </c>
      <c r="E104" s="3452">
        <v>45314</v>
      </c>
      <c r="F104" s="3364" t="s">
        <v>45</v>
      </c>
      <c r="G104" s="3364" t="s">
        <v>302</v>
      </c>
      <c r="H104" s="3318">
        <v>45316</v>
      </c>
      <c r="I104" s="3468" t="s">
        <v>445</v>
      </c>
      <c r="J104" s="4921" t="s">
        <v>32</v>
      </c>
      <c r="K104" s="5286" t="s">
        <v>966</v>
      </c>
      <c r="L104" s="3469" t="s">
        <v>5381</v>
      </c>
      <c r="M104" s="3321">
        <v>45317</v>
      </c>
      <c r="N104" s="3467">
        <v>45316</v>
      </c>
      <c r="O104" s="3467">
        <v>45316</v>
      </c>
      <c r="P104" s="3461" t="s">
        <v>5382</v>
      </c>
      <c r="Q104" s="4921" t="s">
        <v>75</v>
      </c>
      <c r="R104" s="4920" t="s">
        <v>5383</v>
      </c>
      <c r="S104" s="4921">
        <v>4</v>
      </c>
      <c r="T104" s="2235">
        <v>1225</v>
      </c>
      <c r="U104" s="2228">
        <v>950</v>
      </c>
      <c r="V104" s="712">
        <v>1</v>
      </c>
      <c r="W104" s="712">
        <f>表12[[#This Row],[Sales Amount]]-表12[[#This Row],[Cost]]</f>
        <v>275</v>
      </c>
      <c r="X104" s="2236">
        <f>IFERROR(Table6[[#This Row],[Profit]]/Table6[[#This Row],[Cost]]," ")</f>
        <v>0.15713031681430062</v>
      </c>
      <c r="Y104" s="712"/>
      <c r="Z104" s="2210"/>
      <c r="AA104"/>
      <c r="AB104"/>
      <c r="AC104"/>
      <c r="AD104"/>
      <c r="AE104"/>
      <c r="AF104"/>
      <c r="AG104"/>
      <c r="AH104"/>
      <c r="AI104"/>
      <c r="AJ104"/>
      <c r="AK104"/>
      <c r="AL104"/>
      <c r="AM104"/>
      <c r="AN104"/>
      <c r="AO104"/>
      <c r="AP104"/>
      <c r="AQ104"/>
    </row>
    <row r="105" spans="1:43" s="52" customFormat="1" hidden="1">
      <c r="A105" s="3235" t="s">
        <v>263</v>
      </c>
      <c r="B105" s="3275" t="s">
        <v>5384</v>
      </c>
      <c r="C105" s="3275" t="s">
        <v>44</v>
      </c>
      <c r="D105" s="3280">
        <v>45314</v>
      </c>
      <c r="E105" s="3280">
        <v>45314</v>
      </c>
      <c r="F105" s="3275" t="s">
        <v>135</v>
      </c>
      <c r="G105" s="3275" t="s">
        <v>265</v>
      </c>
      <c r="H105" s="3301">
        <v>45322</v>
      </c>
      <c r="I105" s="5296">
        <v>0.375</v>
      </c>
      <c r="J105" s="4839" t="s">
        <v>377</v>
      </c>
      <c r="K105" s="800" t="s">
        <v>4409</v>
      </c>
      <c r="L105" s="3275"/>
      <c r="M105" s="3280">
        <v>45321</v>
      </c>
      <c r="N105" s="3280">
        <v>45321</v>
      </c>
      <c r="O105" s="3280">
        <v>45324</v>
      </c>
      <c r="P105" s="3429" t="s">
        <v>5385</v>
      </c>
      <c r="Q105" s="3275" t="s">
        <v>128</v>
      </c>
      <c r="R105" s="4839" t="s">
        <v>36</v>
      </c>
      <c r="S105" s="710"/>
      <c r="T105" s="1372">
        <f>2981-550-120</f>
        <v>2311</v>
      </c>
      <c r="U105" s="1372">
        <f>170.16+1607.5</f>
        <v>1777.66</v>
      </c>
      <c r="V105" s="1372"/>
      <c r="W105" s="1372">
        <f>表12[[#This Row],[Sales Amount]]-表12[[#This Row],[Cost]]</f>
        <v>533.33999999999992</v>
      </c>
      <c r="X105" s="1372">
        <f>IFERROR(表12[[#This Row],[Profit]]/表12[[#This Row],[Cost]]," ")</f>
        <v>0.30002362656525988</v>
      </c>
      <c r="Y105" s="1372"/>
      <c r="Z105" s="2261"/>
      <c r="AA105"/>
      <c r="AB105"/>
      <c r="AC105"/>
      <c r="AD105"/>
      <c r="AE105"/>
      <c r="AF105"/>
      <c r="AG105"/>
      <c r="AH105"/>
      <c r="AI105"/>
      <c r="AJ105"/>
      <c r="AK105"/>
      <c r="AL105"/>
      <c r="AM105"/>
      <c r="AN105"/>
      <c r="AO105"/>
      <c r="AP105"/>
      <c r="AQ105"/>
    </row>
    <row r="106" spans="1:43" s="36" customFormat="1" hidden="1">
      <c r="A106" s="3417" t="s">
        <v>409</v>
      </c>
      <c r="B106" s="3430" t="s">
        <v>5386</v>
      </c>
      <c r="C106" s="3268" t="s">
        <v>28</v>
      </c>
      <c r="D106" s="3262">
        <v>44931</v>
      </c>
      <c r="E106" s="3365">
        <v>45314</v>
      </c>
      <c r="F106" s="3268" t="s">
        <v>86</v>
      </c>
      <c r="G106" s="3268" t="s">
        <v>46</v>
      </c>
      <c r="H106" s="3290"/>
      <c r="I106" s="3265"/>
      <c r="J106" s="4845" t="s">
        <v>32</v>
      </c>
      <c r="K106" s="4845" t="s">
        <v>310</v>
      </c>
      <c r="L106" s="3268" t="s">
        <v>5387</v>
      </c>
      <c r="M106" s="3373">
        <v>45317</v>
      </c>
      <c r="N106" s="3373">
        <v>45317</v>
      </c>
      <c r="O106" s="3373">
        <v>45320</v>
      </c>
      <c r="P106" s="3317" t="s">
        <v>5388</v>
      </c>
      <c r="Q106" s="4848" t="s">
        <v>50</v>
      </c>
      <c r="R106" s="4979" t="s">
        <v>5389</v>
      </c>
      <c r="S106" s="4848"/>
      <c r="T106" s="712"/>
      <c r="U106" s="712"/>
      <c r="V106" s="712"/>
      <c r="W106" s="712">
        <f>表12[[#This Row],[Sales Amount]]-表12[[#This Row],[Cost]]</f>
        <v>0</v>
      </c>
      <c r="X106" s="712">
        <f>IFERROR(Table6[[#This Row],[Profit]]/Table6[[#This Row],[Cost]]," ")</f>
        <v>0.34623810092802815</v>
      </c>
      <c r="Y106" s="712"/>
      <c r="Z106" s="2210"/>
      <c r="AA106" s="3"/>
      <c r="AB106" s="3"/>
      <c r="AC106" s="3"/>
      <c r="AD106" s="3"/>
      <c r="AE106" s="3"/>
      <c r="AF106" s="3"/>
      <c r="AG106" s="3"/>
      <c r="AH106" s="3"/>
      <c r="AI106" s="3"/>
      <c r="AJ106" s="3"/>
      <c r="AK106" s="3"/>
      <c r="AL106" s="3"/>
      <c r="AM106" s="3"/>
      <c r="AN106" s="3"/>
      <c r="AO106" s="3"/>
      <c r="AP106" s="3"/>
      <c r="AQ106" s="3"/>
    </row>
    <row r="107" spans="1:43" s="36" customFormat="1" hidden="1">
      <c r="A107" s="3417" t="s">
        <v>4815</v>
      </c>
      <c r="B107" s="3268" t="s">
        <v>5390</v>
      </c>
      <c r="C107" s="3268" t="s">
        <v>44</v>
      </c>
      <c r="D107" s="3262">
        <v>45296</v>
      </c>
      <c r="E107" s="3365">
        <v>45315</v>
      </c>
      <c r="F107" s="3268" t="s">
        <v>45</v>
      </c>
      <c r="G107" s="3268" t="s">
        <v>46</v>
      </c>
      <c r="H107" s="3290"/>
      <c r="I107" s="3265"/>
      <c r="J107" s="4845" t="s">
        <v>168</v>
      </c>
      <c r="K107" s="4845" t="s">
        <v>310</v>
      </c>
      <c r="L107" s="3268" t="s">
        <v>5391</v>
      </c>
      <c r="M107" s="3373">
        <v>45316</v>
      </c>
      <c r="N107" s="3373">
        <v>45315</v>
      </c>
      <c r="O107" s="3373">
        <v>45320</v>
      </c>
      <c r="P107" s="3317" t="s">
        <v>5392</v>
      </c>
      <c r="Q107" s="4921" t="s">
        <v>50</v>
      </c>
      <c r="R107" s="3" t="s">
        <v>5393</v>
      </c>
      <c r="S107" s="4848"/>
      <c r="T107" s="712"/>
      <c r="U107" s="712"/>
      <c r="V107" s="712"/>
      <c r="W107" s="712">
        <f>表12[[#This Row],[Sales Amount]]-表12[[#This Row],[Cost]]</f>
        <v>0</v>
      </c>
      <c r="X107" s="2280">
        <f>IFERROR(Table6[[#This Row],[Profit]]/Table6[[#This Row],[Cost]]," ")</f>
        <v>0.25965996908809891</v>
      </c>
      <c r="Y107" s="712"/>
      <c r="Z107" s="2210"/>
      <c r="AA107" s="3"/>
      <c r="AB107" s="3"/>
      <c r="AC107" s="3"/>
      <c r="AD107" s="3"/>
      <c r="AE107" s="3"/>
      <c r="AF107" s="3"/>
      <c r="AG107" s="3"/>
      <c r="AH107" s="3"/>
      <c r="AI107" s="3"/>
      <c r="AJ107" s="3"/>
      <c r="AK107" s="3"/>
      <c r="AL107" s="3"/>
      <c r="AM107" s="3"/>
      <c r="AN107" s="3"/>
      <c r="AO107" s="3"/>
      <c r="AP107" s="3"/>
      <c r="AQ107" s="3"/>
    </row>
    <row r="108" spans="1:43" s="52" customFormat="1" hidden="1">
      <c r="A108" s="18" t="s">
        <v>1035</v>
      </c>
      <c r="B108" s="1116" t="s">
        <v>5394</v>
      </c>
      <c r="C108" s="18" t="s">
        <v>28</v>
      </c>
      <c r="D108" s="661">
        <v>45303</v>
      </c>
      <c r="E108" s="708">
        <v>45315</v>
      </c>
      <c r="F108" s="18" t="s">
        <v>151</v>
      </c>
      <c r="G108" s="18" t="s">
        <v>46</v>
      </c>
      <c r="H108" s="1128" t="s">
        <v>1038</v>
      </c>
      <c r="I108" s="18"/>
      <c r="J108" s="4839" t="s">
        <v>32</v>
      </c>
      <c r="K108" s="1692" t="s">
        <v>162</v>
      </c>
      <c r="L108" s="3357" t="s">
        <v>5395</v>
      </c>
      <c r="M108" s="1130">
        <v>45318</v>
      </c>
      <c r="N108" s="1130">
        <v>45317</v>
      </c>
      <c r="O108" s="1130">
        <v>45325</v>
      </c>
      <c r="P108" s="2257" t="s">
        <v>5396</v>
      </c>
      <c r="Q108" s="18" t="s">
        <v>35</v>
      </c>
      <c r="R108" s="18" t="s">
        <v>36</v>
      </c>
      <c r="S108" s="18" t="s">
        <v>1320</v>
      </c>
      <c r="T108" s="681"/>
      <c r="U108" s="681"/>
      <c r="V108" s="681"/>
      <c r="W108" s="681">
        <f>表12[[#This Row],[Sales Amount]]-表12[[#This Row],[Cost]]</f>
        <v>0</v>
      </c>
      <c r="X108" s="681">
        <f>IFERROR(Table6[[#This Row],[Profit]]/Table6[[#This Row],[Cost]]," ")</f>
        <v>0.22988505747126436</v>
      </c>
      <c r="Y108" s="681"/>
      <c r="Z108" s="681"/>
      <c r="AA108"/>
      <c r="AB108"/>
      <c r="AC108"/>
      <c r="AD108"/>
      <c r="AE108"/>
      <c r="AF108"/>
      <c r="AG108"/>
      <c r="AH108"/>
      <c r="AI108"/>
      <c r="AJ108"/>
      <c r="AK108"/>
      <c r="AL108"/>
      <c r="AM108"/>
      <c r="AN108"/>
      <c r="AO108"/>
      <c r="AP108"/>
      <c r="AQ108"/>
    </row>
    <row r="109" spans="1:43" s="52" customFormat="1" hidden="1">
      <c r="A109" s="18" t="s">
        <v>2396</v>
      </c>
      <c r="B109" s="1116" t="s">
        <v>5397</v>
      </c>
      <c r="C109" s="18" t="s">
        <v>44</v>
      </c>
      <c r="D109" s="661">
        <v>45316</v>
      </c>
      <c r="E109" s="708">
        <v>45315</v>
      </c>
      <c r="F109" s="18" t="s">
        <v>93</v>
      </c>
      <c r="G109" s="18" t="s">
        <v>5398</v>
      </c>
      <c r="H109" s="1281">
        <v>45322</v>
      </c>
      <c r="I109" s="1116" t="s">
        <v>104</v>
      </c>
      <c r="J109" s="3275" t="s">
        <v>5399</v>
      </c>
      <c r="K109" s="18" t="s">
        <v>5227</v>
      </c>
      <c r="L109" s="1116" t="s">
        <v>542</v>
      </c>
      <c r="M109" s="1130" t="s">
        <v>5400</v>
      </c>
      <c r="N109" s="661">
        <v>45321</v>
      </c>
      <c r="O109" s="661">
        <v>45322</v>
      </c>
      <c r="P109" s="2269" t="s">
        <v>5401</v>
      </c>
      <c r="Q109" s="18" t="s">
        <v>35</v>
      </c>
      <c r="R109" s="18" t="s">
        <v>36</v>
      </c>
      <c r="S109" s="18" t="s">
        <v>37</v>
      </c>
      <c r="T109" s="681">
        <v>1487.5</v>
      </c>
      <c r="U109" s="681">
        <v>843</v>
      </c>
      <c r="V109" s="681"/>
      <c r="W109" s="681">
        <f>表12[[#This Row],[Sales Amount]]-表12[[#This Row],[Cost]]</f>
        <v>644.5</v>
      </c>
      <c r="X109" s="681">
        <f>IFERROR(Table6[[#This Row],[Profit]]/Table6[[#This Row],[Cost]]," ")</f>
        <v>0.22988505747126436</v>
      </c>
      <c r="Y109" s="681"/>
      <c r="Z109" s="681"/>
      <c r="AA109"/>
      <c r="AB109"/>
      <c r="AC109"/>
      <c r="AD109"/>
      <c r="AE109"/>
      <c r="AF109"/>
      <c r="AG109"/>
      <c r="AH109"/>
      <c r="AI109"/>
      <c r="AJ109"/>
      <c r="AK109"/>
      <c r="AL109"/>
      <c r="AM109"/>
      <c r="AN109"/>
      <c r="AO109"/>
      <c r="AP109"/>
      <c r="AQ109"/>
    </row>
    <row r="110" spans="1:43" s="36" customFormat="1" ht="75">
      <c r="A110" s="3417" t="s">
        <v>409</v>
      </c>
      <c r="B110" s="2248" t="s">
        <v>5402</v>
      </c>
      <c r="C110" s="1138" t="s">
        <v>28</v>
      </c>
      <c r="D110" s="1220">
        <v>45311</v>
      </c>
      <c r="E110" s="55">
        <v>45311</v>
      </c>
      <c r="F110" s="1138" t="s">
        <v>167</v>
      </c>
      <c r="G110" s="2227" t="s">
        <v>5076</v>
      </c>
      <c r="H110" s="975">
        <v>45317</v>
      </c>
      <c r="I110" s="824" t="s">
        <v>40</v>
      </c>
      <c r="J110" s="1219" t="s">
        <v>510</v>
      </c>
      <c r="K110" s="2227" t="s">
        <v>5403</v>
      </c>
      <c r="L110" s="1222" t="s">
        <v>162</v>
      </c>
      <c r="M110" s="1264">
        <v>45320</v>
      </c>
      <c r="N110" s="2211">
        <v>45316</v>
      </c>
      <c r="O110" s="1220">
        <v>45320</v>
      </c>
      <c r="P110" s="4090" t="s">
        <v>5404</v>
      </c>
      <c r="Q110" s="1138" t="s">
        <v>75</v>
      </c>
      <c r="R110" s="36" t="s">
        <v>5405</v>
      </c>
      <c r="S110" s="1138">
        <v>4</v>
      </c>
      <c r="T110" s="2249">
        <v>1581.25</v>
      </c>
      <c r="U110" s="2250">
        <v>1263.3</v>
      </c>
      <c r="V110" s="1138">
        <v>1</v>
      </c>
      <c r="W110" s="1138">
        <f>表12[[#This Row],[Sales Amount]]-表12[[#This Row],[Cost]]</f>
        <v>317.95000000000005</v>
      </c>
      <c r="X110" s="2251">
        <f>IFERROR(Table6[[#This Row],[Profit]]/Table6[[#This Row],[Cost]]," ")</f>
        <v>0.18181818181818182</v>
      </c>
      <c r="Y110" s="1138"/>
      <c r="Z110" s="1138"/>
      <c r="AA110"/>
      <c r="AB110"/>
      <c r="AC110"/>
      <c r="AD110"/>
      <c r="AE110"/>
      <c r="AF110"/>
      <c r="AG110"/>
      <c r="AH110"/>
      <c r="AI110"/>
      <c r="AJ110"/>
      <c r="AK110"/>
      <c r="AL110"/>
      <c r="AM110"/>
      <c r="AN110"/>
      <c r="AO110"/>
      <c r="AP110"/>
      <c r="AQ110"/>
    </row>
    <row r="111" spans="1:43" s="36" customFormat="1" hidden="1">
      <c r="A111" s="710" t="s">
        <v>1035</v>
      </c>
      <c r="B111" s="1117" t="s">
        <v>5406</v>
      </c>
      <c r="C111" s="710" t="s">
        <v>28</v>
      </c>
      <c r="D111" s="1110">
        <v>45303</v>
      </c>
      <c r="E111" s="1066">
        <v>45315</v>
      </c>
      <c r="F111" s="710" t="s">
        <v>151</v>
      </c>
      <c r="G111" s="710" t="s">
        <v>46</v>
      </c>
      <c r="H111" s="1128" t="s">
        <v>1038</v>
      </c>
      <c r="I111" s="18"/>
      <c r="J111" s="58" t="s">
        <v>32</v>
      </c>
      <c r="K111" s="2161" t="s">
        <v>162</v>
      </c>
      <c r="L111" s="1117" t="s">
        <v>5407</v>
      </c>
      <c r="M111" s="1118">
        <v>45318</v>
      </c>
      <c r="N111" s="1130">
        <v>45317</v>
      </c>
      <c r="O111" s="1130">
        <v>45330</v>
      </c>
      <c r="P111" s="2283" t="s">
        <v>5396</v>
      </c>
      <c r="Q111" s="710" t="s">
        <v>35</v>
      </c>
      <c r="R111" s="710" t="s">
        <v>36</v>
      </c>
      <c r="S111" s="710" t="s">
        <v>1320</v>
      </c>
      <c r="T111" s="705"/>
      <c r="U111" s="705"/>
      <c r="V111" s="705"/>
      <c r="W111" s="705">
        <f>表12[[#This Row],[Sales Amount]]-表12[[#This Row],[Cost]]</f>
        <v>0</v>
      </c>
      <c r="X111" s="705">
        <f>IFERROR(Table6[[#This Row],[Profit]]/Table6[[#This Row],[Cost]]," ")</f>
        <v>0.16949152542372881</v>
      </c>
      <c r="Y111" s="705"/>
      <c r="Z111" s="705"/>
      <c r="AA111"/>
      <c r="AB111"/>
      <c r="AC111"/>
      <c r="AD111"/>
      <c r="AE111"/>
      <c r="AF111"/>
      <c r="AG111"/>
      <c r="AH111"/>
      <c r="AI111"/>
      <c r="AJ111"/>
      <c r="AK111"/>
      <c r="AL111"/>
      <c r="AM111"/>
      <c r="AN111"/>
      <c r="AO111"/>
      <c r="AP111"/>
      <c r="AQ111"/>
    </row>
    <row r="112" spans="1:43" s="52" customFormat="1" hidden="1">
      <c r="A112" s="18" t="s">
        <v>1035</v>
      </c>
      <c r="B112" s="1116" t="s">
        <v>5408</v>
      </c>
      <c r="C112" s="58" t="s">
        <v>28</v>
      </c>
      <c r="D112" s="661">
        <v>45303</v>
      </c>
      <c r="E112" s="708">
        <v>45315</v>
      </c>
      <c r="F112" s="18" t="s">
        <v>151</v>
      </c>
      <c r="G112" s="18" t="s">
        <v>46</v>
      </c>
      <c r="H112" s="1128" t="s">
        <v>1038</v>
      </c>
      <c r="I112" s="18"/>
      <c r="J112" s="18" t="s">
        <v>32</v>
      </c>
      <c r="K112" s="1692" t="s">
        <v>162</v>
      </c>
      <c r="L112" s="1116" t="s">
        <v>5409</v>
      </c>
      <c r="M112" s="1130">
        <v>45318</v>
      </c>
      <c r="N112" s="1184">
        <v>45318</v>
      </c>
      <c r="O112" s="1184">
        <v>45318</v>
      </c>
      <c r="P112" s="2257" t="s">
        <v>5410</v>
      </c>
      <c r="Q112" s="18" t="s">
        <v>35</v>
      </c>
      <c r="R112" s="18" t="s">
        <v>36</v>
      </c>
      <c r="S112" s="18" t="s">
        <v>1320</v>
      </c>
      <c r="T112" s="681"/>
      <c r="U112" s="681"/>
      <c r="V112" s="681"/>
      <c r="W112" s="681">
        <f>表12[[#This Row],[Sales Amount]]-表12[[#This Row],[Cost]]</f>
        <v>0</v>
      </c>
      <c r="X112" s="681">
        <f>IFERROR(Table6[[#This Row],[Profit]]/Table6[[#This Row],[Cost]]," ")</f>
        <v>0.15185229732980521</v>
      </c>
      <c r="Y112" s="681"/>
      <c r="Z112" s="681"/>
      <c r="AA112"/>
      <c r="AB112"/>
      <c r="AC112"/>
      <c r="AD112"/>
      <c r="AE112"/>
      <c r="AF112"/>
      <c r="AG112"/>
      <c r="AH112"/>
      <c r="AI112"/>
      <c r="AJ112"/>
      <c r="AK112"/>
      <c r="AL112"/>
      <c r="AM112"/>
      <c r="AN112"/>
      <c r="AO112"/>
      <c r="AP112"/>
      <c r="AQ112"/>
    </row>
    <row r="113" spans="1:43" s="52" customFormat="1" ht="15.75" hidden="1">
      <c r="A113" s="18" t="s">
        <v>2396</v>
      </c>
      <c r="B113" s="18" t="s">
        <v>5411</v>
      </c>
      <c r="C113" s="18" t="s">
        <v>44</v>
      </c>
      <c r="D113" s="661">
        <v>45302</v>
      </c>
      <c r="E113" s="708">
        <v>45315</v>
      </c>
      <c r="F113" s="18" t="s">
        <v>151</v>
      </c>
      <c r="G113" s="18" t="s">
        <v>361</v>
      </c>
      <c r="H113" s="3396">
        <v>45316</v>
      </c>
      <c r="I113" s="1116" t="s">
        <v>290</v>
      </c>
      <c r="J113" s="58" t="s">
        <v>32</v>
      </c>
      <c r="K113" s="18" t="s">
        <v>5412</v>
      </c>
      <c r="L113" s="1116">
        <v>845134</v>
      </c>
      <c r="M113" s="1130">
        <v>45317</v>
      </c>
      <c r="N113" s="661">
        <v>45316</v>
      </c>
      <c r="O113" s="2271">
        <v>45322</v>
      </c>
      <c r="P113" s="2272" t="s">
        <v>5413</v>
      </c>
      <c r="Q113" s="3275" t="s">
        <v>35</v>
      </c>
      <c r="R113" s="18" t="s">
        <v>36</v>
      </c>
      <c r="S113" s="710" t="s">
        <v>37</v>
      </c>
      <c r="T113" s="681">
        <v>1195</v>
      </c>
      <c r="U113" s="681">
        <v>1170</v>
      </c>
      <c r="V113" s="681"/>
      <c r="W113" s="681">
        <f>表12[[#This Row],[Sales Amount]]-表12[[#This Row],[Cost]]</f>
        <v>25</v>
      </c>
      <c r="X113" s="2145">
        <f>IFERROR(Table6[[#This Row],[Profit]]/Table6[[#This Row],[Cost]]," ")</f>
        <v>0.15185229732980521</v>
      </c>
      <c r="Y113" s="681"/>
      <c r="Z113" s="681"/>
      <c r="AA113"/>
      <c r="AB113"/>
      <c r="AC113"/>
      <c r="AD113"/>
      <c r="AE113"/>
      <c r="AF113"/>
      <c r="AG113"/>
      <c r="AH113"/>
      <c r="AI113"/>
      <c r="AJ113"/>
      <c r="AK113"/>
      <c r="AL113"/>
      <c r="AM113"/>
      <c r="AN113"/>
      <c r="AO113"/>
      <c r="AP113"/>
      <c r="AQ113"/>
    </row>
    <row r="114" spans="1:43" s="52" customFormat="1" hidden="1">
      <c r="A114" s="4599" t="s">
        <v>2396</v>
      </c>
      <c r="B114" s="4839" t="s">
        <v>5414</v>
      </c>
      <c r="C114" s="4839" t="s">
        <v>44</v>
      </c>
      <c r="D114" s="4859">
        <v>45302</v>
      </c>
      <c r="E114" s="4867">
        <v>45315</v>
      </c>
      <c r="F114" s="4839" t="s">
        <v>151</v>
      </c>
      <c r="G114" s="18" t="s">
        <v>361</v>
      </c>
      <c r="H114" s="3396">
        <v>45320</v>
      </c>
      <c r="I114" s="1116" t="s">
        <v>290</v>
      </c>
      <c r="J114" s="4839" t="s">
        <v>32</v>
      </c>
      <c r="K114" s="18" t="s">
        <v>5412</v>
      </c>
      <c r="L114" s="4841">
        <v>516377</v>
      </c>
      <c r="M114" s="4855">
        <v>45317</v>
      </c>
      <c r="N114" s="4876">
        <v>45317</v>
      </c>
      <c r="O114" s="1184">
        <v>45323</v>
      </c>
      <c r="P114" s="5277" t="s">
        <v>5415</v>
      </c>
      <c r="Q114" s="3275" t="s">
        <v>35</v>
      </c>
      <c r="R114" s="18" t="s">
        <v>36</v>
      </c>
      <c r="S114" s="710" t="s">
        <v>37</v>
      </c>
      <c r="T114" s="681">
        <v>2950</v>
      </c>
      <c r="U114" s="681">
        <v>2200</v>
      </c>
      <c r="V114" s="681">
        <v>2</v>
      </c>
      <c r="W114" s="681">
        <f>表12[[#This Row],[Sales Amount]]-表12[[#This Row],[Cost]]</f>
        <v>750</v>
      </c>
      <c r="X114" s="2145">
        <f>IFERROR(Table6[[#This Row],[Profit]]/Table6[[#This Row],[Cost]]," ")</f>
        <v>0.10144927536231885</v>
      </c>
      <c r="Y114" s="681"/>
      <c r="Z114" s="2138"/>
      <c r="AA114"/>
      <c r="AB114"/>
      <c r="AC114"/>
      <c r="AD114"/>
      <c r="AE114"/>
      <c r="AF114"/>
      <c r="AG114"/>
      <c r="AH114"/>
      <c r="AI114"/>
      <c r="AJ114"/>
      <c r="AK114"/>
      <c r="AL114"/>
      <c r="AM114"/>
      <c r="AN114"/>
      <c r="AO114"/>
      <c r="AP114"/>
      <c r="AQ114"/>
    </row>
    <row r="115" spans="1:43" s="52" customFormat="1" hidden="1">
      <c r="A115" s="4599" t="s">
        <v>2396</v>
      </c>
      <c r="B115" s="4839" t="s">
        <v>5416</v>
      </c>
      <c r="C115" s="58" t="s">
        <v>44</v>
      </c>
      <c r="D115" s="4859">
        <v>45302</v>
      </c>
      <c r="E115" s="4867">
        <v>45311</v>
      </c>
      <c r="F115" s="4839" t="s">
        <v>151</v>
      </c>
      <c r="G115" s="4839" t="s">
        <v>361</v>
      </c>
      <c r="H115" s="5102">
        <v>45314</v>
      </c>
      <c r="I115" s="4841" t="s">
        <v>108</v>
      </c>
      <c r="J115" s="4839" t="s">
        <v>32</v>
      </c>
      <c r="K115" s="18" t="s">
        <v>5412</v>
      </c>
      <c r="L115" s="4841">
        <v>692691</v>
      </c>
      <c r="M115" s="4855">
        <v>45314</v>
      </c>
      <c r="N115" s="4859">
        <v>45314</v>
      </c>
      <c r="O115" s="4855">
        <v>45316</v>
      </c>
      <c r="P115" s="5118" t="s">
        <v>5417</v>
      </c>
      <c r="Q115" s="3275" t="s">
        <v>35</v>
      </c>
      <c r="R115" s="18" t="s">
        <v>36</v>
      </c>
      <c r="S115" s="710" t="s">
        <v>37</v>
      </c>
      <c r="T115" s="681">
        <v>2950</v>
      </c>
      <c r="U115" s="681">
        <v>2200</v>
      </c>
      <c r="V115" s="681">
        <v>2</v>
      </c>
      <c r="W115" s="681">
        <f>表12[[#This Row],[Sales Amount]]-表12[[#This Row],[Cost]]</f>
        <v>750</v>
      </c>
      <c r="X115" s="2145">
        <f>IFERROR(Table6[[#This Row],[Profit]]/Table6[[#This Row],[Cost]]," ")</f>
        <v>0.2320675105485232</v>
      </c>
      <c r="Y115" s="681"/>
      <c r="Z115" s="2138"/>
      <c r="AA115"/>
      <c r="AB115"/>
      <c r="AC115"/>
      <c r="AD115"/>
      <c r="AE115"/>
      <c r="AF115"/>
      <c r="AG115"/>
      <c r="AH115"/>
      <c r="AI115"/>
      <c r="AJ115"/>
      <c r="AK115"/>
      <c r="AL115"/>
      <c r="AM115"/>
      <c r="AN115"/>
      <c r="AO115"/>
      <c r="AP115"/>
      <c r="AQ115"/>
    </row>
    <row r="116" spans="1:43" s="36" customFormat="1" hidden="1">
      <c r="A116" s="3417" t="s">
        <v>409</v>
      </c>
      <c r="B116" s="4845" t="s">
        <v>5418</v>
      </c>
      <c r="C116" s="117" t="s">
        <v>28</v>
      </c>
      <c r="D116" s="4906">
        <v>45299</v>
      </c>
      <c r="E116" s="889">
        <v>45312</v>
      </c>
      <c r="F116" s="4845" t="s">
        <v>3639</v>
      </c>
      <c r="G116" s="4845" t="s">
        <v>3005</v>
      </c>
      <c r="H116" s="4836"/>
      <c r="I116" s="4848"/>
      <c r="J116" s="4845" t="s">
        <v>32</v>
      </c>
      <c r="K116" s="4845" t="s">
        <v>310</v>
      </c>
      <c r="L116" s="5297" t="s">
        <v>5419</v>
      </c>
      <c r="M116" s="4853">
        <v>45314</v>
      </c>
      <c r="N116" s="4853">
        <v>45313</v>
      </c>
      <c r="O116" s="4853">
        <v>45314</v>
      </c>
      <c r="P116" s="5286" t="s">
        <v>5420</v>
      </c>
      <c r="Q116" s="4848" t="s">
        <v>50</v>
      </c>
      <c r="R116" s="3" t="s">
        <v>5421</v>
      </c>
      <c r="S116" s="19"/>
      <c r="T116" s="1138"/>
      <c r="U116" s="1138"/>
      <c r="V116" s="1138"/>
      <c r="W116" s="1138">
        <f>表12[[#This Row],[Sales Amount]]-表12[[#This Row],[Cost]]</f>
        <v>0</v>
      </c>
      <c r="X116" s="1138">
        <f>IFERROR(Table6[[#This Row],[Profit]]/Table6[[#This Row],[Cost]]," ")</f>
        <v>0.10147058823529412</v>
      </c>
      <c r="Y116" s="1138"/>
      <c r="Z116" s="2253"/>
      <c r="AA116"/>
      <c r="AB116"/>
      <c r="AC116"/>
      <c r="AD116"/>
      <c r="AE116"/>
      <c r="AF116"/>
      <c r="AG116"/>
      <c r="AH116"/>
      <c r="AI116"/>
      <c r="AJ116"/>
      <c r="AK116"/>
      <c r="AL116"/>
      <c r="AM116"/>
      <c r="AN116"/>
      <c r="AO116"/>
      <c r="AP116"/>
      <c r="AQ116"/>
    </row>
    <row r="117" spans="1:43" s="52" customFormat="1" hidden="1">
      <c r="A117" s="3235" t="s">
        <v>1035</v>
      </c>
      <c r="B117" s="3275" t="s">
        <v>5422</v>
      </c>
      <c r="C117" s="3275" t="s">
        <v>28</v>
      </c>
      <c r="D117" s="3280">
        <v>45303</v>
      </c>
      <c r="E117" s="1112">
        <v>45315</v>
      </c>
      <c r="F117" s="3275" t="s">
        <v>151</v>
      </c>
      <c r="G117" s="3275" t="s">
        <v>46</v>
      </c>
      <c r="H117" s="3280" t="s">
        <v>1038</v>
      </c>
      <c r="I117" s="3275"/>
      <c r="J117" s="3275" t="s">
        <v>32</v>
      </c>
      <c r="K117" s="3278" t="s">
        <v>162</v>
      </c>
      <c r="L117" s="3357" t="s">
        <v>5423</v>
      </c>
      <c r="M117" s="3396">
        <v>45317</v>
      </c>
      <c r="N117" s="3329">
        <v>45317</v>
      </c>
      <c r="O117" s="3396" t="s">
        <v>5424</v>
      </c>
      <c r="P117" s="3439" t="s">
        <v>5354</v>
      </c>
      <c r="Q117" s="3275" t="s">
        <v>35</v>
      </c>
      <c r="R117" s="58" t="s">
        <v>36</v>
      </c>
      <c r="S117" s="710" t="s">
        <v>1320</v>
      </c>
      <c r="T117" s="705"/>
      <c r="U117" s="705"/>
      <c r="V117" s="705"/>
      <c r="W117" s="705">
        <f>表12[[#This Row],[Sales Amount]]-表12[[#This Row],[Cost]]</f>
        <v>0</v>
      </c>
      <c r="X117" s="705">
        <f>IFERROR(Table6[[#This Row],[Profit]]/Table6[[#This Row],[Cost]]," ")</f>
        <v>0.10147058823529412</v>
      </c>
      <c r="Y117" s="705"/>
      <c r="Z117" s="704"/>
      <c r="AA117"/>
      <c r="AB117"/>
      <c r="AC117"/>
      <c r="AD117"/>
      <c r="AE117"/>
      <c r="AF117"/>
      <c r="AG117"/>
      <c r="AH117"/>
      <c r="AI117"/>
      <c r="AJ117"/>
      <c r="AK117"/>
      <c r="AL117"/>
      <c r="AM117"/>
      <c r="AN117"/>
      <c r="AO117"/>
      <c r="AP117"/>
      <c r="AQ117"/>
    </row>
    <row r="118" spans="1:43" s="52" customFormat="1" hidden="1">
      <c r="A118" s="3235" t="s">
        <v>1035</v>
      </c>
      <c r="B118" s="3275" t="s">
        <v>5425</v>
      </c>
      <c r="C118" s="3275" t="s">
        <v>28</v>
      </c>
      <c r="D118" s="3280">
        <v>45303</v>
      </c>
      <c r="E118" s="1112">
        <v>45315</v>
      </c>
      <c r="F118" s="3275" t="s">
        <v>151</v>
      </c>
      <c r="G118" s="3275" t="s">
        <v>46</v>
      </c>
      <c r="H118" s="3280" t="s">
        <v>1038</v>
      </c>
      <c r="I118" s="3275"/>
      <c r="J118" s="3275" t="s">
        <v>32</v>
      </c>
      <c r="K118" s="3278" t="s">
        <v>162</v>
      </c>
      <c r="L118" s="3357" t="s">
        <v>5426</v>
      </c>
      <c r="M118" s="3396">
        <v>45317</v>
      </c>
      <c r="N118" s="3329">
        <v>45317</v>
      </c>
      <c r="O118" s="3396">
        <v>45328</v>
      </c>
      <c r="P118" s="3439" t="s">
        <v>5370</v>
      </c>
      <c r="Q118" s="3275" t="s">
        <v>35</v>
      </c>
      <c r="R118" s="2093" t="s">
        <v>36</v>
      </c>
      <c r="S118" s="710" t="s">
        <v>1320</v>
      </c>
      <c r="T118" s="705"/>
      <c r="U118" s="705"/>
      <c r="V118" s="705"/>
      <c r="W118" s="705">
        <f>表12[[#This Row],[Sales Amount]]-表12[[#This Row],[Cost]]</f>
        <v>0</v>
      </c>
      <c r="X118" s="705">
        <f>IFERROR(Table6[[#This Row],[Profit]]/Table6[[#This Row],[Cost]]," ")</f>
        <v>0.35504885993485341</v>
      </c>
      <c r="Y118" s="705"/>
      <c r="Z118" s="704"/>
      <c r="AA118"/>
      <c r="AB118"/>
      <c r="AC118"/>
      <c r="AD118"/>
      <c r="AE118"/>
      <c r="AF118"/>
      <c r="AG118"/>
      <c r="AH118"/>
      <c r="AI118"/>
      <c r="AJ118"/>
      <c r="AK118"/>
      <c r="AL118"/>
      <c r="AM118"/>
      <c r="AN118"/>
      <c r="AO118"/>
      <c r="AP118"/>
      <c r="AQ118"/>
    </row>
    <row r="119" spans="1:43" s="52" customFormat="1" hidden="1">
      <c r="A119" s="3235" t="s">
        <v>1035</v>
      </c>
      <c r="B119" s="3275" t="s">
        <v>5427</v>
      </c>
      <c r="C119" s="3275" t="s">
        <v>28</v>
      </c>
      <c r="D119" s="3280">
        <v>45303</v>
      </c>
      <c r="E119" s="1112">
        <v>45315</v>
      </c>
      <c r="F119" s="3275" t="s">
        <v>151</v>
      </c>
      <c r="G119" s="3275" t="s">
        <v>46</v>
      </c>
      <c r="H119" s="3280" t="s">
        <v>1038</v>
      </c>
      <c r="I119" s="3275"/>
      <c r="J119" s="4839" t="s">
        <v>32</v>
      </c>
      <c r="K119" s="3278" t="s">
        <v>162</v>
      </c>
      <c r="L119" s="915" t="s">
        <v>5428</v>
      </c>
      <c r="M119" s="3396">
        <v>45318</v>
      </c>
      <c r="N119" s="3329">
        <v>45317</v>
      </c>
      <c r="O119" s="3396" t="s">
        <v>5429</v>
      </c>
      <c r="P119" s="3439" t="s">
        <v>5370</v>
      </c>
      <c r="Q119" s="3275" t="s">
        <v>35</v>
      </c>
      <c r="R119" s="58" t="s">
        <v>36</v>
      </c>
      <c r="S119" s="710" t="s">
        <v>1320</v>
      </c>
      <c r="T119" s="705"/>
      <c r="U119" s="705"/>
      <c r="V119" s="705"/>
      <c r="W119" s="705">
        <f>表12[[#This Row],[Sales Amount]]-表12[[#This Row],[Cost]]</f>
        <v>0</v>
      </c>
      <c r="X119" s="705">
        <f>IFERROR(Table6[[#This Row],[Profit]]/Table6[[#This Row],[Cost]]," ")</f>
        <v>0.37424698795180711</v>
      </c>
      <c r="Y119" s="705"/>
      <c r="Z119" s="704"/>
      <c r="AA119"/>
      <c r="AB119"/>
      <c r="AC119"/>
      <c r="AD119"/>
      <c r="AE119"/>
      <c r="AF119"/>
      <c r="AG119"/>
      <c r="AH119"/>
      <c r="AI119"/>
      <c r="AJ119"/>
      <c r="AK119"/>
      <c r="AL119"/>
      <c r="AM119"/>
      <c r="AN119"/>
      <c r="AO119"/>
      <c r="AP119"/>
      <c r="AQ119"/>
    </row>
    <row r="120" spans="1:43" s="52" customFormat="1" hidden="1">
      <c r="A120" s="3235" t="s">
        <v>1035</v>
      </c>
      <c r="B120" s="3275" t="s">
        <v>5430</v>
      </c>
      <c r="C120" s="4839" t="s">
        <v>28</v>
      </c>
      <c r="D120" s="4859">
        <v>45303</v>
      </c>
      <c r="E120" s="1112">
        <v>45315</v>
      </c>
      <c r="F120" s="3275" t="s">
        <v>151</v>
      </c>
      <c r="G120" s="3275" t="s">
        <v>46</v>
      </c>
      <c r="H120" s="3301" t="s">
        <v>1038</v>
      </c>
      <c r="I120" s="3275"/>
      <c r="J120" s="3275" t="s">
        <v>32</v>
      </c>
      <c r="K120" s="3278" t="s">
        <v>162</v>
      </c>
      <c r="L120" s="3357">
        <v>586905</v>
      </c>
      <c r="M120" s="3396">
        <v>45317</v>
      </c>
      <c r="N120" s="3329">
        <v>45317</v>
      </c>
      <c r="O120" s="3280">
        <v>45317</v>
      </c>
      <c r="P120" s="5118" t="s">
        <v>5396</v>
      </c>
      <c r="Q120" s="4839" t="s">
        <v>35</v>
      </c>
      <c r="R120" s="4839" t="s">
        <v>36</v>
      </c>
      <c r="S120" s="710" t="s">
        <v>1320</v>
      </c>
      <c r="T120" s="705"/>
      <c r="U120" s="705"/>
      <c r="V120" s="705"/>
      <c r="W120" s="705">
        <f>表12[[#This Row],[Sales Amount]]-表12[[#This Row],[Cost]]</f>
        <v>0</v>
      </c>
      <c r="X120" s="705">
        <f>IFERROR(Table6[[#This Row],[Profit]]/Table6[[#This Row],[Cost]]," ")</f>
        <v>28.45077777777778</v>
      </c>
      <c r="Y120" s="705"/>
      <c r="Z120" s="704"/>
      <c r="AA120"/>
      <c r="AB120"/>
      <c r="AC120"/>
      <c r="AD120"/>
      <c r="AE120"/>
      <c r="AF120"/>
      <c r="AG120"/>
      <c r="AH120"/>
      <c r="AI120"/>
      <c r="AJ120"/>
      <c r="AK120"/>
      <c r="AL120"/>
      <c r="AM120"/>
      <c r="AN120"/>
      <c r="AO120"/>
      <c r="AP120"/>
      <c r="AQ120"/>
    </row>
    <row r="121" spans="1:43" s="52" customFormat="1" hidden="1">
      <c r="A121" s="3235" t="s">
        <v>1035</v>
      </c>
      <c r="B121" s="915" t="s">
        <v>5431</v>
      </c>
      <c r="C121" s="58" t="s">
        <v>28</v>
      </c>
      <c r="D121" s="3280">
        <v>45303</v>
      </c>
      <c r="E121" s="3346">
        <v>45315</v>
      </c>
      <c r="F121" s="58" t="s">
        <v>151</v>
      </c>
      <c r="G121" s="58" t="s">
        <v>46</v>
      </c>
      <c r="H121" s="3301" t="s">
        <v>1038</v>
      </c>
      <c r="I121" s="3275"/>
      <c r="J121" s="3275" t="s">
        <v>32</v>
      </c>
      <c r="K121" s="1344" t="s">
        <v>162</v>
      </c>
      <c r="L121" s="3357" t="s">
        <v>5432</v>
      </c>
      <c r="M121" s="3396">
        <v>45318</v>
      </c>
      <c r="N121" s="3329">
        <v>45317</v>
      </c>
      <c r="O121" s="3280">
        <v>45317</v>
      </c>
      <c r="P121" s="1365" t="s">
        <v>5410</v>
      </c>
      <c r="Q121" s="58" t="s">
        <v>35</v>
      </c>
      <c r="R121" s="2093" t="s">
        <v>36</v>
      </c>
      <c r="S121" s="710" t="s">
        <v>1320</v>
      </c>
      <c r="T121" s="705"/>
      <c r="U121" s="705"/>
      <c r="V121" s="705"/>
      <c r="W121" s="705">
        <f>表12[[#This Row],[Sales Amount]]-表12[[#This Row],[Cost]]</f>
        <v>0</v>
      </c>
      <c r="X121" s="705">
        <f>IFERROR(Table6[[#This Row],[Profit]]/Table6[[#This Row],[Cost]]," ")</f>
        <v>0.38948078920041529</v>
      </c>
      <c r="Y121" s="705"/>
      <c r="Z121" s="704"/>
      <c r="AA121"/>
      <c r="AB121"/>
      <c r="AC121"/>
      <c r="AD121"/>
      <c r="AE121"/>
      <c r="AF121"/>
      <c r="AG121"/>
      <c r="AH121"/>
      <c r="AI121"/>
      <c r="AJ121"/>
      <c r="AK121"/>
      <c r="AL121"/>
      <c r="AM121"/>
      <c r="AN121"/>
      <c r="AO121"/>
      <c r="AP121"/>
      <c r="AQ121"/>
    </row>
    <row r="122" spans="1:43" s="36" customFormat="1" hidden="1">
      <c r="A122" s="3417" t="s">
        <v>409</v>
      </c>
      <c r="B122" s="1617" t="s">
        <v>5433</v>
      </c>
      <c r="C122" s="25" t="s">
        <v>3181</v>
      </c>
      <c r="D122" s="3373">
        <v>45326</v>
      </c>
      <c r="E122" s="889">
        <v>45329</v>
      </c>
      <c r="F122" s="25" t="s">
        <v>56</v>
      </c>
      <c r="G122" s="25" t="s">
        <v>302</v>
      </c>
      <c r="H122" s="3290"/>
      <c r="I122" s="3265"/>
      <c r="J122" s="3265" t="s">
        <v>168</v>
      </c>
      <c r="K122" s="25" t="s">
        <v>47</v>
      </c>
      <c r="L122" s="25">
        <v>719114</v>
      </c>
      <c r="M122" s="3373">
        <v>45331</v>
      </c>
      <c r="N122" s="3373">
        <v>45330</v>
      </c>
      <c r="O122" s="3373">
        <v>45334</v>
      </c>
      <c r="P122" s="745" t="s">
        <v>5434</v>
      </c>
      <c r="Q122" s="25" t="s">
        <v>89</v>
      </c>
      <c r="R122" s="4848" t="s">
        <v>5435</v>
      </c>
      <c r="S122" s="31"/>
      <c r="T122" s="712"/>
      <c r="U122" s="712"/>
      <c r="V122" s="712"/>
      <c r="W122" s="712">
        <f>表12[[#This Row],[Sales Amount]]-表12[[#This Row],[Cost]]</f>
        <v>0</v>
      </c>
      <c r="X122" s="712">
        <f>IFERROR(Table6[[#This Row],[Profit]]/Table6[[#This Row],[Cost]]," ")</f>
        <v>0.40440324449594439</v>
      </c>
      <c r="Y122" s="712"/>
      <c r="Z122" s="2210"/>
      <c r="AA122" s="3"/>
      <c r="AB122" s="3"/>
      <c r="AC122" s="3"/>
      <c r="AD122" s="3"/>
      <c r="AE122" s="3"/>
      <c r="AF122" s="3"/>
      <c r="AG122" s="3"/>
      <c r="AH122" s="3"/>
      <c r="AI122" s="3"/>
      <c r="AJ122" s="3"/>
      <c r="AK122" s="3"/>
      <c r="AL122" s="3"/>
      <c r="AM122" s="3"/>
      <c r="AN122" s="3"/>
      <c r="AO122" s="3"/>
      <c r="AP122" s="3"/>
      <c r="AQ122" s="3"/>
    </row>
    <row r="123" spans="1:43" s="36" customFormat="1" hidden="1">
      <c r="A123" s="3417" t="s">
        <v>409</v>
      </c>
      <c r="B123" s="117" t="s">
        <v>5436</v>
      </c>
      <c r="C123" s="117" t="s">
        <v>28</v>
      </c>
      <c r="D123" s="3262">
        <v>45303</v>
      </c>
      <c r="E123" s="889">
        <v>45315</v>
      </c>
      <c r="F123" s="117" t="s">
        <v>45</v>
      </c>
      <c r="G123" s="117" t="s">
        <v>302</v>
      </c>
      <c r="H123" s="3290"/>
      <c r="I123" s="3265"/>
      <c r="J123" s="3268" t="s">
        <v>32</v>
      </c>
      <c r="K123" s="117" t="s">
        <v>47</v>
      </c>
      <c r="L123" s="3268" t="s">
        <v>5437</v>
      </c>
      <c r="M123" s="3373">
        <v>45317</v>
      </c>
      <c r="N123" s="3373">
        <v>45316</v>
      </c>
      <c r="O123" s="3373">
        <v>45318</v>
      </c>
      <c r="P123" s="3317" t="s">
        <v>5438</v>
      </c>
      <c r="Q123" s="25" t="s">
        <v>89</v>
      </c>
      <c r="R123" s="2216" t="s">
        <v>5439</v>
      </c>
      <c r="S123" s="31"/>
      <c r="T123" s="712"/>
      <c r="U123" s="712"/>
      <c r="V123" s="712"/>
      <c r="W123" s="712">
        <f>表12[[#This Row],[Sales Amount]]-表12[[#This Row],[Cost]]</f>
        <v>0</v>
      </c>
      <c r="X123" s="712" t="str">
        <f>IFERROR(Table6[[#This Row],[Profit]]/Table6[[#This Row],[Cost]]," ")</f>
        <v xml:space="preserve"> </v>
      </c>
      <c r="Y123" s="712"/>
      <c r="Z123" s="2210"/>
      <c r="AA123" s="3"/>
      <c r="AB123" s="3"/>
      <c r="AC123" s="3"/>
      <c r="AD123" s="3"/>
      <c r="AE123" s="3"/>
      <c r="AF123" s="3"/>
      <c r="AG123" s="3"/>
      <c r="AH123" s="3"/>
      <c r="AI123" s="3"/>
      <c r="AJ123" s="3"/>
      <c r="AK123" s="3"/>
      <c r="AL123" s="3"/>
      <c r="AM123" s="3"/>
      <c r="AN123" s="3"/>
      <c r="AO123" s="3"/>
      <c r="AP123" s="3"/>
      <c r="AQ123" s="3"/>
    </row>
    <row r="124" spans="1:43" s="36" customFormat="1" ht="17.25" hidden="1">
      <c r="A124" s="3417" t="s">
        <v>4793</v>
      </c>
      <c r="B124" s="117" t="s">
        <v>5440</v>
      </c>
      <c r="C124" s="117" t="s">
        <v>28</v>
      </c>
      <c r="D124" s="3262">
        <v>45305</v>
      </c>
      <c r="E124" s="889">
        <v>45315</v>
      </c>
      <c r="F124" s="117" t="s">
        <v>45</v>
      </c>
      <c r="G124" s="117" t="s">
        <v>302</v>
      </c>
      <c r="H124" s="3290"/>
      <c r="I124" s="3265"/>
      <c r="J124" s="3268" t="s">
        <v>168</v>
      </c>
      <c r="K124" s="117" t="s">
        <v>310</v>
      </c>
      <c r="L124" s="3470">
        <v>953413</v>
      </c>
      <c r="M124" s="3373">
        <v>45318</v>
      </c>
      <c r="N124" s="3373">
        <v>45317</v>
      </c>
      <c r="O124" s="3373">
        <v>45320</v>
      </c>
      <c r="P124" s="745" t="s">
        <v>5441</v>
      </c>
      <c r="Q124" s="25" t="s">
        <v>50</v>
      </c>
      <c r="R124" s="2216" t="s">
        <v>5442</v>
      </c>
      <c r="S124" s="31"/>
      <c r="T124" s="712"/>
      <c r="U124" s="712"/>
      <c r="V124" s="712"/>
      <c r="W124" s="712">
        <f>表12[[#This Row],[Sales Amount]]-表12[[#This Row],[Cost]]</f>
        <v>0</v>
      </c>
      <c r="X124" s="2280" t="str">
        <f>IFERROR(Table6[[#This Row],[Profit]]/Table6[[#This Row],[Cost]]," ")</f>
        <v xml:space="preserve"> </v>
      </c>
      <c r="Y124" s="712"/>
      <c r="Z124" s="2210"/>
      <c r="AA124"/>
      <c r="AB124"/>
      <c r="AC124"/>
      <c r="AD124"/>
      <c r="AE124"/>
      <c r="AF124"/>
      <c r="AG124"/>
      <c r="AH124"/>
      <c r="AI124"/>
      <c r="AJ124"/>
      <c r="AK124"/>
      <c r="AL124"/>
      <c r="AM124"/>
      <c r="AN124"/>
      <c r="AO124"/>
      <c r="AP124"/>
      <c r="AQ124"/>
    </row>
    <row r="125" spans="1:43" s="36" customFormat="1" hidden="1">
      <c r="A125" s="120" t="s">
        <v>4815</v>
      </c>
      <c r="B125" s="120" t="s">
        <v>5443</v>
      </c>
      <c r="C125" s="120" t="s">
        <v>44</v>
      </c>
      <c r="D125" s="3262">
        <v>45303</v>
      </c>
      <c r="E125" s="889">
        <v>45315</v>
      </c>
      <c r="F125" s="120" t="s">
        <v>45</v>
      </c>
      <c r="G125" s="120" t="s">
        <v>46</v>
      </c>
      <c r="H125" s="635"/>
      <c r="I125" s="19"/>
      <c r="J125" s="3268" t="s">
        <v>168</v>
      </c>
      <c r="K125" s="120" t="s">
        <v>310</v>
      </c>
      <c r="L125" s="2312" t="s">
        <v>5444</v>
      </c>
      <c r="M125" s="49">
        <v>45317</v>
      </c>
      <c r="N125" s="49">
        <v>45316</v>
      </c>
      <c r="O125" s="49">
        <v>45319</v>
      </c>
      <c r="P125" s="1138" t="s">
        <v>5445</v>
      </c>
      <c r="Q125" s="1138" t="s">
        <v>50</v>
      </c>
      <c r="R125" s="2313" t="s">
        <v>5446</v>
      </c>
      <c r="S125" s="19"/>
      <c r="T125" s="1138"/>
      <c r="U125" s="1138"/>
      <c r="V125" s="1138"/>
      <c r="W125" s="1138">
        <f>表12[[#This Row],[Sales Amount]]-表12[[#This Row],[Cost]]</f>
        <v>0</v>
      </c>
      <c r="X125" s="2275">
        <f>IFERROR(Table6[[#This Row],[Profit]]/Table6[[#This Row],[Cost]]," ")</f>
        <v>0.36044176706827308</v>
      </c>
      <c r="Y125" s="1138"/>
      <c r="Z125" s="1138"/>
      <c r="AA125" s="3"/>
      <c r="AB125" s="3"/>
      <c r="AC125" s="3"/>
      <c r="AD125" s="3"/>
      <c r="AE125" s="3"/>
      <c r="AF125" s="3"/>
      <c r="AG125" s="3"/>
      <c r="AH125" s="3"/>
      <c r="AI125" s="3"/>
      <c r="AJ125" s="3"/>
      <c r="AK125" s="3"/>
      <c r="AL125" s="3"/>
      <c r="AM125" s="3"/>
      <c r="AN125" s="3"/>
      <c r="AO125" s="3"/>
      <c r="AP125" s="3"/>
      <c r="AQ125" s="3"/>
    </row>
    <row r="126" spans="1:43" s="52" customFormat="1" hidden="1">
      <c r="A126" s="18" t="s">
        <v>1035</v>
      </c>
      <c r="B126" s="4106" t="s">
        <v>5447</v>
      </c>
      <c r="C126" s="58" t="s">
        <v>28</v>
      </c>
      <c r="D126" s="661">
        <v>45303</v>
      </c>
      <c r="E126" s="1112">
        <v>45316</v>
      </c>
      <c r="F126" s="18" t="s">
        <v>151</v>
      </c>
      <c r="G126" s="18" t="s">
        <v>46</v>
      </c>
      <c r="H126" s="661" t="s">
        <v>1038</v>
      </c>
      <c r="I126" s="18"/>
      <c r="J126" s="58" t="s">
        <v>32</v>
      </c>
      <c r="K126" s="1692" t="s">
        <v>162</v>
      </c>
      <c r="L126" s="1030" t="s">
        <v>5448</v>
      </c>
      <c r="M126" s="1130">
        <v>45319</v>
      </c>
      <c r="N126" s="1184">
        <v>45318</v>
      </c>
      <c r="O126" s="1130">
        <v>45331</v>
      </c>
      <c r="P126" s="2272" t="s">
        <v>5449</v>
      </c>
      <c r="Q126" s="18" t="s">
        <v>35</v>
      </c>
      <c r="R126" s="58" t="s">
        <v>36</v>
      </c>
      <c r="S126" s="18" t="s">
        <v>1320</v>
      </c>
      <c r="T126" s="681"/>
      <c r="U126" s="681"/>
      <c r="V126" s="681"/>
      <c r="W126" s="681">
        <f>表12[[#This Row],[Sales Amount]]-表12[[#This Row],[Cost]]</f>
        <v>0</v>
      </c>
      <c r="X126" s="681">
        <f>IFERROR(Table6[[#This Row],[Profit]]/Table6[[#This Row],[Cost]]," ")</f>
        <v>0.18268026480586866</v>
      </c>
      <c r="Y126" s="681"/>
      <c r="Z126" s="681"/>
      <c r="AA126"/>
      <c r="AB126"/>
      <c r="AC126"/>
      <c r="AD126"/>
      <c r="AE126"/>
      <c r="AF126"/>
      <c r="AG126"/>
      <c r="AH126"/>
      <c r="AI126"/>
      <c r="AJ126"/>
      <c r="AK126"/>
      <c r="AL126"/>
      <c r="AM126"/>
      <c r="AN126"/>
      <c r="AO126"/>
      <c r="AP126"/>
      <c r="AQ126"/>
    </row>
    <row r="127" spans="1:43" s="52" customFormat="1" hidden="1">
      <c r="A127" s="18" t="s">
        <v>1035</v>
      </c>
      <c r="B127" s="1116" t="s">
        <v>5450</v>
      </c>
      <c r="C127" s="18" t="s">
        <v>28</v>
      </c>
      <c r="D127" s="661">
        <v>45303</v>
      </c>
      <c r="E127" s="1112">
        <v>45316</v>
      </c>
      <c r="F127" s="18" t="s">
        <v>151</v>
      </c>
      <c r="G127" s="18" t="s">
        <v>46</v>
      </c>
      <c r="H127" s="1128" t="s">
        <v>1038</v>
      </c>
      <c r="I127" s="18"/>
      <c r="J127" s="18" t="s">
        <v>32</v>
      </c>
      <c r="K127" s="1692" t="s">
        <v>162</v>
      </c>
      <c r="L127" s="1116">
        <v>17142</v>
      </c>
      <c r="M127" s="1130">
        <v>45319</v>
      </c>
      <c r="N127" s="3329">
        <v>45318</v>
      </c>
      <c r="O127" s="1130">
        <v>45332</v>
      </c>
      <c r="P127" s="2257" t="s">
        <v>5410</v>
      </c>
      <c r="Q127" s="58" t="s">
        <v>35</v>
      </c>
      <c r="R127" s="58" t="s">
        <v>36</v>
      </c>
      <c r="S127" s="18" t="s">
        <v>1320</v>
      </c>
      <c r="T127" s="681"/>
      <c r="U127" s="681"/>
      <c r="V127" s="681"/>
      <c r="W127" s="681">
        <f>表12[[#This Row],[Sales Amount]]-表12[[#This Row],[Cost]]</f>
        <v>0</v>
      </c>
      <c r="X127" s="681" t="str">
        <f>IFERROR(Table6[[#This Row],[Profit]]/Table6[[#This Row],[Cost]]," ")</f>
        <v xml:space="preserve"> </v>
      </c>
      <c r="Y127" s="681"/>
      <c r="Z127" s="681"/>
      <c r="AA127"/>
      <c r="AB127"/>
      <c r="AC127"/>
      <c r="AD127"/>
      <c r="AE127"/>
      <c r="AF127"/>
      <c r="AG127"/>
      <c r="AH127"/>
      <c r="AI127"/>
      <c r="AJ127"/>
      <c r="AK127"/>
      <c r="AL127"/>
      <c r="AM127"/>
      <c r="AN127"/>
      <c r="AO127"/>
      <c r="AP127"/>
      <c r="AQ127"/>
    </row>
    <row r="128" spans="1:43" s="36" customFormat="1" hidden="1">
      <c r="A128" s="3417" t="s">
        <v>409</v>
      </c>
      <c r="B128" s="120" t="s">
        <v>5451</v>
      </c>
      <c r="C128" s="120" t="s">
        <v>44</v>
      </c>
      <c r="D128" s="653">
        <v>45304</v>
      </c>
      <c r="E128" s="55">
        <v>45316</v>
      </c>
      <c r="F128" s="120" t="s">
        <v>86</v>
      </c>
      <c r="G128" s="4845" t="s">
        <v>829</v>
      </c>
      <c r="H128" s="635"/>
      <c r="I128" s="19"/>
      <c r="J128" s="120" t="s">
        <v>168</v>
      </c>
      <c r="K128" s="3268" t="s">
        <v>310</v>
      </c>
      <c r="L128" s="120">
        <v>996704</v>
      </c>
      <c r="M128" s="49">
        <v>45319</v>
      </c>
      <c r="N128" s="49">
        <v>45317</v>
      </c>
      <c r="O128" s="49">
        <v>45320</v>
      </c>
      <c r="P128" s="1219" t="s">
        <v>5452</v>
      </c>
      <c r="Q128" s="3265" t="s">
        <v>50</v>
      </c>
      <c r="R128" s="19" t="s">
        <v>5453</v>
      </c>
      <c r="S128" s="31"/>
      <c r="T128" s="1138"/>
      <c r="U128" s="1138"/>
      <c r="V128" s="1138"/>
      <c r="W128" s="1138">
        <f>表12[[#This Row],[Sales Amount]]-表12[[#This Row],[Cost]]</f>
        <v>0</v>
      </c>
      <c r="X128" s="2275" t="str">
        <f>IFERROR(Table6[[#This Row],[Profit]]/Table6[[#This Row],[Cost]]," ")</f>
        <v xml:space="preserve"> </v>
      </c>
      <c r="Y128" s="1138"/>
      <c r="Z128" s="1138"/>
      <c r="AA128" s="3"/>
      <c r="AB128" s="3"/>
      <c r="AC128" s="3"/>
      <c r="AD128" s="3"/>
      <c r="AE128" s="3"/>
      <c r="AF128" s="3"/>
      <c r="AG128" s="3"/>
      <c r="AH128" s="3"/>
      <c r="AI128" s="3"/>
      <c r="AJ128" s="3"/>
      <c r="AK128" s="3"/>
      <c r="AL128" s="3"/>
      <c r="AM128" s="3"/>
      <c r="AN128" s="3"/>
      <c r="AO128" s="3"/>
      <c r="AP128" s="3"/>
      <c r="AQ128" s="3"/>
    </row>
    <row r="129" spans="1:43" s="52" customFormat="1" hidden="1">
      <c r="A129" s="1147" t="s">
        <v>1035</v>
      </c>
      <c r="B129" s="739" t="s">
        <v>5454</v>
      </c>
      <c r="C129" s="58" t="s">
        <v>28</v>
      </c>
      <c r="D129" s="1785">
        <v>45307</v>
      </c>
      <c r="E129" s="2212">
        <v>45313</v>
      </c>
      <c r="F129" s="739" t="s">
        <v>167</v>
      </c>
      <c r="G129" s="739" t="s">
        <v>5455</v>
      </c>
      <c r="H129" s="1840" t="s">
        <v>1038</v>
      </c>
      <c r="I129" s="739"/>
      <c r="J129" s="58" t="s">
        <v>32</v>
      </c>
      <c r="K129" s="1802" t="s">
        <v>162</v>
      </c>
      <c r="L129" s="2030" t="s">
        <v>542</v>
      </c>
      <c r="M129" s="2226">
        <v>45315</v>
      </c>
      <c r="N129" s="1785">
        <v>45314</v>
      </c>
      <c r="O129" s="1785">
        <v>45316</v>
      </c>
      <c r="P129" s="2213" t="s">
        <v>5454</v>
      </c>
      <c r="Q129" s="58" t="s">
        <v>35</v>
      </c>
      <c r="R129" s="2214" t="s">
        <v>36</v>
      </c>
      <c r="S129" s="1430" t="s">
        <v>1320</v>
      </c>
      <c r="T129" s="2150"/>
      <c r="U129" s="2150"/>
      <c r="V129" s="2150"/>
      <c r="W129" s="2150">
        <f>表12[[#This Row],[Sales Amount]]-表12[[#This Row],[Cost]]</f>
        <v>0</v>
      </c>
      <c r="X129" s="2150" t="str">
        <f>IFERROR(Table6[[#This Row],[Profit]]/Table6[[#This Row],[Cost]]," ")</f>
        <v xml:space="preserve"> </v>
      </c>
      <c r="Y129" s="2150"/>
      <c r="Z129" s="2151"/>
      <c r="AA129"/>
      <c r="AB129"/>
      <c r="AC129"/>
      <c r="AD129"/>
      <c r="AE129"/>
      <c r="AF129"/>
      <c r="AG129"/>
      <c r="AH129"/>
      <c r="AI129"/>
      <c r="AJ129"/>
      <c r="AK129"/>
      <c r="AL129"/>
      <c r="AM129"/>
      <c r="AN129"/>
      <c r="AO129"/>
      <c r="AP129"/>
      <c r="AQ129"/>
    </row>
    <row r="130" spans="1:43" s="52" customFormat="1" hidden="1">
      <c r="A130" s="3235" t="s">
        <v>1035</v>
      </c>
      <c r="B130" s="3275" t="s">
        <v>5456</v>
      </c>
      <c r="C130" s="58" t="s">
        <v>28</v>
      </c>
      <c r="D130" s="3280">
        <v>45307</v>
      </c>
      <c r="E130" s="3346">
        <v>45313</v>
      </c>
      <c r="F130" s="3275" t="s">
        <v>167</v>
      </c>
      <c r="G130" s="3275" t="s">
        <v>5455</v>
      </c>
      <c r="H130" s="3301" t="s">
        <v>1038</v>
      </c>
      <c r="I130" s="3275"/>
      <c r="J130" s="18" t="s">
        <v>32</v>
      </c>
      <c r="K130" s="3278" t="s">
        <v>162</v>
      </c>
      <c r="L130" s="3357" t="s">
        <v>542</v>
      </c>
      <c r="M130" s="3396">
        <v>45315</v>
      </c>
      <c r="N130" s="3280">
        <v>45314</v>
      </c>
      <c r="O130" s="3280">
        <v>45315</v>
      </c>
      <c r="P130" s="3439" t="s">
        <v>5454</v>
      </c>
      <c r="Q130" s="58" t="s">
        <v>35</v>
      </c>
      <c r="R130" s="4839" t="s">
        <v>36</v>
      </c>
      <c r="S130" s="710" t="s">
        <v>1320</v>
      </c>
      <c r="T130" s="705"/>
      <c r="U130" s="705"/>
      <c r="V130" s="705"/>
      <c r="W130" s="705">
        <f>表12[[#This Row],[Sales Amount]]-表12[[#This Row],[Cost]]</f>
        <v>0</v>
      </c>
      <c r="X130" s="705" t="str">
        <f>IFERROR(Table6[[#This Row],[Profit]]/Table6[[#This Row],[Cost]]," ")</f>
        <v xml:space="preserve"> </v>
      </c>
      <c r="Y130" s="705"/>
      <c r="Z130" s="704"/>
      <c r="AA130"/>
      <c r="AB130"/>
      <c r="AC130"/>
      <c r="AD130"/>
      <c r="AE130"/>
      <c r="AF130"/>
      <c r="AG130"/>
      <c r="AH130"/>
      <c r="AI130"/>
      <c r="AJ130"/>
      <c r="AK130"/>
      <c r="AL130"/>
      <c r="AM130"/>
      <c r="AN130"/>
      <c r="AO130"/>
      <c r="AP130"/>
      <c r="AQ130"/>
    </row>
    <row r="131" spans="1:43" s="36" customFormat="1" ht="16.5" hidden="1">
      <c r="A131" s="3417" t="s">
        <v>409</v>
      </c>
      <c r="B131" s="3464" t="s">
        <v>5457</v>
      </c>
      <c r="C131" s="117" t="s">
        <v>28</v>
      </c>
      <c r="D131" s="3262">
        <v>45303</v>
      </c>
      <c r="E131" s="3365">
        <v>45316</v>
      </c>
      <c r="F131" s="117" t="s">
        <v>45</v>
      </c>
      <c r="G131" s="3268" t="s">
        <v>46</v>
      </c>
      <c r="H131" s="3290"/>
      <c r="I131" s="3265"/>
      <c r="J131" s="117" t="s">
        <v>32</v>
      </c>
      <c r="K131" s="3268" t="s">
        <v>310</v>
      </c>
      <c r="L131" s="3471" t="s">
        <v>5458</v>
      </c>
      <c r="M131" s="3373">
        <v>45319</v>
      </c>
      <c r="N131" s="3373">
        <v>45317</v>
      </c>
      <c r="O131" s="3373">
        <v>45320</v>
      </c>
      <c r="P131" s="3317" t="s">
        <v>5459</v>
      </c>
      <c r="Q131" s="25" t="s">
        <v>50</v>
      </c>
      <c r="R131" s="4979" t="s">
        <v>5460</v>
      </c>
      <c r="S131" s="31">
        <v>4</v>
      </c>
      <c r="T131" s="712"/>
      <c r="U131" s="712"/>
      <c r="V131" s="712"/>
      <c r="W131" s="712">
        <f>表12[[#This Row],[Sales Amount]]-表12[[#This Row],[Cost]]</f>
        <v>0</v>
      </c>
      <c r="X131" s="712" t="str">
        <f>IFERROR(Table6[[#This Row],[Profit]]/Table6[[#This Row],[Cost]]," ")</f>
        <v xml:space="preserve"> </v>
      </c>
      <c r="Y131" s="712"/>
      <c r="Z131" s="2210"/>
      <c r="AA131"/>
      <c r="AB131"/>
      <c r="AC131"/>
      <c r="AD131"/>
      <c r="AE131"/>
      <c r="AF131"/>
      <c r="AG131"/>
      <c r="AH131"/>
      <c r="AI131"/>
      <c r="AJ131"/>
      <c r="AK131"/>
      <c r="AL131"/>
      <c r="AM131"/>
      <c r="AN131"/>
      <c r="AO131"/>
      <c r="AP131"/>
      <c r="AQ131"/>
    </row>
    <row r="132" spans="1:43" s="1350" customFormat="1" hidden="1">
      <c r="A132" s="3235" t="s">
        <v>1088</v>
      </c>
      <c r="B132" s="3275">
        <v>832688703</v>
      </c>
      <c r="C132" s="58" t="s">
        <v>1508</v>
      </c>
      <c r="D132" s="3280"/>
      <c r="E132" s="3346">
        <v>45315</v>
      </c>
      <c r="F132" s="58"/>
      <c r="G132" s="3275"/>
      <c r="H132" s="3301">
        <v>45316</v>
      </c>
      <c r="I132" s="3275"/>
      <c r="J132" s="58"/>
      <c r="K132" s="3275" t="s">
        <v>5461</v>
      </c>
      <c r="L132" s="3275"/>
      <c r="M132" s="3280"/>
      <c r="N132" s="3280">
        <v>45315</v>
      </c>
      <c r="O132" s="3280">
        <v>45315</v>
      </c>
      <c r="P132" s="1365" t="s">
        <v>5462</v>
      </c>
      <c r="Q132" s="58" t="s">
        <v>50</v>
      </c>
      <c r="R132" s="2093" t="s">
        <v>51</v>
      </c>
      <c r="S132" s="710"/>
      <c r="T132" s="1372"/>
      <c r="U132" s="1372"/>
      <c r="V132" s="1372"/>
      <c r="W132" s="1372">
        <f>表12[[#This Row],[Sales Amount]]-表12[[#This Row],[Cost]]</f>
        <v>0</v>
      </c>
      <c r="X132" s="2367" t="str">
        <f>IFERROR(Table6[[#This Row],[Profit]]/Table6[[#This Row],[Cost]]," ")</f>
        <v xml:space="preserve"> </v>
      </c>
      <c r="Y132" s="1372"/>
      <c r="Z132" s="2261"/>
      <c r="AA132" s="650"/>
      <c r="AB132" s="650"/>
      <c r="AC132" s="650"/>
      <c r="AD132" s="650"/>
      <c r="AE132" s="650"/>
      <c r="AF132" s="650"/>
      <c r="AG132" s="650"/>
      <c r="AH132" s="650"/>
      <c r="AI132" s="650"/>
      <c r="AJ132" s="650"/>
      <c r="AK132" s="650"/>
      <c r="AL132" s="650"/>
      <c r="AM132" s="650"/>
      <c r="AN132" s="650"/>
      <c r="AO132" s="650"/>
      <c r="AP132" s="650"/>
      <c r="AQ132" s="650"/>
    </row>
    <row r="133" spans="1:43" s="52" customFormat="1" hidden="1">
      <c r="A133" s="4599" t="s">
        <v>122</v>
      </c>
      <c r="B133" s="4839" t="s">
        <v>5463</v>
      </c>
      <c r="C133" s="4839" t="s">
        <v>704</v>
      </c>
      <c r="D133" s="4859">
        <v>45305</v>
      </c>
      <c r="E133" s="4867">
        <v>45316</v>
      </c>
      <c r="F133" s="4839" t="s">
        <v>63</v>
      </c>
      <c r="G133" s="4839" t="s">
        <v>5464</v>
      </c>
      <c r="H133" s="4833">
        <v>45322</v>
      </c>
      <c r="I133" s="4958">
        <v>0.41666666666666669</v>
      </c>
      <c r="J133" s="3275" t="s">
        <v>322</v>
      </c>
      <c r="K133" s="4839" t="s">
        <v>5465</v>
      </c>
      <c r="L133" s="5099" t="s">
        <v>5466</v>
      </c>
      <c r="M133" s="4859">
        <v>45319</v>
      </c>
      <c r="N133" s="4859">
        <v>45320</v>
      </c>
      <c r="O133" s="4859">
        <v>45322</v>
      </c>
      <c r="P133" s="5118" t="s">
        <v>5467</v>
      </c>
      <c r="Q133" s="4839" t="s">
        <v>128</v>
      </c>
      <c r="R133" s="1432" t="s">
        <v>36</v>
      </c>
      <c r="S133" s="18"/>
      <c r="T133" s="2269">
        <f>1613.75-40-140</f>
        <v>1433.75</v>
      </c>
      <c r="U133" s="2269">
        <f>818.65+90</f>
        <v>908.65</v>
      </c>
      <c r="V133" s="2269"/>
      <c r="W133" s="2269">
        <f>表12[[#This Row],[Sales Amount]]-表12[[#This Row],[Cost]]</f>
        <v>525.1</v>
      </c>
      <c r="X133" s="2269" t="str">
        <f>IFERROR(Table6[[#This Row],[Profit]]/Table6[[#This Row],[Cost]]," ")</f>
        <v xml:space="preserve"> </v>
      </c>
      <c r="Y133" s="2269"/>
      <c r="Z133" s="2270"/>
      <c r="AA133"/>
      <c r="AB133"/>
      <c r="AC133"/>
      <c r="AD133"/>
      <c r="AE133"/>
      <c r="AF133"/>
      <c r="AG133"/>
      <c r="AH133"/>
      <c r="AI133"/>
      <c r="AJ133"/>
      <c r="AK133"/>
      <c r="AL133"/>
      <c r="AM133"/>
      <c r="AN133"/>
      <c r="AO133"/>
      <c r="AP133"/>
      <c r="AQ133"/>
    </row>
    <row r="134" spans="1:43" s="52" customFormat="1" hidden="1">
      <c r="A134" s="4599" t="s">
        <v>2396</v>
      </c>
      <c r="B134" s="4839" t="s">
        <v>5468</v>
      </c>
      <c r="C134" s="4839" t="s">
        <v>44</v>
      </c>
      <c r="D134" s="4859">
        <v>45317</v>
      </c>
      <c r="E134" s="4867">
        <v>45317</v>
      </c>
      <c r="F134" s="4839" t="s">
        <v>151</v>
      </c>
      <c r="G134" s="4839" t="s">
        <v>5469</v>
      </c>
      <c r="H134" s="5102">
        <v>45321</v>
      </c>
      <c r="I134" s="4841" t="s">
        <v>1820</v>
      </c>
      <c r="J134" s="3275" t="s">
        <v>5470</v>
      </c>
      <c r="K134" s="4839" t="s">
        <v>5471</v>
      </c>
      <c r="L134" s="4841" t="s">
        <v>542</v>
      </c>
      <c r="M134" s="4855">
        <v>45326</v>
      </c>
      <c r="N134" s="4859">
        <v>45320</v>
      </c>
      <c r="O134" s="4859">
        <v>45321</v>
      </c>
      <c r="P134" s="5277" t="s">
        <v>5472</v>
      </c>
      <c r="Q134" s="4839" t="s">
        <v>35</v>
      </c>
      <c r="R134" s="1432" t="s">
        <v>36</v>
      </c>
      <c r="S134" s="18" t="s">
        <v>37</v>
      </c>
      <c r="T134" s="681">
        <v>946.46</v>
      </c>
      <c r="U134" s="681">
        <v>630.46</v>
      </c>
      <c r="V134" s="681"/>
      <c r="W134" s="681">
        <f>表12[[#This Row],[Sales Amount]]-表12[[#This Row],[Cost]]</f>
        <v>316</v>
      </c>
      <c r="X134" s="681" t="str">
        <f>IFERROR(Table6[[#This Row],[Profit]]/Table6[[#This Row],[Cost]]," ")</f>
        <v xml:space="preserve"> </v>
      </c>
      <c r="Y134" s="681"/>
      <c r="Z134" s="2138"/>
      <c r="AA134"/>
      <c r="AB134"/>
      <c r="AC134"/>
      <c r="AD134"/>
      <c r="AE134"/>
      <c r="AF134"/>
      <c r="AG134"/>
      <c r="AH134"/>
      <c r="AI134"/>
      <c r="AJ134"/>
      <c r="AK134"/>
      <c r="AL134"/>
      <c r="AM134"/>
      <c r="AN134"/>
      <c r="AO134"/>
      <c r="AP134"/>
      <c r="AQ134"/>
    </row>
    <row r="135" spans="1:43" s="36" customFormat="1" hidden="1">
      <c r="A135" s="3417" t="s">
        <v>409</v>
      </c>
      <c r="B135" s="4938" t="s">
        <v>5473</v>
      </c>
      <c r="C135" s="4845" t="s">
        <v>28</v>
      </c>
      <c r="D135" s="4906">
        <v>45303</v>
      </c>
      <c r="E135" s="4907">
        <v>45316</v>
      </c>
      <c r="F135" s="4845" t="s">
        <v>45</v>
      </c>
      <c r="G135" s="4845" t="s">
        <v>302</v>
      </c>
      <c r="H135" s="5298"/>
      <c r="I135" s="4848"/>
      <c r="J135" s="4845" t="s">
        <v>32</v>
      </c>
      <c r="K135" s="4909" t="s">
        <v>310</v>
      </c>
      <c r="L135" s="4845">
        <v>986992</v>
      </c>
      <c r="M135" s="4836">
        <v>45317</v>
      </c>
      <c r="N135" s="4853">
        <v>45316</v>
      </c>
      <c r="O135" s="4853">
        <v>45318</v>
      </c>
      <c r="P135" s="5286" t="s">
        <v>5474</v>
      </c>
      <c r="Q135" s="4920" t="s">
        <v>89</v>
      </c>
      <c r="R135" s="2279" t="s">
        <v>5475</v>
      </c>
      <c r="S135" s="19"/>
      <c r="T135" s="1138"/>
      <c r="U135" s="1138"/>
      <c r="V135" s="1138"/>
      <c r="W135" s="1138">
        <f>表12[[#This Row],[Sales Amount]]-表12[[#This Row],[Cost]]</f>
        <v>0</v>
      </c>
      <c r="X135" s="2343" t="str">
        <f>IFERROR(Table6[[#This Row],[Profit]]/Table6[[#This Row],[Cost]]," ")</f>
        <v xml:space="preserve"> </v>
      </c>
      <c r="Y135" s="1138"/>
      <c r="Z135" s="2253"/>
      <c r="AA135" s="3"/>
      <c r="AB135" s="3"/>
      <c r="AC135" s="3"/>
      <c r="AD135" s="3"/>
      <c r="AE135" s="3"/>
      <c r="AF135" s="3"/>
      <c r="AG135" s="3"/>
      <c r="AH135" s="3"/>
      <c r="AI135" s="3"/>
      <c r="AJ135" s="3"/>
      <c r="AK135" s="3"/>
      <c r="AL135" s="3"/>
      <c r="AM135" s="3"/>
      <c r="AN135" s="3"/>
      <c r="AO135" s="3"/>
      <c r="AP135" s="3"/>
      <c r="AQ135" s="3"/>
    </row>
    <row r="136" spans="1:43" s="36" customFormat="1" hidden="1">
      <c r="A136" s="4607" t="s">
        <v>3343</v>
      </c>
      <c r="B136" s="3" t="s">
        <v>5476</v>
      </c>
      <c r="C136" s="4845" t="s">
        <v>28</v>
      </c>
      <c r="D136" s="4906">
        <v>45304</v>
      </c>
      <c r="E136" s="4907">
        <v>45316</v>
      </c>
      <c r="F136" s="4845" t="s">
        <v>86</v>
      </c>
      <c r="G136" s="4845" t="s">
        <v>46</v>
      </c>
      <c r="H136" s="4836"/>
      <c r="I136" s="4848"/>
      <c r="J136" s="4947" t="s">
        <v>32</v>
      </c>
      <c r="K136" s="4845" t="s">
        <v>310</v>
      </c>
      <c r="L136" s="5299" t="s">
        <v>5477</v>
      </c>
      <c r="M136" s="4853">
        <v>45318</v>
      </c>
      <c r="N136" s="4853">
        <v>45317</v>
      </c>
      <c r="O136" s="4853">
        <v>45320</v>
      </c>
      <c r="P136" s="4838" t="s">
        <v>5478</v>
      </c>
      <c r="Q136" s="4848" t="s">
        <v>50</v>
      </c>
      <c r="R136" s="3" t="s">
        <v>5479</v>
      </c>
      <c r="S136" s="19"/>
      <c r="T136" s="1138"/>
      <c r="U136" s="1138"/>
      <c r="V136" s="1138"/>
      <c r="W136" s="1138">
        <f>表12[[#This Row],[Sales Amount]]-表12[[#This Row],[Cost]]</f>
        <v>0</v>
      </c>
      <c r="X136" s="2275" t="str">
        <f>IFERROR(Table6[[#This Row],[Profit]]/Table6[[#This Row],[Cost]]," ")</f>
        <v xml:space="preserve"> </v>
      </c>
      <c r="Y136" s="1138"/>
      <c r="Z136" s="2253"/>
      <c r="AA136" s="3"/>
      <c r="AB136" s="3"/>
      <c r="AC136" s="3"/>
      <c r="AD136" s="3"/>
      <c r="AE136" s="3"/>
      <c r="AF136" s="3"/>
      <c r="AG136" s="3"/>
      <c r="AH136" s="3"/>
      <c r="AI136" s="3"/>
      <c r="AJ136" s="3"/>
      <c r="AK136" s="3"/>
      <c r="AL136" s="3"/>
      <c r="AM136" s="3"/>
      <c r="AN136" s="3"/>
      <c r="AO136" s="3"/>
      <c r="AP136" s="3"/>
      <c r="AQ136" s="3"/>
    </row>
    <row r="137" spans="1:43" s="36" customFormat="1">
      <c r="A137" s="4641" t="s">
        <v>468</v>
      </c>
      <c r="B137" s="4921" t="s">
        <v>5480</v>
      </c>
      <c r="C137" s="4921" t="s">
        <v>28</v>
      </c>
      <c r="D137" s="5207">
        <v>45308</v>
      </c>
      <c r="E137" s="4945">
        <v>45316</v>
      </c>
      <c r="F137" s="4921" t="s">
        <v>45</v>
      </c>
      <c r="G137" s="4921" t="s">
        <v>302</v>
      </c>
      <c r="H137" s="5300" t="s">
        <v>5481</v>
      </c>
      <c r="I137" s="4921"/>
      <c r="J137" s="4921" t="s">
        <v>32</v>
      </c>
      <c r="K137" s="4921" t="s">
        <v>310</v>
      </c>
      <c r="L137" s="5301" t="s">
        <v>5482</v>
      </c>
      <c r="M137" s="5108">
        <v>45318</v>
      </c>
      <c r="N137" s="5207">
        <v>45318</v>
      </c>
      <c r="O137" s="5207">
        <v>45320</v>
      </c>
      <c r="P137" s="5286" t="s">
        <v>5483</v>
      </c>
      <c r="Q137" s="4921" t="s">
        <v>75</v>
      </c>
      <c r="R137" s="2304" t="s">
        <v>5484</v>
      </c>
      <c r="S137" s="1138"/>
      <c r="T137" s="1138"/>
      <c r="U137" s="1138"/>
      <c r="V137" s="1138"/>
      <c r="W137" s="1138">
        <f>表12[[#This Row],[Sales Amount]]-表12[[#This Row],[Cost]]</f>
        <v>0</v>
      </c>
      <c r="X137" s="2273" t="str">
        <f>IFERROR(Table6[[#This Row],[Profit]]/Table6[[#This Row],[Cost]]," ")</f>
        <v xml:space="preserve"> </v>
      </c>
      <c r="Y137" s="1138"/>
      <c r="Z137" s="2253"/>
      <c r="AA137" s="3"/>
      <c r="AB137" s="3"/>
      <c r="AC137" s="3"/>
      <c r="AD137" s="3"/>
      <c r="AE137" s="3"/>
      <c r="AF137" s="3"/>
      <c r="AG137" s="3"/>
      <c r="AH137" s="3"/>
      <c r="AI137" s="3"/>
      <c r="AJ137" s="3"/>
      <c r="AK137" s="3"/>
      <c r="AL137" s="3"/>
      <c r="AM137" s="3"/>
      <c r="AN137" s="3"/>
      <c r="AO137" s="3"/>
      <c r="AP137" s="3"/>
      <c r="AQ137" s="3"/>
    </row>
    <row r="138" spans="1:43" s="52" customFormat="1" hidden="1">
      <c r="A138" s="7" t="s">
        <v>409</v>
      </c>
      <c r="B138" s="3472" t="s">
        <v>5485</v>
      </c>
      <c r="C138" s="3241" t="s">
        <v>3181</v>
      </c>
      <c r="D138" s="3243">
        <v>45310</v>
      </c>
      <c r="E138" s="3242">
        <v>45318</v>
      </c>
      <c r="F138" s="3241" t="s">
        <v>990</v>
      </c>
      <c r="G138" s="3241" t="s">
        <v>829</v>
      </c>
      <c r="H138" s="3444"/>
      <c r="I138" s="3241"/>
      <c r="J138" s="3241"/>
      <c r="K138" s="3241" t="s">
        <v>5486</v>
      </c>
      <c r="L138" s="3241"/>
      <c r="M138" s="3243"/>
      <c r="N138" s="3243"/>
      <c r="O138" s="3243"/>
      <c r="P138" s="3473" t="s">
        <v>5487</v>
      </c>
      <c r="Q138" s="3241" t="s">
        <v>4963</v>
      </c>
      <c r="R138" s="1730"/>
      <c r="S138" s="85"/>
      <c r="T138" s="705"/>
      <c r="U138" s="705"/>
      <c r="V138" s="705"/>
      <c r="W138" s="705">
        <f>表12[[#This Row],[Sales Amount]]-表12[[#This Row],[Cost]]</f>
        <v>0</v>
      </c>
      <c r="X138" s="2146" t="str">
        <f>IFERROR(Table6[[#This Row],[Profit]]/Table6[[#This Row],[Cost]]," ")</f>
        <v xml:space="preserve"> </v>
      </c>
      <c r="Y138" s="705"/>
      <c r="Z138" s="704"/>
      <c r="AA138"/>
      <c r="AB138"/>
      <c r="AC138"/>
      <c r="AD138"/>
      <c r="AE138"/>
      <c r="AF138"/>
      <c r="AG138"/>
      <c r="AH138"/>
      <c r="AI138"/>
      <c r="AJ138"/>
      <c r="AK138"/>
      <c r="AL138"/>
      <c r="AM138"/>
      <c r="AN138"/>
      <c r="AO138"/>
      <c r="AP138"/>
      <c r="AQ138"/>
    </row>
    <row r="139" spans="1:43" s="36" customFormat="1" hidden="1">
      <c r="A139" s="4319" t="s">
        <v>409</v>
      </c>
      <c r="B139" s="3430" t="s">
        <v>5488</v>
      </c>
      <c r="C139" s="3268" t="s">
        <v>28</v>
      </c>
      <c r="D139" s="3262">
        <v>45310</v>
      </c>
      <c r="E139" s="3365">
        <v>45318</v>
      </c>
      <c r="F139" s="3430" t="s">
        <v>93</v>
      </c>
      <c r="G139" s="3430" t="s">
        <v>46</v>
      </c>
      <c r="H139" s="3290"/>
      <c r="I139" s="3265"/>
      <c r="J139" s="19" t="s">
        <v>168</v>
      </c>
      <c r="K139" s="3419" t="s">
        <v>47</v>
      </c>
      <c r="L139" s="3265" t="s">
        <v>5489</v>
      </c>
      <c r="M139" s="3373">
        <v>45320</v>
      </c>
      <c r="N139" s="3373">
        <v>45320</v>
      </c>
      <c r="O139" s="3373">
        <v>45322</v>
      </c>
      <c r="P139" s="3461" t="s">
        <v>5490</v>
      </c>
      <c r="Q139" s="3419" t="s">
        <v>89</v>
      </c>
      <c r="R139" s="2216" t="s">
        <v>51</v>
      </c>
      <c r="S139" s="31"/>
      <c r="T139" s="712"/>
      <c r="U139" s="712"/>
      <c r="V139" s="712"/>
      <c r="W139" s="712">
        <f>表12[[#This Row],[Sales Amount]]-表12[[#This Row],[Cost]]</f>
        <v>0</v>
      </c>
      <c r="X139" s="2280" t="str">
        <f>IFERROR(Table6[[#This Row],[Profit]]/Table6[[#This Row],[Cost]]," ")</f>
        <v xml:space="preserve"> </v>
      </c>
      <c r="Y139" s="712"/>
      <c r="Z139" s="2210"/>
      <c r="AA139" s="3"/>
      <c r="AB139" s="3"/>
      <c r="AC139" s="3"/>
      <c r="AD139" s="3"/>
      <c r="AE139" s="3"/>
      <c r="AF139" s="3"/>
      <c r="AG139" s="3"/>
      <c r="AH139" s="3"/>
      <c r="AI139" s="3"/>
      <c r="AJ139" s="3"/>
      <c r="AK139" s="3"/>
      <c r="AL139" s="3"/>
      <c r="AM139" s="3"/>
      <c r="AN139" s="3"/>
      <c r="AO139" s="3"/>
      <c r="AP139" s="3"/>
      <c r="AQ139" s="3"/>
    </row>
    <row r="140" spans="1:43" s="36" customFormat="1" hidden="1">
      <c r="A140" s="3417" t="s">
        <v>409</v>
      </c>
      <c r="B140" s="2278" t="s">
        <v>5491</v>
      </c>
      <c r="C140" s="117" t="s">
        <v>44</v>
      </c>
      <c r="D140" s="4906">
        <v>45306</v>
      </c>
      <c r="E140" s="4907">
        <v>45314</v>
      </c>
      <c r="F140" s="117" t="s">
        <v>3639</v>
      </c>
      <c r="G140" s="4845" t="s">
        <v>2206</v>
      </c>
      <c r="H140" s="4836"/>
      <c r="I140" s="4848"/>
      <c r="J140" s="117" t="s">
        <v>168</v>
      </c>
      <c r="K140" s="117" t="s">
        <v>310</v>
      </c>
      <c r="L140" s="5297" t="s">
        <v>5492</v>
      </c>
      <c r="M140" s="4853">
        <v>45316</v>
      </c>
      <c r="N140" s="4853">
        <v>45314</v>
      </c>
      <c r="O140" s="4853">
        <v>45316</v>
      </c>
      <c r="P140" s="745" t="s">
        <v>5493</v>
      </c>
      <c r="Q140" s="25" t="s">
        <v>50</v>
      </c>
      <c r="R140" s="2279" t="s">
        <v>5494</v>
      </c>
      <c r="S140" s="19"/>
      <c r="T140" s="1138"/>
      <c r="U140" s="1138"/>
      <c r="V140" s="1138"/>
      <c r="W140" s="1138">
        <f>表12[[#This Row],[Sales Amount]]-表12[[#This Row],[Cost]]</f>
        <v>0</v>
      </c>
      <c r="X140" s="2275" t="str">
        <f>IFERROR(Table6[[#This Row],[Profit]]/Table6[[#This Row],[Cost]]," ")</f>
        <v xml:space="preserve"> </v>
      </c>
      <c r="Y140" s="1138"/>
      <c r="Z140" s="2253"/>
      <c r="AA140"/>
      <c r="AB140"/>
      <c r="AC140"/>
      <c r="AD140"/>
      <c r="AE140"/>
      <c r="AF140"/>
      <c r="AG140"/>
      <c r="AH140"/>
      <c r="AI140"/>
      <c r="AJ140"/>
      <c r="AK140"/>
      <c r="AL140"/>
      <c r="AM140"/>
      <c r="AN140"/>
      <c r="AO140"/>
      <c r="AP140"/>
      <c r="AQ140"/>
    </row>
    <row r="141" spans="1:43" s="36" customFormat="1" hidden="1">
      <c r="A141" s="3417" t="s">
        <v>409</v>
      </c>
      <c r="B141" s="4845" t="s">
        <v>5495</v>
      </c>
      <c r="C141" s="4845" t="s">
        <v>44</v>
      </c>
      <c r="D141" s="4906">
        <v>45306</v>
      </c>
      <c r="E141" s="4907">
        <v>45314</v>
      </c>
      <c r="F141" s="4845" t="s">
        <v>3639</v>
      </c>
      <c r="G141" s="4845" t="s">
        <v>2206</v>
      </c>
      <c r="H141" s="4836"/>
      <c r="I141" s="4848"/>
      <c r="J141" s="4845" t="s">
        <v>168</v>
      </c>
      <c r="K141" s="4845" t="s">
        <v>310</v>
      </c>
      <c r="L141" s="5297" t="s">
        <v>5496</v>
      </c>
      <c r="M141" s="4853">
        <v>45316</v>
      </c>
      <c r="N141" s="4853">
        <v>45314</v>
      </c>
      <c r="O141" s="4853">
        <v>45316</v>
      </c>
      <c r="P141" s="4838" t="s">
        <v>5497</v>
      </c>
      <c r="Q141" s="4848" t="s">
        <v>50</v>
      </c>
      <c r="R141" s="2277" t="s">
        <v>5498</v>
      </c>
      <c r="S141" s="19"/>
      <c r="T141" s="1138"/>
      <c r="U141" s="1138"/>
      <c r="V141" s="1138"/>
      <c r="W141" s="1138">
        <f>表12[[#This Row],[Sales Amount]]-表12[[#This Row],[Cost]]</f>
        <v>0</v>
      </c>
      <c r="X141" s="2275" t="str">
        <f>IFERROR(Table6[[#This Row],[Profit]]/Table6[[#This Row],[Cost]]," ")</f>
        <v xml:space="preserve"> </v>
      </c>
      <c r="Y141" s="1138"/>
      <c r="Z141" s="2253"/>
      <c r="AA141"/>
      <c r="AB141"/>
      <c r="AC141"/>
      <c r="AD141"/>
      <c r="AE141"/>
      <c r="AF141"/>
      <c r="AG141"/>
      <c r="AH141"/>
      <c r="AI141"/>
      <c r="AJ141"/>
      <c r="AK141"/>
      <c r="AL141"/>
      <c r="AM141"/>
      <c r="AN141"/>
      <c r="AO141"/>
      <c r="AP141"/>
      <c r="AQ141"/>
    </row>
    <row r="142" spans="1:43" s="36" customFormat="1" hidden="1">
      <c r="A142" s="3417" t="s">
        <v>409</v>
      </c>
      <c r="B142" s="4845" t="s">
        <v>5499</v>
      </c>
      <c r="C142" s="4845" t="s">
        <v>44</v>
      </c>
      <c r="D142" s="4906">
        <v>45306</v>
      </c>
      <c r="E142" s="4907">
        <v>45314</v>
      </c>
      <c r="F142" s="4845" t="s">
        <v>3639</v>
      </c>
      <c r="G142" s="4845" t="s">
        <v>2206</v>
      </c>
      <c r="H142" s="4836"/>
      <c r="I142" s="4848"/>
      <c r="J142" s="4845" t="s">
        <v>168</v>
      </c>
      <c r="K142" s="4845" t="s">
        <v>310</v>
      </c>
      <c r="L142" s="5297" t="s">
        <v>5500</v>
      </c>
      <c r="M142" s="4853">
        <v>45316</v>
      </c>
      <c r="N142" s="4853">
        <v>45314</v>
      </c>
      <c r="O142" s="4853">
        <v>45316</v>
      </c>
      <c r="P142" s="4838" t="s">
        <v>5501</v>
      </c>
      <c r="Q142" s="4848" t="s">
        <v>50</v>
      </c>
      <c r="R142" s="2277" t="s">
        <v>5502</v>
      </c>
      <c r="S142" s="19">
        <v>4</v>
      </c>
      <c r="T142" s="1138"/>
      <c r="U142" s="1138"/>
      <c r="V142" s="1138"/>
      <c r="W142" s="1138">
        <f>表12[[#This Row],[Sales Amount]]-表12[[#This Row],[Cost]]</f>
        <v>0</v>
      </c>
      <c r="X142" s="2275" t="str">
        <f>IFERROR(Table6[[#This Row],[Profit]]/Table6[[#This Row],[Cost]]," ")</f>
        <v xml:space="preserve"> </v>
      </c>
      <c r="Y142" s="1138"/>
      <c r="Z142" s="2253"/>
      <c r="AA142"/>
      <c r="AB142"/>
      <c r="AC142"/>
      <c r="AD142"/>
      <c r="AE142"/>
      <c r="AF142"/>
      <c r="AG142"/>
      <c r="AH142"/>
      <c r="AI142"/>
      <c r="AJ142"/>
      <c r="AK142"/>
      <c r="AL142"/>
      <c r="AM142"/>
      <c r="AN142"/>
      <c r="AO142"/>
      <c r="AP142"/>
      <c r="AQ142"/>
    </row>
    <row r="143" spans="1:43" s="36" customFormat="1" ht="120">
      <c r="A143" s="4642" t="s">
        <v>2847</v>
      </c>
      <c r="B143" s="4970" t="s">
        <v>5503</v>
      </c>
      <c r="C143" s="4970" t="s">
        <v>200</v>
      </c>
      <c r="D143" s="5207">
        <v>45304</v>
      </c>
      <c r="E143" s="4907">
        <v>45315</v>
      </c>
      <c r="F143" s="4970" t="s">
        <v>2225</v>
      </c>
      <c r="G143" s="4970" t="s">
        <v>886</v>
      </c>
      <c r="H143" s="5069">
        <v>45317</v>
      </c>
      <c r="I143" s="117" t="s">
        <v>5504</v>
      </c>
      <c r="J143" s="3461" t="s">
        <v>5505</v>
      </c>
      <c r="K143" s="4829" t="s">
        <v>5506</v>
      </c>
      <c r="L143" s="5302" t="s">
        <v>5507</v>
      </c>
      <c r="M143" s="5108">
        <v>45318</v>
      </c>
      <c r="N143" s="5207">
        <v>45316</v>
      </c>
      <c r="O143" s="5207">
        <v>45320</v>
      </c>
      <c r="P143" s="5138" t="s">
        <v>5508</v>
      </c>
      <c r="Q143" s="4921" t="s">
        <v>75</v>
      </c>
      <c r="R143" s="3" t="s">
        <v>5509</v>
      </c>
      <c r="S143" s="1138">
        <v>4</v>
      </c>
      <c r="T143" s="1138">
        <v>2280</v>
      </c>
      <c r="U143" s="2252">
        <v>1770</v>
      </c>
      <c r="V143" s="1138">
        <v>1</v>
      </c>
      <c r="W143" s="1138">
        <f>表12[[#This Row],[Sales Amount]]-表12[[#This Row],[Cost]]</f>
        <v>510</v>
      </c>
      <c r="X143" s="2251">
        <f>表12[[#This Row],[Profit]]/表12[[#This Row],[Cost]]</f>
        <v>0.28813559322033899</v>
      </c>
      <c r="Y143" s="1138"/>
      <c r="Z143" s="2253"/>
      <c r="AA143"/>
      <c r="AB143"/>
      <c r="AC143"/>
      <c r="AD143"/>
      <c r="AE143"/>
      <c r="AF143"/>
      <c r="AG143"/>
      <c r="AH143"/>
      <c r="AI143"/>
      <c r="AJ143"/>
      <c r="AK143"/>
      <c r="AL143"/>
      <c r="AM143"/>
      <c r="AN143"/>
      <c r="AO143"/>
      <c r="AP143"/>
      <c r="AQ143"/>
    </row>
    <row r="144" spans="1:43" s="36" customFormat="1" hidden="1">
      <c r="A144" s="3417" t="s">
        <v>409</v>
      </c>
      <c r="B144" s="4845" t="s">
        <v>5510</v>
      </c>
      <c r="C144" s="4845" t="s">
        <v>5511</v>
      </c>
      <c r="D144" s="4906">
        <v>45310</v>
      </c>
      <c r="E144" s="4907">
        <v>45318</v>
      </c>
      <c r="F144" s="4845" t="s">
        <v>990</v>
      </c>
      <c r="G144" s="4845" t="s">
        <v>46</v>
      </c>
      <c r="H144" s="4836"/>
      <c r="I144" s="4848"/>
      <c r="J144" s="3265" t="s">
        <v>168</v>
      </c>
      <c r="K144" s="4848" t="s">
        <v>310</v>
      </c>
      <c r="L144" s="4848" t="s">
        <v>5512</v>
      </c>
      <c r="M144" s="4853">
        <v>45320</v>
      </c>
      <c r="N144" s="4853">
        <v>45320</v>
      </c>
      <c r="O144" s="4853">
        <v>45321</v>
      </c>
      <c r="P144" s="4838" t="s">
        <v>5513</v>
      </c>
      <c r="Q144" s="4848" t="s">
        <v>50</v>
      </c>
      <c r="R144" s="3" t="s">
        <v>5514</v>
      </c>
      <c r="S144" s="19"/>
      <c r="T144" s="1138"/>
      <c r="U144" s="1138"/>
      <c r="V144" s="1138"/>
      <c r="W144" s="1138">
        <f>表12[[#This Row],[Sales Amount]]-表12[[#This Row],[Cost]]</f>
        <v>0</v>
      </c>
      <c r="X144" s="2275" t="str">
        <f>IFERROR(Table6[[#This Row],[Profit]]/Table6[[#This Row],[Cost]]," ")</f>
        <v xml:space="preserve"> </v>
      </c>
      <c r="Y144" s="1138"/>
      <c r="Z144" s="2253"/>
      <c r="AA144"/>
      <c r="AB144"/>
      <c r="AC144"/>
      <c r="AD144"/>
      <c r="AE144"/>
      <c r="AF144"/>
      <c r="AG144"/>
      <c r="AH144"/>
      <c r="AI144"/>
      <c r="AJ144"/>
      <c r="AK144"/>
      <c r="AL144"/>
      <c r="AM144"/>
      <c r="AN144"/>
      <c r="AO144"/>
      <c r="AP144"/>
      <c r="AQ144"/>
    </row>
    <row r="145" spans="1:43" s="36" customFormat="1" ht="45">
      <c r="A145" s="4641" t="s">
        <v>165</v>
      </c>
      <c r="B145" s="4970" t="s">
        <v>5515</v>
      </c>
      <c r="C145" s="4921" t="s">
        <v>28</v>
      </c>
      <c r="D145" s="5207">
        <v>45312</v>
      </c>
      <c r="E145" s="4907">
        <v>45318</v>
      </c>
      <c r="F145" s="4920" t="s">
        <v>151</v>
      </c>
      <c r="G145" s="2256" t="s">
        <v>302</v>
      </c>
      <c r="H145" s="5108">
        <v>45322</v>
      </c>
      <c r="I145" s="4921" t="s">
        <v>926</v>
      </c>
      <c r="J145" s="4920" t="s">
        <v>32</v>
      </c>
      <c r="K145" s="4920" t="s">
        <v>1179</v>
      </c>
      <c r="L145" s="1057" t="s">
        <v>5516</v>
      </c>
      <c r="M145" s="5210">
        <v>45323</v>
      </c>
      <c r="N145" s="5210">
        <v>45321</v>
      </c>
      <c r="O145" s="5207">
        <v>45322</v>
      </c>
      <c r="P145" s="5286" t="s">
        <v>5517</v>
      </c>
      <c r="Q145" s="36" t="s">
        <v>75</v>
      </c>
      <c r="R145" s="36" t="s">
        <v>5518</v>
      </c>
      <c r="S145" s="1138">
        <v>4</v>
      </c>
      <c r="T145" s="1138">
        <v>1150</v>
      </c>
      <c r="U145" s="1138">
        <v>560</v>
      </c>
      <c r="V145" s="1138">
        <v>1</v>
      </c>
      <c r="W145" s="1138">
        <f>表12[[#This Row],[Sales Amount]]-表12[[#This Row],[Cost]]</f>
        <v>590</v>
      </c>
      <c r="X145" s="2273" t="str">
        <f>IFERROR(Table6[[#This Row],[Profit]]/Table6[[#This Row],[Cost]]," ")</f>
        <v xml:space="preserve"> </v>
      </c>
      <c r="Y145" s="1138"/>
      <c r="Z145" s="2253"/>
      <c r="AA145"/>
      <c r="AB145"/>
      <c r="AC145"/>
      <c r="AD145"/>
      <c r="AE145"/>
      <c r="AF145"/>
      <c r="AG145"/>
      <c r="AH145"/>
      <c r="AI145"/>
      <c r="AJ145"/>
      <c r="AK145"/>
      <c r="AL145"/>
      <c r="AM145"/>
      <c r="AN145"/>
      <c r="AO145"/>
      <c r="AP145"/>
      <c r="AQ145"/>
    </row>
    <row r="146" spans="1:43" s="52" customFormat="1" hidden="1">
      <c r="A146" s="4599" t="s">
        <v>1035</v>
      </c>
      <c r="B146" s="4839" t="s">
        <v>5519</v>
      </c>
      <c r="C146" s="4839" t="s">
        <v>28</v>
      </c>
      <c r="D146" s="4859">
        <v>45303</v>
      </c>
      <c r="E146" s="4860">
        <v>45319</v>
      </c>
      <c r="F146" s="4839" t="s">
        <v>151</v>
      </c>
      <c r="G146" s="4839" t="s">
        <v>46</v>
      </c>
      <c r="H146" s="4859" t="s">
        <v>1038</v>
      </c>
      <c r="I146" s="4839"/>
      <c r="J146" s="4839" t="s">
        <v>32</v>
      </c>
      <c r="K146" s="4894" t="s">
        <v>162</v>
      </c>
      <c r="L146" s="4841" t="s">
        <v>5520</v>
      </c>
      <c r="M146" s="4855">
        <v>45320</v>
      </c>
      <c r="N146" s="4855">
        <v>45320</v>
      </c>
      <c r="O146" s="4859">
        <v>45331</v>
      </c>
      <c r="P146" s="5277" t="s">
        <v>5370</v>
      </c>
      <c r="Q146" s="4839" t="s">
        <v>35</v>
      </c>
      <c r="R146" s="58" t="s">
        <v>36</v>
      </c>
      <c r="S146" s="18" t="s">
        <v>1320</v>
      </c>
      <c r="T146" s="681"/>
      <c r="U146" s="681"/>
      <c r="V146" s="681"/>
      <c r="W146" s="681">
        <f>表12[[#This Row],[Sales Amount]]-表12[[#This Row],[Cost]]</f>
        <v>0</v>
      </c>
      <c r="X146" s="681" t="str">
        <f>IFERROR(Table6[[#This Row],[Profit]]/Table6[[#This Row],[Cost]]," ")</f>
        <v xml:space="preserve"> </v>
      </c>
      <c r="Y146" s="681"/>
      <c r="Z146" s="2138"/>
      <c r="AA146"/>
      <c r="AB146"/>
      <c r="AC146"/>
      <c r="AD146"/>
      <c r="AE146"/>
      <c r="AF146"/>
      <c r="AG146"/>
      <c r="AH146"/>
      <c r="AI146"/>
      <c r="AJ146"/>
      <c r="AK146"/>
      <c r="AL146"/>
      <c r="AM146"/>
      <c r="AN146"/>
      <c r="AO146"/>
      <c r="AP146"/>
      <c r="AQ146"/>
    </row>
    <row r="147" spans="1:43" s="52" customFormat="1" hidden="1">
      <c r="A147" s="4599" t="s">
        <v>1035</v>
      </c>
      <c r="B147" s="4839" t="s">
        <v>5521</v>
      </c>
      <c r="C147" s="4839" t="s">
        <v>28</v>
      </c>
      <c r="D147" s="4859">
        <v>45303</v>
      </c>
      <c r="E147" s="4860">
        <v>45319</v>
      </c>
      <c r="F147" s="4839" t="s">
        <v>151</v>
      </c>
      <c r="G147" s="4839" t="s">
        <v>46</v>
      </c>
      <c r="H147" s="4859" t="s">
        <v>1038</v>
      </c>
      <c r="I147" s="4839"/>
      <c r="J147" s="4839" t="s">
        <v>32</v>
      </c>
      <c r="K147" s="4894" t="s">
        <v>162</v>
      </c>
      <c r="L147" s="915">
        <v>7192097</v>
      </c>
      <c r="M147" s="4855">
        <v>45320</v>
      </c>
      <c r="N147" s="4855">
        <v>45320</v>
      </c>
      <c r="O147" s="4859">
        <v>45332</v>
      </c>
      <c r="P147" s="5277" t="s">
        <v>5370</v>
      </c>
      <c r="Q147" s="4839" t="s">
        <v>35</v>
      </c>
      <c r="R147" s="58" t="s">
        <v>36</v>
      </c>
      <c r="S147" s="18" t="s">
        <v>1320</v>
      </c>
      <c r="T147" s="681"/>
      <c r="U147" s="681"/>
      <c r="V147" s="681"/>
      <c r="W147" s="681">
        <f>表12[[#This Row],[Sales Amount]]-表12[[#This Row],[Cost]]</f>
        <v>0</v>
      </c>
      <c r="X147" s="681" t="str">
        <f>IFERROR(Table6[[#This Row],[Profit]]/Table6[[#This Row],[Cost]]," ")</f>
        <v xml:space="preserve"> </v>
      </c>
      <c r="Y147" s="681"/>
      <c r="Z147" s="2138"/>
      <c r="AA147"/>
      <c r="AB147"/>
      <c r="AC147"/>
      <c r="AD147"/>
      <c r="AE147"/>
      <c r="AF147"/>
      <c r="AG147"/>
      <c r="AH147"/>
      <c r="AI147"/>
      <c r="AJ147"/>
      <c r="AK147"/>
      <c r="AL147"/>
      <c r="AM147"/>
      <c r="AN147"/>
      <c r="AO147"/>
      <c r="AP147"/>
      <c r="AQ147"/>
    </row>
    <row r="148" spans="1:43" s="52" customFormat="1" hidden="1">
      <c r="A148" s="4599" t="s">
        <v>1035</v>
      </c>
      <c r="B148" s="4841" t="s">
        <v>5522</v>
      </c>
      <c r="C148" s="4839" t="s">
        <v>28</v>
      </c>
      <c r="D148" s="4859">
        <v>45303</v>
      </c>
      <c r="E148" s="4860">
        <v>45319</v>
      </c>
      <c r="F148" s="4839" t="s">
        <v>151</v>
      </c>
      <c r="G148" s="4839" t="s">
        <v>46</v>
      </c>
      <c r="H148" s="946" t="s">
        <v>1038</v>
      </c>
      <c r="I148" s="4839"/>
      <c r="J148" s="4839" t="s">
        <v>32</v>
      </c>
      <c r="K148" s="4894" t="s">
        <v>162</v>
      </c>
      <c r="L148" s="915" t="s">
        <v>5523</v>
      </c>
      <c r="M148" s="4855" t="s">
        <v>5524</v>
      </c>
      <c r="N148" s="4859">
        <v>45321</v>
      </c>
      <c r="O148" s="4859" t="s">
        <v>5424</v>
      </c>
      <c r="P148" s="5303" t="s">
        <v>5396</v>
      </c>
      <c r="Q148" s="4839" t="s">
        <v>35</v>
      </c>
      <c r="R148" s="4839" t="s">
        <v>36</v>
      </c>
      <c r="S148" s="18" t="s">
        <v>1320</v>
      </c>
      <c r="T148" s="681"/>
      <c r="U148" s="681"/>
      <c r="V148" s="681"/>
      <c r="W148" s="681">
        <f>表12[[#This Row],[Sales Amount]]-表12[[#This Row],[Cost]]</f>
        <v>0</v>
      </c>
      <c r="X148" s="681" t="str">
        <f>IFERROR(Table6[[#This Row],[Profit]]/Table6[[#This Row],[Cost]]," ")</f>
        <v xml:space="preserve"> </v>
      </c>
      <c r="Y148" s="681"/>
      <c r="Z148" s="2138"/>
      <c r="AA148"/>
      <c r="AB148"/>
      <c r="AC148"/>
      <c r="AD148"/>
      <c r="AE148"/>
      <c r="AF148"/>
      <c r="AG148"/>
      <c r="AH148"/>
      <c r="AI148"/>
      <c r="AJ148"/>
      <c r="AK148"/>
      <c r="AL148"/>
      <c r="AM148"/>
      <c r="AN148"/>
      <c r="AO148"/>
      <c r="AP148"/>
      <c r="AQ148"/>
    </row>
    <row r="149" spans="1:43" s="52" customFormat="1" hidden="1">
      <c r="A149" s="3235" t="s">
        <v>1035</v>
      </c>
      <c r="B149" s="1116" t="s">
        <v>5525</v>
      </c>
      <c r="C149" s="4839" t="s">
        <v>28</v>
      </c>
      <c r="D149" s="4859">
        <v>45303</v>
      </c>
      <c r="E149" s="4867">
        <v>45319</v>
      </c>
      <c r="F149" s="4839" t="s">
        <v>151</v>
      </c>
      <c r="G149" s="4839" t="s">
        <v>46</v>
      </c>
      <c r="H149" s="844" t="s">
        <v>1038</v>
      </c>
      <c r="I149" s="4839"/>
      <c r="J149" s="58" t="s">
        <v>32</v>
      </c>
      <c r="K149" s="3278" t="s">
        <v>162</v>
      </c>
      <c r="L149" s="915" t="s">
        <v>5526</v>
      </c>
      <c r="M149" s="4855">
        <v>45321</v>
      </c>
      <c r="N149" s="4876">
        <v>45321</v>
      </c>
      <c r="O149" s="4859" t="s">
        <v>5527</v>
      </c>
      <c r="P149" s="5118" t="s">
        <v>5449</v>
      </c>
      <c r="Q149" s="4839" t="s">
        <v>35</v>
      </c>
      <c r="R149" s="4839" t="s">
        <v>36</v>
      </c>
      <c r="S149" s="18" t="s">
        <v>1320</v>
      </c>
      <c r="T149" s="681"/>
      <c r="U149" s="681"/>
      <c r="V149" s="681"/>
      <c r="W149" s="681">
        <f>表12[[#This Row],[Sales Amount]]-表12[[#This Row],[Cost]]</f>
        <v>0</v>
      </c>
      <c r="X149" s="681" t="str">
        <f>IFERROR(Table6[[#This Row],[Profit]]/Table6[[#This Row],[Cost]]," ")</f>
        <v xml:space="preserve"> </v>
      </c>
      <c r="Y149" s="681"/>
      <c r="Z149" s="2138"/>
      <c r="AA149"/>
      <c r="AB149"/>
      <c r="AC149"/>
      <c r="AD149"/>
      <c r="AE149"/>
      <c r="AF149"/>
      <c r="AG149"/>
      <c r="AH149"/>
      <c r="AI149"/>
      <c r="AJ149"/>
      <c r="AK149"/>
      <c r="AL149"/>
      <c r="AM149"/>
      <c r="AN149"/>
      <c r="AO149"/>
      <c r="AP149"/>
      <c r="AQ149"/>
    </row>
    <row r="150" spans="1:43" s="36" customFormat="1" hidden="1">
      <c r="A150" s="3417" t="s">
        <v>3343</v>
      </c>
      <c r="B150" s="3417" t="s">
        <v>5528</v>
      </c>
      <c r="C150" s="4845" t="s">
        <v>28</v>
      </c>
      <c r="D150" s="4906">
        <v>45310</v>
      </c>
      <c r="E150" s="4907">
        <v>45319</v>
      </c>
      <c r="F150" s="4845" t="s">
        <v>1017</v>
      </c>
      <c r="G150" s="4845" t="s">
        <v>302</v>
      </c>
      <c r="H150" s="929"/>
      <c r="I150" s="4848"/>
      <c r="J150" s="25" t="s">
        <v>168</v>
      </c>
      <c r="K150" s="3265" t="s">
        <v>310</v>
      </c>
      <c r="L150" s="4921" t="s">
        <v>5529</v>
      </c>
      <c r="M150" s="4853">
        <v>45321</v>
      </c>
      <c r="N150" s="4853">
        <v>45320</v>
      </c>
      <c r="O150" s="4853">
        <v>45322</v>
      </c>
      <c r="P150" s="4838" t="s">
        <v>5530</v>
      </c>
      <c r="Q150" s="4848" t="s">
        <v>50</v>
      </c>
      <c r="R150" s="3" t="s">
        <v>5531</v>
      </c>
      <c r="S150" s="19"/>
      <c r="T150" s="1138"/>
      <c r="U150" s="1138"/>
      <c r="V150" s="1138"/>
      <c r="W150" s="1138">
        <f>表12[[#This Row],[Sales Amount]]-表12[[#This Row],[Cost]]</f>
        <v>0</v>
      </c>
      <c r="X150" s="2275" t="str">
        <f>IFERROR(Table6[[#This Row],[Profit]]/Table6[[#This Row],[Cost]]," ")</f>
        <v xml:space="preserve"> </v>
      </c>
      <c r="Y150" s="1138"/>
      <c r="Z150" s="2253"/>
      <c r="AA150" s="3"/>
      <c r="AB150" s="3"/>
      <c r="AC150" s="3"/>
      <c r="AD150" s="3"/>
      <c r="AE150" s="3"/>
      <c r="AF150" s="3"/>
      <c r="AG150" s="3"/>
      <c r="AH150" s="3"/>
      <c r="AI150" s="3"/>
      <c r="AJ150" s="3"/>
      <c r="AK150" s="3"/>
      <c r="AL150" s="3"/>
      <c r="AM150" s="3"/>
      <c r="AN150" s="3"/>
      <c r="AO150" s="3"/>
      <c r="AP150" s="3"/>
      <c r="AQ150" s="3"/>
    </row>
    <row r="151" spans="1:43" s="36" customFormat="1" hidden="1">
      <c r="A151" s="3417" t="s">
        <v>3343</v>
      </c>
      <c r="B151" s="3474" t="s">
        <v>5532</v>
      </c>
      <c r="C151" s="4845" t="s">
        <v>1508</v>
      </c>
      <c r="D151" s="4906"/>
      <c r="E151" s="4907">
        <v>45317</v>
      </c>
      <c r="F151" s="4845"/>
      <c r="G151" s="4845"/>
      <c r="H151" s="4836"/>
      <c r="I151" s="4848"/>
      <c r="J151" s="4848" t="s">
        <v>738</v>
      </c>
      <c r="K151" s="3265" t="s">
        <v>310</v>
      </c>
      <c r="L151" s="25"/>
      <c r="M151" s="4853"/>
      <c r="N151" s="4853">
        <v>45317</v>
      </c>
      <c r="O151" s="4853" t="s">
        <v>738</v>
      </c>
      <c r="P151" s="4838"/>
      <c r="Q151" s="4848" t="s">
        <v>50</v>
      </c>
      <c r="R151" s="4979" t="s">
        <v>5533</v>
      </c>
      <c r="S151" s="19"/>
      <c r="T151" s="1138"/>
      <c r="U151" s="1138"/>
      <c r="V151" s="1138"/>
      <c r="W151" s="1138">
        <f>表12[[#This Row],[Sales Amount]]-表12[[#This Row],[Cost]]</f>
        <v>0</v>
      </c>
      <c r="X151" s="2273" t="str">
        <f>IFERROR(Table6[[#This Row],[Profit]]/Table6[[#This Row],[Cost]]," ")</f>
        <v xml:space="preserve"> </v>
      </c>
      <c r="Y151" s="1138"/>
      <c r="Z151" s="2253"/>
      <c r="AA151" s="3"/>
      <c r="AB151" s="3"/>
      <c r="AC151" s="3"/>
      <c r="AD151" s="3"/>
      <c r="AE151" s="3"/>
      <c r="AF151" s="3"/>
      <c r="AG151" s="3"/>
      <c r="AH151" s="3"/>
      <c r="AI151" s="3"/>
      <c r="AJ151" s="3"/>
      <c r="AK151" s="3"/>
      <c r="AL151" s="3"/>
      <c r="AM151" s="3"/>
      <c r="AN151" s="3"/>
      <c r="AO151" s="3"/>
      <c r="AP151" s="3"/>
      <c r="AQ151" s="3"/>
    </row>
    <row r="152" spans="1:43" s="36" customFormat="1" hidden="1">
      <c r="A152" s="3417" t="s">
        <v>3343</v>
      </c>
      <c r="B152" s="3417" t="s">
        <v>5534</v>
      </c>
      <c r="C152" s="4845" t="s">
        <v>28</v>
      </c>
      <c r="D152" s="4906">
        <v>45310</v>
      </c>
      <c r="E152" s="4907">
        <v>45319</v>
      </c>
      <c r="F152" s="4845" t="s">
        <v>1017</v>
      </c>
      <c r="G152" s="4845" t="s">
        <v>302</v>
      </c>
      <c r="H152" s="4836"/>
      <c r="I152" s="4848"/>
      <c r="J152" s="4848" t="s">
        <v>168</v>
      </c>
      <c r="K152" s="3265" t="s">
        <v>310</v>
      </c>
      <c r="L152" s="3" t="s">
        <v>5535</v>
      </c>
      <c r="M152" s="4853">
        <v>45321</v>
      </c>
      <c r="N152" s="4853">
        <v>45321</v>
      </c>
      <c r="O152" s="4853">
        <v>45323</v>
      </c>
      <c r="P152" s="4838" t="s">
        <v>5536</v>
      </c>
      <c r="Q152" s="4848" t="s">
        <v>50</v>
      </c>
      <c r="R152" s="2277" t="s">
        <v>5537</v>
      </c>
      <c r="S152" s="19"/>
      <c r="T152" s="1138"/>
      <c r="U152" s="1138"/>
      <c r="V152" s="1138"/>
      <c r="W152" s="1138">
        <f>表12[[#This Row],[Sales Amount]]-表12[[#This Row],[Cost]]</f>
        <v>0</v>
      </c>
      <c r="X152" s="2275" t="str">
        <f>IFERROR(Table6[[#This Row],[Profit]]/Table6[[#This Row],[Cost]]," ")</f>
        <v xml:space="preserve"> </v>
      </c>
      <c r="Y152" s="1138"/>
      <c r="Z152" s="2253"/>
      <c r="AA152" s="3"/>
      <c r="AB152" s="3"/>
      <c r="AC152" s="3"/>
      <c r="AD152" s="3"/>
      <c r="AE152" s="3"/>
      <c r="AF152" s="3"/>
      <c r="AG152" s="3"/>
      <c r="AH152" s="3"/>
      <c r="AI152" s="3"/>
      <c r="AJ152" s="3"/>
      <c r="AK152" s="3"/>
      <c r="AL152" s="3"/>
      <c r="AM152" s="3"/>
      <c r="AN152" s="3"/>
      <c r="AO152" s="3"/>
      <c r="AP152" s="3"/>
      <c r="AQ152" s="3"/>
    </row>
    <row r="153" spans="1:43" s="52" customFormat="1" hidden="1">
      <c r="A153" s="3235" t="s">
        <v>2966</v>
      </c>
      <c r="B153" s="3235" t="s">
        <v>5538</v>
      </c>
      <c r="C153" s="4839" t="s">
        <v>200</v>
      </c>
      <c r="D153" s="4859">
        <v>45309</v>
      </c>
      <c r="E153" s="4867">
        <v>45320</v>
      </c>
      <c r="F153" s="4839" t="s">
        <v>151</v>
      </c>
      <c r="G153" s="4839" t="s">
        <v>46</v>
      </c>
      <c r="H153" s="4957">
        <v>45322</v>
      </c>
      <c r="I153" s="4839"/>
      <c r="J153" s="4839" t="s">
        <v>1353</v>
      </c>
      <c r="K153" s="3278" t="s">
        <v>2968</v>
      </c>
      <c r="L153" s="4841" t="s">
        <v>5539</v>
      </c>
      <c r="M153" s="4855">
        <v>45323</v>
      </c>
      <c r="N153" s="4855">
        <v>45322</v>
      </c>
      <c r="O153" s="4855">
        <v>45323</v>
      </c>
      <c r="P153" s="1350" t="s">
        <v>5540</v>
      </c>
      <c r="Q153" s="4839" t="s">
        <v>35</v>
      </c>
      <c r="R153" s="4839" t="s">
        <v>36</v>
      </c>
      <c r="S153" s="18" t="s">
        <v>2971</v>
      </c>
      <c r="T153" s="705">
        <v>3730</v>
      </c>
      <c r="U153" s="681">
        <v>2784</v>
      </c>
      <c r="V153" s="681">
        <v>3</v>
      </c>
      <c r="W153" s="681">
        <f>表12[[#This Row],[Sales Amount]]-表12[[#This Row],[Cost]]</f>
        <v>946</v>
      </c>
      <c r="X153" s="2145" t="str">
        <f>IFERROR(Table6[[#This Row],[Profit]]/Table6[[#This Row],[Cost]]," ")</f>
        <v xml:space="preserve"> </v>
      </c>
      <c r="Y153" s="681"/>
      <c r="Z153" s="2138"/>
      <c r="AA153"/>
      <c r="AB153"/>
      <c r="AC153"/>
      <c r="AD153"/>
      <c r="AE153"/>
      <c r="AF153"/>
      <c r="AG153"/>
      <c r="AH153"/>
      <c r="AI153"/>
      <c r="AJ153"/>
      <c r="AK153"/>
      <c r="AL153"/>
      <c r="AM153"/>
      <c r="AN153"/>
      <c r="AO153"/>
      <c r="AP153"/>
      <c r="AQ153"/>
    </row>
    <row r="154" spans="1:43" s="52" customFormat="1" hidden="1">
      <c r="A154" s="3235" t="s">
        <v>1035</v>
      </c>
      <c r="B154" s="58" t="s">
        <v>5541</v>
      </c>
      <c r="C154" s="4839" t="s">
        <v>451</v>
      </c>
      <c r="D154" s="4957">
        <v>45310</v>
      </c>
      <c r="E154" s="5071">
        <v>45320</v>
      </c>
      <c r="F154" s="4839" t="s">
        <v>151</v>
      </c>
      <c r="G154" s="4839" t="s">
        <v>46</v>
      </c>
      <c r="H154" s="4833" t="s">
        <v>1038</v>
      </c>
      <c r="I154" s="4839"/>
      <c r="J154" s="4839" t="s">
        <v>32</v>
      </c>
      <c r="K154" s="3278" t="s">
        <v>162</v>
      </c>
      <c r="L154" s="4841" t="s">
        <v>5542</v>
      </c>
      <c r="M154" s="4855">
        <v>45323</v>
      </c>
      <c r="N154" s="4855">
        <v>45322</v>
      </c>
      <c r="O154" s="4859">
        <v>45322</v>
      </c>
      <c r="P154" s="5118" t="s">
        <v>5543</v>
      </c>
      <c r="Q154" s="4839" t="s">
        <v>35</v>
      </c>
      <c r="R154" s="1432" t="s">
        <v>36</v>
      </c>
      <c r="S154" s="18" t="s">
        <v>1320</v>
      </c>
      <c r="T154" s="681"/>
      <c r="U154" s="681"/>
      <c r="V154" s="681"/>
      <c r="W154" s="681">
        <f>表12[[#This Row],[Sales Amount]]-表12[[#This Row],[Cost]]</f>
        <v>0</v>
      </c>
      <c r="X154" s="2145" t="str">
        <f>IFERROR(Table6[[#This Row],[Profit]]/Table6[[#This Row],[Cost]]," ")</f>
        <v xml:space="preserve"> </v>
      </c>
      <c r="Y154" s="681"/>
      <c r="Z154" s="2138"/>
      <c r="AA154"/>
      <c r="AB154"/>
      <c r="AC154"/>
      <c r="AD154"/>
      <c r="AE154"/>
      <c r="AF154"/>
      <c r="AG154"/>
      <c r="AH154"/>
      <c r="AI154"/>
      <c r="AJ154"/>
      <c r="AK154"/>
      <c r="AL154"/>
      <c r="AM154"/>
      <c r="AN154"/>
      <c r="AO154"/>
      <c r="AP154"/>
      <c r="AQ154"/>
    </row>
    <row r="155" spans="1:43" s="117" customFormat="1" ht="60">
      <c r="A155" s="3417" t="s">
        <v>409</v>
      </c>
      <c r="B155" s="4938" t="s">
        <v>5544</v>
      </c>
      <c r="C155" s="4845" t="s">
        <v>44</v>
      </c>
      <c r="D155" s="4906">
        <v>45319</v>
      </c>
      <c r="E155" s="4907">
        <v>45319</v>
      </c>
      <c r="F155" s="4845" t="s">
        <v>45</v>
      </c>
      <c r="G155" s="4947" t="s">
        <v>5076</v>
      </c>
      <c r="H155" s="5069">
        <v>45327</v>
      </c>
      <c r="I155" s="4947" t="s">
        <v>926</v>
      </c>
      <c r="J155" s="694" t="s">
        <v>510</v>
      </c>
      <c r="K155" s="3273" t="s">
        <v>5545</v>
      </c>
      <c r="L155" s="5069"/>
      <c r="M155" s="5282">
        <v>45327</v>
      </c>
      <c r="N155" s="4906">
        <v>45324</v>
      </c>
      <c r="O155" s="4906">
        <v>45328</v>
      </c>
      <c r="P155" s="5304" t="s">
        <v>5546</v>
      </c>
      <c r="Q155" s="4845" t="s">
        <v>75</v>
      </c>
      <c r="R155" s="2140" t="s">
        <v>5547</v>
      </c>
      <c r="S155" s="120"/>
      <c r="T155" s="120">
        <v>1657.5</v>
      </c>
      <c r="U155" s="120">
        <v>1384.1</v>
      </c>
      <c r="V155" s="120">
        <v>1</v>
      </c>
      <c r="W155" s="120">
        <f>表12[[#This Row],[Sales Amount]]-表12[[#This Row],[Cost]]</f>
        <v>273.40000000000009</v>
      </c>
      <c r="X155" s="1041">
        <f>表12[[#This Row],[Profit]]/表12[[#This Row],[Cost]]</f>
        <v>0.19752908026876678</v>
      </c>
      <c r="Y155" s="120"/>
      <c r="Z155" s="1209"/>
      <c r="AA155" s="3"/>
      <c r="AB155" s="3"/>
      <c r="AC155" s="3"/>
      <c r="AD155" s="3"/>
      <c r="AE155" s="3"/>
      <c r="AF155" s="3"/>
      <c r="AG155" s="3"/>
      <c r="AH155" s="3"/>
      <c r="AI155" s="3"/>
      <c r="AJ155" s="3"/>
      <c r="AK155" s="3"/>
      <c r="AL155" s="3"/>
      <c r="AM155" s="3"/>
      <c r="AN155" s="3"/>
      <c r="AO155" s="3"/>
      <c r="AP155" s="3"/>
      <c r="AQ155" s="3"/>
    </row>
    <row r="156" spans="1:43" s="117" customFormat="1" ht="75">
      <c r="A156" s="3417" t="s">
        <v>409</v>
      </c>
      <c r="B156" s="4938" t="s">
        <v>5548</v>
      </c>
      <c r="C156" s="4845" t="s">
        <v>44</v>
      </c>
      <c r="D156" s="4906">
        <v>45319</v>
      </c>
      <c r="E156" s="4907">
        <v>45319</v>
      </c>
      <c r="F156" s="4845" t="s">
        <v>45</v>
      </c>
      <c r="G156" s="4909" t="s">
        <v>5076</v>
      </c>
      <c r="H156" s="4931">
        <v>45351</v>
      </c>
      <c r="I156" s="5305" t="s">
        <v>618</v>
      </c>
      <c r="J156" s="4909" t="s">
        <v>510</v>
      </c>
      <c r="K156" s="4964" t="s">
        <v>5545</v>
      </c>
      <c r="L156" s="5133" t="s">
        <v>2738</v>
      </c>
      <c r="M156" s="5282" t="s">
        <v>5549</v>
      </c>
      <c r="N156" s="4988" t="s">
        <v>5550</v>
      </c>
      <c r="O156" s="4906">
        <v>45352</v>
      </c>
      <c r="P156" s="5304" t="s">
        <v>5551</v>
      </c>
      <c r="Q156" s="117" t="s">
        <v>75</v>
      </c>
      <c r="R156" s="2284" t="s">
        <v>5552</v>
      </c>
      <c r="S156" s="120"/>
      <c r="T156" s="120">
        <v>1945</v>
      </c>
      <c r="U156" s="120">
        <v>1509.1</v>
      </c>
      <c r="V156" s="120">
        <v>1</v>
      </c>
      <c r="W156" s="120">
        <f>表12[[#This Row],[Sales Amount]]-表12[[#This Row],[Cost]]</f>
        <v>435.90000000000009</v>
      </c>
      <c r="X156" s="1041">
        <f>IFERROR(Table6[[#This Row],[Profit]]/Table6[[#This Row],[Cost]]," ")</f>
        <v>0.27200971463266543</v>
      </c>
      <c r="Y156" s="120"/>
      <c r="Z156" s="1209"/>
      <c r="AA156" s="3"/>
      <c r="AB156" s="3"/>
      <c r="AC156" s="3"/>
      <c r="AD156" s="3"/>
      <c r="AE156" s="3"/>
      <c r="AF156" s="3"/>
      <c r="AG156" s="3"/>
      <c r="AH156" s="3"/>
      <c r="AI156" s="3"/>
      <c r="AJ156" s="3"/>
      <c r="AK156" s="3"/>
      <c r="AL156" s="3"/>
      <c r="AM156" s="3"/>
      <c r="AN156" s="3"/>
      <c r="AO156" s="3"/>
      <c r="AP156" s="3"/>
      <c r="AQ156" s="3"/>
    </row>
    <row r="157" spans="1:43" s="117" customFormat="1" ht="75">
      <c r="A157" s="3417" t="s">
        <v>409</v>
      </c>
      <c r="B157" s="4938" t="s">
        <v>5553</v>
      </c>
      <c r="C157" s="4845" t="s">
        <v>44</v>
      </c>
      <c r="D157" s="4906">
        <v>45319</v>
      </c>
      <c r="E157" s="4907">
        <v>45319</v>
      </c>
      <c r="F157" s="4845" t="s">
        <v>45</v>
      </c>
      <c r="G157" s="4947" t="s">
        <v>5076</v>
      </c>
      <c r="H157" s="5069">
        <v>45327</v>
      </c>
      <c r="I157" s="4947" t="s">
        <v>926</v>
      </c>
      <c r="J157" s="4947" t="s">
        <v>510</v>
      </c>
      <c r="K157" s="4947" t="s">
        <v>5545</v>
      </c>
      <c r="L157" s="5282" t="s">
        <v>162</v>
      </c>
      <c r="M157" s="5282">
        <v>45327</v>
      </c>
      <c r="N157" s="4906">
        <v>45324</v>
      </c>
      <c r="O157" s="4906">
        <v>45328</v>
      </c>
      <c r="P157" s="5306" t="s">
        <v>5554</v>
      </c>
      <c r="Q157" s="117" t="s">
        <v>75</v>
      </c>
      <c r="R157" s="2284" t="s">
        <v>5555</v>
      </c>
      <c r="S157" s="120"/>
      <c r="T157" s="120">
        <v>1526.25</v>
      </c>
      <c r="U157" s="120">
        <v>1459.1</v>
      </c>
      <c r="V157" s="120">
        <v>1</v>
      </c>
      <c r="W157" s="120">
        <f>表12[[#This Row],[Sales Amount]]-表12[[#This Row],[Cost]]</f>
        <v>67.150000000000091</v>
      </c>
      <c r="X157" s="1041">
        <f>IFERROR(Table6[[#This Row],[Profit]]/Table6[[#This Row],[Cost]]," ")</f>
        <v>0.26990144048521608</v>
      </c>
      <c r="Y157" s="120"/>
      <c r="Z157" s="1209"/>
      <c r="AA157" s="3"/>
      <c r="AB157" s="3"/>
      <c r="AC157" s="3"/>
      <c r="AD157" s="3"/>
      <c r="AE157" s="3"/>
      <c r="AF157" s="3"/>
      <c r="AG157" s="3"/>
      <c r="AH157" s="3"/>
      <c r="AI157" s="3"/>
      <c r="AJ157" s="3"/>
      <c r="AK157" s="3"/>
      <c r="AL157" s="3"/>
      <c r="AM157" s="3"/>
      <c r="AN157" s="3"/>
      <c r="AO157" s="3"/>
      <c r="AP157" s="3"/>
      <c r="AQ157" s="3"/>
    </row>
    <row r="158" spans="1:43" s="117" customFormat="1" ht="45">
      <c r="A158" s="4607" t="s">
        <v>2847</v>
      </c>
      <c r="B158" s="3430" t="s">
        <v>5556</v>
      </c>
      <c r="C158" s="4845" t="s">
        <v>28</v>
      </c>
      <c r="D158" s="4906">
        <v>45322</v>
      </c>
      <c r="E158" s="4907">
        <v>45338</v>
      </c>
      <c r="F158" s="4845" t="s">
        <v>93</v>
      </c>
      <c r="G158" s="4938" t="s">
        <v>5557</v>
      </c>
      <c r="H158" s="3427">
        <v>45341</v>
      </c>
      <c r="I158" s="3430" t="s">
        <v>108</v>
      </c>
      <c r="J158" s="4845" t="s">
        <v>322</v>
      </c>
      <c r="K158" s="1617" t="s">
        <v>2652</v>
      </c>
      <c r="L158" s="3268">
        <v>1618678</v>
      </c>
      <c r="M158" s="4906">
        <v>45340</v>
      </c>
      <c r="N158" s="4906">
        <v>45339</v>
      </c>
      <c r="O158" s="3262">
        <v>45342</v>
      </c>
      <c r="P158" s="5304" t="s">
        <v>5558</v>
      </c>
      <c r="Q158" s="3268" t="s">
        <v>75</v>
      </c>
      <c r="R158" s="2127" t="s">
        <v>5559</v>
      </c>
      <c r="S158" s="660"/>
      <c r="T158" s="660">
        <v>1300</v>
      </c>
      <c r="U158" s="715">
        <v>934.5</v>
      </c>
      <c r="V158" s="660">
        <v>1</v>
      </c>
      <c r="W158" s="660">
        <f>表12[[#This Row],[Sales Amount]]-表12[[#This Row],[Cost]]</f>
        <v>365.5</v>
      </c>
      <c r="X158" s="885">
        <f>IFERROR(Table6[[#This Row],[Profit]]/Table6[[#This Row],[Cost]]," ")</f>
        <v>0.52116402116402116</v>
      </c>
      <c r="Y158" s="660"/>
      <c r="Z158" s="113"/>
      <c r="AA158" s="3"/>
      <c r="AB158" s="3"/>
      <c r="AC158" s="3"/>
      <c r="AD158" s="3"/>
      <c r="AE158" s="3"/>
      <c r="AF158" s="3"/>
      <c r="AG158" s="3"/>
      <c r="AH158" s="3"/>
      <c r="AI158" s="3"/>
      <c r="AJ158" s="3"/>
      <c r="AK158" s="3"/>
      <c r="AL158" s="3"/>
      <c r="AM158" s="3"/>
      <c r="AN158" s="3"/>
      <c r="AO158" s="3"/>
      <c r="AP158" s="3"/>
      <c r="AQ158" s="3"/>
    </row>
    <row r="159" spans="1:43" s="52" customFormat="1" hidden="1">
      <c r="A159" s="3235" t="s">
        <v>2396</v>
      </c>
      <c r="B159" s="2263" t="s">
        <v>5560</v>
      </c>
      <c r="C159" s="4839" t="s">
        <v>44</v>
      </c>
      <c r="D159" s="3280">
        <v>45318</v>
      </c>
      <c r="E159" s="3346">
        <v>45318</v>
      </c>
      <c r="F159" s="3275" t="s">
        <v>260</v>
      </c>
      <c r="G159" s="58" t="s">
        <v>2983</v>
      </c>
      <c r="H159" s="3304">
        <v>45328</v>
      </c>
      <c r="I159" s="3357" t="s">
        <v>104</v>
      </c>
      <c r="J159" s="4839" t="s">
        <v>5399</v>
      </c>
      <c r="K159" s="4839" t="s">
        <v>5227</v>
      </c>
      <c r="L159" s="3370" t="s">
        <v>542</v>
      </c>
      <c r="M159" s="3396" t="s">
        <v>5561</v>
      </c>
      <c r="N159" s="3280">
        <v>45327</v>
      </c>
      <c r="O159" s="3280">
        <v>45329</v>
      </c>
      <c r="P159" s="3475" t="s">
        <v>5562</v>
      </c>
      <c r="Q159" s="4839" t="s">
        <v>35</v>
      </c>
      <c r="R159" s="2093" t="s">
        <v>36</v>
      </c>
      <c r="S159" s="710" t="s">
        <v>37</v>
      </c>
      <c r="T159" s="705">
        <v>1290</v>
      </c>
      <c r="U159" s="705">
        <v>813</v>
      </c>
      <c r="V159" s="705"/>
      <c r="W159" s="705">
        <f>表12[[#This Row],[Sales Amount]]-表12[[#This Row],[Cost]]</f>
        <v>477</v>
      </c>
      <c r="X159" s="705">
        <f>IFERROR(Table6[[#This Row],[Profit]]/Table6[[#This Row],[Cost]]," ")</f>
        <v>0.25661375661375663</v>
      </c>
      <c r="Y159" s="705"/>
      <c r="Z159" s="704"/>
      <c r="AA159"/>
      <c r="AB159"/>
      <c r="AC159"/>
      <c r="AD159"/>
      <c r="AE159"/>
      <c r="AF159"/>
      <c r="AG159"/>
      <c r="AH159"/>
      <c r="AI159"/>
      <c r="AJ159"/>
      <c r="AK159"/>
      <c r="AL159"/>
      <c r="AM159"/>
      <c r="AN159"/>
      <c r="AO159"/>
      <c r="AP159"/>
      <c r="AQ159"/>
    </row>
    <row r="160" spans="1:43" s="52" customFormat="1" hidden="1">
      <c r="A160" s="7" t="s">
        <v>409</v>
      </c>
      <c r="B160" s="3441" t="s">
        <v>5563</v>
      </c>
      <c r="C160" s="3441" t="s">
        <v>28</v>
      </c>
      <c r="D160" s="3243">
        <v>45307</v>
      </c>
      <c r="E160" s="3243">
        <v>45318</v>
      </c>
      <c r="F160" s="3441" t="s">
        <v>45</v>
      </c>
      <c r="G160" s="3443" t="s">
        <v>801</v>
      </c>
      <c r="H160" s="3442" t="s">
        <v>4961</v>
      </c>
      <c r="I160" s="3295"/>
      <c r="J160" s="5288" t="s">
        <v>32</v>
      </c>
      <c r="K160" s="3443" t="s">
        <v>407</v>
      </c>
      <c r="L160" s="3241"/>
      <c r="M160" s="3444"/>
      <c r="N160" s="3243"/>
      <c r="O160" s="3243">
        <v>45322</v>
      </c>
      <c r="P160" s="3447" t="s">
        <v>5564</v>
      </c>
      <c r="Q160" s="3445" t="s">
        <v>5175</v>
      </c>
      <c r="R160" s="1730"/>
      <c r="S160" s="85"/>
      <c r="T160" s="705"/>
      <c r="U160" s="705"/>
      <c r="V160" s="705"/>
      <c r="W160" s="705">
        <f>表12[[#This Row],[Sales Amount]]-表12[[#This Row],[Cost]]</f>
        <v>0</v>
      </c>
      <c r="X160" s="2147">
        <f>IFERROR(Table6[[#This Row],[Profit]]/Table6[[#This Row],[Cost]]," ")</f>
        <v>0.35388739946380698</v>
      </c>
      <c r="Y160" s="705"/>
      <c r="Z160" s="704"/>
      <c r="AA160"/>
      <c r="AB160"/>
      <c r="AC160"/>
      <c r="AD160"/>
      <c r="AE160"/>
      <c r="AF160"/>
      <c r="AG160"/>
      <c r="AH160"/>
      <c r="AI160"/>
      <c r="AJ160"/>
      <c r="AK160"/>
      <c r="AL160"/>
      <c r="AM160"/>
      <c r="AN160"/>
      <c r="AO160"/>
      <c r="AP160"/>
      <c r="AQ160"/>
    </row>
    <row r="161" spans="1:43" s="52" customFormat="1" hidden="1">
      <c r="A161" s="3235" t="s">
        <v>122</v>
      </c>
      <c r="B161" s="58" t="s">
        <v>5565</v>
      </c>
      <c r="C161" s="3275" t="s">
        <v>44</v>
      </c>
      <c r="D161" s="3280">
        <v>45318</v>
      </c>
      <c r="E161" s="3280">
        <v>45318</v>
      </c>
      <c r="F161" s="3439" t="s">
        <v>45</v>
      </c>
      <c r="G161" s="3275" t="s">
        <v>3714</v>
      </c>
      <c r="H161" s="3301">
        <v>45323</v>
      </c>
      <c r="I161" s="3476">
        <v>0.58333333333333337</v>
      </c>
      <c r="J161" s="58" t="s">
        <v>859</v>
      </c>
      <c r="K161" s="3275" t="s">
        <v>3860</v>
      </c>
      <c r="L161" s="3275"/>
      <c r="M161" s="3280">
        <v>45323</v>
      </c>
      <c r="N161" s="3280">
        <v>45322</v>
      </c>
      <c r="O161" s="3280">
        <v>45323</v>
      </c>
      <c r="P161" s="3439" t="s">
        <v>5566</v>
      </c>
      <c r="Q161" s="3439" t="s">
        <v>128</v>
      </c>
      <c r="R161" s="2093" t="s">
        <v>36</v>
      </c>
      <c r="S161" s="710"/>
      <c r="T161" s="1372">
        <v>1909.89</v>
      </c>
      <c r="U161" s="1372">
        <f>1173.75+90+91</f>
        <v>1354.75</v>
      </c>
      <c r="V161" s="1372"/>
      <c r="W161" s="1372">
        <f>表12[[#This Row],[Sales Amount]]-表12[[#This Row],[Cost]]</f>
        <v>555.1400000000001</v>
      </c>
      <c r="X161" s="2268">
        <f>IFERROR(Table6[[#This Row],[Profit]]/Table6[[#This Row],[Cost]]," ")</f>
        <v>0.44148936170212766</v>
      </c>
      <c r="Y161" s="1372"/>
      <c r="Z161" s="2261"/>
      <c r="AA161"/>
      <c r="AB161"/>
      <c r="AC161"/>
      <c r="AD161"/>
      <c r="AE161"/>
      <c r="AF161"/>
      <c r="AG161"/>
      <c r="AH161"/>
      <c r="AI161"/>
      <c r="AJ161"/>
      <c r="AK161"/>
      <c r="AL161"/>
      <c r="AM161"/>
      <c r="AN161"/>
      <c r="AO161"/>
      <c r="AP161"/>
      <c r="AQ161"/>
    </row>
    <row r="162" spans="1:43" s="36" customFormat="1" ht="17.25" hidden="1">
      <c r="A162" s="3417" t="s">
        <v>4793</v>
      </c>
      <c r="B162" s="3430" t="s">
        <v>5567</v>
      </c>
      <c r="C162" s="3268" t="s">
        <v>28</v>
      </c>
      <c r="D162" s="3262">
        <v>45310</v>
      </c>
      <c r="E162" s="3365">
        <v>45320</v>
      </c>
      <c r="F162" s="3268" t="s">
        <v>45</v>
      </c>
      <c r="G162" s="3268" t="s">
        <v>302</v>
      </c>
      <c r="H162" s="3290"/>
      <c r="I162" s="3265"/>
      <c r="J162" s="25" t="s">
        <v>168</v>
      </c>
      <c r="K162" s="3265" t="s">
        <v>310</v>
      </c>
      <c r="L162" s="3477" t="s">
        <v>5568</v>
      </c>
      <c r="M162" s="3373">
        <v>45322</v>
      </c>
      <c r="N162" s="3373">
        <v>45321</v>
      </c>
      <c r="O162" s="3373">
        <v>45323</v>
      </c>
      <c r="P162" s="3317" t="s">
        <v>5569</v>
      </c>
      <c r="Q162" s="3265" t="s">
        <v>50</v>
      </c>
      <c r="R162" s="2216" t="s">
        <v>5570</v>
      </c>
      <c r="S162" s="31"/>
      <c r="T162" s="712"/>
      <c r="U162" s="712"/>
      <c r="V162" s="712"/>
      <c r="W162" s="712">
        <f>表12[[#This Row],[Sales Amount]]-表12[[#This Row],[Cost]]</f>
        <v>0</v>
      </c>
      <c r="X162" s="2280">
        <f>IFERROR(Table6[[#This Row],[Profit]]/Table6[[#This Row],[Cost]]," ")</f>
        <v>0.34848484848484851</v>
      </c>
      <c r="Y162" s="712"/>
      <c r="Z162" s="2210"/>
      <c r="AA162" s="3"/>
      <c r="AB162" s="3"/>
      <c r="AC162" s="3"/>
      <c r="AD162" s="3"/>
      <c r="AE162" s="3"/>
      <c r="AF162" s="3"/>
      <c r="AG162" s="3"/>
      <c r="AH162" s="3"/>
      <c r="AI162" s="3"/>
      <c r="AJ162" s="3"/>
      <c r="AK162" s="3"/>
      <c r="AL162" s="3"/>
      <c r="AM162" s="3"/>
      <c r="AN162" s="3"/>
      <c r="AO162" s="3"/>
      <c r="AP162" s="3"/>
      <c r="AQ162" s="3"/>
    </row>
    <row r="163" spans="1:43" s="36" customFormat="1" hidden="1">
      <c r="A163" s="3417" t="s">
        <v>409</v>
      </c>
      <c r="B163" s="3268" t="s">
        <v>5571</v>
      </c>
      <c r="C163" s="3268" t="s">
        <v>28</v>
      </c>
      <c r="D163" s="3262">
        <v>45310</v>
      </c>
      <c r="E163" s="3365">
        <v>45320</v>
      </c>
      <c r="F163" s="3268" t="s">
        <v>1017</v>
      </c>
      <c r="G163" s="3268" t="s">
        <v>302</v>
      </c>
      <c r="H163" s="3290"/>
      <c r="I163" s="3265"/>
      <c r="J163" s="25" t="s">
        <v>168</v>
      </c>
      <c r="K163" s="3265" t="s">
        <v>310</v>
      </c>
      <c r="L163" s="3265" t="s">
        <v>5572</v>
      </c>
      <c r="M163" s="3373">
        <v>45322</v>
      </c>
      <c r="N163" s="3373">
        <v>45322</v>
      </c>
      <c r="O163" s="3373">
        <v>45325</v>
      </c>
      <c r="P163" s="3317" t="s">
        <v>5573</v>
      </c>
      <c r="Q163" s="3265" t="s">
        <v>50</v>
      </c>
      <c r="R163" s="2216" t="s">
        <v>5574</v>
      </c>
      <c r="S163" s="31">
        <v>4</v>
      </c>
      <c r="T163" s="712"/>
      <c r="U163" s="712"/>
      <c r="V163" s="712"/>
      <c r="W163" s="712">
        <f>表12[[#This Row],[Sales Amount]]-表12[[#This Row],[Cost]]</f>
        <v>0</v>
      </c>
      <c r="X163" s="2280">
        <f>IFERROR(Table6[[#This Row],[Profit]]/Table6[[#This Row],[Cost]]," ")</f>
        <v>0.35483870967741937</v>
      </c>
      <c r="Y163" s="712"/>
      <c r="Z163" s="2210"/>
      <c r="AA163"/>
      <c r="AB163"/>
      <c r="AC163"/>
      <c r="AD163"/>
      <c r="AE163"/>
      <c r="AF163"/>
      <c r="AG163"/>
      <c r="AH163"/>
      <c r="AI163"/>
      <c r="AJ163"/>
      <c r="AK163"/>
      <c r="AL163"/>
      <c r="AM163"/>
      <c r="AN163"/>
      <c r="AO163"/>
      <c r="AP163"/>
      <c r="AQ163"/>
    </row>
    <row r="164" spans="1:43" s="52" customFormat="1" hidden="1">
      <c r="A164" s="3235" t="s">
        <v>1035</v>
      </c>
      <c r="B164" s="3357" t="s">
        <v>5575</v>
      </c>
      <c r="C164" s="3275" t="s">
        <v>28</v>
      </c>
      <c r="D164" s="3280">
        <v>45303</v>
      </c>
      <c r="E164" s="3346">
        <v>45321</v>
      </c>
      <c r="F164" s="3275" t="s">
        <v>151</v>
      </c>
      <c r="G164" s="3275" t="s">
        <v>46</v>
      </c>
      <c r="H164" s="3280" t="s">
        <v>1038</v>
      </c>
      <c r="I164" s="3275"/>
      <c r="J164" s="3275" t="s">
        <v>32</v>
      </c>
      <c r="K164" s="3278" t="s">
        <v>162</v>
      </c>
      <c r="L164" s="3357" t="s">
        <v>5576</v>
      </c>
      <c r="M164" s="3396">
        <v>45323</v>
      </c>
      <c r="N164" s="3396">
        <v>45323</v>
      </c>
      <c r="O164" s="3280">
        <v>45332</v>
      </c>
      <c r="P164" s="3439" t="s">
        <v>5370</v>
      </c>
      <c r="Q164" s="3275" t="s">
        <v>35</v>
      </c>
      <c r="R164" s="2093" t="s">
        <v>36</v>
      </c>
      <c r="S164" s="710" t="s">
        <v>1320</v>
      </c>
      <c r="T164" s="705"/>
      <c r="U164" s="705"/>
      <c r="V164" s="705"/>
      <c r="W164" s="705">
        <f>表12[[#This Row],[Sales Amount]]-表12[[#This Row],[Cost]]</f>
        <v>0</v>
      </c>
      <c r="X164" s="705">
        <f>IFERROR(Table6[[#This Row],[Profit]]/Table6[[#This Row],[Cost]]," ")</f>
        <v>0.37892376681614348</v>
      </c>
      <c r="Y164" s="705"/>
      <c r="Z164" s="704"/>
      <c r="AA164"/>
      <c r="AB164"/>
      <c r="AC164"/>
      <c r="AD164"/>
      <c r="AE164"/>
      <c r="AF164"/>
      <c r="AG164"/>
      <c r="AH164"/>
      <c r="AI164"/>
      <c r="AJ164"/>
      <c r="AK164"/>
      <c r="AL164"/>
      <c r="AM164"/>
      <c r="AN164"/>
      <c r="AO164"/>
      <c r="AP164"/>
      <c r="AQ164"/>
    </row>
    <row r="165" spans="1:43" s="52" customFormat="1" hidden="1">
      <c r="A165" s="3235" t="s">
        <v>1035</v>
      </c>
      <c r="B165" s="3357" t="s">
        <v>5577</v>
      </c>
      <c r="C165" s="3275" t="s">
        <v>28</v>
      </c>
      <c r="D165" s="3280">
        <v>45303</v>
      </c>
      <c r="E165" s="3433">
        <v>45321</v>
      </c>
      <c r="F165" s="3275" t="s">
        <v>151</v>
      </c>
      <c r="G165" s="3275" t="s">
        <v>46</v>
      </c>
      <c r="H165" s="3301" t="s">
        <v>1038</v>
      </c>
      <c r="I165" s="3275"/>
      <c r="J165" s="4839" t="s">
        <v>32</v>
      </c>
      <c r="K165" s="3278" t="s">
        <v>162</v>
      </c>
      <c r="L165" s="915" t="s">
        <v>5578</v>
      </c>
      <c r="M165" s="3396">
        <v>45324</v>
      </c>
      <c r="N165" s="3396">
        <v>45324</v>
      </c>
      <c r="O165" s="3280">
        <v>45331</v>
      </c>
      <c r="P165" s="3415" t="s">
        <v>5396</v>
      </c>
      <c r="Q165" s="4839" t="s">
        <v>35</v>
      </c>
      <c r="R165" s="2093" t="s">
        <v>36</v>
      </c>
      <c r="S165" s="710" t="s">
        <v>1320</v>
      </c>
      <c r="T165" s="705"/>
      <c r="U165" s="705"/>
      <c r="V165" s="705"/>
      <c r="W165" s="705">
        <f>表12[[#This Row],[Sales Amount]]-表12[[#This Row],[Cost]]</f>
        <v>0</v>
      </c>
      <c r="X165" s="705" t="str">
        <f>IFERROR(Table6[[#This Row],[Profit]]/Table6[[#This Row],[Cost]]," ")</f>
        <v xml:space="preserve"> </v>
      </c>
      <c r="Y165" s="705"/>
      <c r="Z165" s="704"/>
      <c r="AA165"/>
      <c r="AB165"/>
      <c r="AC165"/>
      <c r="AD165"/>
      <c r="AE165"/>
      <c r="AF165"/>
      <c r="AG165"/>
      <c r="AH165"/>
      <c r="AI165"/>
      <c r="AJ165"/>
      <c r="AK165"/>
      <c r="AL165"/>
      <c r="AM165"/>
      <c r="AN165"/>
      <c r="AO165"/>
      <c r="AP165"/>
      <c r="AQ165"/>
    </row>
    <row r="166" spans="1:43" s="52" customFormat="1" hidden="1">
      <c r="A166" s="3235" t="s">
        <v>2966</v>
      </c>
      <c r="B166" s="3275" t="s">
        <v>5579</v>
      </c>
      <c r="C166" s="3275" t="s">
        <v>200</v>
      </c>
      <c r="D166" s="3280">
        <v>45309</v>
      </c>
      <c r="E166" s="3346">
        <v>45321</v>
      </c>
      <c r="F166" s="3275" t="s">
        <v>151</v>
      </c>
      <c r="G166" s="3275" t="s">
        <v>46</v>
      </c>
      <c r="H166" s="3279">
        <v>45322</v>
      </c>
      <c r="I166" s="3275"/>
      <c r="J166" s="3275" t="s">
        <v>1353</v>
      </c>
      <c r="K166" s="3357" t="s">
        <v>2968</v>
      </c>
      <c r="L166" s="3357" t="s">
        <v>5580</v>
      </c>
      <c r="M166" s="3396">
        <v>45323</v>
      </c>
      <c r="N166" s="3396">
        <v>45322</v>
      </c>
      <c r="O166" s="3396">
        <v>45322</v>
      </c>
      <c r="P166" s="3439" t="s">
        <v>5581</v>
      </c>
      <c r="Q166" s="3275" t="s">
        <v>35</v>
      </c>
      <c r="R166" s="4839" t="s">
        <v>36</v>
      </c>
      <c r="S166" s="710" t="s">
        <v>2971</v>
      </c>
      <c r="T166" s="705">
        <v>3730</v>
      </c>
      <c r="U166" s="681">
        <v>2784</v>
      </c>
      <c r="V166" s="681">
        <v>3</v>
      </c>
      <c r="W166" s="705">
        <f>表12[[#This Row],[Sales Amount]]-表12[[#This Row],[Cost]]</f>
        <v>946</v>
      </c>
      <c r="X166" s="2146">
        <f>IFERROR(Table6[[#This Row],[Profit]]/Table6[[#This Row],[Cost]]," ")</f>
        <v>0.92264573991031396</v>
      </c>
      <c r="Y166" s="705"/>
      <c r="Z166" s="704"/>
      <c r="AA166"/>
      <c r="AB166"/>
      <c r="AC166"/>
      <c r="AD166"/>
      <c r="AE166"/>
      <c r="AF166"/>
      <c r="AG166"/>
      <c r="AH166"/>
      <c r="AI166"/>
      <c r="AJ166"/>
      <c r="AK166"/>
      <c r="AL166"/>
      <c r="AM166"/>
      <c r="AN166"/>
      <c r="AO166"/>
      <c r="AP166"/>
      <c r="AQ166"/>
    </row>
    <row r="167" spans="1:43" s="36" customFormat="1" hidden="1">
      <c r="A167" s="3417" t="s">
        <v>3343</v>
      </c>
      <c r="B167" s="3268" t="s">
        <v>5582</v>
      </c>
      <c r="C167" s="3268" t="s">
        <v>28</v>
      </c>
      <c r="D167" s="3262">
        <v>45310</v>
      </c>
      <c r="E167" s="3365">
        <v>45321</v>
      </c>
      <c r="F167" s="3268" t="s">
        <v>1017</v>
      </c>
      <c r="G167" s="3268" t="s">
        <v>302</v>
      </c>
      <c r="H167" s="3290"/>
      <c r="I167" s="3265"/>
      <c r="J167" s="3265" t="s">
        <v>168</v>
      </c>
      <c r="K167" s="3265" t="s">
        <v>310</v>
      </c>
      <c r="L167" s="3478" t="s">
        <v>5583</v>
      </c>
      <c r="M167" s="3373">
        <v>45323</v>
      </c>
      <c r="N167" s="3373">
        <v>45321</v>
      </c>
      <c r="O167" s="3373">
        <v>45323</v>
      </c>
      <c r="P167" s="3317" t="s">
        <v>5584</v>
      </c>
      <c r="Q167" s="3265" t="s">
        <v>50</v>
      </c>
      <c r="R167" s="3" t="s">
        <v>5585</v>
      </c>
      <c r="S167" s="31"/>
      <c r="T167" s="712"/>
      <c r="U167" s="712"/>
      <c r="V167" s="712"/>
      <c r="W167" s="712">
        <f>表12[[#This Row],[Sales Amount]]-表12[[#This Row],[Cost]]</f>
        <v>0</v>
      </c>
      <c r="X167" s="2280" t="str">
        <f>IFERROR(Table6[[#This Row],[Profit]]/Table6[[#This Row],[Cost]]," ")</f>
        <v xml:space="preserve"> </v>
      </c>
      <c r="Y167" s="712"/>
      <c r="Z167" s="2210"/>
      <c r="AA167" s="3"/>
      <c r="AB167" s="3"/>
      <c r="AC167" s="3"/>
      <c r="AD167" s="3"/>
      <c r="AE167" s="3"/>
      <c r="AF167" s="3"/>
      <c r="AG167" s="3"/>
      <c r="AH167" s="3"/>
      <c r="AI167" s="3"/>
      <c r="AJ167" s="3"/>
      <c r="AK167" s="3"/>
      <c r="AL167" s="3"/>
      <c r="AM167" s="3"/>
      <c r="AN167" s="3"/>
      <c r="AO167" s="3"/>
      <c r="AP167" s="3"/>
      <c r="AQ167" s="3"/>
    </row>
    <row r="168" spans="1:43" s="36" customFormat="1" hidden="1">
      <c r="A168" s="3417" t="s">
        <v>3343</v>
      </c>
      <c r="B168" s="3268" t="s">
        <v>5586</v>
      </c>
      <c r="C168" s="3268" t="s">
        <v>28</v>
      </c>
      <c r="D168" s="3262">
        <v>45310</v>
      </c>
      <c r="E168" s="3365">
        <v>45321</v>
      </c>
      <c r="F168" s="3268" t="s">
        <v>1017</v>
      </c>
      <c r="G168" s="3268" t="s">
        <v>302</v>
      </c>
      <c r="H168" s="3290"/>
      <c r="I168" s="3265"/>
      <c r="J168" s="3265" t="s">
        <v>168</v>
      </c>
      <c r="K168" s="3265" t="s">
        <v>310</v>
      </c>
      <c r="L168" s="25" t="s">
        <v>5587</v>
      </c>
      <c r="M168" s="3373">
        <v>45323</v>
      </c>
      <c r="N168" s="3373">
        <v>45322</v>
      </c>
      <c r="O168" s="3373">
        <v>45327</v>
      </c>
      <c r="P168" s="3317" t="s">
        <v>5588</v>
      </c>
      <c r="Q168" s="3265" t="s">
        <v>50</v>
      </c>
      <c r="R168" s="3" t="s">
        <v>5589</v>
      </c>
      <c r="S168" s="31"/>
      <c r="T168" s="712"/>
      <c r="U168" s="712"/>
      <c r="V168" s="712"/>
      <c r="W168" s="712">
        <f>表12[[#This Row],[Sales Amount]]-表12[[#This Row],[Cost]]</f>
        <v>0</v>
      </c>
      <c r="X168" s="2280">
        <f>IFERROR(Table6[[#This Row],[Profit]]/Table6[[#This Row],[Cost]]," ")</f>
        <v>0.40256959314775159</v>
      </c>
      <c r="Y168" s="712"/>
      <c r="Z168" s="2210"/>
      <c r="AA168" s="3"/>
      <c r="AB168" s="3"/>
      <c r="AC168" s="3"/>
      <c r="AD168" s="3"/>
      <c r="AE168" s="3"/>
      <c r="AF168" s="3"/>
      <c r="AG168" s="3"/>
      <c r="AH168" s="3"/>
      <c r="AI168" s="3"/>
      <c r="AJ168" s="3"/>
      <c r="AK168" s="3"/>
      <c r="AL168" s="3"/>
      <c r="AM168" s="3"/>
      <c r="AN168" s="3"/>
      <c r="AO168" s="3"/>
      <c r="AP168" s="3"/>
      <c r="AQ168" s="3"/>
    </row>
    <row r="169" spans="1:43" s="52" customFormat="1" hidden="1">
      <c r="A169" s="3235" t="s">
        <v>1431</v>
      </c>
      <c r="B169" s="58" t="s">
        <v>5590</v>
      </c>
      <c r="C169" s="3275" t="s">
        <v>28</v>
      </c>
      <c r="D169" s="3280">
        <v>45299</v>
      </c>
      <c r="E169" s="3346">
        <v>45320</v>
      </c>
      <c r="F169" s="3275" t="s">
        <v>285</v>
      </c>
      <c r="G169" s="3275" t="s">
        <v>57</v>
      </c>
      <c r="H169" s="3396">
        <v>45322</v>
      </c>
      <c r="I169" s="3357" t="s">
        <v>115</v>
      </c>
      <c r="J169" s="4839" t="s">
        <v>154</v>
      </c>
      <c r="K169" s="3275" t="s">
        <v>2259</v>
      </c>
      <c r="L169" s="3357">
        <v>1381682</v>
      </c>
      <c r="M169" s="3396">
        <v>45322</v>
      </c>
      <c r="N169" s="3280">
        <v>45321</v>
      </c>
      <c r="O169" s="3280" t="s">
        <v>5004</v>
      </c>
      <c r="P169" s="3439" t="s">
        <v>5591</v>
      </c>
      <c r="Q169" s="4839" t="s">
        <v>35</v>
      </c>
      <c r="R169" s="2093" t="s">
        <v>36</v>
      </c>
      <c r="S169" s="710" t="s">
        <v>37</v>
      </c>
      <c r="T169" s="705">
        <v>600</v>
      </c>
      <c r="U169" s="705"/>
      <c r="V169" s="705"/>
      <c r="W169" s="705">
        <f>表12[[#This Row],[Sales Amount]]-表12[[#This Row],[Cost]]</f>
        <v>600</v>
      </c>
      <c r="X169" s="2146" t="str">
        <f>IFERROR(Table6[[#This Row],[Profit]]/Table6[[#This Row],[Cost]]," ")</f>
        <v xml:space="preserve"> </v>
      </c>
      <c r="Y169" s="705"/>
      <c r="Z169" s="704"/>
      <c r="AA169"/>
      <c r="AB169"/>
      <c r="AC169"/>
      <c r="AD169"/>
      <c r="AE169"/>
      <c r="AF169"/>
      <c r="AG169"/>
      <c r="AH169"/>
      <c r="AI169"/>
      <c r="AJ169"/>
      <c r="AK169"/>
      <c r="AL169"/>
      <c r="AM169"/>
      <c r="AN169"/>
      <c r="AO169"/>
      <c r="AP169"/>
      <c r="AQ169"/>
    </row>
    <row r="170" spans="1:43" s="52" customFormat="1" hidden="1">
      <c r="A170" s="3235" t="s">
        <v>1035</v>
      </c>
      <c r="B170" s="3275" t="s">
        <v>5592</v>
      </c>
      <c r="C170" s="3275" t="s">
        <v>451</v>
      </c>
      <c r="D170" s="3279">
        <v>45310</v>
      </c>
      <c r="E170" s="3383">
        <v>45321</v>
      </c>
      <c r="F170" s="3275" t="s">
        <v>151</v>
      </c>
      <c r="G170" s="3275" t="s">
        <v>46</v>
      </c>
      <c r="H170" s="3301" t="s">
        <v>1038</v>
      </c>
      <c r="I170" s="3275"/>
      <c r="J170" s="18" t="s">
        <v>32</v>
      </c>
      <c r="K170" s="3278" t="s">
        <v>162</v>
      </c>
      <c r="L170" s="915" t="s">
        <v>5593</v>
      </c>
      <c r="M170" s="3329">
        <v>45323</v>
      </c>
      <c r="N170" s="3280">
        <v>45322</v>
      </c>
      <c r="O170" s="3280">
        <v>45322</v>
      </c>
      <c r="P170" s="4324" t="s">
        <v>5543</v>
      </c>
      <c r="Q170" s="4839" t="s">
        <v>35</v>
      </c>
      <c r="R170" s="2093" t="s">
        <v>36</v>
      </c>
      <c r="S170" s="710" t="s">
        <v>1320</v>
      </c>
      <c r="T170" s="705"/>
      <c r="U170" s="705"/>
      <c r="V170" s="705"/>
      <c r="W170" s="705">
        <f>表12[[#This Row],[Sales Amount]]-表12[[#This Row],[Cost]]</f>
        <v>0</v>
      </c>
      <c r="X170" s="2146" t="str">
        <f>IFERROR(Table6[[#This Row],[Profit]]/Table6[[#This Row],[Cost]]," ")</f>
        <v xml:space="preserve"> </v>
      </c>
      <c r="Y170" s="705"/>
      <c r="Z170" s="704"/>
      <c r="AA170"/>
      <c r="AB170"/>
      <c r="AC170"/>
      <c r="AD170"/>
      <c r="AE170"/>
      <c r="AF170"/>
      <c r="AG170"/>
      <c r="AH170"/>
      <c r="AI170"/>
      <c r="AJ170"/>
      <c r="AK170"/>
      <c r="AL170"/>
      <c r="AM170"/>
      <c r="AN170"/>
      <c r="AO170"/>
      <c r="AP170"/>
      <c r="AQ170"/>
    </row>
    <row r="171" spans="1:43" s="36" customFormat="1" hidden="1">
      <c r="A171" s="3417" t="s">
        <v>409</v>
      </c>
      <c r="B171" s="3464" t="s">
        <v>5594</v>
      </c>
      <c r="C171" s="3268" t="s">
        <v>44</v>
      </c>
      <c r="D171" s="3262">
        <v>45309</v>
      </c>
      <c r="E171" s="3365">
        <v>45321</v>
      </c>
      <c r="F171" s="117" t="s">
        <v>86</v>
      </c>
      <c r="G171" s="3268" t="s">
        <v>829</v>
      </c>
      <c r="H171" s="3290"/>
      <c r="I171" s="3265"/>
      <c r="J171" s="3265" t="s">
        <v>168</v>
      </c>
      <c r="K171" s="25" t="s">
        <v>310</v>
      </c>
      <c r="L171" s="3265" t="s">
        <v>5595</v>
      </c>
      <c r="M171" s="3373">
        <v>45323</v>
      </c>
      <c r="N171" s="3373">
        <v>45321</v>
      </c>
      <c r="O171" s="3456">
        <v>45323</v>
      </c>
      <c r="P171" s="3461" t="s">
        <v>5596</v>
      </c>
      <c r="Q171" s="3265" t="s">
        <v>50</v>
      </c>
      <c r="R171" s="2301" t="s">
        <v>5597</v>
      </c>
      <c r="S171" s="31"/>
      <c r="T171" s="712"/>
      <c r="U171" s="712"/>
      <c r="V171" s="712"/>
      <c r="W171" s="712">
        <f>表12[[#This Row],[Sales Amount]]-表12[[#This Row],[Cost]]</f>
        <v>0</v>
      </c>
      <c r="X171" s="2280" t="str">
        <f>IFERROR(Table6[[#This Row],[Profit]]/Table6[[#This Row],[Cost]]," ")</f>
        <v xml:space="preserve"> </v>
      </c>
      <c r="Y171" s="712"/>
      <c r="Z171" s="2210"/>
      <c r="AA171"/>
      <c r="AB171"/>
      <c r="AC171"/>
      <c r="AD171"/>
      <c r="AE171"/>
      <c r="AF171"/>
      <c r="AG171"/>
      <c r="AH171"/>
      <c r="AI171"/>
      <c r="AJ171"/>
      <c r="AK171"/>
      <c r="AL171"/>
      <c r="AM171"/>
      <c r="AN171"/>
      <c r="AO171"/>
      <c r="AP171"/>
      <c r="AQ171"/>
    </row>
    <row r="172" spans="1:43" s="36" customFormat="1" hidden="1">
      <c r="A172" s="3417" t="s">
        <v>3343</v>
      </c>
      <c r="B172" s="3268" t="s">
        <v>5598</v>
      </c>
      <c r="C172" s="3268" t="s">
        <v>28</v>
      </c>
      <c r="D172" s="3262">
        <v>45311</v>
      </c>
      <c r="E172" s="3365">
        <v>45321</v>
      </c>
      <c r="F172" s="117" t="s">
        <v>1017</v>
      </c>
      <c r="G172" s="3268" t="s">
        <v>302</v>
      </c>
      <c r="H172" s="3290"/>
      <c r="I172" s="3265"/>
      <c r="J172" s="3265" t="s">
        <v>168</v>
      </c>
      <c r="K172" s="25" t="s">
        <v>310</v>
      </c>
      <c r="L172" s="3265" t="s">
        <v>5599</v>
      </c>
      <c r="M172" s="3373">
        <v>45323</v>
      </c>
      <c r="N172" s="3373">
        <v>45321</v>
      </c>
      <c r="O172" s="3373">
        <v>45323</v>
      </c>
      <c r="P172" s="3317" t="s">
        <v>5600</v>
      </c>
      <c r="Q172" s="3265" t="s">
        <v>50</v>
      </c>
      <c r="R172" s="3" t="s">
        <v>5601</v>
      </c>
      <c r="S172" s="31"/>
      <c r="T172" s="712"/>
      <c r="U172" s="712"/>
      <c r="V172" s="712"/>
      <c r="W172" s="712">
        <f>表12[[#This Row],[Sales Amount]]-表12[[#This Row],[Cost]]</f>
        <v>0</v>
      </c>
      <c r="X172" s="2280" t="str">
        <f>IFERROR(Table6[[#This Row],[Profit]]/Table6[[#This Row],[Cost]]," ")</f>
        <v xml:space="preserve"> </v>
      </c>
      <c r="Y172" s="712"/>
      <c r="Z172" s="2210"/>
      <c r="AA172" s="3"/>
      <c r="AB172" s="3"/>
      <c r="AC172" s="3"/>
      <c r="AD172" s="3"/>
      <c r="AE172" s="3"/>
      <c r="AF172" s="3"/>
      <c r="AG172" s="3"/>
      <c r="AH172" s="3"/>
      <c r="AI172" s="3"/>
      <c r="AJ172" s="3"/>
      <c r="AK172" s="3"/>
      <c r="AL172" s="3"/>
      <c r="AM172" s="3"/>
      <c r="AN172" s="3"/>
      <c r="AO172" s="3"/>
      <c r="AP172" s="3"/>
      <c r="AQ172" s="3"/>
    </row>
    <row r="173" spans="1:43" s="52" customFormat="1" hidden="1">
      <c r="A173" s="3234" t="s">
        <v>1945</v>
      </c>
      <c r="B173" s="3419" t="s">
        <v>5602</v>
      </c>
      <c r="C173" s="3265" t="s">
        <v>794</v>
      </c>
      <c r="D173" s="3280">
        <v>44947</v>
      </c>
      <c r="E173" s="3346">
        <v>45322</v>
      </c>
      <c r="F173" s="58" t="s">
        <v>151</v>
      </c>
      <c r="G173" s="3275" t="s">
        <v>30</v>
      </c>
      <c r="H173" s="3304">
        <v>45327</v>
      </c>
      <c r="I173" s="3347" t="s">
        <v>899</v>
      </c>
      <c r="J173" s="3275" t="s">
        <v>221</v>
      </c>
      <c r="K173" s="3275" t="s">
        <v>5603</v>
      </c>
      <c r="L173" s="915">
        <v>429926</v>
      </c>
      <c r="M173" s="3479">
        <v>45324</v>
      </c>
      <c r="N173" s="3280">
        <v>45324</v>
      </c>
      <c r="O173" s="3329">
        <v>45330</v>
      </c>
      <c r="P173" s="3475" t="s">
        <v>5604</v>
      </c>
      <c r="Q173" s="3275" t="s">
        <v>35</v>
      </c>
      <c r="R173" s="2093" t="s">
        <v>36</v>
      </c>
      <c r="S173" s="710" t="s">
        <v>67</v>
      </c>
      <c r="T173" s="705">
        <v>1410</v>
      </c>
      <c r="U173" s="705">
        <v>1160</v>
      </c>
      <c r="V173" s="705"/>
      <c r="W173" s="705">
        <f>表12[[#This Row],[Sales Amount]]-表12[[#This Row],[Cost]]</f>
        <v>250</v>
      </c>
      <c r="X173" s="705" t="str">
        <f>IFERROR(Table6[[#This Row],[Profit]]/Table6[[#This Row],[Cost]]," ")</f>
        <v xml:space="preserve"> </v>
      </c>
      <c r="Y173" s="705"/>
      <c r="Z173" s="704"/>
      <c r="AA173"/>
      <c r="AB173"/>
      <c r="AC173"/>
      <c r="AD173"/>
      <c r="AE173"/>
      <c r="AF173"/>
      <c r="AG173"/>
      <c r="AH173"/>
      <c r="AI173"/>
      <c r="AJ173"/>
      <c r="AK173"/>
      <c r="AL173"/>
      <c r="AM173"/>
      <c r="AN173"/>
      <c r="AO173"/>
      <c r="AP173"/>
      <c r="AQ173"/>
    </row>
    <row r="174" spans="1:43" s="52" customFormat="1" hidden="1">
      <c r="A174" s="3235" t="s">
        <v>2396</v>
      </c>
      <c r="B174" s="3275" t="s">
        <v>5605</v>
      </c>
      <c r="C174" s="3275" t="s">
        <v>200</v>
      </c>
      <c r="D174" s="3280">
        <v>45301</v>
      </c>
      <c r="E174" s="3346">
        <v>45323</v>
      </c>
      <c r="F174" s="3275" t="s">
        <v>93</v>
      </c>
      <c r="G174" s="3275" t="s">
        <v>1567</v>
      </c>
      <c r="H174" s="3304">
        <v>45327</v>
      </c>
      <c r="I174" s="3357" t="s">
        <v>178</v>
      </c>
      <c r="J174" s="3275" t="s">
        <v>5606</v>
      </c>
      <c r="K174" s="58" t="s">
        <v>5607</v>
      </c>
      <c r="L174" s="915">
        <v>4431</v>
      </c>
      <c r="M174" s="3396">
        <v>45324</v>
      </c>
      <c r="N174" s="3396">
        <v>45324</v>
      </c>
      <c r="O174" s="3280">
        <v>45327</v>
      </c>
      <c r="P174" s="3429" t="s">
        <v>5608</v>
      </c>
      <c r="Q174" s="3275" t="s">
        <v>35</v>
      </c>
      <c r="R174" s="2093" t="s">
        <v>36</v>
      </c>
      <c r="S174" s="710" t="s">
        <v>37</v>
      </c>
      <c r="T174" s="705">
        <v>1745</v>
      </c>
      <c r="U174" s="705">
        <v>1318.7</v>
      </c>
      <c r="V174" s="705"/>
      <c r="W174" s="705">
        <f>表12[[#This Row],[Sales Amount]]-表12[[#This Row],[Cost]]</f>
        <v>426.29999999999995</v>
      </c>
      <c r="X174" s="705" t="str">
        <f>IFERROR(Table6[[#This Row],[Profit]]/Table6[[#This Row],[Cost]]," ")</f>
        <v xml:space="preserve"> </v>
      </c>
      <c r="Y174" s="705"/>
      <c r="Z174" s="704"/>
      <c r="AA174"/>
      <c r="AB174"/>
      <c r="AC174"/>
      <c r="AD174"/>
      <c r="AE174"/>
      <c r="AF174"/>
      <c r="AG174"/>
      <c r="AH174"/>
      <c r="AI174"/>
      <c r="AJ174"/>
      <c r="AK174"/>
      <c r="AL174"/>
      <c r="AM174"/>
      <c r="AN174"/>
      <c r="AO174"/>
      <c r="AP174"/>
      <c r="AQ174"/>
    </row>
    <row r="175" spans="1:43" s="36" customFormat="1" ht="17.25" hidden="1">
      <c r="A175" s="3417" t="s">
        <v>409</v>
      </c>
      <c r="B175" s="3480" t="s">
        <v>5609</v>
      </c>
      <c r="C175" s="3481" t="s">
        <v>44</v>
      </c>
      <c r="D175" s="3482">
        <v>45304</v>
      </c>
      <c r="E175" s="3483">
        <v>45322</v>
      </c>
      <c r="F175" s="3484" t="s">
        <v>1017</v>
      </c>
      <c r="G175" s="3481" t="s">
        <v>829</v>
      </c>
      <c r="H175" s="3290"/>
      <c r="I175" s="3265"/>
      <c r="J175" s="3481" t="s">
        <v>168</v>
      </c>
      <c r="K175" s="2308" t="s">
        <v>310</v>
      </c>
      <c r="L175" s="3481" t="s">
        <v>5610</v>
      </c>
      <c r="M175" s="5307">
        <v>45324</v>
      </c>
      <c r="N175" s="3482">
        <v>45323</v>
      </c>
      <c r="O175" s="3373">
        <v>45325</v>
      </c>
      <c r="P175" s="3485" t="s">
        <v>5611</v>
      </c>
      <c r="Q175" s="3481" t="s">
        <v>50</v>
      </c>
      <c r="R175" s="2309" t="s">
        <v>5612</v>
      </c>
      <c r="S175" s="31"/>
      <c r="T175" s="712"/>
      <c r="U175" s="712"/>
      <c r="V175" s="712"/>
      <c r="W175" s="712">
        <f>表12[[#This Row],[Sales Amount]]-表12[[#This Row],[Cost]]</f>
        <v>0</v>
      </c>
      <c r="X175" s="2280" t="str">
        <f>IFERROR(Table6[[#This Row],[Profit]]/Table6[[#This Row],[Cost]]," ")</f>
        <v xml:space="preserve"> </v>
      </c>
      <c r="Y175" s="712"/>
      <c r="Z175" s="2210"/>
      <c r="AA175" s="3"/>
      <c r="AB175" s="3"/>
      <c r="AC175" s="3"/>
      <c r="AD175" s="3"/>
      <c r="AE175" s="3"/>
      <c r="AF175" s="3"/>
      <c r="AG175" s="3"/>
      <c r="AH175" s="3"/>
      <c r="AI175" s="3"/>
      <c r="AJ175" s="3"/>
      <c r="AK175" s="3"/>
      <c r="AL175" s="3"/>
      <c r="AM175" s="3"/>
      <c r="AN175" s="3"/>
      <c r="AO175" s="3"/>
      <c r="AP175" s="3"/>
      <c r="AQ175" s="3"/>
    </row>
    <row r="176" spans="1:43" s="117" customFormat="1" ht="45">
      <c r="A176" s="3474" t="s">
        <v>165</v>
      </c>
      <c r="B176" s="4242" t="s">
        <v>5613</v>
      </c>
      <c r="C176" s="3268" t="s">
        <v>28</v>
      </c>
      <c r="D176" s="3262">
        <v>45322</v>
      </c>
      <c r="E176" s="3365">
        <v>45322</v>
      </c>
      <c r="F176" s="3430" t="s">
        <v>151</v>
      </c>
      <c r="G176" s="3273" t="s">
        <v>4355</v>
      </c>
      <c r="H176" s="1189">
        <v>45331</v>
      </c>
      <c r="I176" s="3430" t="s">
        <v>899</v>
      </c>
      <c r="J176" s="3268" t="s">
        <v>322</v>
      </c>
      <c r="K176" s="1617" t="s">
        <v>4357</v>
      </c>
      <c r="L176" s="3268" t="s">
        <v>162</v>
      </c>
      <c r="M176" s="3262">
        <v>45329</v>
      </c>
      <c r="N176" s="3262">
        <v>45330</v>
      </c>
      <c r="O176" s="3427">
        <v>45343</v>
      </c>
      <c r="P176" s="4306" t="s">
        <v>5614</v>
      </c>
      <c r="Q176" s="3268" t="s">
        <v>75</v>
      </c>
      <c r="R176" s="1063" t="s">
        <v>5615</v>
      </c>
      <c r="S176" s="660"/>
      <c r="T176" s="1447">
        <v>1780</v>
      </c>
      <c r="U176" s="1447">
        <v>1552.8</v>
      </c>
      <c r="V176" s="660">
        <v>1</v>
      </c>
      <c r="W176" s="660">
        <f>表12[[#This Row],[Sales Amount]]-表12[[#This Row],[Cost]]</f>
        <v>227.20000000000005</v>
      </c>
      <c r="X176" s="2282">
        <f>IFERROR(Table6[[#This Row],[Profit]]/Table6[[#This Row],[Cost]]," ")</f>
        <v>4.7418788410886741</v>
      </c>
      <c r="Y176" s="660"/>
      <c r="Z176" s="113"/>
      <c r="AA176" s="3"/>
      <c r="AB176" s="3"/>
      <c r="AC176" s="3"/>
      <c r="AD176" s="3"/>
      <c r="AE176" s="3"/>
      <c r="AF176" s="3"/>
      <c r="AG176" s="3"/>
      <c r="AH176" s="3"/>
      <c r="AI176" s="3"/>
      <c r="AJ176" s="3"/>
      <c r="AK176" s="3"/>
      <c r="AL176" s="3"/>
      <c r="AM176" s="3"/>
      <c r="AN176" s="3"/>
      <c r="AO176" s="3"/>
      <c r="AP176" s="3"/>
      <c r="AQ176" s="3"/>
    </row>
    <row r="177" spans="1:43" s="117" customFormat="1" ht="60">
      <c r="A177" s="117" t="s">
        <v>409</v>
      </c>
      <c r="B177" s="3430" t="s">
        <v>5616</v>
      </c>
      <c r="C177" s="3268" t="s">
        <v>28</v>
      </c>
      <c r="D177" s="3262">
        <v>45310</v>
      </c>
      <c r="E177" s="3365">
        <v>45322</v>
      </c>
      <c r="F177" s="3430" t="s">
        <v>135</v>
      </c>
      <c r="G177" s="3430" t="s">
        <v>801</v>
      </c>
      <c r="H177" s="3292">
        <v>45329</v>
      </c>
      <c r="I177" s="3430" t="s">
        <v>5617</v>
      </c>
      <c r="J177" s="3430" t="s">
        <v>32</v>
      </c>
      <c r="K177" s="716" t="s">
        <v>5618</v>
      </c>
      <c r="L177" s="3268">
        <v>692123</v>
      </c>
      <c r="M177" s="3292">
        <v>45325</v>
      </c>
      <c r="N177" s="3262">
        <v>45325</v>
      </c>
      <c r="O177" s="3262">
        <v>45329</v>
      </c>
      <c r="P177" s="4306" t="s">
        <v>5619</v>
      </c>
      <c r="Q177" s="3268" t="s">
        <v>75</v>
      </c>
      <c r="R177" s="2125" t="s">
        <v>5620</v>
      </c>
      <c r="S177" s="660"/>
      <c r="T177" s="2131">
        <v>1812.5</v>
      </c>
      <c r="U177" s="2126">
        <v>1365</v>
      </c>
      <c r="V177" s="660">
        <v>1</v>
      </c>
      <c r="W177" s="660">
        <f>表12[[#This Row],[Sales Amount]]-表12[[#This Row],[Cost]]</f>
        <v>447.5</v>
      </c>
      <c r="X177" s="885">
        <f>表12[[#This Row],[Profit]]/表12[[#This Row],[Cost]]</f>
        <v>0.32783882783882784</v>
      </c>
      <c r="Y177" s="660"/>
      <c r="Z177" s="113"/>
      <c r="AA177"/>
      <c r="AB177"/>
      <c r="AC177"/>
      <c r="AD177"/>
      <c r="AE177"/>
      <c r="AF177"/>
      <c r="AG177"/>
      <c r="AH177"/>
      <c r="AI177"/>
      <c r="AJ177"/>
      <c r="AK177"/>
      <c r="AL177"/>
      <c r="AM177"/>
      <c r="AN177"/>
      <c r="AO177"/>
      <c r="AP177"/>
      <c r="AQ177"/>
    </row>
    <row r="178" spans="1:43" s="36" customFormat="1" hidden="1">
      <c r="A178" s="3417" t="s">
        <v>3343</v>
      </c>
      <c r="B178" s="3268" t="s">
        <v>5621</v>
      </c>
      <c r="C178" s="3268" t="s">
        <v>28</v>
      </c>
      <c r="D178" s="3262">
        <v>45310</v>
      </c>
      <c r="E178" s="3365">
        <v>45322</v>
      </c>
      <c r="F178" s="3268" t="s">
        <v>45</v>
      </c>
      <c r="G178" s="3268" t="s">
        <v>46</v>
      </c>
      <c r="H178" s="3290"/>
      <c r="I178" s="3265"/>
      <c r="J178" s="3265" t="s">
        <v>168</v>
      </c>
      <c r="K178" s="25" t="s">
        <v>310</v>
      </c>
      <c r="L178" s="3376" t="s">
        <v>5622</v>
      </c>
      <c r="M178" s="3373">
        <v>45323</v>
      </c>
      <c r="N178" s="3373">
        <v>45322</v>
      </c>
      <c r="O178" s="3373">
        <v>45325</v>
      </c>
      <c r="P178" s="3317" t="s">
        <v>5623</v>
      </c>
      <c r="Q178" s="3265" t="s">
        <v>50</v>
      </c>
      <c r="R178" s="2216" t="s">
        <v>5624</v>
      </c>
      <c r="S178" s="31"/>
      <c r="T178" s="712"/>
      <c r="U178" s="712"/>
      <c r="V178" s="712"/>
      <c r="W178" s="712">
        <f>表12[[#This Row],[Sales Amount]]-表12[[#This Row],[Cost]]</f>
        <v>0</v>
      </c>
      <c r="X178" s="2280" t="str">
        <f>IFERROR(Table6[[#This Row],[Profit]]/Table6[[#This Row],[Cost]]," ")</f>
        <v xml:space="preserve"> </v>
      </c>
      <c r="Y178" s="712"/>
      <c r="Z178" s="2210"/>
      <c r="AA178" s="3"/>
      <c r="AB178" s="3"/>
      <c r="AC178" s="3"/>
      <c r="AD178" s="3"/>
      <c r="AE178" s="3"/>
      <c r="AF178" s="3"/>
      <c r="AG178" s="3"/>
      <c r="AH178" s="3"/>
      <c r="AI178" s="3"/>
      <c r="AJ178" s="3"/>
      <c r="AK178" s="3"/>
      <c r="AL178" s="3"/>
      <c r="AM178" s="3"/>
      <c r="AN178" s="3"/>
      <c r="AO178" s="3"/>
      <c r="AP178" s="3"/>
      <c r="AQ178" s="3"/>
    </row>
    <row r="179" spans="1:43" s="36" customFormat="1" hidden="1">
      <c r="A179" s="117" t="s">
        <v>409</v>
      </c>
      <c r="B179" s="3268" t="s">
        <v>5625</v>
      </c>
      <c r="C179" s="3265" t="s">
        <v>28</v>
      </c>
      <c r="D179" s="3373">
        <v>45328</v>
      </c>
      <c r="E179" s="3365">
        <f>7+表12[[#This Row],[ETA PORT]]</f>
        <v>45335</v>
      </c>
      <c r="F179" s="3265" t="s">
        <v>151</v>
      </c>
      <c r="G179" s="3265" t="s">
        <v>302</v>
      </c>
      <c r="H179" s="3290"/>
      <c r="I179" s="3265"/>
      <c r="J179" s="3486" t="s">
        <v>32</v>
      </c>
      <c r="K179" s="4154" t="s">
        <v>47</v>
      </c>
      <c r="L179" s="3437" t="s">
        <v>5626</v>
      </c>
      <c r="M179" s="3373">
        <v>45338</v>
      </c>
      <c r="N179" s="3373">
        <v>45337</v>
      </c>
      <c r="O179" s="3373">
        <v>45338</v>
      </c>
      <c r="P179" s="4321" t="s">
        <v>5627</v>
      </c>
      <c r="Q179" s="4183" t="s">
        <v>89</v>
      </c>
      <c r="R179" s="2216" t="s">
        <v>5628</v>
      </c>
      <c r="S179" s="31"/>
      <c r="T179" s="712"/>
      <c r="U179" s="712"/>
      <c r="V179" s="712"/>
      <c r="W179" s="712">
        <f>表12[[#This Row],[Sales Amount]]-表12[[#This Row],[Cost]]</f>
        <v>0</v>
      </c>
      <c r="X179" s="2280" t="str">
        <f>IFERROR(Table6[[#This Row],[Profit]]/Table6[[#This Row],[Cost]]," ")</f>
        <v xml:space="preserve"> </v>
      </c>
      <c r="Y179" s="712"/>
      <c r="Z179" s="2210"/>
      <c r="AA179" s="3"/>
      <c r="AB179" s="3"/>
      <c r="AC179" s="3"/>
      <c r="AD179" s="3"/>
      <c r="AE179" s="3"/>
      <c r="AF179" s="3"/>
      <c r="AG179" s="3"/>
      <c r="AH179" s="3"/>
      <c r="AI179" s="3"/>
      <c r="AJ179" s="3"/>
      <c r="AK179" s="3"/>
      <c r="AL179" s="3"/>
      <c r="AM179" s="3"/>
      <c r="AN179" s="3"/>
      <c r="AO179" s="3"/>
      <c r="AP179" s="3"/>
      <c r="AQ179" s="3"/>
    </row>
    <row r="180" spans="1:43" s="52" customFormat="1" hidden="1">
      <c r="A180" s="3235" t="s">
        <v>171</v>
      </c>
      <c r="B180" s="3275" t="s">
        <v>5629</v>
      </c>
      <c r="C180" s="3275" t="s">
        <v>28</v>
      </c>
      <c r="D180" s="3280">
        <v>45317</v>
      </c>
      <c r="E180" s="3346">
        <v>45329</v>
      </c>
      <c r="F180" s="3275" t="s">
        <v>151</v>
      </c>
      <c r="G180" s="3275" t="s">
        <v>46</v>
      </c>
      <c r="H180" s="3396" t="s">
        <v>5630</v>
      </c>
      <c r="I180" s="3370"/>
      <c r="J180" s="3275" t="s">
        <v>32</v>
      </c>
      <c r="K180" s="58" t="s">
        <v>174</v>
      </c>
      <c r="L180" s="3357" t="s">
        <v>5631</v>
      </c>
      <c r="M180" s="3396">
        <v>45331</v>
      </c>
      <c r="N180" s="3280">
        <v>45330</v>
      </c>
      <c r="O180" s="3280">
        <v>45330</v>
      </c>
      <c r="P180" s="3439" t="s">
        <v>5632</v>
      </c>
      <c r="Q180" s="3286" t="s">
        <v>35</v>
      </c>
      <c r="R180" s="2093" t="s">
        <v>36</v>
      </c>
      <c r="S180" s="710" t="s">
        <v>37</v>
      </c>
      <c r="T180" s="705">
        <v>775</v>
      </c>
      <c r="U180" s="705">
        <v>625</v>
      </c>
      <c r="V180" s="705"/>
      <c r="W180" s="705">
        <f>表12[[#This Row],[Sales Amount]]-表12[[#This Row],[Cost]]</f>
        <v>150</v>
      </c>
      <c r="X180" s="2146" t="str">
        <f>IFERROR(Table6[[#This Row],[Profit]]/Table6[[#This Row],[Cost]]," ")</f>
        <v xml:space="preserve"> </v>
      </c>
      <c r="Y180" s="705"/>
      <c r="Z180" s="704"/>
      <c r="AA180"/>
      <c r="AB180"/>
      <c r="AC180"/>
      <c r="AD180"/>
      <c r="AE180"/>
      <c r="AF180"/>
      <c r="AG180"/>
      <c r="AH180"/>
      <c r="AI180"/>
      <c r="AJ180"/>
      <c r="AK180"/>
      <c r="AL180"/>
      <c r="AM180"/>
      <c r="AN180"/>
      <c r="AO180"/>
      <c r="AP180"/>
      <c r="AQ180"/>
    </row>
    <row r="181" spans="1:43" s="36" customFormat="1" hidden="1">
      <c r="A181" s="4319" t="s">
        <v>4793</v>
      </c>
      <c r="B181" s="1617" t="s">
        <v>5633</v>
      </c>
      <c r="C181" s="3430" t="s">
        <v>28</v>
      </c>
      <c r="D181" s="3262">
        <v>45309</v>
      </c>
      <c r="E181" s="3365">
        <v>45322</v>
      </c>
      <c r="F181" s="3430" t="s">
        <v>45</v>
      </c>
      <c r="G181" s="3430" t="s">
        <v>46</v>
      </c>
      <c r="H181" s="3290"/>
      <c r="I181" s="3265"/>
      <c r="J181" s="3265" t="s">
        <v>32</v>
      </c>
      <c r="K181" s="374" t="s">
        <v>47</v>
      </c>
      <c r="L181" s="3487" t="s">
        <v>5634</v>
      </c>
      <c r="M181" s="3373">
        <v>45323</v>
      </c>
      <c r="N181" s="3373">
        <v>45322</v>
      </c>
      <c r="O181" s="3373">
        <v>45324</v>
      </c>
      <c r="P181" s="3461" t="s">
        <v>5635</v>
      </c>
      <c r="Q181" s="3419" t="s">
        <v>89</v>
      </c>
      <c r="R181" s="2216" t="s">
        <v>5636</v>
      </c>
      <c r="S181" s="31"/>
      <c r="T181" s="712"/>
      <c r="U181" s="712"/>
      <c r="V181" s="712"/>
      <c r="W181" s="712">
        <f>表12[[#This Row],[Sales Amount]]-表12[[#This Row],[Cost]]</f>
        <v>0</v>
      </c>
      <c r="X181" s="2280" t="str">
        <f>IFERROR(Table6[[#This Row],[Profit]]/Table6[[#This Row],[Cost]]," ")</f>
        <v xml:space="preserve"> </v>
      </c>
      <c r="Y181" s="712"/>
      <c r="Z181" s="2210"/>
      <c r="AA181" s="3"/>
      <c r="AB181" s="3"/>
      <c r="AC181" s="3"/>
      <c r="AD181" s="3"/>
      <c r="AE181" s="3"/>
      <c r="AF181" s="3"/>
      <c r="AG181" s="3"/>
      <c r="AH181" s="3"/>
      <c r="AI181" s="3"/>
      <c r="AJ181" s="3"/>
      <c r="AK181" s="3"/>
      <c r="AL181" s="3"/>
      <c r="AM181" s="3"/>
      <c r="AN181" s="3"/>
      <c r="AO181" s="3"/>
      <c r="AP181" s="3"/>
      <c r="AQ181" s="3"/>
    </row>
    <row r="182" spans="1:43" s="117" customFormat="1" ht="60">
      <c r="A182" s="3417" t="s">
        <v>2847</v>
      </c>
      <c r="B182" s="3430" t="s">
        <v>5637</v>
      </c>
      <c r="C182" s="3268" t="s">
        <v>28</v>
      </c>
      <c r="D182" s="3262">
        <v>45322</v>
      </c>
      <c r="E182" s="3365">
        <v>45327</v>
      </c>
      <c r="F182" s="3268" t="s">
        <v>93</v>
      </c>
      <c r="G182" s="3268" t="s">
        <v>5557</v>
      </c>
      <c r="H182" s="3427">
        <v>45330</v>
      </c>
      <c r="I182" s="3430" t="s">
        <v>445</v>
      </c>
      <c r="J182" s="3268" t="s">
        <v>322</v>
      </c>
      <c r="K182" s="3430" t="s">
        <v>2652</v>
      </c>
      <c r="L182" s="3268">
        <v>1618495</v>
      </c>
      <c r="M182" s="3262">
        <v>45329</v>
      </c>
      <c r="N182" s="3262">
        <v>45329</v>
      </c>
      <c r="O182" s="3262">
        <v>45330</v>
      </c>
      <c r="P182" s="4246" t="s">
        <v>5638</v>
      </c>
      <c r="Q182" s="117" t="s">
        <v>75</v>
      </c>
      <c r="R182" s="2127" t="s">
        <v>5639</v>
      </c>
      <c r="S182" s="660"/>
      <c r="T182" s="660">
        <v>1436.25</v>
      </c>
      <c r="U182" s="660">
        <v>907</v>
      </c>
      <c r="V182" s="660">
        <v>1</v>
      </c>
      <c r="W182" s="660">
        <f>表12[[#This Row],[Sales Amount]]-表12[[#This Row],[Cost]]</f>
        <v>529.25</v>
      </c>
      <c r="X182" s="885">
        <f>表12[[#This Row],[Profit]]/表12[[#This Row],[Cost]]</f>
        <v>0.58351708930540247</v>
      </c>
      <c r="Y182" s="1063" t="s">
        <v>5640</v>
      </c>
      <c r="Z182" s="113"/>
      <c r="AA182" s="3"/>
      <c r="AB182" s="3"/>
      <c r="AC182" s="3"/>
      <c r="AD182" s="3"/>
      <c r="AE182" s="3"/>
      <c r="AF182" s="3"/>
      <c r="AG182" s="3"/>
      <c r="AH182" s="3"/>
      <c r="AI182" s="3"/>
      <c r="AJ182" s="3"/>
      <c r="AK182" s="3"/>
      <c r="AL182" s="3"/>
      <c r="AM182" s="3"/>
      <c r="AN182" s="3"/>
      <c r="AO182" s="3"/>
      <c r="AP182" s="3"/>
      <c r="AQ182" s="3"/>
    </row>
    <row r="183" spans="1:43" s="1350" customFormat="1" hidden="1">
      <c r="A183" s="3235" t="s">
        <v>4793</v>
      </c>
      <c r="B183" s="3246" t="s">
        <v>5641</v>
      </c>
      <c r="C183" s="3275" t="s">
        <v>28</v>
      </c>
      <c r="D183" s="3280">
        <v>45325</v>
      </c>
      <c r="E183" s="3346">
        <v>45331</v>
      </c>
      <c r="F183" s="3275" t="s">
        <v>45</v>
      </c>
      <c r="G183" s="3275" t="s">
        <v>46</v>
      </c>
      <c r="H183" s="3301"/>
      <c r="I183" s="3275"/>
      <c r="J183" s="3275" t="s">
        <v>168</v>
      </c>
      <c r="K183" s="3275" t="s">
        <v>310</v>
      </c>
      <c r="L183" s="2413" t="s">
        <v>5642</v>
      </c>
      <c r="M183" s="3280">
        <v>45333</v>
      </c>
      <c r="N183" s="3280">
        <v>45332</v>
      </c>
      <c r="O183" s="3280">
        <v>45334</v>
      </c>
      <c r="P183" s="3429" t="s">
        <v>5643</v>
      </c>
      <c r="Q183" s="58" t="s">
        <v>50</v>
      </c>
      <c r="R183" s="2093" t="s">
        <v>36</v>
      </c>
      <c r="S183" s="710"/>
      <c r="T183" s="1372"/>
      <c r="U183" s="1372"/>
      <c r="V183" s="1372"/>
      <c r="W183" s="1372">
        <f>表12[[#This Row],[Sales Amount]]-表12[[#This Row],[Cost]]</f>
        <v>0</v>
      </c>
      <c r="X183" s="2268" t="str">
        <f>IFERROR(Table6[[#This Row],[Profit]]/Table6[[#This Row],[Cost]]," ")</f>
        <v xml:space="preserve"> </v>
      </c>
      <c r="Y183" s="1372"/>
      <c r="Z183" s="2261"/>
      <c r="AA183" s="650"/>
      <c r="AB183" s="650"/>
      <c r="AC183" s="650"/>
      <c r="AD183" s="650"/>
      <c r="AE183" s="650"/>
      <c r="AF183" s="650"/>
      <c r="AG183" s="650"/>
      <c r="AH183" s="650"/>
      <c r="AI183" s="650"/>
      <c r="AJ183" s="650"/>
      <c r="AK183" s="650"/>
      <c r="AL183" s="650"/>
      <c r="AM183" s="650"/>
      <c r="AN183" s="650"/>
      <c r="AO183" s="650"/>
      <c r="AP183" s="650"/>
      <c r="AQ183" s="650"/>
    </row>
    <row r="184" spans="1:43" s="36" customFormat="1" hidden="1">
      <c r="A184" s="117" t="s">
        <v>409</v>
      </c>
      <c r="B184" s="3488" t="s">
        <v>5644</v>
      </c>
      <c r="C184" s="3488" t="s">
        <v>28</v>
      </c>
      <c r="D184" s="3489">
        <v>45315</v>
      </c>
      <c r="E184" s="2306">
        <v>45326</v>
      </c>
      <c r="F184" s="3488" t="s">
        <v>3639</v>
      </c>
      <c r="G184" s="3488" t="s">
        <v>2206</v>
      </c>
      <c r="H184" s="3290"/>
      <c r="I184" s="3265"/>
      <c r="J184" s="2307" t="s">
        <v>32</v>
      </c>
      <c r="K184" s="3481" t="s">
        <v>310</v>
      </c>
      <c r="L184" s="3490" t="s">
        <v>5645</v>
      </c>
      <c r="M184" s="3482">
        <v>45328</v>
      </c>
      <c r="N184" s="3482">
        <v>45327</v>
      </c>
      <c r="O184" s="3373">
        <v>45328</v>
      </c>
      <c r="P184" s="3485" t="s">
        <v>5646</v>
      </c>
      <c r="Q184" s="2308" t="s">
        <v>50</v>
      </c>
      <c r="R184" s="2323" t="s">
        <v>5647</v>
      </c>
      <c r="S184" s="31"/>
      <c r="T184" s="712"/>
      <c r="U184" s="712"/>
      <c r="V184" s="712"/>
      <c r="W184" s="712">
        <f>表12[[#This Row],[Sales Amount]]-表12[[#This Row],[Cost]]</f>
        <v>0</v>
      </c>
      <c r="X184" s="2280" t="str">
        <f>IFERROR(Table6[[#This Row],[Profit]]/Table6[[#This Row],[Cost]]," ")</f>
        <v xml:space="preserve"> </v>
      </c>
      <c r="Y184" s="712"/>
      <c r="Z184" s="2210"/>
      <c r="AA184" s="3"/>
      <c r="AB184" s="3"/>
      <c r="AC184" s="3"/>
      <c r="AD184" s="3"/>
      <c r="AE184" s="3"/>
      <c r="AF184" s="3"/>
      <c r="AG184" s="3"/>
      <c r="AH184" s="3"/>
      <c r="AI184" s="3"/>
      <c r="AJ184" s="3"/>
      <c r="AK184" s="3"/>
      <c r="AL184" s="3"/>
      <c r="AM184" s="3"/>
      <c r="AN184" s="3"/>
      <c r="AO184" s="3"/>
      <c r="AP184" s="3"/>
      <c r="AQ184" s="3"/>
    </row>
    <row r="185" spans="1:43" s="36" customFormat="1" hidden="1">
      <c r="A185" s="3417" t="s">
        <v>409</v>
      </c>
      <c r="B185" s="3488" t="s">
        <v>5648</v>
      </c>
      <c r="C185" s="3488" t="s">
        <v>28</v>
      </c>
      <c r="D185" s="3489">
        <v>45315</v>
      </c>
      <c r="E185" s="2306">
        <v>45326</v>
      </c>
      <c r="F185" s="3488" t="s">
        <v>3639</v>
      </c>
      <c r="G185" s="3488" t="s">
        <v>2206</v>
      </c>
      <c r="H185" s="3290"/>
      <c r="I185" s="3265"/>
      <c r="J185" s="2307" t="s">
        <v>32</v>
      </c>
      <c r="K185" s="3481" t="s">
        <v>310</v>
      </c>
      <c r="L185" s="3490" t="s">
        <v>5649</v>
      </c>
      <c r="M185" s="3482">
        <v>45328</v>
      </c>
      <c r="N185" s="3482">
        <v>45327</v>
      </c>
      <c r="O185" s="3373">
        <v>45328</v>
      </c>
      <c r="P185" s="3485" t="s">
        <v>5650</v>
      </c>
      <c r="Q185" s="2308" t="s">
        <v>50</v>
      </c>
      <c r="R185" s="2309" t="s">
        <v>5651</v>
      </c>
      <c r="S185" s="31"/>
      <c r="T185" s="712"/>
      <c r="U185" s="712"/>
      <c r="V185" s="712"/>
      <c r="W185" s="712">
        <f>表12[[#This Row],[Sales Amount]]-表12[[#This Row],[Cost]]</f>
        <v>0</v>
      </c>
      <c r="X185" s="2280" t="str">
        <f>IFERROR(Table6[[#This Row],[Profit]]/Table6[[#This Row],[Cost]]," ")</f>
        <v xml:space="preserve"> </v>
      </c>
      <c r="Y185" s="712"/>
      <c r="Z185" s="2210"/>
      <c r="AA185" s="3"/>
      <c r="AB185" s="3"/>
      <c r="AC185" s="3"/>
      <c r="AD185" s="3"/>
      <c r="AE185" s="3"/>
      <c r="AF185" s="3"/>
      <c r="AG185" s="3"/>
      <c r="AH185" s="3"/>
      <c r="AI185" s="3"/>
      <c r="AJ185" s="3"/>
      <c r="AK185" s="3"/>
      <c r="AL185" s="3"/>
      <c r="AM185" s="3"/>
      <c r="AN185" s="3"/>
      <c r="AO185" s="3"/>
      <c r="AP185" s="3"/>
      <c r="AQ185" s="3"/>
    </row>
    <row r="186" spans="1:43" s="36" customFormat="1" hidden="1">
      <c r="A186" s="3417" t="s">
        <v>409</v>
      </c>
      <c r="B186" s="5308" t="s">
        <v>5652</v>
      </c>
      <c r="C186" s="3488" t="s">
        <v>28</v>
      </c>
      <c r="D186" s="3489">
        <v>45315</v>
      </c>
      <c r="E186" s="2320">
        <v>45326</v>
      </c>
      <c r="F186" s="3488" t="s">
        <v>3639</v>
      </c>
      <c r="G186" s="3488" t="s">
        <v>2206</v>
      </c>
      <c r="H186" s="3290"/>
      <c r="I186" s="3265"/>
      <c r="J186" s="2307" t="s">
        <v>32</v>
      </c>
      <c r="K186" s="3481" t="s">
        <v>310</v>
      </c>
      <c r="L186" s="3490" t="s">
        <v>5653</v>
      </c>
      <c r="M186" s="3482">
        <v>45328</v>
      </c>
      <c r="N186" s="3482">
        <v>45327</v>
      </c>
      <c r="O186" s="3373">
        <v>45329</v>
      </c>
      <c r="P186" s="3485" t="s">
        <v>5654</v>
      </c>
      <c r="Q186" s="2308" t="s">
        <v>50</v>
      </c>
      <c r="R186" s="2321" t="s">
        <v>5655</v>
      </c>
      <c r="S186" s="19"/>
      <c r="T186" s="1138"/>
      <c r="U186" s="1138"/>
      <c r="V186" s="1138"/>
      <c r="W186" s="1138">
        <f>表12[[#This Row],[Sales Amount]]-表12[[#This Row],[Cost]]</f>
        <v>0</v>
      </c>
      <c r="X186" s="2275" t="str">
        <f>IFERROR(Table6[[#This Row],[Profit]]/Table6[[#This Row],[Cost]]," ")</f>
        <v xml:space="preserve"> </v>
      </c>
      <c r="Y186" s="1138"/>
      <c r="Z186" s="2253"/>
      <c r="AA186" s="3"/>
      <c r="AB186" s="3"/>
      <c r="AC186" s="3"/>
      <c r="AD186" s="3"/>
      <c r="AE186" s="3"/>
      <c r="AF186" s="3"/>
      <c r="AG186" s="3"/>
      <c r="AH186" s="3"/>
      <c r="AI186" s="3"/>
      <c r="AJ186" s="3"/>
      <c r="AK186" s="3"/>
      <c r="AL186" s="3"/>
      <c r="AM186" s="3"/>
      <c r="AN186" s="3"/>
      <c r="AO186" s="3"/>
      <c r="AP186" s="3"/>
      <c r="AQ186" s="3"/>
    </row>
    <row r="187" spans="1:43" s="36" customFormat="1" hidden="1">
      <c r="A187" s="3417" t="s">
        <v>409</v>
      </c>
      <c r="B187" s="3268" t="s">
        <v>5656</v>
      </c>
      <c r="C187" s="4848" t="s">
        <v>28</v>
      </c>
      <c r="D187" s="3373">
        <v>45334</v>
      </c>
      <c r="E187" s="3365">
        <v>45340</v>
      </c>
      <c r="F187" s="3265" t="s">
        <v>1017</v>
      </c>
      <c r="G187" s="3265" t="s">
        <v>829</v>
      </c>
      <c r="H187" s="3290"/>
      <c r="I187" s="3265"/>
      <c r="J187" s="3491" t="s">
        <v>32</v>
      </c>
      <c r="K187" s="3265" t="s">
        <v>310</v>
      </c>
      <c r="L187" s="117" t="s">
        <v>5657</v>
      </c>
      <c r="M187" s="3373">
        <v>45342</v>
      </c>
      <c r="N187" s="4853">
        <v>45340</v>
      </c>
      <c r="O187" s="3373">
        <v>45341</v>
      </c>
      <c r="P187" s="3317" t="s">
        <v>5658</v>
      </c>
      <c r="Q187" s="4848" t="s">
        <v>50</v>
      </c>
      <c r="R187" s="2322" t="s">
        <v>5659</v>
      </c>
      <c r="S187" s="19"/>
      <c r="T187" s="712"/>
      <c r="U187" s="712"/>
      <c r="V187" s="712"/>
      <c r="W187" s="712">
        <f>表12[[#This Row],[Sales Amount]]-表12[[#This Row],[Cost]]</f>
        <v>0</v>
      </c>
      <c r="X187" s="2280" t="str">
        <f>IFERROR(Table6[[#This Row],[Profit]]/Table6[[#This Row],[Cost]]," ")</f>
        <v xml:space="preserve"> </v>
      </c>
      <c r="Y187" s="712"/>
      <c r="Z187" s="2210"/>
      <c r="AA187" s="3"/>
      <c r="AB187" s="3"/>
      <c r="AC187" s="3"/>
      <c r="AD187" s="3"/>
      <c r="AE187" s="3"/>
      <c r="AF187" s="3"/>
      <c r="AG187" s="3"/>
      <c r="AH187" s="3"/>
      <c r="AI187" s="3"/>
      <c r="AJ187" s="3"/>
      <c r="AK187" s="3"/>
      <c r="AL187" s="3"/>
      <c r="AM187" s="3"/>
      <c r="AN187" s="3"/>
      <c r="AO187" s="3"/>
      <c r="AP187" s="3"/>
      <c r="AQ187" s="3"/>
    </row>
    <row r="188" spans="1:43" s="117" customFormat="1" ht="75">
      <c r="A188" s="4643" t="s">
        <v>5660</v>
      </c>
      <c r="B188" s="4242" t="s">
        <v>5661</v>
      </c>
      <c r="C188" s="4845" t="s">
        <v>28</v>
      </c>
      <c r="D188" s="3262">
        <v>45314</v>
      </c>
      <c r="E188" s="3365">
        <v>45324</v>
      </c>
      <c r="F188" s="3430" t="s">
        <v>93</v>
      </c>
      <c r="G188" s="4938" t="s">
        <v>302</v>
      </c>
      <c r="H188" s="3418">
        <v>45329</v>
      </c>
      <c r="I188" s="3367" t="s">
        <v>5662</v>
      </c>
      <c r="J188" s="3430" t="s">
        <v>1991</v>
      </c>
      <c r="K188" s="4938" t="s">
        <v>5663</v>
      </c>
      <c r="L188" s="3430" t="s">
        <v>5664</v>
      </c>
      <c r="M188" s="3262">
        <v>45326</v>
      </c>
      <c r="N188" s="4906">
        <v>45328</v>
      </c>
      <c r="O188" s="3262">
        <v>45329</v>
      </c>
      <c r="P188" s="4246" t="s">
        <v>5665</v>
      </c>
      <c r="Q188" s="4908" t="s">
        <v>75</v>
      </c>
      <c r="R188" s="2140" t="s">
        <v>5666</v>
      </c>
      <c r="S188" s="120"/>
      <c r="T188" s="660">
        <v>2022.5</v>
      </c>
      <c r="U188" s="660">
        <f>1193.38+300+65</f>
        <v>1558.38</v>
      </c>
      <c r="V188" s="660">
        <v>1</v>
      </c>
      <c r="W188" s="660">
        <f>表12[[#This Row],[Sales Amount]]-表12[[#This Row],[Cost]]</f>
        <v>464.11999999999989</v>
      </c>
      <c r="X188" s="2282" t="str">
        <f>IFERROR(Table6[[#This Row],[Profit]]/Table6[[#This Row],[Cost]]," ")</f>
        <v xml:space="preserve"> </v>
      </c>
      <c r="Y188" s="1063" t="s">
        <v>5640</v>
      </c>
      <c r="Z188" s="113"/>
      <c r="AA188" s="3"/>
      <c r="AB188" s="3"/>
      <c r="AC188" s="3"/>
      <c r="AD188" s="3"/>
      <c r="AE188" s="3"/>
      <c r="AF188" s="3"/>
      <c r="AG188" s="3"/>
      <c r="AH188" s="3"/>
      <c r="AI188" s="3"/>
      <c r="AJ188" s="3"/>
      <c r="AK188" s="3"/>
      <c r="AL188" s="3"/>
      <c r="AM188" s="3"/>
      <c r="AN188" s="3"/>
      <c r="AO188" s="3"/>
      <c r="AP188" s="3"/>
      <c r="AQ188" s="3"/>
    </row>
    <row r="189" spans="1:43" s="117" customFormat="1" ht="60">
      <c r="A189" s="3474" t="s">
        <v>5660</v>
      </c>
      <c r="B189" s="3430" t="s">
        <v>5667</v>
      </c>
      <c r="C189" s="4845" t="s">
        <v>28</v>
      </c>
      <c r="D189" s="3262">
        <v>45314</v>
      </c>
      <c r="E189" s="3365">
        <v>45324</v>
      </c>
      <c r="F189" s="3430" t="s">
        <v>93</v>
      </c>
      <c r="G189" s="3430" t="s">
        <v>302</v>
      </c>
      <c r="H189" s="3418">
        <v>45328</v>
      </c>
      <c r="I189" s="3367" t="s">
        <v>5662</v>
      </c>
      <c r="J189" s="3430" t="s">
        <v>1991</v>
      </c>
      <c r="K189" s="1617" t="s">
        <v>5663</v>
      </c>
      <c r="L189" s="3430" t="s">
        <v>5668</v>
      </c>
      <c r="M189" s="3262">
        <v>45327</v>
      </c>
      <c r="N189" s="3262">
        <v>45328</v>
      </c>
      <c r="O189" s="3262">
        <v>45328</v>
      </c>
      <c r="P189" s="4246" t="s">
        <v>5669</v>
      </c>
      <c r="Q189" s="4242" t="s">
        <v>75</v>
      </c>
      <c r="R189" s="2127" t="s">
        <v>5670</v>
      </c>
      <c r="S189" s="660"/>
      <c r="T189" s="660">
        <v>1525</v>
      </c>
      <c r="U189" s="660">
        <f>1249.63+150</f>
        <v>1399.63</v>
      </c>
      <c r="V189" s="660">
        <v>1</v>
      </c>
      <c r="W189" s="660">
        <f>表12[[#This Row],[Sales Amount]]-表12[[#This Row],[Cost]]</f>
        <v>125.36999999999989</v>
      </c>
      <c r="X189" s="2282" t="str">
        <f>IFERROR(Table6[[#This Row],[Profit]]/Table6[[#This Row],[Cost]]," ")</f>
        <v xml:space="preserve"> </v>
      </c>
      <c r="Y189" s="1063" t="s">
        <v>5640</v>
      </c>
      <c r="Z189" s="113"/>
      <c r="AA189" s="3"/>
      <c r="AB189" s="3"/>
      <c r="AC189" s="3"/>
      <c r="AD189" s="3"/>
      <c r="AE189" s="3"/>
      <c r="AF189" s="3"/>
      <c r="AG189" s="3"/>
      <c r="AH189" s="3"/>
      <c r="AI189" s="3"/>
      <c r="AJ189" s="3"/>
      <c r="AK189" s="3"/>
      <c r="AL189" s="3"/>
      <c r="AM189" s="3"/>
      <c r="AN189" s="3"/>
      <c r="AO189" s="3"/>
      <c r="AP189" s="3"/>
      <c r="AQ189" s="3"/>
    </row>
    <row r="190" spans="1:43" s="52" customFormat="1" hidden="1">
      <c r="A190" s="3235" t="s">
        <v>2396</v>
      </c>
      <c r="B190" s="3275" t="s">
        <v>5671</v>
      </c>
      <c r="C190" s="3275" t="s">
        <v>28</v>
      </c>
      <c r="D190" s="3280">
        <v>45322</v>
      </c>
      <c r="E190" s="3346">
        <v>45322</v>
      </c>
      <c r="F190" s="3275" t="s">
        <v>45</v>
      </c>
      <c r="G190" s="4839" t="s">
        <v>5672</v>
      </c>
      <c r="H190" s="3304">
        <v>45329</v>
      </c>
      <c r="I190" s="3357" t="s">
        <v>40</v>
      </c>
      <c r="J190" s="18" t="s">
        <v>1478</v>
      </c>
      <c r="K190" s="4839" t="s">
        <v>5279</v>
      </c>
      <c r="L190" s="3357" t="s">
        <v>542</v>
      </c>
      <c r="M190" s="3396">
        <v>45329</v>
      </c>
      <c r="N190" s="3396">
        <v>45329</v>
      </c>
      <c r="O190" s="3280" t="s">
        <v>5673</v>
      </c>
      <c r="P190" s="3492" t="s">
        <v>5674</v>
      </c>
      <c r="Q190" s="4839" t="s">
        <v>35</v>
      </c>
      <c r="R190" s="4839" t="s">
        <v>36</v>
      </c>
      <c r="S190" s="4839" t="s">
        <v>37</v>
      </c>
      <c r="T190" s="705">
        <v>410</v>
      </c>
      <c r="U190" s="705">
        <v>307.8</v>
      </c>
      <c r="V190" s="705"/>
      <c r="W190" s="705">
        <f>表12[[#This Row],[Sales Amount]]-表12[[#This Row],[Cost]]</f>
        <v>102.19999999999999</v>
      </c>
      <c r="X190" s="705" t="str">
        <f>IFERROR(Table6[[#This Row],[Profit]]/Table6[[#This Row],[Cost]]," ")</f>
        <v xml:space="preserve"> </v>
      </c>
      <c r="Y190" s="705"/>
      <c r="Z190" s="704"/>
      <c r="AA190"/>
      <c r="AB190"/>
      <c r="AC190"/>
      <c r="AD190"/>
      <c r="AE190"/>
      <c r="AF190"/>
      <c r="AG190"/>
      <c r="AH190"/>
      <c r="AI190"/>
      <c r="AJ190"/>
      <c r="AK190"/>
      <c r="AL190"/>
      <c r="AM190"/>
      <c r="AN190"/>
      <c r="AO190"/>
      <c r="AP190"/>
      <c r="AQ190"/>
    </row>
    <row r="191" spans="1:43" s="52" customFormat="1" ht="30" hidden="1">
      <c r="A191" s="3235" t="s">
        <v>2396</v>
      </c>
      <c r="B191" s="3449" t="s">
        <v>5675</v>
      </c>
      <c r="C191" s="4839" t="s">
        <v>28</v>
      </c>
      <c r="D191" s="3280">
        <v>45322</v>
      </c>
      <c r="E191" s="3346">
        <v>45322</v>
      </c>
      <c r="F191" s="3275" t="s">
        <v>45</v>
      </c>
      <c r="G191" s="58" t="s">
        <v>5672</v>
      </c>
      <c r="H191" s="3304">
        <v>45328</v>
      </c>
      <c r="I191" s="3357" t="s">
        <v>899</v>
      </c>
      <c r="J191" s="3275" t="s">
        <v>1478</v>
      </c>
      <c r="K191" s="3275" t="s">
        <v>5198</v>
      </c>
      <c r="L191" s="3357" t="s">
        <v>5676</v>
      </c>
      <c r="M191" s="3396">
        <v>45329</v>
      </c>
      <c r="N191" s="3280">
        <v>45328</v>
      </c>
      <c r="O191" s="3396" t="s">
        <v>5677</v>
      </c>
      <c r="P191" s="3492" t="s">
        <v>5678</v>
      </c>
      <c r="Q191" s="3275" t="s">
        <v>35</v>
      </c>
      <c r="R191" s="2093" t="s">
        <v>36</v>
      </c>
      <c r="S191" s="710" t="s">
        <v>37</v>
      </c>
      <c r="T191" s="705">
        <v>650</v>
      </c>
      <c r="U191" s="705">
        <v>374.4</v>
      </c>
      <c r="V191" s="705"/>
      <c r="W191" s="705">
        <f>表12[[#This Row],[Sales Amount]]-表12[[#This Row],[Cost]]</f>
        <v>275.60000000000002</v>
      </c>
      <c r="X191" s="705" t="str">
        <f>IFERROR(Table6[[#This Row],[Profit]]/Table6[[#This Row],[Cost]]," ")</f>
        <v xml:space="preserve"> </v>
      </c>
      <c r="Y191" s="705"/>
      <c r="Z191" s="704"/>
      <c r="AA191"/>
      <c r="AB191"/>
      <c r="AC191"/>
      <c r="AD191"/>
      <c r="AE191"/>
      <c r="AF191"/>
      <c r="AG191"/>
      <c r="AH191"/>
      <c r="AI191"/>
      <c r="AJ191"/>
      <c r="AK191"/>
      <c r="AL191"/>
      <c r="AM191"/>
      <c r="AN191"/>
      <c r="AO191"/>
      <c r="AP191"/>
      <c r="AQ191"/>
    </row>
    <row r="192" spans="1:43" s="52" customFormat="1" hidden="1">
      <c r="A192" s="3235" t="s">
        <v>2396</v>
      </c>
      <c r="B192" s="58" t="s">
        <v>5679</v>
      </c>
      <c r="C192" s="4839" t="s">
        <v>28</v>
      </c>
      <c r="D192" s="3280">
        <v>45322</v>
      </c>
      <c r="E192" s="3346">
        <v>45322</v>
      </c>
      <c r="F192" s="3275" t="s">
        <v>45</v>
      </c>
      <c r="G192" s="58" t="s">
        <v>5672</v>
      </c>
      <c r="H192" s="3304">
        <v>45329</v>
      </c>
      <c r="I192" s="3357" t="s">
        <v>899</v>
      </c>
      <c r="J192" s="3275" t="s">
        <v>1478</v>
      </c>
      <c r="K192" s="3275" t="s">
        <v>5198</v>
      </c>
      <c r="L192" s="3357" t="s">
        <v>5676</v>
      </c>
      <c r="M192" s="3396">
        <v>45329</v>
      </c>
      <c r="N192" s="3396">
        <v>45329</v>
      </c>
      <c r="O192" s="3396" t="s">
        <v>5677</v>
      </c>
      <c r="P192" s="3429" t="s">
        <v>5680</v>
      </c>
      <c r="Q192" s="3275" t="s">
        <v>35</v>
      </c>
      <c r="R192" s="2093" t="s">
        <v>36</v>
      </c>
      <c r="S192" s="710" t="s">
        <v>37</v>
      </c>
      <c r="T192" s="705">
        <v>455</v>
      </c>
      <c r="U192" s="705">
        <v>334.4</v>
      </c>
      <c r="V192" s="705"/>
      <c r="W192" s="705">
        <f>表12[[#This Row],[Sales Amount]]-表12[[#This Row],[Cost]]</f>
        <v>120.60000000000002</v>
      </c>
      <c r="X192" s="705" t="str">
        <f>IFERROR(Table6[[#This Row],[Profit]]/Table6[[#This Row],[Cost]]," ")</f>
        <v xml:space="preserve"> </v>
      </c>
      <c r="Y192" s="705"/>
      <c r="Z192" s="704"/>
      <c r="AA192"/>
      <c r="AB192"/>
      <c r="AC192"/>
      <c r="AD192"/>
      <c r="AE192"/>
      <c r="AF192"/>
      <c r="AG192"/>
      <c r="AH192"/>
      <c r="AI192"/>
      <c r="AJ192"/>
      <c r="AK192"/>
      <c r="AL192"/>
      <c r="AM192"/>
      <c r="AN192"/>
      <c r="AO192"/>
      <c r="AP192"/>
      <c r="AQ192"/>
    </row>
    <row r="193" spans="1:43" s="1350" customFormat="1" hidden="1">
      <c r="A193" s="3493" t="s">
        <v>3343</v>
      </c>
      <c r="B193" s="1383" t="s">
        <v>5681</v>
      </c>
      <c r="C193" s="3494" t="s">
        <v>28</v>
      </c>
      <c r="D193" s="3495">
        <v>45310</v>
      </c>
      <c r="E193" s="3496">
        <v>45324</v>
      </c>
      <c r="F193" s="3494" t="s">
        <v>1017</v>
      </c>
      <c r="G193" s="1383" t="s">
        <v>302</v>
      </c>
      <c r="H193" s="946"/>
      <c r="I193" s="3275"/>
      <c r="J193" s="3497" t="s">
        <v>32</v>
      </c>
      <c r="K193" s="3498" t="s">
        <v>310</v>
      </c>
      <c r="L193" s="2414" t="s">
        <v>5682</v>
      </c>
      <c r="M193" s="3499">
        <v>45326</v>
      </c>
      <c r="N193" s="3499">
        <v>45325</v>
      </c>
      <c r="O193" s="3280">
        <v>45327</v>
      </c>
      <c r="P193" s="3372" t="s">
        <v>5683</v>
      </c>
      <c r="Q193" s="3498" t="s">
        <v>50</v>
      </c>
      <c r="R193" s="650" t="s">
        <v>5684</v>
      </c>
      <c r="S193" s="710"/>
      <c r="T193" s="1372"/>
      <c r="U193" s="1372"/>
      <c r="V193" s="1372"/>
      <c r="W193" s="1372">
        <f>表12[[#This Row],[Sales Amount]]-表12[[#This Row],[Cost]]</f>
        <v>0</v>
      </c>
      <c r="X193" s="2268" t="str">
        <f>IFERROR(Table6[[#This Row],[Profit]]/Table6[[#This Row],[Cost]]," ")</f>
        <v xml:space="preserve"> </v>
      </c>
      <c r="Y193" s="1372"/>
      <c r="Z193" s="2261"/>
      <c r="AA193" s="650"/>
      <c r="AB193" s="650"/>
      <c r="AC193" s="650"/>
      <c r="AD193" s="650"/>
      <c r="AE193" s="650"/>
      <c r="AF193" s="650"/>
      <c r="AG193" s="650"/>
      <c r="AH193" s="650"/>
      <c r="AI193" s="650"/>
      <c r="AJ193" s="650"/>
      <c r="AK193" s="650"/>
      <c r="AL193" s="650"/>
      <c r="AM193" s="650"/>
      <c r="AN193" s="650"/>
      <c r="AO193" s="650"/>
      <c r="AP193" s="650"/>
      <c r="AQ193" s="650"/>
    </row>
    <row r="194" spans="1:43" s="52" customFormat="1" hidden="1">
      <c r="A194" s="3235" t="s">
        <v>622</v>
      </c>
      <c r="B194" s="3275" t="s">
        <v>5141</v>
      </c>
      <c r="C194" s="58" t="s">
        <v>28</v>
      </c>
      <c r="D194" s="3280">
        <v>45316</v>
      </c>
      <c r="E194" s="3346">
        <v>45336</v>
      </c>
      <c r="F194" s="3275" t="s">
        <v>245</v>
      </c>
      <c r="G194" s="3275" t="s">
        <v>57</v>
      </c>
      <c r="H194" s="3301">
        <v>45337</v>
      </c>
      <c r="I194" s="3275"/>
      <c r="J194" s="4839" t="s">
        <v>32</v>
      </c>
      <c r="K194" s="3286" t="s">
        <v>1445</v>
      </c>
      <c r="L194" s="1589">
        <v>1628110</v>
      </c>
      <c r="M194" s="3396">
        <v>45339</v>
      </c>
      <c r="N194" s="3500">
        <v>45337</v>
      </c>
      <c r="O194" s="3280">
        <v>45338</v>
      </c>
      <c r="P194" s="3439" t="s">
        <v>5685</v>
      </c>
      <c r="Q194" s="4839" t="s">
        <v>35</v>
      </c>
      <c r="R194" s="2093" t="s">
        <v>36</v>
      </c>
      <c r="S194" s="710" t="s">
        <v>67</v>
      </c>
      <c r="T194" s="705">
        <v>650</v>
      </c>
      <c r="U194" s="705">
        <v>550</v>
      </c>
      <c r="V194" s="705"/>
      <c r="W194" s="705">
        <f>表12[[#This Row],[Sales Amount]]-表12[[#This Row],[Cost]]</f>
        <v>100</v>
      </c>
      <c r="X194" s="705" t="str">
        <f>IFERROR(Table6[[#This Row],[Profit]]/Table6[[#This Row],[Cost]]," ")</f>
        <v xml:space="preserve"> </v>
      </c>
      <c r="Y194" s="705"/>
      <c r="Z194" s="704"/>
      <c r="AA194"/>
      <c r="AB194"/>
      <c r="AC194"/>
      <c r="AD194"/>
      <c r="AE194"/>
      <c r="AF194"/>
      <c r="AG194"/>
      <c r="AH194"/>
      <c r="AI194"/>
      <c r="AJ194"/>
      <c r="AK194"/>
      <c r="AL194"/>
      <c r="AM194"/>
      <c r="AN194"/>
      <c r="AO194"/>
      <c r="AP194"/>
      <c r="AQ194"/>
    </row>
    <row r="195" spans="1:43" s="52" customFormat="1" hidden="1">
      <c r="A195" s="4599" t="s">
        <v>1945</v>
      </c>
      <c r="B195" s="5295" t="s">
        <v>5686</v>
      </c>
      <c r="C195" s="58" t="s">
        <v>28</v>
      </c>
      <c r="D195" s="4859">
        <v>45316</v>
      </c>
      <c r="E195" s="4867">
        <v>45325</v>
      </c>
      <c r="F195" s="4839" t="s">
        <v>151</v>
      </c>
      <c r="G195" s="4839" t="s">
        <v>46</v>
      </c>
      <c r="H195" s="3301" t="s">
        <v>5687</v>
      </c>
      <c r="I195" s="18" t="s">
        <v>5688</v>
      </c>
      <c r="J195" s="58" t="s">
        <v>32</v>
      </c>
      <c r="K195" s="18" t="s">
        <v>5689</v>
      </c>
      <c r="L195" s="4901" t="s">
        <v>5690</v>
      </c>
      <c r="M195" s="4855">
        <v>45328</v>
      </c>
      <c r="N195" s="4876">
        <v>45328</v>
      </c>
      <c r="O195" s="4859">
        <v>45329</v>
      </c>
      <c r="P195" s="5277" t="s">
        <v>5691</v>
      </c>
      <c r="Q195" s="4839" t="s">
        <v>35</v>
      </c>
      <c r="R195" s="4839" t="s">
        <v>36</v>
      </c>
      <c r="S195" s="4839" t="s">
        <v>5692</v>
      </c>
      <c r="T195" s="681"/>
      <c r="U195" s="681"/>
      <c r="V195" s="681"/>
      <c r="W195" s="681">
        <f>表12[[#This Row],[Sales Amount]]-表12[[#This Row],[Cost]]</f>
        <v>0</v>
      </c>
      <c r="X195" s="681" t="str">
        <f>IFERROR(Table6[[#This Row],[Profit]]/Table6[[#This Row],[Cost]]," ")</f>
        <v xml:space="preserve"> </v>
      </c>
      <c r="Y195" s="681"/>
      <c r="Z195" s="2138"/>
      <c r="AA195"/>
      <c r="AB195"/>
      <c r="AC195"/>
      <c r="AD195"/>
      <c r="AE195"/>
      <c r="AF195"/>
      <c r="AG195"/>
      <c r="AH195"/>
      <c r="AI195"/>
      <c r="AJ195"/>
      <c r="AK195"/>
      <c r="AL195"/>
      <c r="AM195"/>
      <c r="AN195"/>
      <c r="AO195"/>
      <c r="AP195"/>
      <c r="AQ195"/>
    </row>
    <row r="196" spans="1:43" s="52" customFormat="1" hidden="1">
      <c r="A196" s="3235" t="s">
        <v>681</v>
      </c>
      <c r="B196" s="58" t="s">
        <v>5693</v>
      </c>
      <c r="C196" s="58" t="s">
        <v>28</v>
      </c>
      <c r="D196" s="4859">
        <v>45316</v>
      </c>
      <c r="E196" s="4867">
        <v>45325</v>
      </c>
      <c r="F196" s="4839" t="s">
        <v>151</v>
      </c>
      <c r="G196" s="4839" t="s">
        <v>46</v>
      </c>
      <c r="H196" s="3304">
        <v>45329</v>
      </c>
      <c r="I196" s="4841" t="s">
        <v>5694</v>
      </c>
      <c r="J196" s="4839" t="s">
        <v>1353</v>
      </c>
      <c r="K196" s="4839" t="s">
        <v>4806</v>
      </c>
      <c r="L196" s="3347" t="s">
        <v>5695</v>
      </c>
      <c r="M196" s="3396">
        <v>45329</v>
      </c>
      <c r="N196" s="3329">
        <v>45329</v>
      </c>
      <c r="O196" s="3329">
        <v>45329</v>
      </c>
      <c r="P196" s="3429" t="s">
        <v>5696</v>
      </c>
      <c r="Q196" s="4854" t="s">
        <v>35</v>
      </c>
      <c r="R196" s="4839" t="s">
        <v>36</v>
      </c>
      <c r="S196" s="4839" t="s">
        <v>37</v>
      </c>
      <c r="T196" s="705">
        <v>1010</v>
      </c>
      <c r="U196" s="705">
        <v>848</v>
      </c>
      <c r="V196" s="705"/>
      <c r="W196" s="705">
        <f>表12[[#This Row],[Sales Amount]]-表12[[#This Row],[Cost]]</f>
        <v>162</v>
      </c>
      <c r="X196" s="2146" t="str">
        <f>IFERROR(Table6[[#This Row],[Profit]]/Table6[[#This Row],[Cost]]," ")</f>
        <v xml:space="preserve"> </v>
      </c>
      <c r="Y196" s="705"/>
      <c r="Z196" s="704"/>
      <c r="AA196"/>
      <c r="AB196"/>
      <c r="AC196"/>
      <c r="AD196"/>
      <c r="AE196"/>
      <c r="AF196"/>
      <c r="AG196"/>
      <c r="AH196"/>
      <c r="AI196"/>
      <c r="AJ196"/>
      <c r="AK196"/>
      <c r="AL196"/>
      <c r="AM196"/>
      <c r="AN196"/>
      <c r="AO196"/>
      <c r="AP196"/>
      <c r="AQ196"/>
    </row>
    <row r="197" spans="1:43" s="36" customFormat="1" hidden="1">
      <c r="A197" s="3417" t="s">
        <v>409</v>
      </c>
      <c r="B197" s="3268" t="s">
        <v>5697</v>
      </c>
      <c r="C197" s="3268" t="s">
        <v>28</v>
      </c>
      <c r="D197" s="3262">
        <v>45334</v>
      </c>
      <c r="E197" s="3365">
        <f>7+表12[[#This Row],[ETA PORT]]</f>
        <v>45341</v>
      </c>
      <c r="F197" s="3268" t="s">
        <v>86</v>
      </c>
      <c r="G197" s="3265" t="s">
        <v>829</v>
      </c>
      <c r="H197" s="3290"/>
      <c r="I197" s="3265"/>
      <c r="J197" s="3491" t="s">
        <v>32</v>
      </c>
      <c r="K197" s="3265" t="s">
        <v>310</v>
      </c>
      <c r="L197" s="25" t="s">
        <v>5698</v>
      </c>
      <c r="M197" s="3373">
        <v>45340</v>
      </c>
      <c r="N197" s="3373">
        <v>45340</v>
      </c>
      <c r="O197" s="3373">
        <v>45343</v>
      </c>
      <c r="P197" s="3317" t="s">
        <v>5699</v>
      </c>
      <c r="Q197" s="25" t="s">
        <v>50</v>
      </c>
      <c r="R197" s="2209" t="s">
        <v>5700</v>
      </c>
      <c r="S197" s="31"/>
      <c r="T197" s="712"/>
      <c r="U197" s="712"/>
      <c r="V197" s="712"/>
      <c r="W197" s="712">
        <f>表12[[#This Row],[Sales Amount]]-表12[[#This Row],[Cost]]</f>
        <v>0</v>
      </c>
      <c r="X197" s="2280" t="str">
        <f>IFERROR(Table6[[#This Row],[Profit]]/Table6[[#This Row],[Cost]]," ")</f>
        <v xml:space="preserve"> </v>
      </c>
      <c r="Y197" s="712"/>
      <c r="Z197" s="2210"/>
      <c r="AA197" s="3"/>
      <c r="AB197" s="3"/>
      <c r="AC197" s="3"/>
      <c r="AD197" s="3"/>
      <c r="AE197" s="3"/>
      <c r="AF197" s="3"/>
      <c r="AG197" s="3"/>
      <c r="AH197" s="3"/>
      <c r="AI197" s="3"/>
      <c r="AJ197" s="3"/>
      <c r="AK197" s="3"/>
      <c r="AL197" s="3"/>
      <c r="AM197" s="3"/>
      <c r="AN197" s="3"/>
      <c r="AO197" s="3"/>
      <c r="AP197" s="3"/>
      <c r="AQ197" s="3"/>
    </row>
    <row r="198" spans="1:43" s="117" customFormat="1" ht="30">
      <c r="A198" s="3417" t="s">
        <v>468</v>
      </c>
      <c r="B198" s="3430" t="s">
        <v>5701</v>
      </c>
      <c r="C198" s="3268" t="s">
        <v>200</v>
      </c>
      <c r="D198" s="3262">
        <v>45297</v>
      </c>
      <c r="E198" s="3452">
        <v>45332</v>
      </c>
      <c r="F198" s="3268" t="s">
        <v>93</v>
      </c>
      <c r="G198" s="3430" t="s">
        <v>4274</v>
      </c>
      <c r="H198" s="3292">
        <v>45334</v>
      </c>
      <c r="I198" s="3268" t="s">
        <v>5702</v>
      </c>
      <c r="J198" s="806" t="s">
        <v>297</v>
      </c>
      <c r="K198" s="3432" t="s">
        <v>3200</v>
      </c>
      <c r="L198" s="3501">
        <v>6217</v>
      </c>
      <c r="M198" s="3292">
        <v>45335</v>
      </c>
      <c r="N198" s="3262">
        <v>45334</v>
      </c>
      <c r="O198" s="3262">
        <v>45334</v>
      </c>
      <c r="P198" s="3432" t="s">
        <v>5703</v>
      </c>
      <c r="Q198" s="117" t="s">
        <v>75</v>
      </c>
      <c r="R198" s="2125" t="s">
        <v>5704</v>
      </c>
      <c r="S198" s="660"/>
      <c r="T198" s="660">
        <v>830</v>
      </c>
      <c r="U198" s="660">
        <v>564.29999999999995</v>
      </c>
      <c r="V198" s="660">
        <v>1</v>
      </c>
      <c r="W198" s="660">
        <f>表12[[#This Row],[Sales Amount]]-表12[[#This Row],[Cost]]</f>
        <v>265.70000000000005</v>
      </c>
      <c r="X198" s="885">
        <f>表12[[#This Row],[Profit]]/表12[[#This Row],[Cost]]</f>
        <v>0.47084883926989202</v>
      </c>
      <c r="Y198" s="1063" t="s">
        <v>5640</v>
      </c>
      <c r="Z198" s="113"/>
      <c r="AA198"/>
      <c r="AB198"/>
      <c r="AC198"/>
      <c r="AD198"/>
      <c r="AE198"/>
      <c r="AF198"/>
      <c r="AG198"/>
      <c r="AH198"/>
      <c r="AI198"/>
      <c r="AJ198"/>
      <c r="AK198"/>
      <c r="AL198"/>
      <c r="AM198"/>
      <c r="AN198"/>
      <c r="AO198"/>
      <c r="AP198"/>
      <c r="AQ198"/>
    </row>
    <row r="199" spans="1:43" ht="30">
      <c r="A199" s="4643" t="s">
        <v>2847</v>
      </c>
      <c r="B199" s="4938" t="s">
        <v>5705</v>
      </c>
      <c r="C199" s="4938" t="s">
        <v>28</v>
      </c>
      <c r="D199" s="3262">
        <v>45320</v>
      </c>
      <c r="E199" s="889">
        <v>45334</v>
      </c>
      <c r="F199" s="3430" t="s">
        <v>167</v>
      </c>
      <c r="G199" s="3430" t="s">
        <v>302</v>
      </c>
      <c r="H199" s="3292">
        <v>45336</v>
      </c>
      <c r="I199" s="3430" t="s">
        <v>115</v>
      </c>
      <c r="J199" s="3430" t="s">
        <v>32</v>
      </c>
      <c r="K199" s="3430" t="s">
        <v>1829</v>
      </c>
      <c r="L199" s="3367" t="s">
        <v>5706</v>
      </c>
      <c r="M199" s="3262">
        <v>45336</v>
      </c>
      <c r="N199" s="3262">
        <v>45336</v>
      </c>
      <c r="O199" s="3262">
        <v>45336</v>
      </c>
      <c r="P199" s="4909" t="s">
        <v>5707</v>
      </c>
      <c r="Q199" s="117" t="s">
        <v>75</v>
      </c>
      <c r="R199" s="2284" t="s">
        <v>5708</v>
      </c>
      <c r="S199" s="120"/>
      <c r="T199" s="120">
        <v>805</v>
      </c>
      <c r="U199" s="120">
        <v>630</v>
      </c>
      <c r="V199" s="120"/>
      <c r="W199" s="120">
        <f>表12[[#This Row],[Sales Amount]]-表12[[#This Row],[Cost]]</f>
        <v>175</v>
      </c>
      <c r="X199" s="2305" t="str">
        <f>IFERROR(Table6[[#This Row],[Profit]]/Table6[[#This Row],[Cost]]," ")</f>
        <v xml:space="preserve"> </v>
      </c>
      <c r="Y199" s="120"/>
      <c r="Z199" s="1209"/>
    </row>
    <row r="200" spans="1:43" s="52" customFormat="1" hidden="1">
      <c r="A200" s="4599" t="s">
        <v>1945</v>
      </c>
      <c r="B200" s="4839" t="s">
        <v>5709</v>
      </c>
      <c r="C200" s="4839" t="s">
        <v>28</v>
      </c>
      <c r="D200" s="3280">
        <v>45320</v>
      </c>
      <c r="E200" s="3346">
        <v>45336</v>
      </c>
      <c r="F200" s="3275" t="s">
        <v>151</v>
      </c>
      <c r="G200" s="3275" t="s">
        <v>46</v>
      </c>
      <c r="H200" s="3280" t="s">
        <v>5710</v>
      </c>
      <c r="I200" s="3357" t="s">
        <v>5711</v>
      </c>
      <c r="J200" s="3275" t="s">
        <v>32</v>
      </c>
      <c r="K200" s="3275" t="s">
        <v>5689</v>
      </c>
      <c r="L200" s="3357" t="s">
        <v>5712</v>
      </c>
      <c r="M200" s="3329">
        <v>45339</v>
      </c>
      <c r="N200" s="3500">
        <v>45337</v>
      </c>
      <c r="O200" s="3280">
        <v>45339</v>
      </c>
      <c r="P200" s="5277" t="s">
        <v>5713</v>
      </c>
      <c r="Q200" s="58" t="s">
        <v>35</v>
      </c>
      <c r="R200" s="1432" t="s">
        <v>36</v>
      </c>
      <c r="S200" s="18" t="s">
        <v>67</v>
      </c>
      <c r="T200" s="84"/>
      <c r="U200" s="681">
        <v>670</v>
      </c>
      <c r="V200" s="681"/>
      <c r="W200" s="681">
        <f>表12[[#This Row],[Sales Amount]]-表12[[#This Row],[Cost]]</f>
        <v>-670</v>
      </c>
      <c r="X200" s="2145" t="str">
        <f>IFERROR(Table6[[#This Row],[Profit]]/Table6[[#This Row],[Cost]]," ")</f>
        <v xml:space="preserve"> </v>
      </c>
      <c r="Y200" s="681"/>
      <c r="Z200" s="2138"/>
      <c r="AA200"/>
      <c r="AB200"/>
      <c r="AC200"/>
      <c r="AD200"/>
      <c r="AE200"/>
      <c r="AF200"/>
      <c r="AG200"/>
      <c r="AH200"/>
      <c r="AI200"/>
      <c r="AJ200"/>
      <c r="AK200"/>
      <c r="AL200"/>
      <c r="AM200"/>
      <c r="AN200"/>
      <c r="AO200"/>
      <c r="AP200"/>
      <c r="AQ200"/>
    </row>
    <row r="201" spans="1:43" s="52" customFormat="1" hidden="1">
      <c r="A201" s="4851" t="s">
        <v>2396</v>
      </c>
      <c r="B201" s="4851" t="s">
        <v>5714</v>
      </c>
      <c r="C201" s="4851" t="s">
        <v>28</v>
      </c>
      <c r="D201" s="5309">
        <v>45320</v>
      </c>
      <c r="E201" s="5310">
        <v>45325</v>
      </c>
      <c r="F201" s="4854" t="s">
        <v>45</v>
      </c>
      <c r="G201" s="4854" t="s">
        <v>5672</v>
      </c>
      <c r="H201" s="5309">
        <v>45334</v>
      </c>
      <c r="I201" s="4854" t="s">
        <v>5715</v>
      </c>
      <c r="J201" s="4854" t="s">
        <v>1478</v>
      </c>
      <c r="K201" s="4854" t="s">
        <v>5279</v>
      </c>
      <c r="L201" s="4854" t="s">
        <v>5676</v>
      </c>
      <c r="M201" s="5309">
        <v>45331</v>
      </c>
      <c r="N201" s="5309">
        <v>45331</v>
      </c>
      <c r="O201" s="3329">
        <v>45337</v>
      </c>
      <c r="P201" s="4843" t="s">
        <v>5716</v>
      </c>
      <c r="Q201" s="4851" t="s">
        <v>35</v>
      </c>
      <c r="R201" s="1432" t="s">
        <v>36</v>
      </c>
      <c r="S201" s="4851" t="s">
        <v>37</v>
      </c>
      <c r="T201" s="3241">
        <v>760</v>
      </c>
      <c r="U201" s="3241">
        <v>607.79999999999995</v>
      </c>
      <c r="V201" s="3241"/>
      <c r="W201" s="3241"/>
      <c r="X201" s="3241"/>
      <c r="Y201" s="3241"/>
      <c r="Z201" s="3241"/>
      <c r="AA201"/>
      <c r="AB201"/>
      <c r="AC201"/>
      <c r="AD201"/>
      <c r="AE201"/>
      <c r="AF201"/>
      <c r="AG201"/>
      <c r="AH201"/>
      <c r="AI201"/>
      <c r="AJ201"/>
      <c r="AK201"/>
      <c r="AL201"/>
      <c r="AM201"/>
      <c r="AN201"/>
      <c r="AO201"/>
      <c r="AP201"/>
      <c r="AQ201"/>
    </row>
    <row r="202" spans="1:43" hidden="1">
      <c r="A202" s="4851" t="s">
        <v>2396</v>
      </c>
      <c r="B202" s="4851" t="s">
        <v>5717</v>
      </c>
      <c r="C202" s="4851" t="s">
        <v>28</v>
      </c>
      <c r="D202" s="5309">
        <v>45320</v>
      </c>
      <c r="E202" s="5310">
        <v>45325</v>
      </c>
      <c r="F202" s="4854" t="s">
        <v>45</v>
      </c>
      <c r="G202" s="4854" t="s">
        <v>5672</v>
      </c>
      <c r="H202" s="5309">
        <v>45334</v>
      </c>
      <c r="I202" s="4854" t="s">
        <v>5718</v>
      </c>
      <c r="J202" s="4854" t="s">
        <v>1478</v>
      </c>
      <c r="K202" s="4854" t="s">
        <v>5279</v>
      </c>
      <c r="L202" s="4854" t="s">
        <v>315</v>
      </c>
      <c r="M202" s="5309">
        <v>45331</v>
      </c>
      <c r="N202" s="2317">
        <v>45331</v>
      </c>
      <c r="O202" s="3329">
        <v>45337</v>
      </c>
      <c r="P202" s="4843" t="s">
        <v>5719</v>
      </c>
      <c r="Q202" s="4851" t="s">
        <v>35</v>
      </c>
      <c r="R202" s="1432" t="s">
        <v>36</v>
      </c>
      <c r="S202" s="4851" t="s">
        <v>37</v>
      </c>
      <c r="T202" s="3241">
        <v>760</v>
      </c>
      <c r="U202" s="3241">
        <v>607.79999999999995</v>
      </c>
      <c r="V202" s="3241"/>
      <c r="W202" s="3241"/>
      <c r="X202" s="3241"/>
      <c r="Y202" s="3241"/>
      <c r="Z202" s="3241"/>
    </row>
    <row r="203" spans="1:43" s="52" customFormat="1" hidden="1">
      <c r="A203" s="3235" t="s">
        <v>2396</v>
      </c>
      <c r="B203" s="4221" t="s">
        <v>5720</v>
      </c>
      <c r="C203" s="4839" t="s">
        <v>28</v>
      </c>
      <c r="D203" s="3280">
        <v>45325</v>
      </c>
      <c r="E203" s="3346">
        <v>45325</v>
      </c>
      <c r="F203" s="3275" t="s">
        <v>45</v>
      </c>
      <c r="G203" s="58" t="s">
        <v>5672</v>
      </c>
      <c r="H203" s="3396">
        <v>45331</v>
      </c>
      <c r="I203" s="4841" t="s">
        <v>899</v>
      </c>
      <c r="J203" s="3275" t="s">
        <v>1478</v>
      </c>
      <c r="K203" s="3275" t="s">
        <v>5198</v>
      </c>
      <c r="L203" s="3357" t="s">
        <v>5721</v>
      </c>
      <c r="M203" s="3329">
        <v>45331</v>
      </c>
      <c r="N203" s="3329">
        <v>45330</v>
      </c>
      <c r="O203" s="3396">
        <v>45336</v>
      </c>
      <c r="P203" s="3492" t="s">
        <v>5722</v>
      </c>
      <c r="Q203" s="3275" t="s">
        <v>35</v>
      </c>
      <c r="R203" s="2093" t="s">
        <v>36</v>
      </c>
      <c r="S203" s="710" t="s">
        <v>37</v>
      </c>
      <c r="T203" s="705">
        <v>895</v>
      </c>
      <c r="U203" s="705">
        <v>708.8</v>
      </c>
      <c r="V203" s="705"/>
      <c r="W203" s="705">
        <f>表12[[#This Row],[Sales Amount]]-表12[[#This Row],[Cost]]</f>
        <v>186.20000000000005</v>
      </c>
      <c r="X203" s="2146" t="str">
        <f>IFERROR(Table6[[#This Row],[Profit]]/Table6[[#This Row],[Cost]]," ")</f>
        <v xml:space="preserve"> </v>
      </c>
      <c r="Y203" s="705"/>
      <c r="Z203" s="704"/>
      <c r="AA203"/>
      <c r="AB203"/>
      <c r="AC203"/>
      <c r="AD203"/>
      <c r="AE203"/>
      <c r="AF203"/>
      <c r="AG203"/>
      <c r="AH203"/>
      <c r="AI203"/>
      <c r="AJ203"/>
      <c r="AK203"/>
      <c r="AL203"/>
      <c r="AM203"/>
      <c r="AN203"/>
      <c r="AO203"/>
      <c r="AP203"/>
      <c r="AQ203"/>
    </row>
    <row r="204" spans="1:43" s="52" customFormat="1" hidden="1">
      <c r="A204" s="3235" t="s">
        <v>2396</v>
      </c>
      <c r="B204" s="3502" t="s">
        <v>5723</v>
      </c>
      <c r="C204" s="4839" t="s">
        <v>28</v>
      </c>
      <c r="D204" s="3280">
        <v>45325</v>
      </c>
      <c r="E204" s="3346">
        <v>45325</v>
      </c>
      <c r="F204" s="3275" t="s">
        <v>45</v>
      </c>
      <c r="G204" s="58" t="s">
        <v>5672</v>
      </c>
      <c r="H204" s="3396">
        <v>45331</v>
      </c>
      <c r="I204" s="3357" t="s">
        <v>899</v>
      </c>
      <c r="J204" s="3275" t="s">
        <v>1478</v>
      </c>
      <c r="K204" s="3275" t="s">
        <v>5198</v>
      </c>
      <c r="L204" s="3357" t="s">
        <v>5724</v>
      </c>
      <c r="M204" s="3329">
        <v>45331</v>
      </c>
      <c r="N204" s="3329">
        <v>45330</v>
      </c>
      <c r="O204" s="3396">
        <v>45336</v>
      </c>
      <c r="P204" s="3429" t="s">
        <v>5722</v>
      </c>
      <c r="Q204" s="3275" t="s">
        <v>35</v>
      </c>
      <c r="R204" s="2093" t="s">
        <v>36</v>
      </c>
      <c r="S204" s="710" t="s">
        <v>37</v>
      </c>
      <c r="T204" s="705">
        <v>895</v>
      </c>
      <c r="U204" s="705">
        <v>668.8</v>
      </c>
      <c r="V204" s="705"/>
      <c r="W204" s="705">
        <f>表12[[#This Row],[Sales Amount]]-表12[[#This Row],[Cost]]</f>
        <v>226.20000000000005</v>
      </c>
      <c r="X204" s="2146" t="str">
        <f>IFERROR(Table6[[#This Row],[Profit]]/Table6[[#This Row],[Cost]]," ")</f>
        <v xml:space="preserve"> </v>
      </c>
      <c r="Y204" s="705"/>
      <c r="Z204" s="704"/>
      <c r="AA204"/>
      <c r="AB204"/>
      <c r="AC204"/>
      <c r="AD204"/>
      <c r="AE204"/>
      <c r="AF204"/>
      <c r="AG204"/>
      <c r="AH204"/>
      <c r="AI204"/>
      <c r="AJ204"/>
      <c r="AK204"/>
      <c r="AL204"/>
      <c r="AM204"/>
      <c r="AN204"/>
      <c r="AO204"/>
      <c r="AP204"/>
      <c r="AQ204"/>
    </row>
    <row r="205" spans="1:43" s="52" customFormat="1" hidden="1">
      <c r="A205" s="3235" t="s">
        <v>2396</v>
      </c>
      <c r="B205" s="3502" t="s">
        <v>5725</v>
      </c>
      <c r="C205" s="3275" t="s">
        <v>28</v>
      </c>
      <c r="D205" s="3280">
        <v>45325</v>
      </c>
      <c r="E205" s="3346">
        <v>45325</v>
      </c>
      <c r="F205" s="3275" t="s">
        <v>45</v>
      </c>
      <c r="G205" s="58" t="s">
        <v>5672</v>
      </c>
      <c r="H205" s="3304">
        <v>45330</v>
      </c>
      <c r="I205" s="3304" t="s">
        <v>5715</v>
      </c>
      <c r="J205" s="3275" t="s">
        <v>1478</v>
      </c>
      <c r="K205" s="3275" t="s">
        <v>5279</v>
      </c>
      <c r="L205" s="3357" t="s">
        <v>542</v>
      </c>
      <c r="M205" s="3396">
        <v>45330</v>
      </c>
      <c r="N205" s="3329">
        <v>45330</v>
      </c>
      <c r="O205" s="3396" t="s">
        <v>5726</v>
      </c>
      <c r="P205" s="3429" t="s">
        <v>5727</v>
      </c>
      <c r="Q205" s="3275" t="s">
        <v>35</v>
      </c>
      <c r="R205" s="2093" t="s">
        <v>36</v>
      </c>
      <c r="S205" s="710" t="s">
        <v>37</v>
      </c>
      <c r="T205" s="705">
        <v>545</v>
      </c>
      <c r="U205" s="705">
        <v>427.8</v>
      </c>
      <c r="V205" s="705"/>
      <c r="W205" s="705">
        <f>表12[[#This Row],[Sales Amount]]-表12[[#This Row],[Cost]]</f>
        <v>117.19999999999999</v>
      </c>
      <c r="X205" s="2146" t="str">
        <f>IFERROR(Table6[[#This Row],[Profit]]/Table6[[#This Row],[Cost]]," ")</f>
        <v xml:space="preserve"> </v>
      </c>
      <c r="Y205" s="705"/>
      <c r="Z205" s="704"/>
      <c r="AA205"/>
      <c r="AB205"/>
      <c r="AC205"/>
      <c r="AD205"/>
      <c r="AE205"/>
      <c r="AF205"/>
      <c r="AG205"/>
      <c r="AH205"/>
      <c r="AI205"/>
      <c r="AJ205"/>
      <c r="AK205"/>
      <c r="AL205"/>
      <c r="AM205"/>
      <c r="AN205"/>
      <c r="AO205"/>
      <c r="AP205"/>
      <c r="AQ205"/>
    </row>
    <row r="206" spans="1:43" s="36" customFormat="1" hidden="1">
      <c r="A206" s="3417" t="s">
        <v>409</v>
      </c>
      <c r="B206" s="3268" t="s">
        <v>5728</v>
      </c>
      <c r="C206" s="3268" t="s">
        <v>28</v>
      </c>
      <c r="D206" s="3262">
        <v>45328</v>
      </c>
      <c r="E206" s="889">
        <v>45332</v>
      </c>
      <c r="F206" s="3268" t="s">
        <v>45</v>
      </c>
      <c r="G206" s="25" t="s">
        <v>46</v>
      </c>
      <c r="H206" s="3290"/>
      <c r="I206" s="3265"/>
      <c r="J206" s="3491" t="s">
        <v>32</v>
      </c>
      <c r="K206" s="3265" t="s">
        <v>310</v>
      </c>
      <c r="L206" s="3265" t="s">
        <v>5729</v>
      </c>
      <c r="M206" s="3373">
        <v>45334</v>
      </c>
      <c r="N206" s="3373">
        <v>45334</v>
      </c>
      <c r="O206" s="3373">
        <v>45336</v>
      </c>
      <c r="P206" s="3317" t="s">
        <v>5730</v>
      </c>
      <c r="Q206" s="3265" t="s">
        <v>50</v>
      </c>
      <c r="R206" s="2209" t="s">
        <v>5731</v>
      </c>
      <c r="S206" s="31"/>
      <c r="T206" s="712"/>
      <c r="U206" s="712"/>
      <c r="V206" s="712"/>
      <c r="W206" s="712">
        <f>表12[[#This Row],[Sales Amount]]-表12[[#This Row],[Cost]]</f>
        <v>0</v>
      </c>
      <c r="X206" s="2280" t="str">
        <f>IFERROR(Table6[[#This Row],[Profit]]/Table6[[#This Row],[Cost]]," ")</f>
        <v xml:space="preserve"> </v>
      </c>
      <c r="Y206" s="712"/>
      <c r="Z206" s="2210"/>
      <c r="AA206" s="3"/>
      <c r="AB206" s="3"/>
      <c r="AC206" s="3"/>
      <c r="AD206" s="3"/>
      <c r="AE206" s="3"/>
      <c r="AF206" s="3"/>
      <c r="AG206" s="3"/>
      <c r="AH206" s="3"/>
      <c r="AI206" s="3"/>
      <c r="AJ206" s="3"/>
      <c r="AK206" s="3"/>
      <c r="AL206" s="3"/>
      <c r="AM206" s="3"/>
      <c r="AN206" s="3"/>
      <c r="AO206" s="3"/>
      <c r="AP206" s="3"/>
      <c r="AQ206" s="3"/>
    </row>
    <row r="207" spans="1:43" s="36" customFormat="1" hidden="1">
      <c r="A207" s="117" t="s">
        <v>409</v>
      </c>
      <c r="B207" s="4845" t="s">
        <v>5732</v>
      </c>
      <c r="C207" s="3268" t="s">
        <v>28</v>
      </c>
      <c r="D207" s="3262">
        <v>45334</v>
      </c>
      <c r="E207" s="889">
        <v>45340</v>
      </c>
      <c r="F207" s="3268" t="s">
        <v>93</v>
      </c>
      <c r="G207" s="25" t="s">
        <v>302</v>
      </c>
      <c r="H207" s="3290"/>
      <c r="I207" s="4848"/>
      <c r="J207" s="3486" t="s">
        <v>32</v>
      </c>
      <c r="K207" s="3265" t="s">
        <v>47</v>
      </c>
      <c r="L207" s="25" t="s">
        <v>5733</v>
      </c>
      <c r="M207" s="4853">
        <v>45342</v>
      </c>
      <c r="N207" s="4853">
        <v>45340</v>
      </c>
      <c r="O207" s="4853">
        <v>45342</v>
      </c>
      <c r="P207" s="3317" t="s">
        <v>5734</v>
      </c>
      <c r="Q207" s="3265" t="s">
        <v>89</v>
      </c>
      <c r="R207" s="2277" t="s">
        <v>5735</v>
      </c>
      <c r="S207" s="31"/>
      <c r="T207" s="19"/>
      <c r="U207" s="19"/>
      <c r="V207" s="19"/>
      <c r="W207" s="19">
        <f>表12[[#This Row],[Sales Amount]]-表12[[#This Row],[Cost]]</f>
        <v>0</v>
      </c>
      <c r="X207" s="2259" t="str">
        <f>IFERROR(Table6[[#This Row],[Profit]]/Table6[[#This Row],[Cost]]," ")</f>
        <v xml:space="preserve"> </v>
      </c>
      <c r="Y207" s="19"/>
      <c r="Z207" s="2260"/>
      <c r="AA207" s="3"/>
      <c r="AB207" s="3"/>
      <c r="AC207" s="3"/>
      <c r="AD207" s="3"/>
      <c r="AE207" s="3"/>
      <c r="AF207" s="3"/>
      <c r="AG207" s="3"/>
      <c r="AH207" s="3"/>
      <c r="AI207" s="3"/>
      <c r="AJ207" s="3"/>
      <c r="AK207" s="3"/>
      <c r="AL207" s="3"/>
      <c r="AM207" s="3"/>
      <c r="AN207" s="3"/>
      <c r="AO207" s="3"/>
      <c r="AP207" s="3"/>
      <c r="AQ207" s="3"/>
    </row>
    <row r="208" spans="1:43" s="36" customFormat="1" ht="30" hidden="1">
      <c r="A208" s="4319" t="s">
        <v>409</v>
      </c>
      <c r="B208" s="3430" t="s">
        <v>5736</v>
      </c>
      <c r="C208" s="3430" t="s">
        <v>28</v>
      </c>
      <c r="D208" s="3262">
        <v>45328</v>
      </c>
      <c r="E208" s="3365">
        <f>7+表12[[#This Row],[ETA PORT]]</f>
        <v>45335</v>
      </c>
      <c r="F208" s="3430" t="s">
        <v>93</v>
      </c>
      <c r="G208" s="3419" t="s">
        <v>302</v>
      </c>
      <c r="H208" s="3290"/>
      <c r="I208" s="3265"/>
      <c r="J208" s="5311" t="s">
        <v>32</v>
      </c>
      <c r="K208" s="3419" t="s">
        <v>47</v>
      </c>
      <c r="L208" s="25" t="s">
        <v>5737</v>
      </c>
      <c r="M208" s="3373">
        <v>45334</v>
      </c>
      <c r="N208" s="3373">
        <v>45335</v>
      </c>
      <c r="O208" s="3373">
        <v>45337</v>
      </c>
      <c r="P208" s="3461" t="s">
        <v>5738</v>
      </c>
      <c r="Q208" s="4979" t="s">
        <v>89</v>
      </c>
      <c r="R208" s="2209" t="s">
        <v>5739</v>
      </c>
      <c r="S208" s="31"/>
      <c r="T208" s="31"/>
      <c r="U208" s="31"/>
      <c r="V208" s="31"/>
      <c r="W208" s="31">
        <f>表12[[#This Row],[Sales Amount]]-表12[[#This Row],[Cost]]</f>
        <v>0</v>
      </c>
      <c r="X208" s="2244" t="str">
        <f>IFERROR(Table6[[#This Row],[Profit]]/Table6[[#This Row],[Cost]]," ")</f>
        <v xml:space="preserve"> </v>
      </c>
      <c r="Y208" s="31"/>
      <c r="Z208" s="101"/>
      <c r="AA208" s="3"/>
      <c r="AB208" s="3"/>
      <c r="AC208" s="3"/>
      <c r="AD208" s="3"/>
      <c r="AE208" s="3"/>
      <c r="AF208" s="3"/>
      <c r="AG208" s="3"/>
      <c r="AH208" s="3"/>
      <c r="AI208" s="3"/>
      <c r="AJ208" s="3"/>
      <c r="AK208" s="3"/>
      <c r="AL208" s="3"/>
      <c r="AM208" s="3"/>
      <c r="AN208" s="3"/>
      <c r="AO208" s="3"/>
      <c r="AP208" s="3"/>
      <c r="AQ208" s="3"/>
    </row>
    <row r="209" spans="1:43" s="117" customFormat="1" ht="45">
      <c r="A209" s="3417" t="s">
        <v>468</v>
      </c>
      <c r="B209" s="3430" t="s">
        <v>5740</v>
      </c>
      <c r="C209" s="3268" t="s">
        <v>200</v>
      </c>
      <c r="D209" s="3262">
        <v>45309</v>
      </c>
      <c r="E209" s="3452">
        <v>45327</v>
      </c>
      <c r="F209" s="3268" t="s">
        <v>245</v>
      </c>
      <c r="G209" s="3268" t="s">
        <v>4274</v>
      </c>
      <c r="H209" s="3314">
        <v>45328</v>
      </c>
      <c r="I209" s="3501" t="s">
        <v>926</v>
      </c>
      <c r="J209" s="806" t="s">
        <v>297</v>
      </c>
      <c r="K209" s="3273" t="s">
        <v>3200</v>
      </c>
      <c r="L209" s="3268">
        <v>2650</v>
      </c>
      <c r="M209" s="3418">
        <v>45328</v>
      </c>
      <c r="N209" s="3262">
        <v>45327</v>
      </c>
      <c r="O209" s="5037">
        <v>45328</v>
      </c>
      <c r="P209" s="4246" t="s">
        <v>5741</v>
      </c>
      <c r="Q209" s="3268" t="s">
        <v>75</v>
      </c>
      <c r="R209" s="2125" t="s">
        <v>5742</v>
      </c>
      <c r="S209" s="660"/>
      <c r="T209" s="660">
        <v>1060</v>
      </c>
      <c r="U209" s="660">
        <v>564.29999999999995</v>
      </c>
      <c r="V209" s="660">
        <v>1</v>
      </c>
      <c r="W209" s="660">
        <f>表12[[#This Row],[Sales Amount]]-表12[[#This Row],[Cost]]</f>
        <v>495.70000000000005</v>
      </c>
      <c r="X209" s="885">
        <f>表12[[#This Row],[Profit]]/表12[[#This Row],[Cost]]</f>
        <v>0.8784334573808259</v>
      </c>
      <c r="Y209" s="1063" t="s">
        <v>5640</v>
      </c>
      <c r="Z209" s="113"/>
      <c r="AA209"/>
      <c r="AB209"/>
      <c r="AC209"/>
      <c r="AD209"/>
      <c r="AE209"/>
      <c r="AF209"/>
      <c r="AG209"/>
      <c r="AH209"/>
      <c r="AI209"/>
      <c r="AJ209"/>
      <c r="AK209"/>
      <c r="AL209"/>
      <c r="AM209"/>
      <c r="AN209"/>
      <c r="AO209"/>
      <c r="AP209"/>
      <c r="AQ209"/>
    </row>
    <row r="210" spans="1:43" s="36" customFormat="1" ht="30">
      <c r="A210" s="3466" t="s">
        <v>468</v>
      </c>
      <c r="B210" s="3503" t="s">
        <v>5743</v>
      </c>
      <c r="C210" s="3364" t="s">
        <v>200</v>
      </c>
      <c r="D210" s="3467">
        <v>45295</v>
      </c>
      <c r="E210" s="3452">
        <v>45318</v>
      </c>
      <c r="F210" s="3364" t="s">
        <v>245</v>
      </c>
      <c r="G210" s="3364" t="s">
        <v>2491</v>
      </c>
      <c r="H210" s="3290">
        <v>45322</v>
      </c>
      <c r="I210" s="3419" t="s">
        <v>3199</v>
      </c>
      <c r="J210" s="3317" t="s">
        <v>440</v>
      </c>
      <c r="K210" s="3" t="s">
        <v>5744</v>
      </c>
      <c r="L210" s="3364">
        <v>1953</v>
      </c>
      <c r="M210" s="3504">
        <v>45322</v>
      </c>
      <c r="N210" s="3504">
        <v>45322</v>
      </c>
      <c r="O210" s="5312">
        <v>45328</v>
      </c>
      <c r="P210" s="3461" t="s">
        <v>5745</v>
      </c>
      <c r="Q210" s="4921" t="s">
        <v>75</v>
      </c>
      <c r="R210" s="3" t="s">
        <v>5746</v>
      </c>
      <c r="S210" s="712">
        <v>4</v>
      </c>
      <c r="T210" s="712">
        <v>820</v>
      </c>
      <c r="U210" s="712">
        <v>586</v>
      </c>
      <c r="V210" s="712">
        <v>1</v>
      </c>
      <c r="W210" s="712">
        <f>表12[[#This Row],[Sales Amount]]-表12[[#This Row],[Cost]]</f>
        <v>234</v>
      </c>
      <c r="X210" s="2236">
        <f>表12[[#This Row],[Profit]]/表12[[#This Row],[Cost]]</f>
        <v>0.39931740614334471</v>
      </c>
      <c r="Y210" s="712"/>
      <c r="Z210" s="2210"/>
      <c r="AA210"/>
      <c r="AB210"/>
      <c r="AC210"/>
      <c r="AD210"/>
      <c r="AE210"/>
      <c r="AF210"/>
      <c r="AG210"/>
      <c r="AH210"/>
      <c r="AI210"/>
      <c r="AJ210"/>
      <c r="AK210"/>
      <c r="AL210"/>
      <c r="AM210"/>
      <c r="AN210"/>
      <c r="AO210"/>
      <c r="AP210"/>
      <c r="AQ210"/>
    </row>
    <row r="211" spans="1:43" s="36" customFormat="1" hidden="1">
      <c r="A211" s="3505" t="s">
        <v>3343</v>
      </c>
      <c r="B211" s="3488" t="s">
        <v>5747</v>
      </c>
      <c r="C211" s="3488" t="s">
        <v>28</v>
      </c>
      <c r="D211" s="3489">
        <v>45310</v>
      </c>
      <c r="E211" s="3483">
        <v>45327</v>
      </c>
      <c r="F211" s="3488" t="s">
        <v>1017</v>
      </c>
      <c r="G211" s="3488" t="s">
        <v>302</v>
      </c>
      <c r="H211" s="3290"/>
      <c r="I211" s="3265"/>
      <c r="J211" s="2314" t="s">
        <v>168</v>
      </c>
      <c r="K211" s="3481" t="s">
        <v>310</v>
      </c>
      <c r="L211" s="3376" t="s">
        <v>5748</v>
      </c>
      <c r="M211" s="3482">
        <v>45331</v>
      </c>
      <c r="N211" s="3482">
        <v>45329</v>
      </c>
      <c r="O211" s="3373">
        <v>45332</v>
      </c>
      <c r="P211" s="3485" t="s">
        <v>5749</v>
      </c>
      <c r="Q211" s="3481" t="s">
        <v>50</v>
      </c>
      <c r="R211" s="3" t="s">
        <v>5750</v>
      </c>
      <c r="S211" s="31"/>
      <c r="T211" s="712"/>
      <c r="U211" s="712"/>
      <c r="V211" s="712"/>
      <c r="W211" s="712">
        <f>表12[[#This Row],[Sales Amount]]-表12[[#This Row],[Cost]]</f>
        <v>0</v>
      </c>
      <c r="X211" s="2280" t="str">
        <f>IFERROR(Table6[[#This Row],[Profit]]/Table6[[#This Row],[Cost]]," ")</f>
        <v xml:space="preserve"> </v>
      </c>
      <c r="Y211" s="712"/>
      <c r="Z211" s="2210"/>
      <c r="AA211" s="3"/>
      <c r="AB211" s="3"/>
      <c r="AC211" s="3"/>
      <c r="AD211" s="3"/>
      <c r="AE211" s="3"/>
      <c r="AF211" s="3"/>
      <c r="AG211" s="3"/>
      <c r="AH211" s="3"/>
      <c r="AI211" s="3"/>
      <c r="AJ211" s="3"/>
      <c r="AK211" s="3"/>
      <c r="AL211" s="3"/>
      <c r="AM211" s="3"/>
      <c r="AN211" s="3"/>
      <c r="AO211" s="3"/>
      <c r="AP211" s="3"/>
      <c r="AQ211" s="3"/>
    </row>
    <row r="212" spans="1:43" s="36" customFormat="1" hidden="1">
      <c r="A212" s="3505" t="s">
        <v>4815</v>
      </c>
      <c r="B212" s="3488" t="s">
        <v>5751</v>
      </c>
      <c r="C212" s="3488" t="s">
        <v>28</v>
      </c>
      <c r="D212" s="3489">
        <v>45322</v>
      </c>
      <c r="E212" s="3483">
        <f>5+表12[[#This Row],[ETA PORT]]</f>
        <v>45327</v>
      </c>
      <c r="F212" s="3488" t="s">
        <v>45</v>
      </c>
      <c r="G212" s="3488" t="s">
        <v>46</v>
      </c>
      <c r="H212" s="3290"/>
      <c r="I212" s="3265"/>
      <c r="J212" s="2307" t="s">
        <v>32</v>
      </c>
      <c r="K212" s="3481" t="s">
        <v>310</v>
      </c>
      <c r="L212" s="3376" t="s">
        <v>5752</v>
      </c>
      <c r="M212" s="3482">
        <v>45331</v>
      </c>
      <c r="N212" s="3482">
        <v>45329</v>
      </c>
      <c r="O212" s="3373">
        <v>45331</v>
      </c>
      <c r="P212" s="3485" t="s">
        <v>5753</v>
      </c>
      <c r="Q212" s="3481" t="s">
        <v>50</v>
      </c>
      <c r="R212" s="2309" t="s">
        <v>5754</v>
      </c>
      <c r="S212" s="31"/>
      <c r="T212" s="712"/>
      <c r="U212" s="712"/>
      <c r="V212" s="712"/>
      <c r="W212" s="712">
        <f>表12[[#This Row],[Sales Amount]]-表12[[#This Row],[Cost]]</f>
        <v>0</v>
      </c>
      <c r="X212" s="2280" t="str">
        <f>IFERROR(Table6[[#This Row],[Profit]]/Table6[[#This Row],[Cost]]," ")</f>
        <v xml:space="preserve"> </v>
      </c>
      <c r="Y212" s="712"/>
      <c r="Z212" s="2210"/>
      <c r="AA212" s="3"/>
      <c r="AB212" s="3"/>
      <c r="AC212" s="3"/>
      <c r="AD212" s="3"/>
      <c r="AE212" s="3"/>
      <c r="AF212" s="3"/>
      <c r="AG212" s="3"/>
      <c r="AH212" s="3"/>
      <c r="AI212" s="3"/>
      <c r="AJ212" s="3"/>
      <c r="AK212" s="3"/>
      <c r="AL212" s="3"/>
      <c r="AM212" s="3"/>
      <c r="AN212" s="3"/>
      <c r="AO212" s="3"/>
      <c r="AP212" s="3"/>
      <c r="AQ212" s="3"/>
    </row>
    <row r="213" spans="1:43" s="36" customFormat="1" hidden="1">
      <c r="A213" s="4325" t="s">
        <v>5755</v>
      </c>
      <c r="B213" s="3506" t="s">
        <v>5756</v>
      </c>
      <c r="C213" s="3506" t="s">
        <v>44</v>
      </c>
      <c r="D213" s="3489">
        <v>45321</v>
      </c>
      <c r="E213" s="3483">
        <v>45326</v>
      </c>
      <c r="F213" s="3506" t="s">
        <v>5757</v>
      </c>
      <c r="G213" s="3506" t="s">
        <v>46</v>
      </c>
      <c r="H213" s="3290"/>
      <c r="I213" s="3265"/>
      <c r="J213" s="3488" t="s">
        <v>32</v>
      </c>
      <c r="K213" s="3507" t="s">
        <v>310</v>
      </c>
      <c r="L213" s="3376" t="s">
        <v>5758</v>
      </c>
      <c r="M213" s="3482">
        <v>45328</v>
      </c>
      <c r="N213" s="3482">
        <v>45327</v>
      </c>
      <c r="O213" s="3373">
        <v>45328</v>
      </c>
      <c r="P213" s="3508" t="s">
        <v>5759</v>
      </c>
      <c r="Q213" s="3509" t="s">
        <v>89</v>
      </c>
      <c r="R213" s="2309" t="s">
        <v>5760</v>
      </c>
      <c r="S213" s="31"/>
      <c r="T213" s="712"/>
      <c r="U213" s="712"/>
      <c r="V213" s="712"/>
      <c r="W213" s="712">
        <f>表12[[#This Row],[Sales Amount]]-表12[[#This Row],[Cost]]</f>
        <v>0</v>
      </c>
      <c r="X213" s="2280" t="str">
        <f>IFERROR(Table6[[#This Row],[Profit]]/Table6[[#This Row],[Cost]]," ")</f>
        <v xml:space="preserve"> </v>
      </c>
      <c r="Y213" s="712"/>
      <c r="Z213" s="2210"/>
      <c r="AA213" s="3"/>
      <c r="AB213" s="3"/>
      <c r="AC213" s="3"/>
      <c r="AD213" s="3"/>
      <c r="AE213" s="3"/>
      <c r="AF213" s="3"/>
      <c r="AG213" s="3"/>
      <c r="AH213" s="3"/>
      <c r="AI213" s="3"/>
      <c r="AJ213" s="3"/>
      <c r="AK213" s="3"/>
      <c r="AL213" s="3"/>
      <c r="AM213" s="3"/>
      <c r="AN213" s="3"/>
      <c r="AO213" s="3"/>
      <c r="AP213" s="3"/>
      <c r="AQ213" s="3"/>
    </row>
    <row r="214" spans="1:43" s="1350" customFormat="1" hidden="1">
      <c r="A214" s="3493" t="s">
        <v>3343</v>
      </c>
      <c r="B214" s="650" t="s">
        <v>5761</v>
      </c>
      <c r="C214" s="3494" t="s">
        <v>28</v>
      </c>
      <c r="D214" s="3495">
        <v>45316</v>
      </c>
      <c r="E214" s="3496">
        <v>45326</v>
      </c>
      <c r="F214" s="3494" t="s">
        <v>45</v>
      </c>
      <c r="G214" s="3494" t="s">
        <v>46</v>
      </c>
      <c r="H214" s="3301"/>
      <c r="I214" s="3275"/>
      <c r="J214" s="3494" t="s">
        <v>168</v>
      </c>
      <c r="K214" s="3498" t="s">
        <v>310</v>
      </c>
      <c r="L214" s="3348" t="s">
        <v>5762</v>
      </c>
      <c r="M214" s="3499">
        <v>45328</v>
      </c>
      <c r="N214" s="3499">
        <v>45327</v>
      </c>
      <c r="O214" s="3280">
        <v>45329</v>
      </c>
      <c r="P214" s="3372" t="s">
        <v>5763</v>
      </c>
      <c r="Q214" s="3498" t="s">
        <v>50</v>
      </c>
      <c r="R214" s="650" t="s">
        <v>5764</v>
      </c>
      <c r="S214" s="710"/>
      <c r="T214" s="1372"/>
      <c r="U214" s="1372"/>
      <c r="V214" s="1372"/>
      <c r="W214" s="1372">
        <f>表12[[#This Row],[Sales Amount]]-表12[[#This Row],[Cost]]</f>
        <v>0</v>
      </c>
      <c r="X214" s="2268" t="str">
        <f>IFERROR(Table6[[#This Row],[Profit]]/Table6[[#This Row],[Cost]]," ")</f>
        <v xml:space="preserve"> </v>
      </c>
      <c r="Y214" s="1372"/>
      <c r="Z214" s="2261"/>
      <c r="AA214" s="650"/>
      <c r="AB214" s="650"/>
      <c r="AC214" s="650"/>
      <c r="AD214" s="650"/>
      <c r="AE214" s="650"/>
      <c r="AF214" s="650"/>
      <c r="AG214" s="650"/>
      <c r="AH214" s="650"/>
      <c r="AI214" s="650"/>
      <c r="AJ214" s="650"/>
      <c r="AK214" s="650"/>
      <c r="AL214" s="650"/>
      <c r="AM214" s="650"/>
      <c r="AN214" s="650"/>
      <c r="AO214" s="650"/>
      <c r="AP214" s="650"/>
      <c r="AQ214" s="650"/>
    </row>
    <row r="215" spans="1:43" s="52" customFormat="1" hidden="1">
      <c r="A215" s="3235" t="s">
        <v>1945</v>
      </c>
      <c r="B215" s="3275" t="s">
        <v>5765</v>
      </c>
      <c r="C215" s="3275" t="s">
        <v>28</v>
      </c>
      <c r="D215" s="3280">
        <v>45314</v>
      </c>
      <c r="E215" s="3346">
        <v>45329</v>
      </c>
      <c r="F215" s="3275" t="s">
        <v>151</v>
      </c>
      <c r="G215" s="3275" t="s">
        <v>46</v>
      </c>
      <c r="H215" s="3396">
        <v>45334</v>
      </c>
      <c r="I215" s="3357" t="s">
        <v>5766</v>
      </c>
      <c r="J215" s="3275" t="s">
        <v>322</v>
      </c>
      <c r="K215" s="3286" t="s">
        <v>3981</v>
      </c>
      <c r="L215" s="3261" t="s">
        <v>5767</v>
      </c>
      <c r="M215" s="3396">
        <v>45331</v>
      </c>
      <c r="N215" s="3329">
        <v>45332</v>
      </c>
      <c r="O215" s="3280">
        <v>45334</v>
      </c>
      <c r="P215" s="3439" t="s">
        <v>5768</v>
      </c>
      <c r="Q215" s="3275" t="s">
        <v>35</v>
      </c>
      <c r="R215" s="2093" t="s">
        <v>36</v>
      </c>
      <c r="S215" s="710" t="s">
        <v>67</v>
      </c>
      <c r="T215" s="705">
        <v>1040</v>
      </c>
      <c r="U215" s="705">
        <v>791</v>
      </c>
      <c r="V215" s="705"/>
      <c r="W215" s="705">
        <f>表12[[#This Row],[Sales Amount]]-表12[[#This Row],[Cost]]</f>
        <v>249</v>
      </c>
      <c r="X215" s="2146" t="str">
        <f>IFERROR(Table6[[#This Row],[Profit]]/Table6[[#This Row],[Cost]]," ")</f>
        <v xml:space="preserve"> </v>
      </c>
      <c r="Y215" s="705"/>
      <c r="Z215" s="704"/>
      <c r="AA215"/>
      <c r="AB215"/>
      <c r="AC215"/>
      <c r="AD215"/>
      <c r="AE215"/>
      <c r="AF215"/>
      <c r="AG215"/>
      <c r="AH215"/>
      <c r="AI215"/>
      <c r="AJ215"/>
      <c r="AK215"/>
      <c r="AL215"/>
      <c r="AM215"/>
      <c r="AN215"/>
      <c r="AO215"/>
      <c r="AP215"/>
      <c r="AQ215"/>
    </row>
    <row r="216" spans="1:43" s="36" customFormat="1" hidden="1">
      <c r="A216" s="3505" t="s">
        <v>3343</v>
      </c>
      <c r="B216" s="3488" t="s">
        <v>5769</v>
      </c>
      <c r="C216" s="3488" t="s">
        <v>28</v>
      </c>
      <c r="D216" s="3489">
        <v>45316</v>
      </c>
      <c r="E216" s="3483">
        <v>45329</v>
      </c>
      <c r="F216" s="3488" t="s">
        <v>45</v>
      </c>
      <c r="G216" s="3488" t="s">
        <v>46</v>
      </c>
      <c r="H216" s="3290"/>
      <c r="I216" s="3265"/>
      <c r="J216" s="3488" t="s">
        <v>168</v>
      </c>
      <c r="K216" s="3481" t="s">
        <v>310</v>
      </c>
      <c r="L216" s="3376" t="s">
        <v>5770</v>
      </c>
      <c r="M216" s="3482">
        <v>45330</v>
      </c>
      <c r="N216" s="3482">
        <v>45328</v>
      </c>
      <c r="O216" s="3373">
        <v>45330</v>
      </c>
      <c r="P216" s="3485" t="s">
        <v>5771</v>
      </c>
      <c r="Q216" s="3481" t="s">
        <v>50</v>
      </c>
      <c r="R216" s="3" t="s">
        <v>5772</v>
      </c>
      <c r="S216" s="31"/>
      <c r="T216" s="712"/>
      <c r="U216" s="712"/>
      <c r="V216" s="712"/>
      <c r="W216" s="712">
        <f>表12[[#This Row],[Sales Amount]]-表12[[#This Row],[Cost]]</f>
        <v>0</v>
      </c>
      <c r="X216" s="2280" t="str">
        <f>IFERROR(Table6[[#This Row],[Profit]]/Table6[[#This Row],[Cost]]," ")</f>
        <v xml:space="preserve"> </v>
      </c>
      <c r="Y216" s="712"/>
      <c r="Z216" s="2210"/>
      <c r="AA216" s="3"/>
      <c r="AB216" s="3"/>
      <c r="AC216" s="3"/>
      <c r="AD216" s="3"/>
      <c r="AE216" s="3"/>
      <c r="AF216" s="3"/>
      <c r="AG216" s="3"/>
      <c r="AH216" s="3"/>
      <c r="AI216" s="3"/>
      <c r="AJ216" s="3"/>
      <c r="AK216" s="3"/>
      <c r="AL216" s="3"/>
      <c r="AM216" s="3"/>
      <c r="AN216" s="3"/>
      <c r="AO216" s="3"/>
      <c r="AP216" s="3"/>
      <c r="AQ216" s="3"/>
    </row>
    <row r="217" spans="1:43" s="36" customFormat="1" hidden="1">
      <c r="A217" s="3505" t="s">
        <v>3343</v>
      </c>
      <c r="B217" s="3488" t="s">
        <v>5773</v>
      </c>
      <c r="C217" s="3488" t="s">
        <v>28</v>
      </c>
      <c r="D217" s="3489">
        <v>45316</v>
      </c>
      <c r="E217" s="3510">
        <v>45329</v>
      </c>
      <c r="F217" s="3488" t="s">
        <v>45</v>
      </c>
      <c r="G217" s="3488" t="s">
        <v>46</v>
      </c>
      <c r="H217" s="3290"/>
      <c r="I217" s="3265"/>
      <c r="J217" s="2307" t="s">
        <v>32</v>
      </c>
      <c r="K217" s="3481" t="s">
        <v>310</v>
      </c>
      <c r="L217" s="3376" t="s">
        <v>5774</v>
      </c>
      <c r="M217" s="3482">
        <v>45330</v>
      </c>
      <c r="N217" s="3482">
        <v>45328</v>
      </c>
      <c r="O217" s="3373">
        <v>45330</v>
      </c>
      <c r="P217" s="3485" t="s">
        <v>5775</v>
      </c>
      <c r="Q217" s="3481" t="s">
        <v>50</v>
      </c>
      <c r="R217" s="2323" t="s">
        <v>5776</v>
      </c>
      <c r="S217" s="31"/>
      <c r="T217" s="712"/>
      <c r="U217" s="712"/>
      <c r="V217" s="712"/>
      <c r="W217" s="712">
        <f>表12[[#This Row],[Sales Amount]]-表12[[#This Row],[Cost]]</f>
        <v>0</v>
      </c>
      <c r="X217" s="2280" t="str">
        <f>IFERROR(Table6[[#This Row],[Profit]]/Table6[[#This Row],[Cost]]," ")</f>
        <v xml:space="preserve"> </v>
      </c>
      <c r="Y217" s="712"/>
      <c r="Z217" s="2210"/>
      <c r="AA217" s="3"/>
      <c r="AB217" s="3"/>
      <c r="AC217" s="3"/>
      <c r="AD217" s="3"/>
      <c r="AE217" s="3"/>
      <c r="AF217" s="3"/>
      <c r="AG217" s="3"/>
      <c r="AH217" s="3"/>
      <c r="AI217" s="3"/>
      <c r="AJ217" s="3"/>
      <c r="AK217" s="3"/>
      <c r="AL217" s="3"/>
      <c r="AM217" s="3"/>
      <c r="AN217" s="3"/>
      <c r="AO217" s="3"/>
      <c r="AP217" s="3"/>
      <c r="AQ217" s="3"/>
    </row>
    <row r="218" spans="1:43" s="36" customFormat="1" hidden="1">
      <c r="A218" s="3505" t="s">
        <v>4815</v>
      </c>
      <c r="B218" s="3488" t="s">
        <v>5777</v>
      </c>
      <c r="C218" s="3488" t="s">
        <v>28</v>
      </c>
      <c r="D218" s="3489">
        <v>45316</v>
      </c>
      <c r="E218" s="3483">
        <v>45329</v>
      </c>
      <c r="F218" s="3488" t="s">
        <v>45</v>
      </c>
      <c r="G218" s="3488" t="s">
        <v>46</v>
      </c>
      <c r="H218" s="3290"/>
      <c r="I218" s="3265"/>
      <c r="J218" s="2314" t="s">
        <v>168</v>
      </c>
      <c r="K218" s="3481" t="s">
        <v>310</v>
      </c>
      <c r="L218" s="3376" t="s">
        <v>5778</v>
      </c>
      <c r="M218" s="3482">
        <v>45330</v>
      </c>
      <c r="N218" s="3482">
        <v>45329</v>
      </c>
      <c r="O218" s="3373">
        <v>45332</v>
      </c>
      <c r="P218" s="3485" t="s">
        <v>5779</v>
      </c>
      <c r="Q218" s="3481" t="s">
        <v>50</v>
      </c>
      <c r="R218" s="2309" t="s">
        <v>5780</v>
      </c>
      <c r="S218" s="31"/>
      <c r="T218" s="712"/>
      <c r="U218" s="712"/>
      <c r="V218" s="712"/>
      <c r="W218" s="712">
        <f>表12[[#This Row],[Sales Amount]]-表12[[#This Row],[Cost]]</f>
        <v>0</v>
      </c>
      <c r="X218" s="2280" t="str">
        <f>IFERROR(Table6[[#This Row],[Profit]]/Table6[[#This Row],[Cost]]," ")</f>
        <v xml:space="preserve"> </v>
      </c>
      <c r="Y218" s="712"/>
      <c r="Z218" s="2210"/>
      <c r="AA218" s="3"/>
      <c r="AB218" s="3"/>
      <c r="AC218" s="3"/>
      <c r="AD218" s="3"/>
      <c r="AE218" s="3"/>
      <c r="AF218" s="3"/>
      <c r="AG218" s="3"/>
      <c r="AH218" s="3"/>
      <c r="AI218" s="3"/>
      <c r="AJ218" s="3"/>
      <c r="AK218" s="3"/>
      <c r="AL218" s="3"/>
      <c r="AM218" s="3"/>
      <c r="AN218" s="3"/>
      <c r="AO218" s="3"/>
      <c r="AP218" s="3"/>
      <c r="AQ218" s="3"/>
    </row>
    <row r="219" spans="1:43" s="36" customFormat="1" hidden="1">
      <c r="A219" s="3505" t="s">
        <v>4815</v>
      </c>
      <c r="B219" s="3488" t="s">
        <v>5781</v>
      </c>
      <c r="C219" s="3488" t="s">
        <v>28</v>
      </c>
      <c r="D219" s="3489">
        <v>45316</v>
      </c>
      <c r="E219" s="3483">
        <v>45326</v>
      </c>
      <c r="F219" s="2314" t="s">
        <v>45</v>
      </c>
      <c r="G219" s="3488" t="s">
        <v>46</v>
      </c>
      <c r="H219" s="3290"/>
      <c r="I219" s="3265"/>
      <c r="J219" s="5308" t="s">
        <v>168</v>
      </c>
      <c r="K219" s="3481" t="s">
        <v>310</v>
      </c>
      <c r="L219" s="3376" t="s">
        <v>5782</v>
      </c>
      <c r="M219" s="3482">
        <v>45328</v>
      </c>
      <c r="N219" s="3482">
        <v>45328</v>
      </c>
      <c r="O219" s="3373">
        <v>45329</v>
      </c>
      <c r="P219" s="3485" t="s">
        <v>5783</v>
      </c>
      <c r="Q219" s="5313" t="s">
        <v>50</v>
      </c>
      <c r="R219" s="2309" t="s">
        <v>5784</v>
      </c>
      <c r="S219" s="31"/>
      <c r="T219" s="712"/>
      <c r="U219" s="712"/>
      <c r="V219" s="712"/>
      <c r="W219" s="712">
        <f>表12[[#This Row],[Sales Amount]]-表12[[#This Row],[Cost]]</f>
        <v>0</v>
      </c>
      <c r="X219" s="2280" t="str">
        <f>IFERROR(Table6[[#This Row],[Profit]]/Table6[[#This Row],[Cost]]," ")</f>
        <v xml:space="preserve"> </v>
      </c>
      <c r="Y219" s="712"/>
      <c r="Z219" s="2210"/>
      <c r="AA219" s="3"/>
      <c r="AB219" s="3"/>
      <c r="AC219" s="3"/>
      <c r="AD219" s="3"/>
      <c r="AE219" s="3"/>
      <c r="AF219" s="3"/>
      <c r="AG219" s="3"/>
      <c r="AH219" s="3"/>
      <c r="AI219" s="3"/>
      <c r="AJ219" s="3"/>
      <c r="AK219" s="3"/>
      <c r="AL219" s="3"/>
      <c r="AM219" s="3"/>
      <c r="AN219" s="3"/>
      <c r="AO219" s="3"/>
      <c r="AP219" s="3"/>
      <c r="AQ219" s="3"/>
    </row>
    <row r="220" spans="1:43" s="36" customFormat="1" hidden="1">
      <c r="A220" s="4644" t="s">
        <v>4793</v>
      </c>
      <c r="B220" s="117" t="s">
        <v>5785</v>
      </c>
      <c r="C220" s="5308" t="s">
        <v>28</v>
      </c>
      <c r="D220" s="5314">
        <v>45318</v>
      </c>
      <c r="E220" s="5315">
        <v>45328</v>
      </c>
      <c r="F220" s="5308" t="s">
        <v>45</v>
      </c>
      <c r="G220" s="5308" t="s">
        <v>46</v>
      </c>
      <c r="H220" s="4836"/>
      <c r="I220" s="4848"/>
      <c r="J220" s="5316" t="s">
        <v>32</v>
      </c>
      <c r="K220" s="5313" t="s">
        <v>310</v>
      </c>
      <c r="L220" s="3376" t="s">
        <v>5786</v>
      </c>
      <c r="M220" s="5307">
        <v>45330</v>
      </c>
      <c r="N220" s="5307">
        <v>45330</v>
      </c>
      <c r="O220" s="4853">
        <v>45334</v>
      </c>
      <c r="P220" s="5317" t="s">
        <v>5787</v>
      </c>
      <c r="Q220" s="2308" t="s">
        <v>50</v>
      </c>
      <c r="R220" s="2321" t="s">
        <v>5788</v>
      </c>
      <c r="S220" s="19"/>
      <c r="T220" s="1138"/>
      <c r="U220" s="1138"/>
      <c r="V220" s="1138"/>
      <c r="W220" s="1138">
        <f>表12[[#This Row],[Sales Amount]]-表12[[#This Row],[Cost]]</f>
        <v>0</v>
      </c>
      <c r="X220" s="2275" t="str">
        <f>IFERROR(Table6[[#This Row],[Profit]]/Table6[[#This Row],[Cost]]," ")</f>
        <v xml:space="preserve"> </v>
      </c>
      <c r="Y220" s="1138"/>
      <c r="Z220" s="2253"/>
      <c r="AA220" s="3"/>
      <c r="AB220" s="3"/>
      <c r="AC220" s="3"/>
      <c r="AD220" s="3"/>
      <c r="AE220" s="3"/>
      <c r="AF220" s="3"/>
      <c r="AG220" s="3"/>
      <c r="AH220" s="3"/>
      <c r="AI220" s="3"/>
      <c r="AJ220" s="3"/>
      <c r="AK220" s="3"/>
      <c r="AL220" s="3"/>
      <c r="AM220" s="3"/>
      <c r="AN220" s="3"/>
      <c r="AO220" s="3"/>
      <c r="AP220" s="3"/>
      <c r="AQ220" s="3"/>
    </row>
    <row r="221" spans="1:43" s="36" customFormat="1" hidden="1">
      <c r="A221" s="3417" t="s">
        <v>409</v>
      </c>
      <c r="B221" s="5308" t="s">
        <v>5789</v>
      </c>
      <c r="C221" s="5308" t="s">
        <v>28</v>
      </c>
      <c r="D221" s="5314">
        <v>45322</v>
      </c>
      <c r="E221" s="5315">
        <f>7+表12[[#This Row],[ETA PORT]]</f>
        <v>45329</v>
      </c>
      <c r="F221" s="5308" t="s">
        <v>151</v>
      </c>
      <c r="G221" s="5308" t="s">
        <v>302</v>
      </c>
      <c r="H221" s="4836"/>
      <c r="I221" s="4848"/>
      <c r="J221" s="5316" t="s">
        <v>32</v>
      </c>
      <c r="K221" s="5313" t="s">
        <v>310</v>
      </c>
      <c r="L221" s="3" t="s">
        <v>5790</v>
      </c>
      <c r="M221" s="5307">
        <v>45331</v>
      </c>
      <c r="N221" s="5307">
        <v>45330</v>
      </c>
      <c r="O221" s="4853">
        <v>45334</v>
      </c>
      <c r="P221" s="5317" t="s">
        <v>5791</v>
      </c>
      <c r="Q221" s="2308" t="s">
        <v>50</v>
      </c>
      <c r="R221" s="2311" t="s">
        <v>5792</v>
      </c>
      <c r="S221" s="19"/>
      <c r="T221" s="1138"/>
      <c r="U221" s="1138"/>
      <c r="V221" s="1138"/>
      <c r="W221" s="1138">
        <f>表12[[#This Row],[Sales Amount]]-表12[[#This Row],[Cost]]</f>
        <v>0</v>
      </c>
      <c r="X221" s="2275">
        <f>IFERROR(Table6[[#This Row],[Profit]]/Table6[[#This Row],[Cost]]," ")</f>
        <v>0.30840552746999567</v>
      </c>
      <c r="Y221" s="1138"/>
      <c r="Z221" s="2253"/>
      <c r="AA221" s="3"/>
      <c r="AB221" s="3"/>
      <c r="AC221" s="3"/>
      <c r="AD221" s="3"/>
      <c r="AE221" s="3"/>
      <c r="AF221" s="3"/>
      <c r="AG221" s="3"/>
      <c r="AH221" s="3"/>
      <c r="AI221" s="3"/>
      <c r="AJ221" s="3"/>
      <c r="AK221" s="3"/>
      <c r="AL221" s="3"/>
      <c r="AM221" s="3"/>
      <c r="AN221" s="3"/>
      <c r="AO221" s="3"/>
      <c r="AP221" s="3"/>
      <c r="AQ221" s="3"/>
    </row>
    <row r="222" spans="1:43" s="117" customFormat="1" ht="30">
      <c r="A222" s="4607" t="s">
        <v>468</v>
      </c>
      <c r="B222" s="4938" t="s">
        <v>5793</v>
      </c>
      <c r="C222" s="4845" t="s">
        <v>200</v>
      </c>
      <c r="D222" s="4906">
        <v>45309</v>
      </c>
      <c r="E222" s="4945">
        <v>45327</v>
      </c>
      <c r="F222" s="4845" t="s">
        <v>245</v>
      </c>
      <c r="G222" s="3268" t="s">
        <v>4274</v>
      </c>
      <c r="H222" s="5070">
        <v>45328</v>
      </c>
      <c r="I222" s="5242" t="s">
        <v>5794</v>
      </c>
      <c r="J222" s="4947" t="s">
        <v>297</v>
      </c>
      <c r="K222" s="4947" t="s">
        <v>3200</v>
      </c>
      <c r="L222" s="4845">
        <v>5413</v>
      </c>
      <c r="M222" s="4936">
        <v>45328</v>
      </c>
      <c r="N222" s="4936">
        <v>45328</v>
      </c>
      <c r="O222" s="5037">
        <v>45328</v>
      </c>
      <c r="P222" s="4909" t="s">
        <v>5795</v>
      </c>
      <c r="Q222" s="117" t="s">
        <v>75</v>
      </c>
      <c r="R222" s="2125" t="s">
        <v>5796</v>
      </c>
      <c r="S222" s="120"/>
      <c r="T222" s="120">
        <v>830</v>
      </c>
      <c r="U222" s="660">
        <v>564.29999999999995</v>
      </c>
      <c r="V222" s="660">
        <v>1</v>
      </c>
      <c r="W222" s="120">
        <f>表12[[#This Row],[Sales Amount]]-表12[[#This Row],[Cost]]</f>
        <v>265.70000000000005</v>
      </c>
      <c r="X222" s="885">
        <f>表12[[#This Row],[Profit]]/表12[[#This Row],[Cost]]</f>
        <v>0.47084883926989202</v>
      </c>
      <c r="Y222" s="1063" t="s">
        <v>5640</v>
      </c>
      <c r="Z222" s="1209"/>
      <c r="AA222"/>
      <c r="AB222"/>
      <c r="AC222"/>
      <c r="AD222"/>
      <c r="AE222"/>
      <c r="AF222"/>
      <c r="AG222"/>
      <c r="AH222"/>
      <c r="AI222"/>
      <c r="AJ222"/>
      <c r="AK222"/>
      <c r="AL222"/>
      <c r="AM222"/>
      <c r="AN222"/>
      <c r="AO222"/>
      <c r="AP222"/>
      <c r="AQ222"/>
    </row>
    <row r="223" spans="1:43" s="52" customFormat="1" hidden="1">
      <c r="A223" s="3235" t="s">
        <v>263</v>
      </c>
      <c r="B223" s="3275" t="s">
        <v>5797</v>
      </c>
      <c r="C223" s="3275" t="s">
        <v>44</v>
      </c>
      <c r="D223" s="3280">
        <v>45329</v>
      </c>
      <c r="E223" s="3280">
        <v>45329</v>
      </c>
      <c r="F223" s="3275" t="s">
        <v>135</v>
      </c>
      <c r="G223" s="3275" t="s">
        <v>5798</v>
      </c>
      <c r="H223" s="3301">
        <v>45335</v>
      </c>
      <c r="I223" s="3511">
        <v>0.375</v>
      </c>
      <c r="J223" s="3275" t="s">
        <v>2492</v>
      </c>
      <c r="K223" s="3275" t="s">
        <v>5799</v>
      </c>
      <c r="L223" s="3512"/>
      <c r="M223" s="3280">
        <v>45337</v>
      </c>
      <c r="N223" s="3280">
        <v>45334</v>
      </c>
      <c r="O223" s="4867">
        <v>45337</v>
      </c>
      <c r="P223" s="3429" t="s">
        <v>5800</v>
      </c>
      <c r="Q223" s="3275" t="s">
        <v>5801</v>
      </c>
      <c r="R223" s="2093" t="s">
        <v>36</v>
      </c>
      <c r="S223" s="710"/>
      <c r="T223" s="1372">
        <v>2166.08</v>
      </c>
      <c r="U223" s="1372">
        <f>1673.75+131.08</f>
        <v>1804.83</v>
      </c>
      <c r="V223" s="1372"/>
      <c r="W223" s="1372">
        <f>表12[[#This Row],[Sales Amount]]-表12[[#This Row],[Cost]]</f>
        <v>361.25</v>
      </c>
      <c r="X223" s="2268">
        <f>IFERROR(Table6[[#This Row],[Profit]]/Table6[[#This Row],[Cost]]," ")</f>
        <v>6.2027090958167649E-2</v>
      </c>
      <c r="Y223" s="1372"/>
      <c r="Z223" s="2261"/>
      <c r="AA223"/>
      <c r="AB223"/>
      <c r="AC223"/>
      <c r="AD223"/>
      <c r="AE223"/>
      <c r="AF223"/>
      <c r="AG223"/>
      <c r="AH223"/>
      <c r="AI223"/>
      <c r="AJ223"/>
      <c r="AK223"/>
      <c r="AL223"/>
      <c r="AM223"/>
      <c r="AN223"/>
      <c r="AO223"/>
      <c r="AP223"/>
      <c r="AQ223"/>
    </row>
    <row r="224" spans="1:43" s="36" customFormat="1" hidden="1">
      <c r="A224" s="117" t="s">
        <v>409</v>
      </c>
      <c r="B224" s="3268" t="s">
        <v>5802</v>
      </c>
      <c r="C224" s="3268" t="s">
        <v>28</v>
      </c>
      <c r="D224" s="3262">
        <v>45320</v>
      </c>
      <c r="E224" s="3365">
        <v>45337</v>
      </c>
      <c r="F224" s="3268" t="s">
        <v>3639</v>
      </c>
      <c r="G224" s="3265" t="s">
        <v>2206</v>
      </c>
      <c r="H224" s="3290"/>
      <c r="I224" s="3265"/>
      <c r="J224" s="3486" t="s">
        <v>168</v>
      </c>
      <c r="K224" s="3265" t="s">
        <v>310</v>
      </c>
      <c r="L224" s="3376">
        <v>2575551</v>
      </c>
      <c r="M224" s="3373">
        <v>45339</v>
      </c>
      <c r="N224" s="3373">
        <v>45338</v>
      </c>
      <c r="O224" s="3373">
        <v>45340</v>
      </c>
      <c r="P224" s="3317" t="s">
        <v>5803</v>
      </c>
      <c r="Q224" s="3265" t="s">
        <v>50</v>
      </c>
      <c r="R224" s="2209" t="s">
        <v>5804</v>
      </c>
      <c r="S224" s="31"/>
      <c r="T224" s="712"/>
      <c r="U224" s="712"/>
      <c r="V224" s="712"/>
      <c r="W224" s="712">
        <f>表12[[#This Row],[Sales Amount]]-表12[[#This Row],[Cost]]</f>
        <v>0</v>
      </c>
      <c r="X224" s="2280" t="str">
        <f>IFERROR(Table6[[#This Row],[Profit]]/Table6[[#This Row],[Cost]]," ")</f>
        <v xml:space="preserve"> </v>
      </c>
      <c r="Y224" s="712"/>
      <c r="Z224" s="2210"/>
      <c r="AA224" s="3"/>
      <c r="AB224" s="3"/>
      <c r="AC224" s="3"/>
      <c r="AD224" s="3"/>
      <c r="AE224" s="3"/>
      <c r="AF224" s="3"/>
      <c r="AG224" s="3"/>
      <c r="AH224" s="3"/>
      <c r="AI224" s="3"/>
      <c r="AJ224" s="3"/>
      <c r="AK224" s="3"/>
      <c r="AL224" s="3"/>
      <c r="AM224" s="3"/>
      <c r="AN224" s="3"/>
      <c r="AO224" s="3"/>
      <c r="AP224" s="3"/>
      <c r="AQ224" s="3"/>
    </row>
    <row r="225" spans="1:43" s="36" customFormat="1" hidden="1">
      <c r="A225" s="117" t="s">
        <v>409</v>
      </c>
      <c r="B225" s="3430" t="s">
        <v>5805</v>
      </c>
      <c r="C225" s="3430" t="s">
        <v>28</v>
      </c>
      <c r="D225" s="3262">
        <v>45332</v>
      </c>
      <c r="E225" s="3365">
        <v>45336</v>
      </c>
      <c r="F225" s="3430" t="s">
        <v>151</v>
      </c>
      <c r="G225" s="3419" t="s">
        <v>302</v>
      </c>
      <c r="H225" s="3290"/>
      <c r="I225" s="3265"/>
      <c r="J225" s="2328" t="s">
        <v>168</v>
      </c>
      <c r="K225" s="3419" t="s">
        <v>47</v>
      </c>
      <c r="L225" s="3376" t="s">
        <v>5806</v>
      </c>
      <c r="M225" s="3373">
        <v>45338</v>
      </c>
      <c r="N225" s="3373">
        <v>45338</v>
      </c>
      <c r="O225" s="3373">
        <v>45340</v>
      </c>
      <c r="P225" s="3461" t="s">
        <v>5807</v>
      </c>
      <c r="Q225" s="4979" t="s">
        <v>89</v>
      </c>
      <c r="R225" s="2209" t="s">
        <v>5808</v>
      </c>
      <c r="S225" s="31"/>
      <c r="T225" s="712"/>
      <c r="U225" s="712"/>
      <c r="V225" s="712"/>
      <c r="W225" s="712">
        <f>表12[[#This Row],[Sales Amount]]-表12[[#This Row],[Cost]]</f>
        <v>0</v>
      </c>
      <c r="X225" s="2326" t="str">
        <f>IFERROR(Table6[[#This Row],[Profit]]/Table6[[#This Row],[Cost]]," ")</f>
        <v xml:space="preserve"> </v>
      </c>
      <c r="Y225" s="712"/>
      <c r="Z225" s="2210"/>
      <c r="AA225" s="3"/>
      <c r="AB225" s="3"/>
      <c r="AC225" s="3"/>
      <c r="AD225" s="3"/>
      <c r="AE225" s="3"/>
      <c r="AF225" s="3"/>
      <c r="AG225" s="3"/>
      <c r="AH225" s="3"/>
      <c r="AI225" s="3"/>
      <c r="AJ225" s="3"/>
      <c r="AK225" s="3"/>
      <c r="AL225" s="3"/>
      <c r="AM225" s="3"/>
      <c r="AN225" s="3"/>
      <c r="AO225" s="3"/>
      <c r="AP225" s="3"/>
      <c r="AQ225" s="3"/>
    </row>
    <row r="226" spans="1:43" s="36" customFormat="1" hidden="1">
      <c r="A226" s="4319" t="s">
        <v>409</v>
      </c>
      <c r="B226" s="3430" t="s">
        <v>5809</v>
      </c>
      <c r="C226" s="3430" t="s">
        <v>28</v>
      </c>
      <c r="D226" s="3262">
        <v>45329</v>
      </c>
      <c r="E226" s="3365">
        <v>45334</v>
      </c>
      <c r="F226" s="3430" t="s">
        <v>151</v>
      </c>
      <c r="G226" s="3419" t="s">
        <v>302</v>
      </c>
      <c r="H226" s="3290"/>
      <c r="I226" s="3265"/>
      <c r="J226" s="3491" t="s">
        <v>32</v>
      </c>
      <c r="K226" s="3419" t="s">
        <v>47</v>
      </c>
      <c r="L226" s="2325" t="s">
        <v>5810</v>
      </c>
      <c r="M226" s="3373">
        <v>45336</v>
      </c>
      <c r="N226" s="3373">
        <v>45335</v>
      </c>
      <c r="O226" s="3373">
        <v>45337</v>
      </c>
      <c r="P226" s="3461" t="s">
        <v>5811</v>
      </c>
      <c r="Q226" s="3419" t="s">
        <v>89</v>
      </c>
      <c r="R226" s="2209" t="s">
        <v>5812</v>
      </c>
      <c r="S226" s="31"/>
      <c r="T226" s="712"/>
      <c r="U226" s="712"/>
      <c r="V226" s="712"/>
      <c r="W226" s="712">
        <f>表12[[#This Row],[Sales Amount]]-表12[[#This Row],[Cost]]</f>
        <v>0</v>
      </c>
      <c r="X226" s="2326" t="str">
        <f>IFERROR(Table6[[#This Row],[Profit]]/Table6[[#This Row],[Cost]]," ")</f>
        <v xml:space="preserve"> </v>
      </c>
      <c r="Y226" s="712"/>
      <c r="Z226" s="2210"/>
      <c r="AA226" s="3"/>
      <c r="AB226" s="3"/>
      <c r="AC226" s="3"/>
      <c r="AD226" s="3"/>
      <c r="AE226" s="3"/>
      <c r="AF226" s="3"/>
      <c r="AG226" s="3"/>
      <c r="AH226" s="3"/>
      <c r="AI226" s="3"/>
      <c r="AJ226" s="3"/>
      <c r="AK226" s="3"/>
      <c r="AL226" s="3"/>
      <c r="AM226" s="3"/>
      <c r="AN226" s="3"/>
      <c r="AO226" s="3"/>
      <c r="AP226" s="3"/>
      <c r="AQ226" s="3"/>
    </row>
    <row r="227" spans="1:43" s="36" customFormat="1" hidden="1">
      <c r="A227" s="4319" t="s">
        <v>409</v>
      </c>
      <c r="B227" s="3430" t="s">
        <v>5813</v>
      </c>
      <c r="C227" s="3430" t="s">
        <v>28</v>
      </c>
      <c r="D227" s="3262">
        <v>45328</v>
      </c>
      <c r="E227" s="3365">
        <v>45333</v>
      </c>
      <c r="F227" s="3430" t="s">
        <v>151</v>
      </c>
      <c r="G227" s="3265" t="s">
        <v>46</v>
      </c>
      <c r="H227" s="3290"/>
      <c r="I227" s="3265"/>
      <c r="J227" s="3491" t="s">
        <v>32</v>
      </c>
      <c r="K227" s="3419" t="s">
        <v>47</v>
      </c>
      <c r="L227" s="2327" t="s">
        <v>5814</v>
      </c>
      <c r="M227" s="3373">
        <v>45335</v>
      </c>
      <c r="N227" s="3373">
        <v>45336</v>
      </c>
      <c r="O227" s="3373">
        <v>45336</v>
      </c>
      <c r="P227" s="3461" t="s">
        <v>5815</v>
      </c>
      <c r="Q227" s="3419" t="s">
        <v>89</v>
      </c>
      <c r="R227" s="2209" t="s">
        <v>5816</v>
      </c>
      <c r="S227" s="31"/>
      <c r="T227" s="712"/>
      <c r="U227" s="712"/>
      <c r="V227" s="712"/>
      <c r="W227" s="712">
        <f>表12[[#This Row],[Sales Amount]]-表12[[#This Row],[Cost]]</f>
        <v>0</v>
      </c>
      <c r="X227" s="2326" t="str">
        <f>IFERROR(Table6[[#This Row],[Profit]]/Table6[[#This Row],[Cost]]," ")</f>
        <v xml:space="preserve"> </v>
      </c>
      <c r="Y227" s="712"/>
      <c r="Z227" s="2210"/>
      <c r="AA227" s="3"/>
      <c r="AB227" s="3"/>
      <c r="AC227" s="3"/>
      <c r="AD227" s="3"/>
      <c r="AE227" s="3"/>
      <c r="AF227" s="3"/>
      <c r="AG227" s="3"/>
      <c r="AH227" s="3"/>
      <c r="AI227" s="3"/>
      <c r="AJ227" s="3"/>
      <c r="AK227" s="3"/>
      <c r="AL227" s="3"/>
      <c r="AM227" s="3"/>
      <c r="AN227" s="3"/>
      <c r="AO227" s="3"/>
      <c r="AP227" s="3"/>
      <c r="AQ227" s="3"/>
    </row>
    <row r="228" spans="1:43" s="52" customFormat="1" hidden="1">
      <c r="A228" s="4319" t="s">
        <v>409</v>
      </c>
      <c r="B228" s="3513" t="s">
        <v>5817</v>
      </c>
      <c r="C228" s="3430" t="s">
        <v>28</v>
      </c>
      <c r="D228" s="3438">
        <v>45333</v>
      </c>
      <c r="E228" s="3365">
        <f>7+表12[[#This Row],[ETA PORT]]</f>
        <v>45340</v>
      </c>
      <c r="F228" s="3430" t="s">
        <v>151</v>
      </c>
      <c r="G228" s="3419" t="s">
        <v>302</v>
      </c>
      <c r="H228" s="3290"/>
      <c r="I228" s="3265"/>
      <c r="J228" s="3491" t="s">
        <v>32</v>
      </c>
      <c r="K228" s="3419" t="s">
        <v>47</v>
      </c>
      <c r="L228" s="117" t="s">
        <v>5818</v>
      </c>
      <c r="M228" s="3373">
        <v>45340</v>
      </c>
      <c r="N228" s="3373">
        <v>45341</v>
      </c>
      <c r="O228" s="3373">
        <v>45342</v>
      </c>
      <c r="P228" s="36" t="s">
        <v>5819</v>
      </c>
      <c r="Q228" s="3419" t="s">
        <v>89</v>
      </c>
      <c r="R228" s="2216" t="s">
        <v>5820</v>
      </c>
      <c r="S228" s="31"/>
      <c r="T228" s="712"/>
      <c r="U228" s="712"/>
      <c r="V228" s="712"/>
      <c r="W228" s="712">
        <f>表12[[#This Row],[Sales Amount]]-表12[[#This Row],[Cost]]</f>
        <v>0</v>
      </c>
      <c r="X228" s="2326" t="str">
        <f>IFERROR(Table6[[#This Row],[Profit]]/Table6[[#This Row],[Cost]]," ")</f>
        <v xml:space="preserve"> </v>
      </c>
      <c r="Y228" s="712"/>
      <c r="Z228" s="2210"/>
      <c r="AA228"/>
      <c r="AB228"/>
      <c r="AC228"/>
      <c r="AD228"/>
      <c r="AE228"/>
      <c r="AF228"/>
      <c r="AG228"/>
      <c r="AH228"/>
      <c r="AI228"/>
      <c r="AJ228"/>
      <c r="AK228"/>
      <c r="AL228"/>
      <c r="AM228"/>
      <c r="AN228"/>
      <c r="AO228"/>
      <c r="AP228"/>
      <c r="AQ228"/>
    </row>
    <row r="229" spans="1:43" s="52" customFormat="1" hidden="1">
      <c r="A229" s="3235" t="s">
        <v>694</v>
      </c>
      <c r="B229" s="3514" t="s">
        <v>5821</v>
      </c>
      <c r="C229" s="3275" t="s">
        <v>5822</v>
      </c>
      <c r="D229" s="3280">
        <v>45330</v>
      </c>
      <c r="E229" s="3280">
        <v>45348</v>
      </c>
      <c r="F229" s="3275" t="s">
        <v>29</v>
      </c>
      <c r="G229" s="3275" t="s">
        <v>57</v>
      </c>
      <c r="H229" s="3515" t="s">
        <v>5823</v>
      </c>
      <c r="I229" s="3370"/>
      <c r="J229" s="3275" t="s">
        <v>1353</v>
      </c>
      <c r="K229" s="3275" t="s">
        <v>3249</v>
      </c>
      <c r="L229" s="3275" t="s">
        <v>542</v>
      </c>
      <c r="M229" s="3280" t="s">
        <v>5824</v>
      </c>
      <c r="N229" s="3280">
        <v>45316</v>
      </c>
      <c r="O229" s="3280">
        <v>45316</v>
      </c>
      <c r="P229" s="3439" t="s">
        <v>5825</v>
      </c>
      <c r="Q229" s="3275" t="s">
        <v>35</v>
      </c>
      <c r="R229" s="2294" t="s">
        <v>36</v>
      </c>
      <c r="S229" s="710" t="s">
        <v>664</v>
      </c>
      <c r="T229" s="85"/>
      <c r="U229" s="85"/>
      <c r="V229" s="85"/>
      <c r="W229" s="85">
        <f>表12[[#This Row],[Sales Amount]]-表12[[#This Row],[Cost]]</f>
        <v>0</v>
      </c>
      <c r="X229" s="2115" t="str">
        <f>IFERROR(Table6[[#This Row],[Profit]]/Table6[[#This Row],[Cost]]," ")</f>
        <v xml:space="preserve"> </v>
      </c>
      <c r="Y229" s="85"/>
      <c r="Z229" s="116"/>
      <c r="AA229"/>
      <c r="AB229"/>
      <c r="AC229"/>
      <c r="AD229"/>
      <c r="AE229"/>
      <c r="AF229"/>
      <c r="AG229"/>
      <c r="AH229"/>
      <c r="AI229"/>
      <c r="AJ229"/>
      <c r="AK229"/>
      <c r="AL229"/>
      <c r="AM229"/>
      <c r="AN229"/>
      <c r="AO229"/>
      <c r="AP229"/>
      <c r="AQ229"/>
    </row>
    <row r="230" spans="1:43" s="52" customFormat="1" hidden="1">
      <c r="A230" s="3235" t="s">
        <v>694</v>
      </c>
      <c r="B230" s="3514" t="s">
        <v>5826</v>
      </c>
      <c r="C230" s="3275" t="s">
        <v>5822</v>
      </c>
      <c r="D230" s="3280">
        <v>45324</v>
      </c>
      <c r="E230" s="3280">
        <v>45349</v>
      </c>
      <c r="F230" s="3275" t="s">
        <v>29</v>
      </c>
      <c r="G230" s="3275" t="s">
        <v>57</v>
      </c>
      <c r="H230" s="3396" t="s">
        <v>5827</v>
      </c>
      <c r="I230" s="3331"/>
      <c r="J230" s="3275" t="s">
        <v>1353</v>
      </c>
      <c r="K230" s="3275" t="s">
        <v>3249</v>
      </c>
      <c r="L230" s="3275" t="s">
        <v>542</v>
      </c>
      <c r="M230" s="3396" t="s">
        <v>5828</v>
      </c>
      <c r="N230" s="3396" t="s">
        <v>5829</v>
      </c>
      <c r="O230" s="3396" t="s">
        <v>5829</v>
      </c>
      <c r="P230" s="3439" t="s">
        <v>5830</v>
      </c>
      <c r="Q230" s="3275" t="s">
        <v>35</v>
      </c>
      <c r="R230" s="2294" t="s">
        <v>36</v>
      </c>
      <c r="S230" s="710" t="s">
        <v>664</v>
      </c>
      <c r="T230" s="705">
        <v>630</v>
      </c>
      <c r="U230" s="705">
        <v>505.6</v>
      </c>
      <c r="V230" s="705"/>
      <c r="W230" s="705">
        <f>表12[[#This Row],[Sales Amount]]-表12[[#This Row],[Cost]]</f>
        <v>124.39999999999998</v>
      </c>
      <c r="X230" s="2146" t="str">
        <f>IFERROR(Table6[[#This Row],[Profit]]/Table6[[#This Row],[Cost]]," ")</f>
        <v xml:space="preserve"> </v>
      </c>
      <c r="Y230" s="705"/>
      <c r="Z230" s="704"/>
      <c r="AA230"/>
      <c r="AB230"/>
      <c r="AC230"/>
      <c r="AD230"/>
      <c r="AE230"/>
      <c r="AF230"/>
      <c r="AG230"/>
      <c r="AH230"/>
      <c r="AI230"/>
      <c r="AJ230"/>
      <c r="AK230"/>
      <c r="AL230"/>
      <c r="AM230"/>
      <c r="AN230"/>
      <c r="AO230"/>
      <c r="AP230"/>
      <c r="AQ230"/>
    </row>
    <row r="231" spans="1:43" s="36" customFormat="1" hidden="1">
      <c r="A231" s="3235" t="s">
        <v>1945</v>
      </c>
      <c r="B231" s="58" t="s">
        <v>5831</v>
      </c>
      <c r="C231" s="3275" t="s">
        <v>28</v>
      </c>
      <c r="D231" s="3280">
        <v>45320</v>
      </c>
      <c r="E231" s="3280">
        <v>45330</v>
      </c>
      <c r="F231" s="3275" t="s">
        <v>45</v>
      </c>
      <c r="G231" s="3275" t="s">
        <v>46</v>
      </c>
      <c r="H231" s="3280"/>
      <c r="I231" s="3275"/>
      <c r="J231" s="3275" t="s">
        <v>5832</v>
      </c>
      <c r="K231" s="3275" t="s">
        <v>5833</v>
      </c>
      <c r="L231" s="3368"/>
      <c r="M231" s="3280"/>
      <c r="N231" s="3516" t="s">
        <v>5834</v>
      </c>
      <c r="O231" s="3280"/>
      <c r="P231" s="3439" t="s">
        <v>5835</v>
      </c>
      <c r="Q231" s="3275" t="s">
        <v>35</v>
      </c>
      <c r="R231" s="58" t="s">
        <v>3988</v>
      </c>
      <c r="S231" s="710" t="s">
        <v>67</v>
      </c>
      <c r="T231" s="705">
        <v>45</v>
      </c>
      <c r="U231" s="705"/>
      <c r="V231" s="705"/>
      <c r="W231" s="705">
        <f>表12[[#This Row],[Sales Amount]]-表12[[#This Row],[Cost]]</f>
        <v>45</v>
      </c>
      <c r="X231" s="2146" t="str">
        <f>IFERROR(Table6[[#This Row],[Profit]]/Table6[[#This Row],[Cost]]," ")</f>
        <v xml:space="preserve"> </v>
      </c>
      <c r="Y231" s="705"/>
      <c r="Z231" s="704"/>
      <c r="AA231"/>
      <c r="AB231"/>
      <c r="AC231"/>
      <c r="AD231"/>
      <c r="AE231"/>
      <c r="AF231"/>
      <c r="AG231"/>
      <c r="AH231"/>
      <c r="AI231"/>
      <c r="AJ231"/>
      <c r="AK231"/>
      <c r="AL231"/>
      <c r="AM231"/>
      <c r="AN231"/>
      <c r="AO231"/>
      <c r="AP231"/>
      <c r="AQ231"/>
    </row>
    <row r="232" spans="1:43" s="36" customFormat="1" hidden="1">
      <c r="A232" s="4319" t="s">
        <v>3343</v>
      </c>
      <c r="B232" s="3430" t="s">
        <v>5836</v>
      </c>
      <c r="C232" s="3430" t="s">
        <v>28</v>
      </c>
      <c r="D232" s="3262">
        <v>45333</v>
      </c>
      <c r="E232" s="3365">
        <v>45339</v>
      </c>
      <c r="F232" s="507" t="s">
        <v>45</v>
      </c>
      <c r="G232" s="13" t="s">
        <v>302</v>
      </c>
      <c r="H232" s="3290"/>
      <c r="I232" s="3265"/>
      <c r="J232" s="3517" t="s">
        <v>32</v>
      </c>
      <c r="K232" s="3518" t="s">
        <v>47</v>
      </c>
      <c r="L232" s="3268" t="s">
        <v>5837</v>
      </c>
      <c r="M232" s="3373">
        <v>45341</v>
      </c>
      <c r="N232" s="3373">
        <v>45339</v>
      </c>
      <c r="O232" s="3373">
        <v>45341</v>
      </c>
      <c r="P232" s="745" t="s">
        <v>5838</v>
      </c>
      <c r="Q232" s="4848" t="s">
        <v>50</v>
      </c>
      <c r="R232" s="3" t="s">
        <v>5839</v>
      </c>
      <c r="S232" s="31"/>
      <c r="T232" s="712"/>
      <c r="U232" s="712"/>
      <c r="V232" s="712"/>
      <c r="W232" s="712">
        <f>表12[[#This Row],[Sales Amount]]-表12[[#This Row],[Cost]]</f>
        <v>0</v>
      </c>
      <c r="X232" s="2326" t="str">
        <f>IFERROR(Table6[[#This Row],[Profit]]/Table6[[#This Row],[Cost]]," ")</f>
        <v xml:space="preserve"> </v>
      </c>
      <c r="Y232" s="712"/>
      <c r="Z232" s="2210"/>
      <c r="AA232" s="3"/>
      <c r="AB232" s="3"/>
      <c r="AC232" s="3"/>
      <c r="AD232" s="3"/>
      <c r="AE232" s="3"/>
      <c r="AF232" s="3"/>
      <c r="AG232" s="3"/>
      <c r="AH232" s="3"/>
      <c r="AI232" s="3"/>
      <c r="AJ232" s="3"/>
      <c r="AK232" s="3"/>
      <c r="AL232" s="3"/>
      <c r="AM232" s="3"/>
      <c r="AN232" s="3"/>
      <c r="AO232" s="3"/>
      <c r="AP232" s="3"/>
      <c r="AQ232" s="3"/>
    </row>
    <row r="233" spans="1:43" s="52" customFormat="1" hidden="1">
      <c r="A233" s="3235" t="s">
        <v>2966</v>
      </c>
      <c r="B233" s="58" t="s">
        <v>5840</v>
      </c>
      <c r="C233" s="3275" t="s">
        <v>200</v>
      </c>
      <c r="D233" s="3280">
        <v>45309</v>
      </c>
      <c r="E233" s="3346">
        <v>45328</v>
      </c>
      <c r="F233" s="58" t="s">
        <v>151</v>
      </c>
      <c r="G233" s="58" t="s">
        <v>46</v>
      </c>
      <c r="H233" s="3350">
        <v>45330</v>
      </c>
      <c r="I233" s="3370"/>
      <c r="J233" s="58" t="s">
        <v>1353</v>
      </c>
      <c r="K233" s="1344" t="s">
        <v>2968</v>
      </c>
      <c r="L233" s="3275" t="s">
        <v>5841</v>
      </c>
      <c r="M233" s="3396">
        <v>45330</v>
      </c>
      <c r="N233" s="3396">
        <v>45330</v>
      </c>
      <c r="O233" s="3329">
        <v>45330</v>
      </c>
      <c r="P233" s="1350" t="s">
        <v>5540</v>
      </c>
      <c r="Q233" s="4839" t="s">
        <v>35</v>
      </c>
      <c r="R233" s="4839" t="s">
        <v>36</v>
      </c>
      <c r="S233" s="710" t="s">
        <v>2971</v>
      </c>
      <c r="T233" s="705">
        <v>3730</v>
      </c>
      <c r="U233" s="681">
        <v>2784</v>
      </c>
      <c r="V233" s="681">
        <v>3</v>
      </c>
      <c r="W233" s="705">
        <f>表12[[#This Row],[Sales Amount]]-表12[[#This Row],[Cost]]</f>
        <v>946</v>
      </c>
      <c r="X233" s="2146" t="str">
        <f>IFERROR(Table6[[#This Row],[Profit]]/Table6[[#This Row],[Cost]]," ")</f>
        <v xml:space="preserve"> </v>
      </c>
      <c r="Y233" s="705"/>
      <c r="Z233" s="704"/>
      <c r="AA233"/>
      <c r="AB233"/>
      <c r="AC233"/>
      <c r="AD233"/>
      <c r="AE233"/>
      <c r="AF233"/>
      <c r="AG233"/>
      <c r="AH233"/>
      <c r="AI233"/>
      <c r="AJ233"/>
      <c r="AK233"/>
      <c r="AL233"/>
      <c r="AM233"/>
      <c r="AN233"/>
      <c r="AO233"/>
      <c r="AP233"/>
      <c r="AQ233"/>
    </row>
    <row r="234" spans="1:43" s="52" customFormat="1" hidden="1">
      <c r="A234" s="3235" t="s">
        <v>263</v>
      </c>
      <c r="B234" s="58" t="s">
        <v>5842</v>
      </c>
      <c r="C234" s="3275" t="s">
        <v>44</v>
      </c>
      <c r="D234" s="3280">
        <v>45332</v>
      </c>
      <c r="E234" s="3280">
        <v>45332</v>
      </c>
      <c r="F234" s="3275" t="s">
        <v>135</v>
      </c>
      <c r="G234" s="3275" t="s">
        <v>5798</v>
      </c>
      <c r="H234" s="3301">
        <v>45341</v>
      </c>
      <c r="I234" s="3511">
        <v>0.375</v>
      </c>
      <c r="J234" s="3275" t="s">
        <v>2492</v>
      </c>
      <c r="K234" s="58" t="s">
        <v>5799</v>
      </c>
      <c r="L234" s="3348"/>
      <c r="M234" s="3280">
        <v>45340</v>
      </c>
      <c r="N234" s="3280">
        <v>45338</v>
      </c>
      <c r="O234" s="3280">
        <v>45342</v>
      </c>
      <c r="P234" s="1365" t="s">
        <v>5843</v>
      </c>
      <c r="Q234" s="4839" t="s">
        <v>128</v>
      </c>
      <c r="R234" s="2093" t="s">
        <v>36</v>
      </c>
      <c r="S234" s="710"/>
      <c r="T234" s="1372">
        <v>2010.53</v>
      </c>
      <c r="U234" s="1372">
        <f>130.53+1525</f>
        <v>1655.53</v>
      </c>
      <c r="V234" s="1372"/>
      <c r="W234" s="1372">
        <f>表12[[#This Row],[Sales Amount]]-表12[[#This Row],[Cost]]</f>
        <v>355</v>
      </c>
      <c r="X234" s="2268" t="str">
        <f>IFERROR(Table6[[#This Row],[Profit]]/Table6[[#This Row],[Cost]]," ")</f>
        <v xml:space="preserve"> </v>
      </c>
      <c r="Y234" s="1372"/>
      <c r="Z234" s="2261"/>
      <c r="AA234"/>
      <c r="AB234"/>
      <c r="AC234"/>
      <c r="AD234"/>
      <c r="AE234"/>
      <c r="AF234"/>
      <c r="AG234"/>
      <c r="AH234"/>
      <c r="AI234"/>
      <c r="AJ234"/>
      <c r="AK234"/>
      <c r="AL234"/>
      <c r="AM234"/>
      <c r="AN234"/>
      <c r="AO234"/>
      <c r="AP234"/>
      <c r="AQ234"/>
    </row>
    <row r="235" spans="1:43" s="117" customFormat="1" hidden="1">
      <c r="A235" s="117" t="s">
        <v>409</v>
      </c>
      <c r="B235" s="3419" t="s">
        <v>5844</v>
      </c>
      <c r="C235" s="3419" t="s">
        <v>28</v>
      </c>
      <c r="D235" s="3373">
        <v>45324</v>
      </c>
      <c r="E235" s="3365">
        <f>7+表12[[#This Row],[ETA PORT]]</f>
        <v>45331</v>
      </c>
      <c r="F235" s="374" t="s">
        <v>45</v>
      </c>
      <c r="G235" s="3419" t="s">
        <v>46</v>
      </c>
      <c r="H235" s="3290"/>
      <c r="I235" s="3265"/>
      <c r="J235" s="3265" t="s">
        <v>32</v>
      </c>
      <c r="K235" s="374" t="s">
        <v>47</v>
      </c>
      <c r="L235" s="3376" t="s">
        <v>5845</v>
      </c>
      <c r="M235" s="3373">
        <v>45330</v>
      </c>
      <c r="N235" s="3373">
        <v>45328</v>
      </c>
      <c r="O235" s="3373">
        <v>45330</v>
      </c>
      <c r="P235" s="2256" t="s">
        <v>5846</v>
      </c>
      <c r="Q235" s="4979" t="s">
        <v>89</v>
      </c>
      <c r="R235" s="2209" t="s">
        <v>5847</v>
      </c>
      <c r="S235" s="31"/>
      <c r="T235" s="712"/>
      <c r="U235" s="712"/>
      <c r="V235" s="712"/>
      <c r="W235" s="712">
        <f>表12[[#This Row],[Sales Amount]]-表12[[#This Row],[Cost]]</f>
        <v>0</v>
      </c>
      <c r="X235" s="2280" t="str">
        <f>IFERROR(Table6[[#This Row],[Profit]]/Table6[[#This Row],[Cost]]," ")</f>
        <v xml:space="preserve"> </v>
      </c>
      <c r="Y235" s="712"/>
      <c r="Z235" s="2210"/>
      <c r="AA235" s="3"/>
      <c r="AB235" s="3"/>
      <c r="AC235" s="3"/>
      <c r="AD235" s="3"/>
      <c r="AE235" s="3"/>
      <c r="AF235" s="3"/>
      <c r="AG235" s="3"/>
      <c r="AH235" s="3"/>
      <c r="AI235" s="3"/>
      <c r="AJ235" s="3"/>
      <c r="AK235" s="3"/>
      <c r="AL235" s="3"/>
      <c r="AM235" s="3"/>
      <c r="AN235" s="3"/>
      <c r="AO235" s="3"/>
      <c r="AP235" s="3"/>
      <c r="AQ235" s="3"/>
    </row>
    <row r="236" spans="1:43" s="117" customFormat="1" ht="165">
      <c r="A236" s="4319" t="s">
        <v>1271</v>
      </c>
      <c r="B236" s="4150" t="s">
        <v>5848</v>
      </c>
      <c r="C236" s="1617" t="s">
        <v>794</v>
      </c>
      <c r="D236" s="3262">
        <v>45308</v>
      </c>
      <c r="E236" s="3365">
        <v>45326</v>
      </c>
      <c r="F236" s="3430" t="s">
        <v>151</v>
      </c>
      <c r="G236" s="1617" t="s">
        <v>302</v>
      </c>
      <c r="H236" s="3519" t="s">
        <v>5849</v>
      </c>
      <c r="I236" s="3268"/>
      <c r="J236" s="1646" t="s">
        <v>5850</v>
      </c>
      <c r="K236" s="1617" t="s">
        <v>5851</v>
      </c>
      <c r="L236" s="3268" t="s">
        <v>162</v>
      </c>
      <c r="M236" s="3453">
        <v>45330</v>
      </c>
      <c r="N236" s="3262">
        <v>45330</v>
      </c>
      <c r="O236" s="3438">
        <v>45335</v>
      </c>
      <c r="P236" s="4104" t="s">
        <v>5852</v>
      </c>
      <c r="Q236" s="4908" t="s">
        <v>75</v>
      </c>
      <c r="R236" s="2125" t="s">
        <v>5853</v>
      </c>
      <c r="S236" s="660"/>
      <c r="T236" s="660"/>
      <c r="U236" s="1063" t="s">
        <v>5854</v>
      </c>
      <c r="V236" s="660"/>
      <c r="W236" s="660" t="e">
        <f>表12[[#This Row],[Sales Amount]]-表12[[#This Row],[Cost]]</f>
        <v>#VALUE!</v>
      </c>
      <c r="X236" s="2282" t="str">
        <f>IFERROR(Table6[[#This Row],[Profit]]/Table6[[#This Row],[Cost]]," ")</f>
        <v xml:space="preserve"> </v>
      </c>
      <c r="Y236" s="660"/>
      <c r="Z236" s="113"/>
      <c r="AA236" s="3"/>
      <c r="AB236" s="3"/>
      <c r="AC236" s="3"/>
      <c r="AD236" s="3"/>
      <c r="AE236" s="3"/>
      <c r="AF236" s="3"/>
      <c r="AG236" s="3"/>
      <c r="AH236" s="3"/>
      <c r="AI236" s="3"/>
      <c r="AJ236" s="3"/>
      <c r="AK236" s="3"/>
      <c r="AL236" s="3"/>
      <c r="AM236" s="3"/>
      <c r="AN236" s="3"/>
      <c r="AO236" s="3"/>
      <c r="AP236" s="3"/>
      <c r="AQ236" s="3"/>
    </row>
    <row r="237" spans="1:43" s="36" customFormat="1" hidden="1">
      <c r="A237" s="117" t="s">
        <v>409</v>
      </c>
      <c r="B237" s="3268" t="s">
        <v>5855</v>
      </c>
      <c r="C237" s="3268" t="s">
        <v>28</v>
      </c>
      <c r="D237" s="3262">
        <v>45326</v>
      </c>
      <c r="E237" s="3365">
        <v>45346</v>
      </c>
      <c r="F237" s="3268" t="s">
        <v>45</v>
      </c>
      <c r="G237" s="3265" t="s">
        <v>302</v>
      </c>
      <c r="H237" s="3290"/>
      <c r="I237" s="3265"/>
      <c r="J237" s="979" t="s">
        <v>32</v>
      </c>
      <c r="K237" s="3265" t="s">
        <v>47</v>
      </c>
      <c r="L237" s="3268" t="s">
        <v>5856</v>
      </c>
      <c r="M237" s="3373">
        <v>45346</v>
      </c>
      <c r="N237" s="3373">
        <v>45346</v>
      </c>
      <c r="O237" s="3373">
        <v>45349</v>
      </c>
      <c r="P237" s="745" t="s">
        <v>5857</v>
      </c>
      <c r="Q237" s="4848" t="s">
        <v>89</v>
      </c>
      <c r="R237" s="2209" t="s">
        <v>5858</v>
      </c>
      <c r="S237" s="31"/>
      <c r="T237" s="712"/>
      <c r="U237" s="712"/>
      <c r="V237" s="712"/>
      <c r="W237" s="712">
        <f>表12[[#This Row],[Sales Amount]]-表12[[#This Row],[Cost]]</f>
        <v>0</v>
      </c>
      <c r="X237" s="2326" t="str">
        <f>IFERROR(Table6[[#This Row],[Profit]]/Table6[[#This Row],[Cost]]," ")</f>
        <v xml:space="preserve"> </v>
      </c>
      <c r="Y237" s="712"/>
      <c r="Z237" s="2210"/>
      <c r="AA237" s="3"/>
      <c r="AB237" s="3"/>
      <c r="AC237" s="3"/>
      <c r="AD237" s="3"/>
      <c r="AE237" s="3"/>
      <c r="AF237" s="3"/>
      <c r="AG237" s="3"/>
      <c r="AH237" s="3"/>
      <c r="AI237" s="3"/>
      <c r="AJ237" s="3"/>
      <c r="AK237" s="3"/>
      <c r="AL237" s="3"/>
      <c r="AM237" s="3"/>
      <c r="AN237" s="3"/>
      <c r="AO237" s="3"/>
      <c r="AP237" s="3"/>
      <c r="AQ237" s="3"/>
    </row>
    <row r="238" spans="1:43" s="117" customFormat="1" ht="45">
      <c r="A238" s="4607" t="s">
        <v>468</v>
      </c>
      <c r="B238" s="4938" t="s">
        <v>5859</v>
      </c>
      <c r="C238" s="4845" t="s">
        <v>28</v>
      </c>
      <c r="D238" s="4906">
        <v>45320</v>
      </c>
      <c r="E238" s="4907">
        <v>45329</v>
      </c>
      <c r="F238" s="4845" t="s">
        <v>151</v>
      </c>
      <c r="G238" s="3268" t="s">
        <v>3148</v>
      </c>
      <c r="H238" s="5282">
        <v>45331</v>
      </c>
      <c r="I238" s="4938" t="s">
        <v>899</v>
      </c>
      <c r="J238" s="4938" t="s">
        <v>322</v>
      </c>
      <c r="K238" s="4938" t="s">
        <v>1455</v>
      </c>
      <c r="L238" s="4938">
        <v>5390</v>
      </c>
      <c r="M238" s="5318">
        <v>45331</v>
      </c>
      <c r="N238" s="5318">
        <v>45331</v>
      </c>
      <c r="O238" s="5282">
        <v>45337</v>
      </c>
      <c r="P238" s="4909" t="s">
        <v>5860</v>
      </c>
      <c r="Q238" s="4845" t="s">
        <v>75</v>
      </c>
      <c r="R238" s="2284" t="s">
        <v>5861</v>
      </c>
      <c r="S238" s="120"/>
      <c r="T238" s="120">
        <v>1770</v>
      </c>
      <c r="U238" s="120">
        <v>1444.5</v>
      </c>
      <c r="V238" s="120">
        <v>1</v>
      </c>
      <c r="W238" s="120">
        <f>表12[[#This Row],[Sales Amount]]-表12[[#This Row],[Cost]]</f>
        <v>325.5</v>
      </c>
      <c r="X238" s="2305" t="str">
        <f>IFERROR(Table6[[#This Row],[Profit]]/Table6[[#This Row],[Cost]]," ")</f>
        <v xml:space="preserve"> </v>
      </c>
      <c r="Y238" s="120"/>
      <c r="Z238" s="1209"/>
      <c r="AA238" s="3"/>
      <c r="AB238" s="3"/>
      <c r="AC238" s="3"/>
      <c r="AD238" s="3"/>
      <c r="AE238" s="3"/>
      <c r="AF238" s="3"/>
      <c r="AG238" s="3"/>
      <c r="AH238" s="3"/>
      <c r="AI238" s="3"/>
      <c r="AJ238" s="3"/>
      <c r="AK238" s="3"/>
      <c r="AL238" s="3"/>
      <c r="AM238" s="3"/>
      <c r="AN238" s="3"/>
      <c r="AO238" s="3"/>
      <c r="AP238" s="3"/>
      <c r="AQ238" s="3"/>
    </row>
    <row r="239" spans="1:43" s="117" customFormat="1" ht="30">
      <c r="A239" s="4645" t="s">
        <v>468</v>
      </c>
      <c r="B239" s="5319" t="s">
        <v>5862</v>
      </c>
      <c r="C239" s="3520" t="s">
        <v>28</v>
      </c>
      <c r="D239" s="5320">
        <v>45320</v>
      </c>
      <c r="E239" s="5315">
        <v>45326</v>
      </c>
      <c r="F239" s="5321" t="s">
        <v>98</v>
      </c>
      <c r="G239" s="5321" t="s">
        <v>302</v>
      </c>
      <c r="H239" s="5279" t="s">
        <v>5863</v>
      </c>
      <c r="I239" s="4845"/>
      <c r="J239" s="5321" t="s">
        <v>32</v>
      </c>
      <c r="K239" s="5321" t="s">
        <v>310</v>
      </c>
      <c r="L239" s="4934" t="s">
        <v>5864</v>
      </c>
      <c r="M239" s="5322">
        <v>45331</v>
      </c>
      <c r="N239" s="5322">
        <v>45329</v>
      </c>
      <c r="O239" s="4906">
        <v>45331</v>
      </c>
      <c r="P239" s="5306" t="s">
        <v>5865</v>
      </c>
      <c r="Q239" s="5321" t="s">
        <v>75</v>
      </c>
      <c r="R239" s="2324" t="s">
        <v>5866</v>
      </c>
      <c r="S239" s="120"/>
      <c r="T239" s="120"/>
      <c r="U239" s="120"/>
      <c r="V239" s="120"/>
      <c r="W239" s="120">
        <f>表12[[#This Row],[Sales Amount]]-表12[[#This Row],[Cost]]</f>
        <v>0</v>
      </c>
      <c r="X239" s="2305" t="str">
        <f>IFERROR(Table6[[#This Row],[Profit]]/Table6[[#This Row],[Cost]]," ")</f>
        <v xml:space="preserve"> </v>
      </c>
      <c r="Y239" s="120"/>
      <c r="Z239" s="1209"/>
      <c r="AA239" s="3"/>
      <c r="AB239" s="3"/>
      <c r="AC239" s="3"/>
      <c r="AD239" s="3"/>
      <c r="AE239" s="3"/>
      <c r="AF239" s="3"/>
      <c r="AG239" s="3"/>
      <c r="AH239" s="3"/>
      <c r="AI239" s="3"/>
      <c r="AJ239" s="3"/>
      <c r="AK239" s="3"/>
      <c r="AL239" s="3"/>
      <c r="AM239" s="3"/>
      <c r="AN239" s="3"/>
      <c r="AO239" s="3"/>
      <c r="AP239" s="3"/>
      <c r="AQ239" s="3"/>
    </row>
    <row r="240" spans="1:43" hidden="1">
      <c r="A240" s="3235" t="s">
        <v>263</v>
      </c>
      <c r="B240" s="3275" t="s">
        <v>5867</v>
      </c>
      <c r="C240" s="3275" t="s">
        <v>44</v>
      </c>
      <c r="D240" s="3280">
        <v>45332</v>
      </c>
      <c r="E240" s="3280">
        <v>45332</v>
      </c>
      <c r="F240" s="3275" t="s">
        <v>135</v>
      </c>
      <c r="G240" s="3275" t="s">
        <v>5798</v>
      </c>
      <c r="H240" s="3301">
        <v>45337</v>
      </c>
      <c r="I240" s="3511">
        <v>0.375</v>
      </c>
      <c r="J240" s="3275" t="s">
        <v>2492</v>
      </c>
      <c r="K240" s="3275" t="s">
        <v>5799</v>
      </c>
      <c r="L240" s="3512"/>
      <c r="M240" s="3280">
        <v>45340</v>
      </c>
      <c r="N240" s="3280">
        <v>45336</v>
      </c>
      <c r="O240" s="3280">
        <v>45338</v>
      </c>
      <c r="P240" s="3429" t="s">
        <v>5868</v>
      </c>
      <c r="Q240" s="3275" t="s">
        <v>128</v>
      </c>
      <c r="R240" s="2093" t="s">
        <v>36</v>
      </c>
      <c r="S240" s="710"/>
      <c r="T240" s="1372">
        <v>4139.3</v>
      </c>
      <c r="U240" s="1372">
        <f>1585+1585+159.3+370</f>
        <v>3699.3</v>
      </c>
      <c r="V240" s="1372">
        <v>2</v>
      </c>
      <c r="W240" s="1372">
        <f>表12[[#This Row],[Sales Amount]]-表12[[#This Row],[Cost]]</f>
        <v>440</v>
      </c>
      <c r="X240" s="2268" t="str">
        <f>IFERROR(Table6[[#This Row],[Profit]]/Table6[[#This Row],[Cost]]," ")</f>
        <v xml:space="preserve"> </v>
      </c>
      <c r="Y240" s="1372"/>
      <c r="Z240" s="2261"/>
    </row>
    <row r="241" spans="1:43" s="52" customFormat="1" hidden="1">
      <c r="A241" s="3235" t="s">
        <v>263</v>
      </c>
      <c r="B241" s="3275" t="s">
        <v>5869</v>
      </c>
      <c r="C241" s="3275" t="s">
        <v>44</v>
      </c>
      <c r="D241" s="3280">
        <v>45332</v>
      </c>
      <c r="E241" s="3280">
        <v>45332</v>
      </c>
      <c r="F241" s="3275" t="s">
        <v>135</v>
      </c>
      <c r="G241" s="4839" t="s">
        <v>5798</v>
      </c>
      <c r="H241" s="3301">
        <v>45341</v>
      </c>
      <c r="I241" s="3511">
        <v>0.54166666666666663</v>
      </c>
      <c r="J241" s="58" t="s">
        <v>2492</v>
      </c>
      <c r="K241" s="3275" t="s">
        <v>5799</v>
      </c>
      <c r="L241" s="3512"/>
      <c r="M241" s="3280">
        <v>45340</v>
      </c>
      <c r="N241" s="3280">
        <v>45337</v>
      </c>
      <c r="O241" s="3280">
        <v>45342</v>
      </c>
      <c r="P241" s="3429" t="s">
        <v>5870</v>
      </c>
      <c r="Q241" s="4839" t="s">
        <v>128</v>
      </c>
      <c r="R241" s="2093" t="s">
        <v>36</v>
      </c>
      <c r="S241" s="710"/>
      <c r="T241" s="1372">
        <v>4139.3</v>
      </c>
      <c r="U241" s="1372">
        <f>1585+1585+159.3+370</f>
        <v>3699.3</v>
      </c>
      <c r="V241" s="1372">
        <v>2</v>
      </c>
      <c r="W241" s="1372">
        <f>表12[[#This Row],[Sales Amount]]-表12[[#This Row],[Cost]]</f>
        <v>440</v>
      </c>
      <c r="X241" s="2268" t="str">
        <f>IFERROR(Table6[[#This Row],[Profit]]/Table6[[#This Row],[Cost]]," ")</f>
        <v xml:space="preserve"> </v>
      </c>
      <c r="Y241" s="1372"/>
      <c r="Z241" s="2261"/>
      <c r="AA241"/>
      <c r="AB241"/>
      <c r="AC241"/>
      <c r="AD241"/>
      <c r="AE241"/>
      <c r="AF241"/>
      <c r="AG241"/>
      <c r="AH241"/>
      <c r="AI241"/>
      <c r="AJ241"/>
      <c r="AK241"/>
      <c r="AL241"/>
      <c r="AM241"/>
      <c r="AN241"/>
      <c r="AO241"/>
      <c r="AP241"/>
      <c r="AQ241"/>
    </row>
    <row r="242" spans="1:43" s="36" customFormat="1" ht="15.75" hidden="1">
      <c r="A242" s="117" t="s">
        <v>409</v>
      </c>
      <c r="B242" s="3430" t="s">
        <v>5871</v>
      </c>
      <c r="C242" s="3430" t="s">
        <v>28</v>
      </c>
      <c r="D242" s="3262">
        <v>45324</v>
      </c>
      <c r="E242" s="889">
        <v>45346</v>
      </c>
      <c r="F242" s="3430" t="s">
        <v>45</v>
      </c>
      <c r="G242" s="3419" t="s">
        <v>302</v>
      </c>
      <c r="H242" s="3290"/>
      <c r="I242" s="3265"/>
      <c r="J242" s="3491" t="s">
        <v>32</v>
      </c>
      <c r="K242" s="25" t="s">
        <v>47</v>
      </c>
      <c r="L242" s="3268" t="s">
        <v>5872</v>
      </c>
      <c r="M242" s="3373">
        <v>45346</v>
      </c>
      <c r="N242" s="3373">
        <v>45346</v>
      </c>
      <c r="O242" s="3373">
        <v>45349</v>
      </c>
      <c r="P242" s="3461" t="s">
        <v>5873</v>
      </c>
      <c r="Q242" s="3419" t="s">
        <v>89</v>
      </c>
      <c r="R242" s="2209" t="s">
        <v>5874</v>
      </c>
      <c r="S242" s="31"/>
      <c r="T242" s="712"/>
      <c r="U242" s="712"/>
      <c r="V242" s="712"/>
      <c r="W242" s="712">
        <f>表12[[#This Row],[Sales Amount]]-表12[[#This Row],[Cost]]</f>
        <v>0</v>
      </c>
      <c r="X242" s="2326" t="str">
        <f>IFERROR(Table6[[#This Row],[Profit]]/Table6[[#This Row],[Cost]]," ")</f>
        <v xml:space="preserve"> </v>
      </c>
      <c r="Y242" s="712"/>
      <c r="Z242" s="2210"/>
      <c r="AA242" s="3"/>
      <c r="AB242" s="3"/>
      <c r="AC242" s="3"/>
      <c r="AD242" s="3"/>
      <c r="AE242" s="3"/>
      <c r="AF242" s="3"/>
      <c r="AG242" s="3"/>
      <c r="AH242" s="3"/>
      <c r="AI242" s="3"/>
      <c r="AJ242" s="3"/>
      <c r="AK242" s="3"/>
      <c r="AL242" s="3"/>
      <c r="AM242" s="3"/>
      <c r="AN242" s="3"/>
      <c r="AO242" s="3"/>
      <c r="AP242" s="3"/>
      <c r="AQ242" s="3"/>
    </row>
    <row r="243" spans="1:43" s="36" customFormat="1" hidden="1">
      <c r="A243" s="3417" t="s">
        <v>409</v>
      </c>
      <c r="B243" s="4938" t="s">
        <v>5875</v>
      </c>
      <c r="C243" s="4938" t="s">
        <v>28</v>
      </c>
      <c r="D243" s="4906">
        <v>45333</v>
      </c>
      <c r="E243" s="4907">
        <f>7+表12[[#This Row],[ETA PORT]]</f>
        <v>45340</v>
      </c>
      <c r="F243" s="4938" t="s">
        <v>45</v>
      </c>
      <c r="G243" s="4979" t="s">
        <v>302</v>
      </c>
      <c r="H243" s="4836"/>
      <c r="I243" s="4848"/>
      <c r="J243" s="5311" t="s">
        <v>32</v>
      </c>
      <c r="K243" s="4979" t="s">
        <v>47</v>
      </c>
      <c r="L243" s="4845" t="s">
        <v>5876</v>
      </c>
      <c r="M243" s="4853">
        <v>45342</v>
      </c>
      <c r="N243" s="4853">
        <v>45340</v>
      </c>
      <c r="O243" s="4853">
        <v>45341</v>
      </c>
      <c r="P243" s="4838" t="s">
        <v>5877</v>
      </c>
      <c r="Q243" s="4979" t="s">
        <v>89</v>
      </c>
      <c r="R243" s="2277" t="s">
        <v>5878</v>
      </c>
      <c r="S243" s="19"/>
      <c r="T243" s="1138"/>
      <c r="U243" s="1138"/>
      <c r="V243" s="1138"/>
      <c r="W243" s="1138">
        <f>表12[[#This Row],[Sales Amount]]-表12[[#This Row],[Cost]]</f>
        <v>0</v>
      </c>
      <c r="X243" s="2273" t="str">
        <f>IFERROR(Table6[[#This Row],[Profit]]/Table6[[#This Row],[Cost]]," ")</f>
        <v xml:space="preserve"> </v>
      </c>
      <c r="Y243" s="1138"/>
      <c r="Z243" s="2253"/>
      <c r="AA243" s="3"/>
      <c r="AB243" s="3"/>
      <c r="AC243" s="3"/>
      <c r="AD243" s="3"/>
      <c r="AE243" s="3"/>
      <c r="AF243" s="3"/>
      <c r="AG243" s="3"/>
      <c r="AH243" s="3"/>
      <c r="AI243" s="3"/>
      <c r="AJ243" s="3"/>
      <c r="AK243" s="3"/>
      <c r="AL243" s="3"/>
      <c r="AM243" s="3"/>
      <c r="AN243" s="3"/>
      <c r="AO243" s="3"/>
      <c r="AP243" s="3"/>
      <c r="AQ243" s="3"/>
    </row>
    <row r="244" spans="1:43" s="36" customFormat="1" hidden="1">
      <c r="A244" s="3417" t="s">
        <v>409</v>
      </c>
      <c r="B244" s="3513" t="s">
        <v>5879</v>
      </c>
      <c r="C244" s="3430" t="s">
        <v>28</v>
      </c>
      <c r="D244" s="3262">
        <v>45328</v>
      </c>
      <c r="E244" s="4907">
        <v>45351</v>
      </c>
      <c r="F244" s="3430" t="s">
        <v>45</v>
      </c>
      <c r="G244" s="3419" t="s">
        <v>302</v>
      </c>
      <c r="H244" s="3290"/>
      <c r="I244" s="3265"/>
      <c r="J244" s="3486" t="s">
        <v>32</v>
      </c>
      <c r="K244" s="3419" t="s">
        <v>47</v>
      </c>
      <c r="L244" s="3265" t="s">
        <v>5880</v>
      </c>
      <c r="M244" s="3373">
        <v>45353</v>
      </c>
      <c r="N244" s="3373">
        <v>45352</v>
      </c>
      <c r="O244" s="3373">
        <v>45355</v>
      </c>
      <c r="P244" s="3461" t="s">
        <v>5881</v>
      </c>
      <c r="Q244" s="3419" t="s">
        <v>89</v>
      </c>
      <c r="R244" s="2209" t="s">
        <v>5882</v>
      </c>
      <c r="S244" s="31"/>
      <c r="T244" s="712"/>
      <c r="U244" s="712"/>
      <c r="V244" s="712"/>
      <c r="W244" s="712">
        <f>表12[[#This Row],[Sales Amount]]-表12[[#This Row],[Cost]]</f>
        <v>0</v>
      </c>
      <c r="X244" s="2326" t="str">
        <f>IFERROR(Table6[[#This Row],[Profit]]/Table6[[#This Row],[Cost]]," ")</f>
        <v xml:space="preserve"> </v>
      </c>
      <c r="Y244" s="712"/>
      <c r="Z244" s="2210"/>
      <c r="AA244" s="3"/>
      <c r="AB244" s="3"/>
      <c r="AC244" s="3"/>
      <c r="AD244" s="3"/>
      <c r="AE244" s="3"/>
      <c r="AF244" s="3"/>
      <c r="AG244" s="3"/>
      <c r="AH244" s="3"/>
      <c r="AI244" s="3"/>
      <c r="AJ244" s="3"/>
      <c r="AK244" s="3"/>
      <c r="AL244" s="3"/>
      <c r="AM244" s="3"/>
      <c r="AN244" s="3"/>
      <c r="AO244" s="3"/>
      <c r="AP244" s="3"/>
      <c r="AQ244" s="3"/>
    </row>
    <row r="245" spans="1:43" s="52" customFormat="1" ht="45" hidden="1">
      <c r="A245" s="4190" t="s">
        <v>1477</v>
      </c>
      <c r="B245" s="3514">
        <v>6374726820</v>
      </c>
      <c r="C245" s="3275" t="s">
        <v>5883</v>
      </c>
      <c r="D245" s="3280">
        <v>45322</v>
      </c>
      <c r="E245" s="4859">
        <v>45345</v>
      </c>
      <c r="F245" s="3275" t="s">
        <v>45</v>
      </c>
      <c r="G245" s="3275" t="s">
        <v>46</v>
      </c>
      <c r="H245" s="3304" t="s">
        <v>5884</v>
      </c>
      <c r="I245" s="3303" t="s">
        <v>5885</v>
      </c>
      <c r="J245" s="3275" t="s">
        <v>32</v>
      </c>
      <c r="K245" s="3278" t="s">
        <v>2124</v>
      </c>
      <c r="L245" s="3357" t="s">
        <v>542</v>
      </c>
      <c r="M245" s="3396" t="s">
        <v>5886</v>
      </c>
      <c r="N245" s="3301" t="s">
        <v>5887</v>
      </c>
      <c r="O245" s="3301" t="s">
        <v>5888</v>
      </c>
      <c r="P245" s="3429" t="s">
        <v>5889</v>
      </c>
      <c r="Q245" s="3286" t="s">
        <v>35</v>
      </c>
      <c r="R245" s="2294" t="s">
        <v>36</v>
      </c>
      <c r="S245" s="1125" t="s">
        <v>664</v>
      </c>
      <c r="T245" s="705"/>
      <c r="U245" s="705"/>
      <c r="V245" s="705"/>
      <c r="W245" s="705">
        <f>表12[[#This Row],[Sales Amount]]-表12[[#This Row],[Cost]]</f>
        <v>0</v>
      </c>
      <c r="X245" s="2146" t="str">
        <f>IFERROR(Table6[[#This Row],[Profit]]/Table6[[#This Row],[Cost]]," ")</f>
        <v xml:space="preserve"> </v>
      </c>
      <c r="Y245" s="705"/>
      <c r="Z245" s="704"/>
      <c r="AA245"/>
      <c r="AB245"/>
      <c r="AC245"/>
      <c r="AD245"/>
      <c r="AE245"/>
      <c r="AF245"/>
      <c r="AG245"/>
      <c r="AH245"/>
      <c r="AI245"/>
      <c r="AJ245"/>
      <c r="AK245"/>
      <c r="AL245"/>
      <c r="AM245"/>
      <c r="AN245"/>
      <c r="AO245"/>
      <c r="AP245"/>
      <c r="AQ245"/>
    </row>
    <row r="246" spans="1:43" s="52" customFormat="1" ht="60" hidden="1">
      <c r="A246" s="3235" t="s">
        <v>681</v>
      </c>
      <c r="B246" s="3328" t="s">
        <v>5890</v>
      </c>
      <c r="C246" s="3521" t="s">
        <v>5891</v>
      </c>
      <c r="D246" s="3280">
        <v>45342</v>
      </c>
      <c r="E246" s="3280">
        <v>45342</v>
      </c>
      <c r="F246" s="58" t="s">
        <v>245</v>
      </c>
      <c r="G246" s="58" t="s">
        <v>5892</v>
      </c>
      <c r="H246" s="3301"/>
      <c r="I246" s="3275"/>
      <c r="J246" s="800" t="s">
        <v>322</v>
      </c>
      <c r="K246" s="58" t="s">
        <v>5893</v>
      </c>
      <c r="L246" s="3275"/>
      <c r="M246" s="3280"/>
      <c r="N246" s="3280"/>
      <c r="O246" s="3280"/>
      <c r="P246" s="3429" t="s">
        <v>5894</v>
      </c>
      <c r="Q246" s="3275" t="s">
        <v>128</v>
      </c>
      <c r="R246" s="2093" t="s">
        <v>36</v>
      </c>
      <c r="S246" s="710"/>
      <c r="T246" s="967">
        <f>3775-225</f>
        <v>3550</v>
      </c>
      <c r="U246" s="967">
        <f>280+85+762+795+887</f>
        <v>2809</v>
      </c>
      <c r="V246" s="967"/>
      <c r="W246" s="967">
        <f>表12[[#This Row],[Sales Amount]]-表12[[#This Row],[Cost]]</f>
        <v>741</v>
      </c>
      <c r="X246" s="967" t="str">
        <f>IFERROR(Table6[[#This Row],[Profit]]/Table6[[#This Row],[Cost]]," ")</f>
        <v xml:space="preserve"> </v>
      </c>
      <c r="Y246" s="967"/>
      <c r="Z246" s="960"/>
      <c r="AA246"/>
      <c r="AB246"/>
      <c r="AC246"/>
      <c r="AD246"/>
      <c r="AE246"/>
      <c r="AF246"/>
      <c r="AG246"/>
      <c r="AH246"/>
      <c r="AI246"/>
      <c r="AJ246"/>
      <c r="AK246"/>
      <c r="AL246"/>
      <c r="AM246"/>
      <c r="AN246"/>
      <c r="AO246"/>
      <c r="AP246"/>
      <c r="AQ246"/>
    </row>
    <row r="247" spans="1:43" s="36" customFormat="1" hidden="1">
      <c r="A247" s="3234" t="s">
        <v>3343</v>
      </c>
      <c r="B247" s="3419" t="s">
        <v>5895</v>
      </c>
      <c r="C247" s="3265" t="s">
        <v>1508</v>
      </c>
      <c r="D247" s="3262"/>
      <c r="E247" s="3365">
        <v>45320</v>
      </c>
      <c r="F247" s="3430"/>
      <c r="G247" s="3430"/>
      <c r="H247" s="3292"/>
      <c r="I247" s="3268"/>
      <c r="J247" s="3268" t="s">
        <v>738</v>
      </c>
      <c r="K247" s="3430" t="s">
        <v>310</v>
      </c>
      <c r="L247" s="3268"/>
      <c r="M247" s="3262"/>
      <c r="N247" s="3262">
        <v>45320</v>
      </c>
      <c r="O247" s="3262" t="s">
        <v>738</v>
      </c>
      <c r="P247" s="3432"/>
      <c r="Q247" s="3268" t="s">
        <v>50</v>
      </c>
      <c r="R247" s="2125" t="s">
        <v>5896</v>
      </c>
      <c r="S247" s="660"/>
      <c r="T247" s="660"/>
      <c r="U247" s="660"/>
      <c r="V247" s="660"/>
      <c r="W247" s="660"/>
      <c r="X247" s="2282"/>
      <c r="Y247" s="660"/>
      <c r="Z247" s="113"/>
      <c r="AA247" s="3"/>
      <c r="AB247" s="3"/>
      <c r="AC247" s="3"/>
      <c r="AD247" s="3"/>
      <c r="AE247" s="3"/>
      <c r="AF247" s="3"/>
      <c r="AG247" s="3"/>
      <c r="AH247" s="3"/>
      <c r="AI247" s="3"/>
      <c r="AJ247" s="3"/>
      <c r="AK247" s="3"/>
      <c r="AL247" s="3"/>
      <c r="AM247" s="3"/>
      <c r="AN247" s="3"/>
      <c r="AO247" s="3"/>
      <c r="AP247" s="3"/>
      <c r="AQ247" s="3"/>
    </row>
    <row r="248" spans="1:43" s="52" customFormat="1">
      <c r="A248"/>
      <c r="B248"/>
      <c r="C248"/>
      <c r="D248"/>
      <c r="E248" s="2"/>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row>
    <row r="249" spans="1:43" s="52" customFormat="1">
      <c r="A249"/>
      <c r="B249"/>
      <c r="C249"/>
      <c r="D249"/>
      <c r="E249" s="2"/>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row>
    <row r="250" spans="1:43" s="52" customFormat="1">
      <c r="A250"/>
      <c r="B250"/>
      <c r="C250"/>
      <c r="D250"/>
      <c r="E250" s="2"/>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row>
    <row r="251" spans="1:43" s="52" customFormat="1">
      <c r="A251"/>
      <c r="B251"/>
      <c r="C251"/>
      <c r="D251"/>
      <c r="E251" s="2"/>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row>
    <row r="252" spans="1:43" s="52" customFormat="1">
      <c r="A252"/>
      <c r="B252"/>
      <c r="C252"/>
      <c r="D252"/>
      <c r="E252" s="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row>
    <row r="253" spans="1:43" s="52" customFormat="1">
      <c r="A253"/>
      <c r="B253"/>
      <c r="C253"/>
      <c r="D253"/>
      <c r="E253" s="2"/>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row>
    <row r="254" spans="1:43" s="52" customFormat="1">
      <c r="A254"/>
      <c r="B254"/>
      <c r="C254"/>
      <c r="D254"/>
      <c r="E254" s="2"/>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row>
    <row r="255" spans="1:43" s="52" customFormat="1" ht="15.75" customHeight="1">
      <c r="A255"/>
      <c r="B255"/>
      <c r="C255"/>
      <c r="D255"/>
      <c r="E255" s="2"/>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row>
    <row r="256" spans="1:43" s="52" customFormat="1">
      <c r="A256"/>
      <c r="B256"/>
      <c r="C256"/>
      <c r="D256"/>
      <c r="E256" s="2"/>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row>
    <row r="257" spans="1:43" s="52" customFormat="1">
      <c r="A257"/>
      <c r="B257"/>
      <c r="C257"/>
      <c r="D257"/>
      <c r="E257" s="2"/>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row>
    <row r="258" spans="1:43" s="52" customFormat="1">
      <c r="A258"/>
      <c r="B258"/>
      <c r="C258"/>
      <c r="D258"/>
      <c r="E258" s="2"/>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row>
    <row r="259" spans="1:43" s="52" customFormat="1">
      <c r="A259"/>
      <c r="B259"/>
      <c r="C259"/>
      <c r="D259"/>
      <c r="E259" s="2"/>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row>
    <row r="260" spans="1:43" s="52" customFormat="1">
      <c r="A260"/>
      <c r="B260"/>
      <c r="C260"/>
      <c r="D260"/>
      <c r="E260" s="2"/>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row>
    <row r="261" spans="1:43" s="52" customFormat="1">
      <c r="A261"/>
      <c r="B261"/>
      <c r="C261"/>
      <c r="D261"/>
      <c r="E261" s="2"/>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row>
    <row r="262" spans="1:43" s="52" customFormat="1">
      <c r="A262"/>
      <c r="B262"/>
      <c r="C262"/>
      <c r="D262"/>
      <c r="E262" s="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row>
    <row r="263" spans="1:43">
      <c r="A263"/>
      <c r="B263"/>
      <c r="C263"/>
      <c r="D263"/>
      <c r="E263" s="2"/>
      <c r="F263"/>
      <c r="G263"/>
      <c r="H263"/>
      <c r="I263"/>
      <c r="J263"/>
      <c r="K263"/>
      <c r="L263"/>
      <c r="M263"/>
      <c r="N263"/>
      <c r="O263"/>
      <c r="P263"/>
      <c r="Q263"/>
      <c r="R263"/>
      <c r="S263"/>
      <c r="T263"/>
      <c r="U263"/>
      <c r="V263"/>
      <c r="W263"/>
      <c r="X263"/>
      <c r="Y263"/>
      <c r="Z263"/>
    </row>
    <row r="264" spans="1:43">
      <c r="A264"/>
      <c r="B264"/>
      <c r="C264"/>
      <c r="D264"/>
      <c r="E264" s="2"/>
      <c r="F264"/>
      <c r="G264"/>
      <c r="H264"/>
      <c r="I264"/>
      <c r="J264"/>
      <c r="K264"/>
      <c r="L264"/>
      <c r="M264"/>
      <c r="N264"/>
      <c r="O264"/>
      <c r="P264"/>
      <c r="Q264"/>
      <c r="R264"/>
      <c r="S264"/>
      <c r="T264"/>
      <c r="U264"/>
      <c r="V264"/>
      <c r="W264"/>
      <c r="X264"/>
      <c r="Y264"/>
      <c r="Z264"/>
    </row>
    <row r="265" spans="1:43">
      <c r="A265"/>
      <c r="B265"/>
      <c r="C265"/>
      <c r="D265"/>
      <c r="E265" s="2"/>
      <c r="F265"/>
      <c r="G265"/>
      <c r="H265"/>
      <c r="J265"/>
      <c r="K265" s="2"/>
      <c r="L265"/>
      <c r="M265"/>
      <c r="N265"/>
      <c r="O265"/>
      <c r="P265"/>
      <c r="Q265"/>
      <c r="R265"/>
      <c r="S265"/>
      <c r="T265"/>
      <c r="U265"/>
      <c r="V265"/>
      <c r="W265"/>
      <c r="X265"/>
      <c r="Y265"/>
      <c r="Z265"/>
    </row>
    <row r="266" spans="1:43">
      <c r="A266"/>
      <c r="B266"/>
      <c r="C266"/>
      <c r="D266"/>
      <c r="E266" s="2"/>
      <c r="F266"/>
      <c r="G266"/>
      <c r="H266"/>
      <c r="I266"/>
      <c r="J266"/>
      <c r="K266"/>
      <c r="L266"/>
      <c r="M266"/>
      <c r="N266"/>
      <c r="O266"/>
      <c r="P266"/>
      <c r="Q266"/>
      <c r="R266"/>
      <c r="S266"/>
      <c r="U266"/>
      <c r="V266"/>
      <c r="W266"/>
      <c r="X266"/>
      <c r="Y266"/>
      <c r="Z266"/>
    </row>
    <row r="267" spans="1:43">
      <c r="A267"/>
      <c r="B267"/>
      <c r="C267"/>
      <c r="D267"/>
      <c r="E267" s="2"/>
      <c r="F267"/>
      <c r="G267"/>
      <c r="H267"/>
      <c r="I267"/>
      <c r="J267"/>
      <c r="K267"/>
      <c r="L267"/>
      <c r="M267"/>
      <c r="N267"/>
      <c r="O267"/>
      <c r="P267"/>
      <c r="Q267"/>
      <c r="R267"/>
      <c r="V267"/>
      <c r="W267"/>
      <c r="X267"/>
      <c r="Y267"/>
      <c r="Z267"/>
    </row>
    <row r="268" spans="1:43">
      <c r="F268" s="2276"/>
      <c r="J268" s="761"/>
      <c r="K268" s="144"/>
      <c r="L268" s="144"/>
      <c r="M268" s="106"/>
      <c r="N268" s="106"/>
      <c r="O268" s="106"/>
      <c r="Q268"/>
      <c r="R268"/>
      <c r="S268"/>
    </row>
    <row r="269" spans="1:43">
      <c r="M269" s="147"/>
      <c r="O269"/>
    </row>
    <row r="270" spans="1:43">
      <c r="F270" s="147"/>
      <c r="G270" s="106"/>
      <c r="I270" s="4141" t="s">
        <v>5897</v>
      </c>
      <c r="J270" s="952"/>
      <c r="M270" s="106"/>
      <c r="N270" s="106"/>
    </row>
    <row r="271" spans="1:43">
      <c r="C271" s="144"/>
      <c r="E271" s="7"/>
      <c r="F271" s="147"/>
      <c r="G271" s="106"/>
      <c r="I271" s="144"/>
      <c r="J271" s="144"/>
      <c r="K271" s="106"/>
      <c r="M271" s="106"/>
      <c r="N271" s="106"/>
      <c r="AI271" s="106"/>
    </row>
    <row r="272" spans="1:43">
      <c r="C272" s="144"/>
      <c r="E272" s="7"/>
      <c r="F272" s="147"/>
      <c r="G272" s="106"/>
      <c r="H272" s="147"/>
      <c r="I272" s="106"/>
      <c r="J272" s="761"/>
      <c r="K272" s="144"/>
      <c r="O272" s="106"/>
    </row>
    <row r="273" spans="7:19">
      <c r="G273" s="761"/>
      <c r="H273" s="144"/>
      <c r="I273" s="761"/>
      <c r="S273" s="144"/>
    </row>
    <row r="274" spans="7:19">
      <c r="G274" s="761"/>
      <c r="H274" s="1754"/>
    </row>
    <row r="277" spans="7:19">
      <c r="K277"/>
    </row>
  </sheetData>
  <conditionalFormatting sqref="B1">
    <cfRule type="duplicateValues" dxfId="310" priority="1"/>
  </conditionalFormatting>
  <hyperlinks>
    <hyperlink ref="C246" r:id="rId1" xr:uid="{CCAB9646-2BEB-4EA6-A1CE-5F47AB9392C8}"/>
    <hyperlink ref="C4" r:id="rId2" display="https://www.notion.so/sa-EMCU1733458-PO-59246-d433531e1f5e43d8b10f0fbbac4a190b?pvs=4" xr:uid="{8EC66709-28E6-4C4F-A02F-6BEBEC15D5D7}"/>
  </hyperlinks>
  <pageMargins left="0.7" right="0.7" top="0.75" bottom="0.75" header="0.3" footer="0.3"/>
  <pageSetup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F15D8-8A54-4244-9981-A92540F40468}">
  <dimension ref="A1:AB272"/>
  <sheetViews>
    <sheetView zoomScaleNormal="100" workbookViewId="0">
      <pane xSplit="7" ySplit="1" topLeftCell="H259" activePane="bottomRight" state="frozen"/>
      <selection pane="bottomRight" activeCell="G269" sqref="G269"/>
      <selection pane="bottomLeft" activeCell="A2" sqref="A2"/>
      <selection pane="topRight" activeCell="H1" sqref="H1"/>
    </sheetView>
  </sheetViews>
  <sheetFormatPr defaultColWidth="9.125" defaultRowHeight="15"/>
  <cols>
    <col min="1" max="1" width="16.25" style="106" customWidth="1"/>
    <col min="2" max="2" width="17.25" style="106" customWidth="1"/>
    <col min="3" max="3" width="9.125" style="106" customWidth="1"/>
    <col min="4" max="4" width="10.875" style="144" customWidth="1"/>
    <col min="5" max="5" width="9" style="144" customWidth="1"/>
    <col min="6" max="6" width="15.125" style="106" customWidth="1"/>
    <col min="7" max="7" width="24.125" style="147" customWidth="1"/>
    <col min="8" max="8" width="30.25" style="761" customWidth="1"/>
    <col min="9" max="9" width="12.25" style="147" customWidth="1"/>
    <col min="10" max="10" width="15.125" style="147" customWidth="1"/>
    <col min="11" max="11" width="38.125" style="106" customWidth="1"/>
    <col min="12" max="12" width="15" style="106" customWidth="1"/>
    <col min="13" max="13" width="9.125" style="2617" customWidth="1"/>
    <col min="14" max="14" width="20.875" style="106" customWidth="1"/>
    <col min="15" max="15" width="11.25" style="106" customWidth="1"/>
    <col min="16" max="16" width="59.875" style="106" customWidth="1"/>
    <col min="17" max="17" width="9" style="106" bestFit="1" customWidth="1"/>
    <col min="18" max="18" width="18.25" style="106" customWidth="1"/>
    <col min="19" max="19" width="10" style="106" bestFit="1" customWidth="1"/>
    <col min="20" max="20" width="14" style="106" bestFit="1" customWidth="1"/>
    <col min="21" max="21" width="9.875" style="106" bestFit="1" customWidth="1"/>
    <col min="22" max="22" width="15.25" style="106" bestFit="1" customWidth="1"/>
    <col min="23" max="23" width="10.25" style="106" customWidth="1"/>
    <col min="24" max="24" width="12.125" style="876" bestFit="1" customWidth="1"/>
    <col min="25" max="25" width="9" style="106" bestFit="1" customWidth="1"/>
    <col min="26" max="26" width="10.875" style="106" bestFit="1" customWidth="1"/>
    <col min="27" max="16384" width="9.125" style="106"/>
  </cols>
  <sheetData>
    <row r="1" spans="1:26" ht="15.75" customHeight="1">
      <c r="A1" s="2612" t="s">
        <v>0</v>
      </c>
      <c r="B1" s="2443" t="s">
        <v>1</v>
      </c>
      <c r="C1" s="2443" t="s">
        <v>2</v>
      </c>
      <c r="D1" s="2443" t="s">
        <v>3</v>
      </c>
      <c r="E1" s="2444" t="s">
        <v>4</v>
      </c>
      <c r="F1" s="2443" t="s">
        <v>5</v>
      </c>
      <c r="G1" s="2441" t="s">
        <v>6</v>
      </c>
      <c r="H1" s="2441" t="s">
        <v>7</v>
      </c>
      <c r="I1" s="2441" t="s">
        <v>8</v>
      </c>
      <c r="J1" s="2441" t="s">
        <v>9</v>
      </c>
      <c r="K1" s="2445" t="s">
        <v>10</v>
      </c>
      <c r="L1" s="2613" t="s">
        <v>11</v>
      </c>
      <c r="M1" s="2614" t="s">
        <v>12</v>
      </c>
      <c r="N1" s="2443" t="s">
        <v>13</v>
      </c>
      <c r="O1" s="2443" t="s">
        <v>14</v>
      </c>
      <c r="P1" s="1567" t="s">
        <v>15</v>
      </c>
      <c r="Q1" s="1567" t="s">
        <v>16</v>
      </c>
      <c r="R1" s="2615" t="s">
        <v>17</v>
      </c>
      <c r="S1" s="1008" t="s">
        <v>18</v>
      </c>
      <c r="T1" s="1777" t="s">
        <v>19</v>
      </c>
      <c r="U1" s="1008" t="s">
        <v>20</v>
      </c>
      <c r="V1" s="1008" t="s">
        <v>21</v>
      </c>
      <c r="W1" s="1008" t="s">
        <v>22</v>
      </c>
      <c r="X1" s="1009" t="s">
        <v>23</v>
      </c>
      <c r="Y1" s="1009" t="s">
        <v>24</v>
      </c>
      <c r="Z1" s="1778" t="s">
        <v>25</v>
      </c>
    </row>
    <row r="2" spans="1:26" s="26" customFormat="1">
      <c r="A2" s="4646" t="s">
        <v>3562</v>
      </c>
      <c r="B2" s="5323" t="s">
        <v>5898</v>
      </c>
      <c r="C2" s="4861" t="s">
        <v>28</v>
      </c>
      <c r="D2" s="4953">
        <v>45305</v>
      </c>
      <c r="E2" s="4885">
        <v>45321</v>
      </c>
      <c r="F2" s="4861" t="s">
        <v>151</v>
      </c>
      <c r="G2" s="4861" t="s">
        <v>46</v>
      </c>
      <c r="H2" s="4991">
        <v>45321</v>
      </c>
      <c r="I2" s="4902" t="s">
        <v>115</v>
      </c>
      <c r="J2" s="5324" t="s">
        <v>32</v>
      </c>
      <c r="K2" s="4861" t="s">
        <v>5171</v>
      </c>
      <c r="L2" s="5325" t="s">
        <v>5899</v>
      </c>
      <c r="M2" s="4991">
        <v>45321</v>
      </c>
      <c r="N2" s="4863">
        <v>45320</v>
      </c>
      <c r="O2" s="4863">
        <v>45321</v>
      </c>
      <c r="P2" s="4871" t="s">
        <v>5900</v>
      </c>
      <c r="Q2" s="4839" t="s">
        <v>35</v>
      </c>
      <c r="R2" s="1432" t="s">
        <v>36</v>
      </c>
      <c r="S2" s="18" t="s">
        <v>5901</v>
      </c>
      <c r="T2" s="93">
        <v>710</v>
      </c>
      <c r="U2" s="93">
        <v>580</v>
      </c>
      <c r="V2" s="93"/>
      <c r="W2" s="93"/>
      <c r="X2" s="93"/>
      <c r="Y2" s="93"/>
      <c r="Z2" s="1068"/>
    </row>
    <row r="3" spans="1:26" s="26" customFormat="1">
      <c r="A3" s="4646" t="s">
        <v>1035</v>
      </c>
      <c r="B3" s="3522" t="s">
        <v>5902</v>
      </c>
      <c r="C3" s="4861" t="s">
        <v>28</v>
      </c>
      <c r="D3" s="4953">
        <v>45316</v>
      </c>
      <c r="E3" s="4885">
        <v>45325</v>
      </c>
      <c r="F3" s="4861" t="s">
        <v>151</v>
      </c>
      <c r="G3" s="4861" t="s">
        <v>46</v>
      </c>
      <c r="H3" s="3246" t="s">
        <v>1038</v>
      </c>
      <c r="I3" s="3246"/>
      <c r="J3" s="5326" t="s">
        <v>32</v>
      </c>
      <c r="K3" s="5327" t="s">
        <v>162</v>
      </c>
      <c r="L3" s="3523" t="s">
        <v>5903</v>
      </c>
      <c r="M3" s="3524">
        <v>45330</v>
      </c>
      <c r="N3" s="3525">
        <v>45328</v>
      </c>
      <c r="O3" s="3526">
        <v>45338</v>
      </c>
      <c r="P3" s="4882" t="s">
        <v>5904</v>
      </c>
      <c r="Q3" s="4839" t="s">
        <v>35</v>
      </c>
      <c r="R3" s="2093" t="s">
        <v>36</v>
      </c>
      <c r="S3" s="710" t="s">
        <v>1320</v>
      </c>
      <c r="T3" s="641"/>
      <c r="U3" s="641"/>
      <c r="V3" s="641"/>
      <c r="W3" s="641"/>
      <c r="X3" s="641"/>
      <c r="Y3" s="641"/>
      <c r="Z3" s="643"/>
    </row>
    <row r="4" spans="1:26" s="26" customFormat="1">
      <c r="A4" s="4646" t="s">
        <v>1035</v>
      </c>
      <c r="B4" s="3522" t="s">
        <v>5905</v>
      </c>
      <c r="C4" s="4861" t="s">
        <v>28</v>
      </c>
      <c r="D4" s="4953">
        <v>45316</v>
      </c>
      <c r="E4" s="4885">
        <v>45325</v>
      </c>
      <c r="F4" s="4861" t="s">
        <v>151</v>
      </c>
      <c r="G4" s="4861" t="s">
        <v>46</v>
      </c>
      <c r="H4" s="3246" t="s">
        <v>1038</v>
      </c>
      <c r="I4" s="3246"/>
      <c r="J4" s="5326" t="s">
        <v>32</v>
      </c>
      <c r="K4" s="5327" t="s">
        <v>162</v>
      </c>
      <c r="L4" s="3523" t="s">
        <v>5906</v>
      </c>
      <c r="M4" s="3525">
        <v>45329</v>
      </c>
      <c r="N4" s="3525">
        <v>45328</v>
      </c>
      <c r="O4" s="3526">
        <v>45337</v>
      </c>
      <c r="P4" s="4882" t="s">
        <v>5904</v>
      </c>
      <c r="Q4" s="4839" t="s">
        <v>35</v>
      </c>
      <c r="R4" s="2093" t="s">
        <v>36</v>
      </c>
      <c r="S4" s="710" t="s">
        <v>1320</v>
      </c>
      <c r="T4" s="641"/>
      <c r="U4" s="641"/>
      <c r="V4" s="641"/>
      <c r="W4" s="641"/>
      <c r="X4" s="641"/>
      <c r="Y4" s="641"/>
      <c r="Z4" s="643"/>
    </row>
    <row r="5" spans="1:26" s="26" customFormat="1">
      <c r="A5" s="4646" t="s">
        <v>1035</v>
      </c>
      <c r="B5" s="5323" t="s">
        <v>5907</v>
      </c>
      <c r="C5" s="4861" t="s">
        <v>28</v>
      </c>
      <c r="D5" s="4953">
        <v>45316</v>
      </c>
      <c r="E5" s="4885">
        <v>45325</v>
      </c>
      <c r="F5" s="4861" t="s">
        <v>151</v>
      </c>
      <c r="G5" s="4861" t="s">
        <v>46</v>
      </c>
      <c r="H5" s="4861" t="s">
        <v>1038</v>
      </c>
      <c r="I5" s="4861"/>
      <c r="J5" s="4902" t="s">
        <v>32</v>
      </c>
      <c r="K5" s="5327" t="s">
        <v>162</v>
      </c>
      <c r="L5" s="5326" t="s">
        <v>5908</v>
      </c>
      <c r="M5" s="4991">
        <v>45327</v>
      </c>
      <c r="N5" s="4991">
        <v>45327</v>
      </c>
      <c r="O5" s="4863">
        <v>45339</v>
      </c>
      <c r="P5" s="4882" t="s">
        <v>5909</v>
      </c>
      <c r="Q5" s="4839" t="s">
        <v>35</v>
      </c>
      <c r="R5" s="1432" t="s">
        <v>36</v>
      </c>
      <c r="S5" s="18" t="s">
        <v>1320</v>
      </c>
      <c r="T5" s="508"/>
      <c r="U5" s="508"/>
      <c r="V5" s="508"/>
      <c r="W5" s="508"/>
      <c r="X5" s="508"/>
      <c r="Y5" s="508"/>
      <c r="Z5" s="2337"/>
    </row>
    <row r="6" spans="1:26" s="26" customFormat="1">
      <c r="A6" s="4646" t="s">
        <v>1035</v>
      </c>
      <c r="B6" s="5323" t="s">
        <v>5910</v>
      </c>
      <c r="C6" s="4861" t="s">
        <v>451</v>
      </c>
      <c r="D6" s="4953">
        <v>45316</v>
      </c>
      <c r="E6" s="4885">
        <v>45325</v>
      </c>
      <c r="F6" s="4861" t="s">
        <v>151</v>
      </c>
      <c r="G6" s="4861" t="s">
        <v>46</v>
      </c>
      <c r="H6" s="4861" t="s">
        <v>1038</v>
      </c>
      <c r="I6" s="4861"/>
      <c r="J6" s="5326" t="s">
        <v>32</v>
      </c>
      <c r="K6" s="5327" t="s">
        <v>162</v>
      </c>
      <c r="L6" s="5326" t="s">
        <v>5911</v>
      </c>
      <c r="M6" s="4991">
        <v>45328</v>
      </c>
      <c r="N6" s="4991">
        <v>45328</v>
      </c>
      <c r="O6" s="4863">
        <v>45338</v>
      </c>
      <c r="P6" s="5077" t="s">
        <v>5912</v>
      </c>
      <c r="Q6" s="4839" t="s">
        <v>35</v>
      </c>
      <c r="R6" s="1432" t="s">
        <v>36</v>
      </c>
      <c r="S6" s="18" t="s">
        <v>1320</v>
      </c>
      <c r="T6" s="508"/>
      <c r="U6" s="508"/>
      <c r="V6" s="508"/>
      <c r="W6" s="508"/>
      <c r="X6" s="508"/>
      <c r="Y6" s="508"/>
      <c r="Z6" s="2337"/>
    </row>
    <row r="7" spans="1:26" s="26" customFormat="1">
      <c r="A7" s="4646" t="s">
        <v>1035</v>
      </c>
      <c r="B7" s="5323" t="s">
        <v>5913</v>
      </c>
      <c r="C7" s="4861" t="s">
        <v>451</v>
      </c>
      <c r="D7" s="4953">
        <v>45316</v>
      </c>
      <c r="E7" s="4885">
        <v>45325</v>
      </c>
      <c r="F7" s="4861" t="s">
        <v>151</v>
      </c>
      <c r="G7" s="4861" t="s">
        <v>46</v>
      </c>
      <c r="H7" s="4861" t="s">
        <v>1038</v>
      </c>
      <c r="I7" s="4861"/>
      <c r="J7" s="5326" t="s">
        <v>32</v>
      </c>
      <c r="K7" s="5327" t="s">
        <v>162</v>
      </c>
      <c r="L7" s="5326" t="s">
        <v>5914</v>
      </c>
      <c r="M7" s="4991">
        <v>45327</v>
      </c>
      <c r="N7" s="4991">
        <v>45327</v>
      </c>
      <c r="O7" s="4863">
        <v>45350</v>
      </c>
      <c r="P7" s="5077" t="s">
        <v>5912</v>
      </c>
      <c r="Q7" s="4839" t="s">
        <v>35</v>
      </c>
      <c r="R7" s="1432" t="s">
        <v>36</v>
      </c>
      <c r="S7" s="18" t="s">
        <v>1320</v>
      </c>
      <c r="T7" s="508"/>
      <c r="U7" s="508"/>
      <c r="V7" s="508"/>
      <c r="W7" s="508"/>
      <c r="X7" s="508"/>
      <c r="Y7" s="508"/>
      <c r="Z7" s="2337"/>
    </row>
    <row r="8" spans="1:26" s="26" customFormat="1">
      <c r="A8" s="3527" t="s">
        <v>1035</v>
      </c>
      <c r="B8" s="3528" t="s">
        <v>5915</v>
      </c>
      <c r="C8" s="3246" t="s">
        <v>451</v>
      </c>
      <c r="D8" s="4953">
        <v>45316</v>
      </c>
      <c r="E8" s="4885">
        <v>45325</v>
      </c>
      <c r="F8" s="3246" t="s">
        <v>151</v>
      </c>
      <c r="G8" s="3246" t="s">
        <v>46</v>
      </c>
      <c r="H8" s="3246" t="s">
        <v>1038</v>
      </c>
      <c r="I8" s="3246"/>
      <c r="J8" s="3523" t="s">
        <v>32</v>
      </c>
      <c r="K8" s="3529" t="s">
        <v>162</v>
      </c>
      <c r="L8" s="3523" t="s">
        <v>5916</v>
      </c>
      <c r="M8" s="4991">
        <v>45327</v>
      </c>
      <c r="N8" s="3525">
        <v>45327</v>
      </c>
      <c r="O8" s="3526">
        <v>45347</v>
      </c>
      <c r="P8" s="3530" t="s">
        <v>5912</v>
      </c>
      <c r="Q8" s="3275" t="s">
        <v>35</v>
      </c>
      <c r="R8" s="2093" t="s">
        <v>36</v>
      </c>
      <c r="S8" s="710" t="s">
        <v>1320</v>
      </c>
      <c r="T8" s="641"/>
      <c r="U8" s="641"/>
      <c r="V8" s="641"/>
      <c r="W8" s="641"/>
      <c r="X8" s="641"/>
      <c r="Y8" s="641"/>
      <c r="Z8" s="643"/>
    </row>
    <row r="9" spans="1:26" s="26" customFormat="1" ht="82.5">
      <c r="A9" s="3417" t="s">
        <v>409</v>
      </c>
      <c r="B9" s="3531" t="s">
        <v>5917</v>
      </c>
      <c r="C9" s="3268" t="s">
        <v>794</v>
      </c>
      <c r="D9" s="4906">
        <v>45326</v>
      </c>
      <c r="E9" s="4917">
        <v>45326</v>
      </c>
      <c r="F9" s="3268" t="s">
        <v>260</v>
      </c>
      <c r="G9" s="3273" t="s">
        <v>5076</v>
      </c>
      <c r="H9" s="3438">
        <v>45337</v>
      </c>
      <c r="I9" s="3432" t="s">
        <v>790</v>
      </c>
      <c r="J9" s="3268" t="s">
        <v>510</v>
      </c>
      <c r="K9" s="3268" t="s">
        <v>5918</v>
      </c>
      <c r="L9" s="3268" t="s">
        <v>162</v>
      </c>
      <c r="M9" s="3431">
        <v>45334</v>
      </c>
      <c r="N9" s="3431">
        <v>45334</v>
      </c>
      <c r="O9" s="3262">
        <v>45338</v>
      </c>
      <c r="P9" s="3532" t="s">
        <v>5919</v>
      </c>
      <c r="Q9" s="3268" t="s">
        <v>75</v>
      </c>
      <c r="R9" s="2125" t="s">
        <v>5920</v>
      </c>
      <c r="S9" s="660"/>
      <c r="T9" s="2126">
        <v>1971.25</v>
      </c>
      <c r="U9" s="660">
        <v>1588.3</v>
      </c>
      <c r="V9" s="660">
        <v>1</v>
      </c>
      <c r="W9" s="660">
        <f>表12[[#This Row],[Sales Amount]]-表12[[#This Row],[Cost]]</f>
        <v>0</v>
      </c>
      <c r="X9" s="885">
        <f>表12_14[[#This Row],[Profit]]/表12_14[[#This Row],[Cost]]</f>
        <v>0</v>
      </c>
      <c r="Y9" s="660"/>
      <c r="Z9" s="113"/>
    </row>
    <row r="10" spans="1:26" s="26" customFormat="1" ht="60">
      <c r="A10" s="3417" t="s">
        <v>409</v>
      </c>
      <c r="B10" s="3531" t="s">
        <v>5921</v>
      </c>
      <c r="C10" s="3268" t="s">
        <v>28</v>
      </c>
      <c r="D10" s="3262">
        <v>45326</v>
      </c>
      <c r="E10" s="3377">
        <v>45326</v>
      </c>
      <c r="F10" s="3268" t="s">
        <v>167</v>
      </c>
      <c r="G10" s="3273" t="s">
        <v>5076</v>
      </c>
      <c r="H10" s="3366">
        <v>45342</v>
      </c>
      <c r="I10" s="4246" t="s">
        <v>790</v>
      </c>
      <c r="J10" s="3268" t="s">
        <v>510</v>
      </c>
      <c r="K10" s="3268" t="s">
        <v>5922</v>
      </c>
      <c r="L10" s="3293" t="s">
        <v>2738</v>
      </c>
      <c r="M10" s="3418" t="s">
        <v>5923</v>
      </c>
      <c r="N10" s="4936" t="s">
        <v>5924</v>
      </c>
      <c r="O10" s="3262">
        <v>45343</v>
      </c>
      <c r="P10" s="4246" t="s">
        <v>5925</v>
      </c>
      <c r="Q10" s="3268" t="s">
        <v>75</v>
      </c>
      <c r="R10" s="1723" t="s">
        <v>5926</v>
      </c>
      <c r="S10" s="660"/>
      <c r="T10" s="2126">
        <v>2465</v>
      </c>
      <c r="U10" s="2148">
        <v>1928.3</v>
      </c>
      <c r="V10" s="2126">
        <v>1</v>
      </c>
      <c r="W10" s="2126">
        <f>表12_14[[#This Row],[Sales Amount]]-表12_14[[#This Row],[Cost]]</f>
        <v>536.70000000000005</v>
      </c>
      <c r="X10" s="885">
        <f>IFERROR(Table6[[#This Row],[Profit]]/Table6[[#This Row],[Cost]]," ")</f>
        <v>0.22807017543859648</v>
      </c>
      <c r="Y10" s="660"/>
      <c r="Z10" s="113"/>
    </row>
    <row r="11" spans="1:26" s="26" customFormat="1" ht="30">
      <c r="A11" s="3417" t="s">
        <v>165</v>
      </c>
      <c r="B11" s="3531" t="s">
        <v>5927</v>
      </c>
      <c r="C11" s="3268" t="s">
        <v>28</v>
      </c>
      <c r="D11" s="3262">
        <v>45327</v>
      </c>
      <c r="E11" s="3264">
        <v>45327</v>
      </c>
      <c r="F11" s="3430" t="s">
        <v>151</v>
      </c>
      <c r="G11" s="3430" t="s">
        <v>5928</v>
      </c>
      <c r="H11" s="3438">
        <v>45334</v>
      </c>
      <c r="I11" s="3293" t="s">
        <v>5095</v>
      </c>
      <c r="J11" s="3268" t="s">
        <v>322</v>
      </c>
      <c r="K11" s="3430" t="s">
        <v>4357</v>
      </c>
      <c r="L11" s="3274" t="s">
        <v>162</v>
      </c>
      <c r="M11" s="3438">
        <v>45334</v>
      </c>
      <c r="N11" s="3438">
        <v>45334</v>
      </c>
      <c r="O11" s="3427">
        <v>45335</v>
      </c>
      <c r="P11" s="3533" t="s">
        <v>5929</v>
      </c>
      <c r="Q11" s="3268" t="s">
        <v>75</v>
      </c>
      <c r="R11" s="2127" t="s">
        <v>5930</v>
      </c>
      <c r="S11" s="660"/>
      <c r="T11" s="2126">
        <v>1050</v>
      </c>
      <c r="U11" s="660">
        <v>476.4</v>
      </c>
      <c r="V11" s="660">
        <v>1</v>
      </c>
      <c r="W11" s="2126">
        <f>表12_14[[#This Row],[Sales Amount]]-表12_14[[#This Row],[Cost]]</f>
        <v>573.6</v>
      </c>
      <c r="X11" s="885">
        <f>表12_14[[#This Row],[Profit]]/表12_14[[#This Row],[Cost]]</f>
        <v>1.2040302267002521</v>
      </c>
      <c r="Y11" s="660"/>
      <c r="Z11" s="113"/>
    </row>
    <row r="12" spans="1:26" s="26" customFormat="1">
      <c r="A12" s="3527" t="s">
        <v>1035</v>
      </c>
      <c r="B12" s="3522" t="s">
        <v>5931</v>
      </c>
      <c r="C12" s="3246" t="s">
        <v>28</v>
      </c>
      <c r="D12" s="3534">
        <v>45316</v>
      </c>
      <c r="E12" s="3535">
        <v>45327</v>
      </c>
      <c r="F12" s="3246" t="s">
        <v>151</v>
      </c>
      <c r="G12" s="3246" t="s">
        <v>46</v>
      </c>
      <c r="H12" s="3246" t="s">
        <v>1038</v>
      </c>
      <c r="I12" s="3246"/>
      <c r="J12" s="3434" t="s">
        <v>32</v>
      </c>
      <c r="K12" s="3529" t="s">
        <v>162</v>
      </c>
      <c r="L12" s="3523" t="s">
        <v>5932</v>
      </c>
      <c r="M12" s="3525">
        <v>45330</v>
      </c>
      <c r="N12" s="4863">
        <v>45329</v>
      </c>
      <c r="O12" s="3526">
        <v>45338</v>
      </c>
      <c r="P12" s="3258" t="s">
        <v>5904</v>
      </c>
      <c r="Q12" s="3275" t="s">
        <v>35</v>
      </c>
      <c r="R12" s="2093" t="s">
        <v>36</v>
      </c>
      <c r="S12" s="710" t="s">
        <v>1320</v>
      </c>
      <c r="T12" s="641"/>
      <c r="U12" s="641"/>
      <c r="V12" s="641"/>
      <c r="W12" s="641"/>
      <c r="X12" s="641"/>
      <c r="Y12" s="641"/>
      <c r="Z12" s="643"/>
    </row>
    <row r="13" spans="1:26" s="26" customFormat="1">
      <c r="A13" s="3527" t="s">
        <v>1035</v>
      </c>
      <c r="B13" s="3522" t="s">
        <v>5933</v>
      </c>
      <c r="C13" s="3246" t="s">
        <v>28</v>
      </c>
      <c r="D13" s="3534">
        <v>45316</v>
      </c>
      <c r="E13" s="3535">
        <v>45327</v>
      </c>
      <c r="F13" s="3246" t="s">
        <v>151</v>
      </c>
      <c r="G13" s="3246" t="s">
        <v>46</v>
      </c>
      <c r="H13" s="3246" t="s">
        <v>1038</v>
      </c>
      <c r="I13" s="3246"/>
      <c r="J13" s="3523" t="s">
        <v>32</v>
      </c>
      <c r="K13" s="3529" t="s">
        <v>162</v>
      </c>
      <c r="L13" s="3523" t="s">
        <v>5934</v>
      </c>
      <c r="M13" s="3525">
        <v>45330</v>
      </c>
      <c r="N13" s="3526">
        <v>45329</v>
      </c>
      <c r="O13" s="3526">
        <v>45338</v>
      </c>
      <c r="P13" s="3258" t="s">
        <v>5904</v>
      </c>
      <c r="Q13" s="3275" t="s">
        <v>35</v>
      </c>
      <c r="R13" s="2093" t="s">
        <v>36</v>
      </c>
      <c r="S13" s="710" t="s">
        <v>1320</v>
      </c>
      <c r="T13" s="641"/>
      <c r="U13" s="641"/>
      <c r="V13" s="641"/>
      <c r="W13" s="641"/>
      <c r="X13" s="641"/>
      <c r="Y13" s="641"/>
      <c r="Z13" s="643"/>
    </row>
    <row r="14" spans="1:26" s="26" customFormat="1">
      <c r="A14" s="3527" t="s">
        <v>1035</v>
      </c>
      <c r="B14" s="3522" t="s">
        <v>5935</v>
      </c>
      <c r="C14" s="3246" t="s">
        <v>28</v>
      </c>
      <c r="D14" s="3534">
        <v>45316</v>
      </c>
      <c r="E14" s="3535">
        <v>45327</v>
      </c>
      <c r="F14" s="3246" t="s">
        <v>151</v>
      </c>
      <c r="G14" s="3246" t="s">
        <v>46</v>
      </c>
      <c r="H14" s="3246" t="s">
        <v>1038</v>
      </c>
      <c r="I14" s="3246"/>
      <c r="J14" s="3523" t="s">
        <v>32</v>
      </c>
      <c r="K14" s="3529" t="s">
        <v>162</v>
      </c>
      <c r="L14" s="3523" t="s">
        <v>5936</v>
      </c>
      <c r="M14" s="2347">
        <v>45330</v>
      </c>
      <c r="N14" s="4863">
        <v>45329</v>
      </c>
      <c r="O14" s="3526">
        <v>45339</v>
      </c>
      <c r="P14" s="3258" t="s">
        <v>5904</v>
      </c>
      <c r="Q14" s="3275" t="s">
        <v>35</v>
      </c>
      <c r="R14" s="2093" t="s">
        <v>36</v>
      </c>
      <c r="S14" s="710" t="s">
        <v>1320</v>
      </c>
      <c r="T14" s="641"/>
      <c r="U14" s="641"/>
      <c r="V14" s="641"/>
      <c r="W14" s="641"/>
      <c r="X14" s="641"/>
      <c r="Y14" s="641"/>
      <c r="Z14" s="643"/>
    </row>
    <row r="15" spans="1:26" s="26" customFormat="1">
      <c r="A15" s="3527" t="s">
        <v>1035</v>
      </c>
      <c r="B15" s="3522" t="s">
        <v>5937</v>
      </c>
      <c r="C15" s="3246" t="s">
        <v>28</v>
      </c>
      <c r="D15" s="3534">
        <v>45316</v>
      </c>
      <c r="E15" s="3535">
        <v>45327</v>
      </c>
      <c r="F15" s="3246" t="s">
        <v>151</v>
      </c>
      <c r="G15" s="3246" t="s">
        <v>46</v>
      </c>
      <c r="H15" s="3246" t="s">
        <v>1038</v>
      </c>
      <c r="I15" s="3246"/>
      <c r="J15" s="3523" t="s">
        <v>32</v>
      </c>
      <c r="K15" s="3529" t="s">
        <v>162</v>
      </c>
      <c r="L15" s="3523" t="s">
        <v>5938</v>
      </c>
      <c r="M15" s="3525">
        <v>45330</v>
      </c>
      <c r="N15" s="4863">
        <v>45329</v>
      </c>
      <c r="O15" s="3526">
        <v>45338</v>
      </c>
      <c r="P15" s="3258" t="s">
        <v>5904</v>
      </c>
      <c r="Q15" s="3275" t="s">
        <v>35</v>
      </c>
      <c r="R15" s="2093" t="s">
        <v>36</v>
      </c>
      <c r="S15" s="710" t="s">
        <v>1320</v>
      </c>
      <c r="T15" s="641"/>
      <c r="U15" s="641"/>
      <c r="V15" s="641"/>
      <c r="W15" s="641"/>
      <c r="X15" s="641"/>
      <c r="Y15" s="641"/>
      <c r="Z15" s="643"/>
    </row>
    <row r="16" spans="1:26" s="26" customFormat="1">
      <c r="A16" s="4646" t="s">
        <v>1035</v>
      </c>
      <c r="B16" s="2566" t="s">
        <v>5939</v>
      </c>
      <c r="C16" s="3246" t="s">
        <v>28</v>
      </c>
      <c r="D16" s="3534">
        <v>45316</v>
      </c>
      <c r="E16" s="3535">
        <v>45327</v>
      </c>
      <c r="F16" s="3246" t="s">
        <v>151</v>
      </c>
      <c r="G16" s="3246" t="s">
        <v>46</v>
      </c>
      <c r="H16" s="3246" t="s">
        <v>1038</v>
      </c>
      <c r="I16" s="3246"/>
      <c r="J16" s="2348" t="s">
        <v>32</v>
      </c>
      <c r="K16" s="1677" t="s">
        <v>162</v>
      </c>
      <c r="L16" s="3434" t="s">
        <v>5940</v>
      </c>
      <c r="M16" s="2347">
        <v>45330</v>
      </c>
      <c r="N16" s="3525">
        <v>45328</v>
      </c>
      <c r="O16" s="3526">
        <v>45339</v>
      </c>
      <c r="P16" s="3258" t="s">
        <v>5909</v>
      </c>
      <c r="Q16" s="3275" t="s">
        <v>35</v>
      </c>
      <c r="R16" s="2093" t="s">
        <v>36</v>
      </c>
      <c r="S16" s="710" t="s">
        <v>1320</v>
      </c>
      <c r="T16" s="641"/>
      <c r="U16" s="641"/>
      <c r="V16" s="641"/>
      <c r="W16" s="641"/>
      <c r="X16" s="641"/>
      <c r="Y16" s="641"/>
      <c r="Z16" s="643"/>
    </row>
    <row r="17" spans="1:26" s="26" customFormat="1">
      <c r="A17" s="4646" t="s">
        <v>1035</v>
      </c>
      <c r="B17" s="2566" t="s">
        <v>5941</v>
      </c>
      <c r="C17" s="3246" t="s">
        <v>451</v>
      </c>
      <c r="D17" s="3534">
        <v>45316</v>
      </c>
      <c r="E17" s="3535">
        <v>45327</v>
      </c>
      <c r="F17" s="3246" t="s">
        <v>151</v>
      </c>
      <c r="G17" s="3246" t="s">
        <v>46</v>
      </c>
      <c r="H17" s="3246" t="s">
        <v>1038</v>
      </c>
      <c r="I17" s="3246"/>
      <c r="J17" s="1188" t="s">
        <v>32</v>
      </c>
      <c r="K17" s="1677" t="s">
        <v>162</v>
      </c>
      <c r="L17" s="3523" t="s">
        <v>5942</v>
      </c>
      <c r="M17" s="3525">
        <v>45330</v>
      </c>
      <c r="N17" s="3526">
        <v>45329</v>
      </c>
      <c r="O17" s="3526">
        <v>45330</v>
      </c>
      <c r="P17" s="3258" t="s">
        <v>5912</v>
      </c>
      <c r="Q17" s="3275" t="s">
        <v>35</v>
      </c>
      <c r="R17" s="2093" t="s">
        <v>36</v>
      </c>
      <c r="S17" s="710" t="s">
        <v>1320</v>
      </c>
      <c r="T17" s="641"/>
      <c r="U17" s="641"/>
      <c r="V17" s="641"/>
      <c r="W17" s="641"/>
      <c r="X17" s="641"/>
      <c r="Y17" s="641"/>
      <c r="Z17" s="643"/>
    </row>
    <row r="18" spans="1:26" s="26" customFormat="1">
      <c r="A18" s="4646" t="s">
        <v>1035</v>
      </c>
      <c r="B18" s="2566" t="s">
        <v>5943</v>
      </c>
      <c r="C18" s="3246" t="s">
        <v>451</v>
      </c>
      <c r="D18" s="3534">
        <v>45316</v>
      </c>
      <c r="E18" s="3535">
        <v>45327</v>
      </c>
      <c r="F18" s="3246" t="s">
        <v>151</v>
      </c>
      <c r="G18" s="3246" t="s">
        <v>46</v>
      </c>
      <c r="H18" s="3246" t="s">
        <v>1038</v>
      </c>
      <c r="I18" s="3246"/>
      <c r="J18" s="2348" t="s">
        <v>32</v>
      </c>
      <c r="K18" s="1677" t="s">
        <v>162</v>
      </c>
      <c r="L18" s="3523" t="s">
        <v>5944</v>
      </c>
      <c r="M18" s="3525">
        <v>45330</v>
      </c>
      <c r="N18" s="3536">
        <v>45328</v>
      </c>
      <c r="O18" s="3526">
        <v>45345</v>
      </c>
      <c r="P18" s="3530" t="s">
        <v>5912</v>
      </c>
      <c r="Q18" s="3275" t="s">
        <v>35</v>
      </c>
      <c r="R18" s="2093" t="s">
        <v>36</v>
      </c>
      <c r="S18" s="710" t="s">
        <v>1320</v>
      </c>
      <c r="T18" s="641"/>
      <c r="U18" s="641"/>
      <c r="V18" s="641"/>
      <c r="W18" s="641"/>
      <c r="X18" s="641"/>
      <c r="Y18" s="641"/>
      <c r="Z18" s="643"/>
    </row>
    <row r="19" spans="1:26" s="26" customFormat="1">
      <c r="A19" s="4646" t="s">
        <v>1035</v>
      </c>
      <c r="B19" s="2566" t="s">
        <v>5945</v>
      </c>
      <c r="C19" s="3246" t="s">
        <v>451</v>
      </c>
      <c r="D19" s="3534">
        <v>45316</v>
      </c>
      <c r="E19" s="3535">
        <v>45327</v>
      </c>
      <c r="F19" s="3246" t="s">
        <v>151</v>
      </c>
      <c r="G19" s="3246" t="s">
        <v>46</v>
      </c>
      <c r="H19" s="3246" t="s">
        <v>1038</v>
      </c>
      <c r="I19" s="3246"/>
      <c r="J19" s="2348" t="s">
        <v>32</v>
      </c>
      <c r="K19" s="1677" t="s">
        <v>162</v>
      </c>
      <c r="L19" s="3523" t="s">
        <v>5946</v>
      </c>
      <c r="M19" s="3525">
        <v>45330</v>
      </c>
      <c r="N19" s="3526">
        <v>45329</v>
      </c>
      <c r="O19" s="3526">
        <v>45345</v>
      </c>
      <c r="P19" s="3530" t="s">
        <v>5912</v>
      </c>
      <c r="Q19" s="3275" t="s">
        <v>35</v>
      </c>
      <c r="R19" s="2093" t="s">
        <v>36</v>
      </c>
      <c r="S19" s="710" t="s">
        <v>1320</v>
      </c>
      <c r="T19" s="641"/>
      <c r="U19" s="641"/>
      <c r="V19" s="641"/>
      <c r="W19" s="641"/>
      <c r="X19" s="641"/>
      <c r="Y19" s="641"/>
      <c r="Z19" s="643"/>
    </row>
    <row r="20" spans="1:26" s="26" customFormat="1">
      <c r="A20" s="3527" t="s">
        <v>1035</v>
      </c>
      <c r="B20" s="2566" t="s">
        <v>5947</v>
      </c>
      <c r="C20" s="3246" t="s">
        <v>451</v>
      </c>
      <c r="D20" s="3534">
        <v>45316</v>
      </c>
      <c r="E20" s="3535">
        <v>45327</v>
      </c>
      <c r="F20" s="3246" t="s">
        <v>151</v>
      </c>
      <c r="G20" s="3246" t="s">
        <v>46</v>
      </c>
      <c r="H20" s="3246" t="s">
        <v>1038</v>
      </c>
      <c r="I20" s="3246"/>
      <c r="J20" s="2348" t="s">
        <v>32</v>
      </c>
      <c r="K20" s="1677" t="s">
        <v>162</v>
      </c>
      <c r="L20" s="3523" t="s">
        <v>5948</v>
      </c>
      <c r="M20" s="3525">
        <v>45330</v>
      </c>
      <c r="N20" s="3526">
        <v>45329</v>
      </c>
      <c r="O20" s="3246" t="s">
        <v>5369</v>
      </c>
      <c r="P20" s="3530" t="s">
        <v>5912</v>
      </c>
      <c r="Q20" s="3275" t="s">
        <v>35</v>
      </c>
      <c r="R20" s="2093" t="s">
        <v>36</v>
      </c>
      <c r="S20" s="710" t="s">
        <v>1320</v>
      </c>
      <c r="T20" s="641"/>
      <c r="U20" s="641"/>
      <c r="V20" s="641"/>
      <c r="W20" s="641"/>
      <c r="X20" s="641"/>
      <c r="Y20" s="641"/>
      <c r="Z20" s="643"/>
    </row>
    <row r="21" spans="1:26" s="26" customFormat="1">
      <c r="A21" s="718" t="s">
        <v>1035</v>
      </c>
      <c r="B21" s="2567" t="s">
        <v>5949</v>
      </c>
      <c r="C21" s="718" t="s">
        <v>451</v>
      </c>
      <c r="D21" s="1016">
        <v>45316</v>
      </c>
      <c r="E21" s="3535">
        <v>45327</v>
      </c>
      <c r="F21" s="718" t="s">
        <v>151</v>
      </c>
      <c r="G21" s="718" t="s">
        <v>46</v>
      </c>
      <c r="H21" s="3246" t="s">
        <v>1038</v>
      </c>
      <c r="I21" s="3246"/>
      <c r="J21" s="2348" t="s">
        <v>32</v>
      </c>
      <c r="K21" s="1677" t="s">
        <v>162</v>
      </c>
      <c r="L21" s="2349" t="s">
        <v>5950</v>
      </c>
      <c r="M21" s="2347">
        <v>45330</v>
      </c>
      <c r="N21" s="3525">
        <v>45328</v>
      </c>
      <c r="O21" s="1015">
        <v>45345</v>
      </c>
      <c r="P21" s="2350" t="s">
        <v>5912</v>
      </c>
      <c r="Q21" s="18" t="s">
        <v>35</v>
      </c>
      <c r="R21" s="18" t="s">
        <v>36</v>
      </c>
      <c r="S21" s="18" t="s">
        <v>1320</v>
      </c>
      <c r="T21" s="508"/>
      <c r="U21" s="508"/>
      <c r="V21" s="508"/>
      <c r="W21" s="508"/>
      <c r="X21" s="508"/>
      <c r="Y21" s="508"/>
      <c r="Z21" s="508"/>
    </row>
    <row r="22" spans="1:26" s="26" customFormat="1">
      <c r="A22" s="718" t="s">
        <v>1035</v>
      </c>
      <c r="B22" s="2567" t="s">
        <v>5951</v>
      </c>
      <c r="C22" s="718" t="s">
        <v>28</v>
      </c>
      <c r="D22" s="1016">
        <v>45316</v>
      </c>
      <c r="E22" s="1014">
        <v>45327</v>
      </c>
      <c r="F22" s="718" t="s">
        <v>151</v>
      </c>
      <c r="G22" s="718" t="s">
        <v>46</v>
      </c>
      <c r="H22" s="718" t="s">
        <v>1038</v>
      </c>
      <c r="I22" s="718"/>
      <c r="J22" s="2349" t="s">
        <v>32</v>
      </c>
      <c r="K22" s="1677" t="s">
        <v>162</v>
      </c>
      <c r="L22" s="2349" t="s">
        <v>5952</v>
      </c>
      <c r="M22" s="2347">
        <v>45330</v>
      </c>
      <c r="N22" s="1015">
        <v>45329</v>
      </c>
      <c r="O22" s="1015">
        <v>45342</v>
      </c>
      <c r="P22" s="656" t="s">
        <v>5953</v>
      </c>
      <c r="Q22" s="18" t="s">
        <v>35</v>
      </c>
      <c r="R22" s="18" t="s">
        <v>36</v>
      </c>
      <c r="S22" s="18" t="s">
        <v>1320</v>
      </c>
      <c r="T22" s="508"/>
      <c r="U22" s="508"/>
      <c r="V22" s="508"/>
      <c r="W22" s="508"/>
      <c r="X22" s="508"/>
      <c r="Y22" s="508"/>
      <c r="Z22" s="508"/>
    </row>
    <row r="23" spans="1:26" s="26" customFormat="1">
      <c r="A23" s="718" t="s">
        <v>1035</v>
      </c>
      <c r="B23" s="2579" t="s">
        <v>5954</v>
      </c>
      <c r="C23" s="718" t="s">
        <v>28</v>
      </c>
      <c r="D23" s="1016">
        <v>45316</v>
      </c>
      <c r="E23" s="3535">
        <v>45327</v>
      </c>
      <c r="F23" s="718" t="s">
        <v>151</v>
      </c>
      <c r="G23" s="718" t="s">
        <v>46</v>
      </c>
      <c r="H23" s="718" t="s">
        <v>1038</v>
      </c>
      <c r="I23" s="718"/>
      <c r="J23" s="2349" t="s">
        <v>32</v>
      </c>
      <c r="K23" s="1677" t="s">
        <v>162</v>
      </c>
      <c r="L23" s="2349" t="s">
        <v>5955</v>
      </c>
      <c r="M23" s="2347">
        <v>45330</v>
      </c>
      <c r="N23" s="1015">
        <v>45329</v>
      </c>
      <c r="O23" s="1015">
        <v>45343</v>
      </c>
      <c r="P23" s="656" t="s">
        <v>5956</v>
      </c>
      <c r="Q23" s="18" t="s">
        <v>35</v>
      </c>
      <c r="R23" s="18" t="s">
        <v>36</v>
      </c>
      <c r="S23" s="18" t="s">
        <v>1320</v>
      </c>
      <c r="T23" s="508"/>
      <c r="U23" s="508"/>
      <c r="V23" s="508"/>
      <c r="W23" s="508"/>
      <c r="X23" s="508"/>
      <c r="Y23" s="508"/>
      <c r="Z23" s="508"/>
    </row>
    <row r="24" spans="1:26" s="26" customFormat="1">
      <c r="A24" s="718" t="s">
        <v>1035</v>
      </c>
      <c r="B24" s="2579" t="s">
        <v>5957</v>
      </c>
      <c r="C24" s="718" t="s">
        <v>28</v>
      </c>
      <c r="D24" s="1016">
        <v>45316</v>
      </c>
      <c r="E24" s="1014">
        <v>45327</v>
      </c>
      <c r="F24" s="718" t="s">
        <v>151</v>
      </c>
      <c r="G24" s="718" t="s">
        <v>46</v>
      </c>
      <c r="H24" s="718" t="s">
        <v>1038</v>
      </c>
      <c r="I24" s="718"/>
      <c r="J24" s="2349" t="s">
        <v>32</v>
      </c>
      <c r="K24" s="1677" t="s">
        <v>162</v>
      </c>
      <c r="L24" s="2349" t="s">
        <v>5958</v>
      </c>
      <c r="M24" s="2347">
        <v>45330</v>
      </c>
      <c r="N24" s="1015">
        <v>45329</v>
      </c>
      <c r="O24" s="1015">
        <v>45342</v>
      </c>
      <c r="P24" s="2350" t="s">
        <v>5956</v>
      </c>
      <c r="Q24" s="18" t="s">
        <v>35</v>
      </c>
      <c r="R24" s="18" t="s">
        <v>36</v>
      </c>
      <c r="S24" s="18" t="s">
        <v>1320</v>
      </c>
      <c r="T24" s="508"/>
      <c r="U24" s="508"/>
      <c r="V24" s="508"/>
      <c r="W24" s="508"/>
      <c r="X24" s="508"/>
      <c r="Y24" s="508"/>
      <c r="Z24" s="508"/>
    </row>
    <row r="25" spans="1:26" s="507" customFormat="1" ht="30">
      <c r="A25" s="120" t="s">
        <v>165</v>
      </c>
      <c r="B25" s="2580" t="s">
        <v>5959</v>
      </c>
      <c r="C25" s="120" t="s">
        <v>28</v>
      </c>
      <c r="D25" s="653">
        <v>45327</v>
      </c>
      <c r="E25" s="3377">
        <v>45327</v>
      </c>
      <c r="F25" s="120" t="s">
        <v>45</v>
      </c>
      <c r="G25" s="120" t="s">
        <v>5928</v>
      </c>
      <c r="H25" s="653">
        <v>45335</v>
      </c>
      <c r="I25" s="2225" t="s">
        <v>5960</v>
      </c>
      <c r="J25" s="120" t="s">
        <v>322</v>
      </c>
      <c r="K25" s="120" t="s">
        <v>4357</v>
      </c>
      <c r="L25" s="120" t="s">
        <v>162</v>
      </c>
      <c r="M25" s="653">
        <v>45335</v>
      </c>
      <c r="N25" s="653">
        <v>45335</v>
      </c>
      <c r="O25" s="2351">
        <v>45343</v>
      </c>
      <c r="P25" s="4326" t="s">
        <v>5961</v>
      </c>
      <c r="Q25" s="120" t="s">
        <v>75</v>
      </c>
      <c r="R25" s="698" t="s">
        <v>5962</v>
      </c>
      <c r="S25" s="120"/>
      <c r="T25" s="2128">
        <v>1365</v>
      </c>
      <c r="U25" s="2333">
        <v>1177.8</v>
      </c>
      <c r="V25" s="120">
        <v>1</v>
      </c>
      <c r="W25" s="120">
        <f>表12[[#This Row],[Sales Amount]]-表12[[#This Row],[Cost]]</f>
        <v>285</v>
      </c>
      <c r="X25" s="1041">
        <f>IFERROR(Table6[[#This Row],[Profit]]/Table6[[#This Row],[Cost]]," ")</f>
        <v>0.47124628798459595</v>
      </c>
      <c r="Y25" s="120"/>
      <c r="Z25" s="120"/>
    </row>
    <row r="26" spans="1:26" s="507" customFormat="1">
      <c r="A26" s="4607" t="s">
        <v>5963</v>
      </c>
      <c r="B26" s="5328" t="s">
        <v>5964</v>
      </c>
      <c r="C26" s="4845" t="s">
        <v>28</v>
      </c>
      <c r="D26" s="4906">
        <v>45323</v>
      </c>
      <c r="E26" s="3264">
        <v>45329</v>
      </c>
      <c r="F26" s="4845" t="s">
        <v>734</v>
      </c>
      <c r="G26" s="4845" t="s">
        <v>669</v>
      </c>
      <c r="H26" s="120"/>
      <c r="I26" s="120"/>
      <c r="J26" s="2378" t="s">
        <v>32</v>
      </c>
      <c r="K26" s="33" t="s">
        <v>310</v>
      </c>
      <c r="L26" s="4845" t="s">
        <v>5965</v>
      </c>
      <c r="M26" s="2391">
        <v>45331</v>
      </c>
      <c r="N26" s="4960">
        <v>45331</v>
      </c>
      <c r="O26" s="846">
        <v>45335</v>
      </c>
      <c r="P26" s="4937" t="s">
        <v>5966</v>
      </c>
      <c r="Q26" s="4845" t="s">
        <v>50</v>
      </c>
      <c r="R26" s="2353" t="s">
        <v>5967</v>
      </c>
      <c r="S26" s="120"/>
      <c r="T26" s="120"/>
      <c r="U26" s="120"/>
      <c r="V26" s="120"/>
      <c r="W26" s="120"/>
      <c r="X26" s="2305"/>
      <c r="Y26" s="120"/>
      <c r="Z26" s="1209"/>
    </row>
    <row r="27" spans="1:26" s="26" customFormat="1">
      <c r="A27" s="4646" t="s">
        <v>1945</v>
      </c>
      <c r="B27" s="5323" t="s">
        <v>5968</v>
      </c>
      <c r="C27" s="4861" t="s">
        <v>28</v>
      </c>
      <c r="D27" s="4953">
        <v>45316</v>
      </c>
      <c r="E27" s="3535">
        <v>45331</v>
      </c>
      <c r="F27" s="4861" t="s">
        <v>151</v>
      </c>
      <c r="G27" s="4861" t="s">
        <v>46</v>
      </c>
      <c r="H27" s="718" t="s">
        <v>5969</v>
      </c>
      <c r="I27" s="718" t="s">
        <v>5970</v>
      </c>
      <c r="J27" s="718" t="s">
        <v>32</v>
      </c>
      <c r="K27" s="718" t="s">
        <v>5971</v>
      </c>
      <c r="L27" s="4902" t="s">
        <v>5972</v>
      </c>
      <c r="M27" s="2347">
        <v>45333</v>
      </c>
      <c r="N27" s="5329">
        <v>45332</v>
      </c>
      <c r="O27" s="4863">
        <v>45334</v>
      </c>
      <c r="P27" s="4882" t="s">
        <v>5973</v>
      </c>
      <c r="Q27" s="4839" t="s">
        <v>35</v>
      </c>
      <c r="R27" s="1432" t="s">
        <v>36</v>
      </c>
      <c r="S27" s="18" t="s">
        <v>5692</v>
      </c>
      <c r="T27" s="508"/>
      <c r="U27" s="508"/>
      <c r="V27" s="508"/>
      <c r="W27" s="508"/>
      <c r="X27" s="508"/>
      <c r="Y27" s="508"/>
      <c r="Z27" s="2337"/>
    </row>
    <row r="28" spans="1:26" s="26" customFormat="1">
      <c r="A28" s="3417" t="s">
        <v>409</v>
      </c>
      <c r="B28" s="5328" t="s">
        <v>5974</v>
      </c>
      <c r="C28" s="4845" t="s">
        <v>28</v>
      </c>
      <c r="D28" s="4906">
        <v>45325</v>
      </c>
      <c r="E28" s="3264">
        <v>45332</v>
      </c>
      <c r="F28" s="4845" t="s">
        <v>151</v>
      </c>
      <c r="G28" s="4845" t="s">
        <v>46</v>
      </c>
      <c r="H28" s="653"/>
      <c r="I28" s="120"/>
      <c r="J28" s="2352" t="s">
        <v>32</v>
      </c>
      <c r="K28" s="120" t="s">
        <v>310</v>
      </c>
      <c r="L28" s="5330" t="s">
        <v>5975</v>
      </c>
      <c r="M28" s="846">
        <v>45334</v>
      </c>
      <c r="N28" s="4960">
        <v>45332</v>
      </c>
      <c r="O28" s="4960">
        <v>45334</v>
      </c>
      <c r="P28" s="4937" t="s">
        <v>5976</v>
      </c>
      <c r="Q28" s="4845" t="s">
        <v>50</v>
      </c>
      <c r="R28" s="2353" t="s">
        <v>5977</v>
      </c>
      <c r="S28" s="120"/>
      <c r="T28" s="33"/>
      <c r="U28" s="33"/>
      <c r="V28" s="33"/>
      <c r="W28" s="33"/>
      <c r="X28" s="33"/>
      <c r="Y28" s="33"/>
      <c r="Z28" s="2354"/>
    </row>
    <row r="29" spans="1:26" s="26" customFormat="1" ht="30">
      <c r="A29" s="4607" t="s">
        <v>165</v>
      </c>
      <c r="B29" s="5331" t="s">
        <v>5978</v>
      </c>
      <c r="C29" s="4845" t="s">
        <v>28</v>
      </c>
      <c r="D29" s="4906">
        <v>45332</v>
      </c>
      <c r="E29" s="4916">
        <v>45332</v>
      </c>
      <c r="F29" s="4845" t="s">
        <v>260</v>
      </c>
      <c r="G29" s="4964" t="s">
        <v>5076</v>
      </c>
      <c r="H29" s="653">
        <v>45338</v>
      </c>
      <c r="I29" s="698" t="s">
        <v>5979</v>
      </c>
      <c r="J29" s="120" t="s">
        <v>510</v>
      </c>
      <c r="K29" s="719" t="s">
        <v>5078</v>
      </c>
      <c r="L29" s="4845" t="s">
        <v>162</v>
      </c>
      <c r="M29" s="653">
        <v>45338</v>
      </c>
      <c r="N29" s="822">
        <v>45337</v>
      </c>
      <c r="O29" s="5282">
        <v>45342</v>
      </c>
      <c r="P29" s="4938" t="s">
        <v>5980</v>
      </c>
      <c r="Q29" s="4845" t="s">
        <v>75</v>
      </c>
      <c r="R29" s="2284" t="s">
        <v>5981</v>
      </c>
      <c r="S29" s="120"/>
      <c r="T29" s="2128">
        <v>1280</v>
      </c>
      <c r="U29" s="2129">
        <v>952.5</v>
      </c>
      <c r="V29" s="120">
        <v>1</v>
      </c>
      <c r="W29" s="2129">
        <f>表12_14[[#This Row],[Sales Amount]]-表12_14[[#This Row],[Cost]]</f>
        <v>327.5</v>
      </c>
      <c r="X29" s="1041">
        <f>表12_14[[#This Row],[Profit]]/表12_14[[#This Row],[Cost]]</f>
        <v>0.34383202099737531</v>
      </c>
      <c r="Y29" s="120"/>
      <c r="Z29" s="1209"/>
    </row>
    <row r="30" spans="1:26" s="26" customFormat="1">
      <c r="A30" s="3417" t="s">
        <v>409</v>
      </c>
      <c r="B30" s="5328" t="s">
        <v>5982</v>
      </c>
      <c r="C30" s="4845" t="s">
        <v>28</v>
      </c>
      <c r="D30" s="4906">
        <v>45325</v>
      </c>
      <c r="E30" s="4916">
        <f>7+D30</f>
        <v>45332</v>
      </c>
      <c r="F30" s="4845" t="s">
        <v>86</v>
      </c>
      <c r="G30" s="4845" t="s">
        <v>46</v>
      </c>
      <c r="H30" s="653"/>
      <c r="I30" s="120"/>
      <c r="J30" s="2352" t="s">
        <v>32</v>
      </c>
      <c r="K30" s="120" t="s">
        <v>310</v>
      </c>
      <c r="L30" s="5330" t="s">
        <v>5983</v>
      </c>
      <c r="M30" s="846">
        <v>45334</v>
      </c>
      <c r="N30" s="4960">
        <v>45332</v>
      </c>
      <c r="O30" s="4960">
        <v>45335</v>
      </c>
      <c r="P30" s="4937" t="s">
        <v>5984</v>
      </c>
      <c r="Q30" s="4845" t="s">
        <v>50</v>
      </c>
      <c r="R30" s="2353" t="s">
        <v>5985</v>
      </c>
      <c r="S30" s="120"/>
      <c r="T30" s="33"/>
      <c r="U30" s="33"/>
      <c r="V30" s="33"/>
      <c r="W30" s="33"/>
      <c r="X30" s="33"/>
      <c r="Y30" s="33"/>
      <c r="Z30" s="2354"/>
    </row>
    <row r="31" spans="1:26" s="26" customFormat="1">
      <c r="A31" s="4646" t="s">
        <v>1035</v>
      </c>
      <c r="B31" s="5323" t="s">
        <v>5986</v>
      </c>
      <c r="C31" s="4861" t="s">
        <v>28</v>
      </c>
      <c r="D31" s="4953">
        <v>45316</v>
      </c>
      <c r="E31" s="4885">
        <v>45333</v>
      </c>
      <c r="F31" s="4861" t="s">
        <v>151</v>
      </c>
      <c r="G31" s="4861" t="s">
        <v>46</v>
      </c>
      <c r="H31" s="718" t="s">
        <v>1038</v>
      </c>
      <c r="I31" s="718"/>
      <c r="J31" s="2349" t="s">
        <v>32</v>
      </c>
      <c r="K31" s="1677" t="s">
        <v>162</v>
      </c>
      <c r="L31" s="4902" t="s">
        <v>5987</v>
      </c>
      <c r="M31" s="2355">
        <v>45330</v>
      </c>
      <c r="N31" s="4863">
        <v>45329</v>
      </c>
      <c r="O31" s="4863">
        <v>45346</v>
      </c>
      <c r="P31" s="4882" t="s">
        <v>5909</v>
      </c>
      <c r="Q31" s="4839" t="s">
        <v>35</v>
      </c>
      <c r="R31" s="1432" t="s">
        <v>36</v>
      </c>
      <c r="S31" s="18" t="s">
        <v>1320</v>
      </c>
      <c r="T31" s="508"/>
      <c r="U31" s="508"/>
      <c r="V31" s="508"/>
      <c r="W31" s="508"/>
      <c r="X31" s="508"/>
      <c r="Y31" s="508"/>
      <c r="Z31" s="2337"/>
    </row>
    <row r="32" spans="1:26" s="26" customFormat="1" ht="45">
      <c r="A32" s="4607" t="s">
        <v>468</v>
      </c>
      <c r="B32" s="5331" t="s">
        <v>5988</v>
      </c>
      <c r="C32" s="4845" t="s">
        <v>28</v>
      </c>
      <c r="D32" s="4906">
        <v>45324</v>
      </c>
      <c r="E32" s="4916">
        <v>45333</v>
      </c>
      <c r="F32" s="4845" t="s">
        <v>29</v>
      </c>
      <c r="G32" s="4947" t="s">
        <v>3492</v>
      </c>
      <c r="H32" s="5318">
        <v>45335</v>
      </c>
      <c r="I32" s="4964" t="s">
        <v>618</v>
      </c>
      <c r="J32" s="4845" t="s">
        <v>2306</v>
      </c>
      <c r="K32" s="4845" t="s">
        <v>2313</v>
      </c>
      <c r="L32" s="4938">
        <v>1871249</v>
      </c>
      <c r="M32" s="653">
        <v>45335</v>
      </c>
      <c r="N32" s="4906">
        <v>45335</v>
      </c>
      <c r="O32" s="4906">
        <v>45335</v>
      </c>
      <c r="P32" s="5304" t="s">
        <v>5989</v>
      </c>
      <c r="Q32" s="4845" t="s">
        <v>75</v>
      </c>
      <c r="R32" s="2140" t="s">
        <v>5990</v>
      </c>
      <c r="S32" s="120"/>
      <c r="T32" s="120">
        <v>715</v>
      </c>
      <c r="U32" s="120">
        <v>558.1</v>
      </c>
      <c r="V32" s="120">
        <v>1</v>
      </c>
      <c r="W32" s="120">
        <f>表12_14[[#This Row],[Sales Amount]]-表12_14[[#This Row],[Cost]]</f>
        <v>156.89999999999998</v>
      </c>
      <c r="X32" s="1041">
        <f>IFERROR(Table6[[#This Row],[Profit]]/Table6[[#This Row],[Cost]]," ")</f>
        <v>0.25899280575539568</v>
      </c>
      <c r="Y32" s="719" t="s">
        <v>5640</v>
      </c>
      <c r="Z32" s="1209"/>
    </row>
    <row r="33" spans="1:26" s="26" customFormat="1" ht="45">
      <c r="A33" s="4607" t="s">
        <v>468</v>
      </c>
      <c r="B33" s="5331" t="s">
        <v>5991</v>
      </c>
      <c r="C33" s="4845" t="s">
        <v>28</v>
      </c>
      <c r="D33" s="4906">
        <v>45324</v>
      </c>
      <c r="E33" s="4916">
        <v>45333</v>
      </c>
      <c r="F33" s="4845" t="s">
        <v>29</v>
      </c>
      <c r="G33" s="4947" t="s">
        <v>3492</v>
      </c>
      <c r="H33" s="5318">
        <v>45335</v>
      </c>
      <c r="I33" s="4964" t="s">
        <v>926</v>
      </c>
      <c r="J33" s="4845" t="s">
        <v>2306</v>
      </c>
      <c r="K33" s="4845" t="s">
        <v>2313</v>
      </c>
      <c r="L33" s="4938">
        <v>1871277</v>
      </c>
      <c r="M33" s="653">
        <v>45335</v>
      </c>
      <c r="N33" s="4906">
        <v>45335</v>
      </c>
      <c r="O33" s="4906">
        <v>45335</v>
      </c>
      <c r="P33" s="5304" t="s">
        <v>5992</v>
      </c>
      <c r="Q33" s="4845" t="s">
        <v>75</v>
      </c>
      <c r="R33" s="2284" t="s">
        <v>5993</v>
      </c>
      <c r="S33" s="120"/>
      <c r="T33" s="120">
        <v>715</v>
      </c>
      <c r="U33" s="1988">
        <v>445.6</v>
      </c>
      <c r="V33" s="120">
        <v>1</v>
      </c>
      <c r="W33" s="2129">
        <f>表12_14[[#This Row],[Sales Amount]]-表12_14[[#This Row],[Cost]]</f>
        <v>269.39999999999998</v>
      </c>
      <c r="X33" s="1041">
        <f>表12_14[[#This Row],[Profit]]/表12_14[[#This Row],[Cost]]</f>
        <v>0.6045780969479353</v>
      </c>
      <c r="Y33" s="719" t="s">
        <v>5640</v>
      </c>
      <c r="Z33" s="1209"/>
    </row>
    <row r="34" spans="1:26" s="26" customFormat="1">
      <c r="A34" s="4646" t="s">
        <v>1945</v>
      </c>
      <c r="B34" s="5323" t="s">
        <v>5994</v>
      </c>
      <c r="C34" s="4861" t="s">
        <v>28</v>
      </c>
      <c r="D34" s="4953">
        <v>45323</v>
      </c>
      <c r="E34" s="4885">
        <v>45333</v>
      </c>
      <c r="F34" s="4861" t="s">
        <v>151</v>
      </c>
      <c r="G34" s="4861" t="s">
        <v>46</v>
      </c>
      <c r="H34" s="4861" t="s">
        <v>5969</v>
      </c>
      <c r="I34" s="4861" t="s">
        <v>5688</v>
      </c>
      <c r="J34" s="4861" t="s">
        <v>32</v>
      </c>
      <c r="K34" s="4861" t="s">
        <v>5971</v>
      </c>
      <c r="L34" s="5326" t="s">
        <v>5995</v>
      </c>
      <c r="M34" s="2355">
        <v>45336</v>
      </c>
      <c r="N34" s="5329">
        <v>45334</v>
      </c>
      <c r="O34" s="4863">
        <v>45336</v>
      </c>
      <c r="P34" s="4882" t="s">
        <v>5996</v>
      </c>
      <c r="Q34" s="4839" t="s">
        <v>35</v>
      </c>
      <c r="R34" s="1432" t="s">
        <v>36</v>
      </c>
      <c r="S34" s="18" t="s">
        <v>5692</v>
      </c>
      <c r="T34" s="508"/>
      <c r="U34" s="508">
        <v>570</v>
      </c>
      <c r="V34" s="508"/>
      <c r="W34" s="508"/>
      <c r="X34" s="508"/>
      <c r="Y34" s="508"/>
      <c r="Z34" s="2337"/>
    </row>
    <row r="35" spans="1:26" s="707" customFormat="1" ht="30">
      <c r="A35" s="3527" t="s">
        <v>5963</v>
      </c>
      <c r="B35" s="3528" t="s">
        <v>5997</v>
      </c>
      <c r="C35" s="4861" t="s">
        <v>3181</v>
      </c>
      <c r="D35" s="3534">
        <v>45328</v>
      </c>
      <c r="E35" s="3535">
        <v>45333</v>
      </c>
      <c r="F35" s="3246" t="s">
        <v>990</v>
      </c>
      <c r="G35" s="3246" t="s">
        <v>669</v>
      </c>
      <c r="H35" s="3246"/>
      <c r="I35" s="3246"/>
      <c r="J35" s="3434" t="s">
        <v>32</v>
      </c>
      <c r="K35" s="4861" t="s">
        <v>47</v>
      </c>
      <c r="L35" s="3246"/>
      <c r="M35" s="3537"/>
      <c r="N35" s="3526">
        <v>45335</v>
      </c>
      <c r="O35" s="3526">
        <v>45345</v>
      </c>
      <c r="P35" s="3283" t="s">
        <v>5998</v>
      </c>
      <c r="Q35" s="3246" t="s">
        <v>50</v>
      </c>
      <c r="R35" s="2346" t="s">
        <v>5999</v>
      </c>
      <c r="S35" s="727"/>
      <c r="T35" s="727"/>
      <c r="U35" s="727"/>
      <c r="V35" s="727"/>
      <c r="W35" s="727"/>
      <c r="X35" s="2315"/>
      <c r="Y35" s="727"/>
      <c r="Z35" s="711"/>
    </row>
    <row r="36" spans="1:26" s="26" customFormat="1">
      <c r="A36" s="4599" t="s">
        <v>263</v>
      </c>
      <c r="B36" s="5323" t="s">
        <v>6000</v>
      </c>
      <c r="C36" s="4861" t="s">
        <v>44</v>
      </c>
      <c r="D36" s="3534">
        <v>45334</v>
      </c>
      <c r="E36" s="3534">
        <v>45334</v>
      </c>
      <c r="F36" s="3246" t="s">
        <v>135</v>
      </c>
      <c r="G36" s="3246" t="s">
        <v>265</v>
      </c>
      <c r="H36" s="4863">
        <v>45343</v>
      </c>
      <c r="I36" s="5332">
        <v>0.54166666666666663</v>
      </c>
      <c r="J36" s="4861" t="s">
        <v>377</v>
      </c>
      <c r="K36" s="4861" t="s">
        <v>4409</v>
      </c>
      <c r="L36" s="4861"/>
      <c r="M36" s="4863">
        <v>45343</v>
      </c>
      <c r="N36" s="4863">
        <v>45343</v>
      </c>
      <c r="O36" s="4863">
        <v>45344</v>
      </c>
      <c r="P36" s="3283" t="s">
        <v>6001</v>
      </c>
      <c r="Q36" s="3246" t="s">
        <v>128</v>
      </c>
      <c r="R36" s="2345" t="s">
        <v>36</v>
      </c>
      <c r="S36" s="718"/>
      <c r="T36" s="656">
        <f>1993.91-550</f>
        <v>1443.91</v>
      </c>
      <c r="U36" s="656">
        <f>170.16+1020</f>
        <v>1190.1600000000001</v>
      </c>
      <c r="V36" s="656">
        <v>1</v>
      </c>
      <c r="W36" s="656"/>
      <c r="X36" s="656"/>
      <c r="Y36" s="656"/>
      <c r="Z36" s="2356"/>
    </row>
    <row r="37" spans="1:26" s="26" customFormat="1">
      <c r="A37" s="3527" t="s">
        <v>710</v>
      </c>
      <c r="B37" s="3528" t="s">
        <v>6002</v>
      </c>
      <c r="C37" s="3246" t="s">
        <v>55</v>
      </c>
      <c r="D37" s="3534">
        <v>45320</v>
      </c>
      <c r="E37" s="3535">
        <v>45334</v>
      </c>
      <c r="F37" s="3246" t="s">
        <v>285</v>
      </c>
      <c r="G37" s="3246" t="s">
        <v>152</v>
      </c>
      <c r="H37" s="3525">
        <v>45334</v>
      </c>
      <c r="I37" s="3434" t="s">
        <v>6003</v>
      </c>
      <c r="J37" s="3246" t="s">
        <v>322</v>
      </c>
      <c r="K37" s="3246" t="s">
        <v>6004</v>
      </c>
      <c r="L37" s="3434">
        <v>5537</v>
      </c>
      <c r="M37" s="3525">
        <v>45331</v>
      </c>
      <c r="N37" s="3525">
        <v>45331</v>
      </c>
      <c r="O37" s="3246" t="s">
        <v>5527</v>
      </c>
      <c r="P37" s="3258" t="s">
        <v>6005</v>
      </c>
      <c r="Q37" s="3300" t="s">
        <v>35</v>
      </c>
      <c r="R37" s="2093" t="s">
        <v>36</v>
      </c>
      <c r="S37" s="710" t="s">
        <v>6006</v>
      </c>
      <c r="T37" s="641">
        <v>1935</v>
      </c>
      <c r="U37" s="641">
        <v>1342.5</v>
      </c>
      <c r="V37" s="641"/>
      <c r="W37" s="641"/>
      <c r="X37" s="641"/>
      <c r="Y37" s="641"/>
      <c r="Z37" s="643"/>
    </row>
    <row r="38" spans="1:26" s="507" customFormat="1" ht="17.25">
      <c r="A38" s="3417" t="s">
        <v>3343</v>
      </c>
      <c r="B38" s="3538" t="s">
        <v>6007</v>
      </c>
      <c r="C38" s="3274" t="s">
        <v>28</v>
      </c>
      <c r="D38" s="3262">
        <v>45325</v>
      </c>
      <c r="E38" s="3264">
        <v>45334</v>
      </c>
      <c r="F38" s="3268" t="s">
        <v>151</v>
      </c>
      <c r="G38" s="3268" t="s">
        <v>46</v>
      </c>
      <c r="H38" s="3268"/>
      <c r="I38" s="3268"/>
      <c r="J38" s="3539" t="s">
        <v>32</v>
      </c>
      <c r="K38" s="3274" t="s">
        <v>310</v>
      </c>
      <c r="L38" s="3540" t="s">
        <v>6008</v>
      </c>
      <c r="M38" s="3541">
        <v>45333</v>
      </c>
      <c r="N38" s="3541">
        <v>45331</v>
      </c>
      <c r="O38" s="3541">
        <v>45334</v>
      </c>
      <c r="P38" s="3542" t="s">
        <v>6009</v>
      </c>
      <c r="Q38" s="3268" t="s">
        <v>50</v>
      </c>
      <c r="R38" s="2125" t="s">
        <v>6010</v>
      </c>
      <c r="S38" s="660"/>
      <c r="T38" s="660"/>
      <c r="U38" s="660"/>
      <c r="V38" s="660"/>
      <c r="W38" s="660"/>
      <c r="X38" s="660"/>
      <c r="Y38" s="660"/>
      <c r="Z38" s="113"/>
    </row>
    <row r="39" spans="1:26" s="507" customFormat="1">
      <c r="A39" s="4319" t="s">
        <v>3343</v>
      </c>
      <c r="B39" s="3538" t="s">
        <v>6011</v>
      </c>
      <c r="C39" s="3430" t="s">
        <v>28</v>
      </c>
      <c r="D39" s="3262">
        <v>45329</v>
      </c>
      <c r="E39" s="3264">
        <v>45334</v>
      </c>
      <c r="F39" s="3430" t="s">
        <v>86</v>
      </c>
      <c r="G39" s="3430" t="s">
        <v>46</v>
      </c>
      <c r="H39" s="3268"/>
      <c r="I39" s="3268"/>
      <c r="J39" s="3430" t="s">
        <v>32</v>
      </c>
      <c r="K39" s="3430" t="s">
        <v>310</v>
      </c>
      <c r="L39" s="3540" t="s">
        <v>6012</v>
      </c>
      <c r="M39" s="3541">
        <v>45336</v>
      </c>
      <c r="N39" s="3541">
        <v>45334</v>
      </c>
      <c r="O39" s="3541">
        <v>45336</v>
      </c>
      <c r="P39" s="3533" t="s">
        <v>6013</v>
      </c>
      <c r="Q39" s="3430" t="s">
        <v>89</v>
      </c>
      <c r="R39" s="2125" t="s">
        <v>6014</v>
      </c>
      <c r="S39" s="660"/>
      <c r="T39" s="660"/>
      <c r="U39" s="660"/>
      <c r="V39" s="660"/>
      <c r="W39" s="660"/>
      <c r="X39" s="660"/>
      <c r="Y39" s="660"/>
      <c r="Z39" s="113"/>
    </row>
    <row r="40" spans="1:26" s="507" customFormat="1">
      <c r="A40" s="3417" t="s">
        <v>3343</v>
      </c>
      <c r="B40" s="3538" t="s">
        <v>6015</v>
      </c>
      <c r="C40" s="3274" t="s">
        <v>28</v>
      </c>
      <c r="D40" s="3262">
        <v>45329</v>
      </c>
      <c r="E40" s="3264">
        <v>45334</v>
      </c>
      <c r="F40" s="3274" t="s">
        <v>45</v>
      </c>
      <c r="G40" s="3274" t="s">
        <v>46</v>
      </c>
      <c r="H40" s="3268"/>
      <c r="I40" s="3268"/>
      <c r="J40" s="3543" t="s">
        <v>32</v>
      </c>
      <c r="K40" s="3274" t="s">
        <v>310</v>
      </c>
      <c r="L40" s="3540" t="s">
        <v>6016</v>
      </c>
      <c r="M40" s="3541">
        <v>45336</v>
      </c>
      <c r="N40" s="3541">
        <v>45334</v>
      </c>
      <c r="O40" s="3541">
        <v>45336</v>
      </c>
      <c r="P40" s="3542" t="s">
        <v>6017</v>
      </c>
      <c r="Q40" s="3268" t="s">
        <v>50</v>
      </c>
      <c r="R40" s="2125" t="s">
        <v>6018</v>
      </c>
      <c r="S40" s="660"/>
      <c r="T40" s="660"/>
      <c r="U40" s="660"/>
      <c r="V40" s="660"/>
      <c r="W40" s="660"/>
      <c r="X40" s="660"/>
      <c r="Y40" s="660"/>
      <c r="Z40" s="113"/>
    </row>
    <row r="41" spans="1:26" s="507" customFormat="1">
      <c r="A41" s="3417" t="s">
        <v>3343</v>
      </c>
      <c r="B41" s="3538" t="s">
        <v>6019</v>
      </c>
      <c r="C41" s="3268" t="s">
        <v>28</v>
      </c>
      <c r="D41" s="3262">
        <v>45329</v>
      </c>
      <c r="E41" s="3264">
        <f>5+表12_14[[#This Row],[ETA PORT]]</f>
        <v>45334</v>
      </c>
      <c r="F41" s="3268" t="s">
        <v>734</v>
      </c>
      <c r="G41" s="3268" t="s">
        <v>46</v>
      </c>
      <c r="H41" s="3268"/>
      <c r="I41" s="3268"/>
      <c r="J41" s="3432" t="s">
        <v>32</v>
      </c>
      <c r="K41" s="3268" t="s">
        <v>310</v>
      </c>
      <c r="L41" s="3540" t="s">
        <v>6020</v>
      </c>
      <c r="M41" s="3541">
        <v>45336</v>
      </c>
      <c r="N41" s="3541">
        <v>45334</v>
      </c>
      <c r="O41" s="3541">
        <v>45336</v>
      </c>
      <c r="P41" s="3542" t="s">
        <v>6021</v>
      </c>
      <c r="Q41" s="3268" t="s">
        <v>50</v>
      </c>
      <c r="R41" s="2125" t="s">
        <v>6022</v>
      </c>
      <c r="S41" s="660"/>
      <c r="T41" s="660"/>
      <c r="U41" s="660"/>
      <c r="V41" s="660"/>
      <c r="W41" s="660"/>
      <c r="X41" s="660"/>
      <c r="Y41" s="660"/>
      <c r="Z41" s="113"/>
    </row>
    <row r="42" spans="1:26" s="117" customFormat="1">
      <c r="A42" s="3527" t="s">
        <v>3562</v>
      </c>
      <c r="B42" s="3528" t="s">
        <v>6023</v>
      </c>
      <c r="C42" s="3246" t="s">
        <v>28</v>
      </c>
      <c r="D42" s="3534">
        <v>45334</v>
      </c>
      <c r="E42" s="3534">
        <v>45334</v>
      </c>
      <c r="F42" s="3246" t="s">
        <v>135</v>
      </c>
      <c r="G42" s="3246" t="s">
        <v>6024</v>
      </c>
      <c r="H42" s="3524">
        <v>45337</v>
      </c>
      <c r="I42" s="5326" t="s">
        <v>178</v>
      </c>
      <c r="J42" s="3544" t="s">
        <v>859</v>
      </c>
      <c r="K42" s="3246" t="s">
        <v>3569</v>
      </c>
      <c r="L42" s="3434" t="s">
        <v>542</v>
      </c>
      <c r="M42" s="3525">
        <v>45337</v>
      </c>
      <c r="N42" s="3526">
        <v>45336</v>
      </c>
      <c r="O42" s="3526">
        <v>45337</v>
      </c>
      <c r="P42" s="3283" t="s">
        <v>6025</v>
      </c>
      <c r="Q42" s="3275" t="s">
        <v>35</v>
      </c>
      <c r="R42" s="710" t="s">
        <v>36</v>
      </c>
      <c r="S42" s="710" t="s">
        <v>37</v>
      </c>
      <c r="T42" s="152">
        <v>1880</v>
      </c>
      <c r="U42" s="152">
        <v>1580</v>
      </c>
      <c r="V42" s="152"/>
      <c r="W42" s="152"/>
      <c r="X42" s="2124"/>
      <c r="Y42" s="152"/>
      <c r="Z42" s="645"/>
    </row>
    <row r="43" spans="1:26" s="507" customFormat="1">
      <c r="A43" s="3417" t="s">
        <v>5963</v>
      </c>
      <c r="B43" s="3538" t="s">
        <v>6026</v>
      </c>
      <c r="C43" s="3268" t="s">
        <v>28</v>
      </c>
      <c r="D43" s="3262">
        <v>45328</v>
      </c>
      <c r="E43" s="3264">
        <v>45334</v>
      </c>
      <c r="F43" s="3268" t="s">
        <v>56</v>
      </c>
      <c r="G43" s="3268" t="s">
        <v>46</v>
      </c>
      <c r="H43" s="3545"/>
      <c r="I43" s="3268"/>
      <c r="J43" s="3539" t="s">
        <v>32</v>
      </c>
      <c r="K43" s="3546" t="s">
        <v>310</v>
      </c>
      <c r="L43" s="3274" t="s">
        <v>6027</v>
      </c>
      <c r="M43" s="3547">
        <v>45336</v>
      </c>
      <c r="N43" s="3541">
        <v>45334</v>
      </c>
      <c r="O43" s="3541">
        <v>45338</v>
      </c>
      <c r="P43" s="3542" t="s">
        <v>6028</v>
      </c>
      <c r="Q43" s="3268" t="s">
        <v>50</v>
      </c>
      <c r="R43" s="660" t="s">
        <v>6029</v>
      </c>
      <c r="S43" s="660"/>
      <c r="T43" s="660"/>
      <c r="U43" s="660"/>
      <c r="V43" s="660"/>
      <c r="W43" s="660"/>
      <c r="X43" s="2282"/>
      <c r="Y43" s="660"/>
      <c r="Z43" s="113"/>
    </row>
    <row r="44" spans="1:26" s="26" customFormat="1">
      <c r="A44" s="3548" t="s">
        <v>5114</v>
      </c>
      <c r="B44" s="3549" t="s">
        <v>6030</v>
      </c>
      <c r="C44" s="3255" t="s">
        <v>28</v>
      </c>
      <c r="D44" s="3069">
        <v>45328</v>
      </c>
      <c r="E44" s="3550">
        <v>45334</v>
      </c>
      <c r="F44" s="3075" t="s">
        <v>86</v>
      </c>
      <c r="G44" s="3255" t="s">
        <v>302</v>
      </c>
      <c r="H44" s="3075"/>
      <c r="I44" s="3075"/>
      <c r="J44" s="3551" t="s">
        <v>32</v>
      </c>
      <c r="K44" s="3255" t="s">
        <v>47</v>
      </c>
      <c r="L44" s="3075" t="s">
        <v>6031</v>
      </c>
      <c r="M44" s="3552" t="s">
        <v>738</v>
      </c>
      <c r="N44" s="3553">
        <v>45336</v>
      </c>
      <c r="O44" s="3553">
        <v>45351</v>
      </c>
      <c r="P44" s="3554" t="s">
        <v>6032</v>
      </c>
      <c r="Q44" s="3075" t="s">
        <v>50</v>
      </c>
      <c r="R44" s="2371" t="s">
        <v>6033</v>
      </c>
      <c r="S44" s="152"/>
      <c r="T44" s="152"/>
      <c r="U44" s="152"/>
      <c r="V44" s="152"/>
      <c r="W44" s="152"/>
      <c r="X44" s="2124"/>
      <c r="Y44" s="152"/>
      <c r="Z44" s="645"/>
    </row>
    <row r="45" spans="1:26" s="26" customFormat="1" ht="45">
      <c r="A45" s="3417" t="s">
        <v>468</v>
      </c>
      <c r="B45" s="3531" t="s">
        <v>6034</v>
      </c>
      <c r="C45" s="3268" t="s">
        <v>200</v>
      </c>
      <c r="D45" s="3262">
        <v>45335</v>
      </c>
      <c r="E45" s="3555">
        <v>45335</v>
      </c>
      <c r="F45" s="3268" t="s">
        <v>260</v>
      </c>
      <c r="G45" s="3273" t="s">
        <v>6035</v>
      </c>
      <c r="H45" s="3262">
        <v>45336</v>
      </c>
      <c r="I45" s="3273"/>
      <c r="J45" s="3268" t="s">
        <v>5470</v>
      </c>
      <c r="K45" s="3268" t="s">
        <v>6036</v>
      </c>
      <c r="L45" s="3293" t="s">
        <v>162</v>
      </c>
      <c r="M45" s="3418">
        <v>45342</v>
      </c>
      <c r="N45" s="3366">
        <v>45336</v>
      </c>
      <c r="O45" s="3262">
        <v>45336</v>
      </c>
      <c r="P45" s="4327" t="s">
        <v>6037</v>
      </c>
      <c r="Q45" s="3268" t="s">
        <v>75</v>
      </c>
      <c r="R45" s="2127" t="s">
        <v>6038</v>
      </c>
      <c r="S45" s="660"/>
      <c r="T45" s="660">
        <v>872.33</v>
      </c>
      <c r="U45" s="1447">
        <v>657.75</v>
      </c>
      <c r="V45" s="660">
        <v>1</v>
      </c>
      <c r="W45" s="1447">
        <f>表12_14[[#This Row],[Sales Amount]]-表12_14[[#This Row],[Cost]]</f>
        <v>214.58000000000004</v>
      </c>
      <c r="X45" s="885">
        <f>IFERROR(Table6[[#This Row],[Profit]]/Table6[[#This Row],[Cost]]," ")</f>
        <v>7.909604519774012E-2</v>
      </c>
      <c r="Y45" s="660"/>
      <c r="Z45" s="113"/>
    </row>
    <row r="46" spans="1:26" s="26" customFormat="1">
      <c r="A46" s="3527" t="s">
        <v>1431</v>
      </c>
      <c r="B46" s="3528" t="s">
        <v>6039</v>
      </c>
      <c r="C46" s="3289" t="s">
        <v>28</v>
      </c>
      <c r="D46" s="3534">
        <v>45315</v>
      </c>
      <c r="E46" s="3535">
        <v>45335</v>
      </c>
      <c r="F46" s="3246" t="s">
        <v>285</v>
      </c>
      <c r="G46" s="3289" t="s">
        <v>46</v>
      </c>
      <c r="H46" s="3525">
        <v>45336</v>
      </c>
      <c r="I46" s="3434" t="s">
        <v>115</v>
      </c>
      <c r="J46" s="3556" t="s">
        <v>32</v>
      </c>
      <c r="K46" s="3246" t="s">
        <v>1433</v>
      </c>
      <c r="L46" s="3434" t="s">
        <v>6040</v>
      </c>
      <c r="M46" s="3525">
        <v>45337</v>
      </c>
      <c r="N46" s="3526">
        <v>45335</v>
      </c>
      <c r="O46" s="3526">
        <v>45336</v>
      </c>
      <c r="P46" s="3258" t="s">
        <v>6041</v>
      </c>
      <c r="Q46" s="3275" t="s">
        <v>35</v>
      </c>
      <c r="R46" s="2093" t="s">
        <v>36</v>
      </c>
      <c r="S46" s="710" t="s">
        <v>5901</v>
      </c>
      <c r="T46" s="641">
        <v>1393.5</v>
      </c>
      <c r="U46" s="641">
        <v>1300</v>
      </c>
      <c r="V46" s="641"/>
      <c r="W46" s="641"/>
      <c r="X46" s="641"/>
      <c r="Y46" s="641"/>
      <c r="Z46" s="643"/>
    </row>
    <row r="47" spans="1:26" s="707" customFormat="1" ht="17.25">
      <c r="A47" s="718" t="s">
        <v>4793</v>
      </c>
      <c r="B47" s="2567" t="s">
        <v>6042</v>
      </c>
      <c r="C47" s="718" t="s">
        <v>28</v>
      </c>
      <c r="D47" s="1016">
        <v>45323</v>
      </c>
      <c r="E47" s="1014">
        <v>45335</v>
      </c>
      <c r="F47" s="718" t="s">
        <v>86</v>
      </c>
      <c r="G47" s="718" t="s">
        <v>46</v>
      </c>
      <c r="H47" s="1016"/>
      <c r="I47" s="718"/>
      <c r="J47" s="2431" t="s">
        <v>32</v>
      </c>
      <c r="K47" s="718" t="s">
        <v>310</v>
      </c>
      <c r="L47" s="2432" t="s">
        <v>6043</v>
      </c>
      <c r="M47" s="1015">
        <v>45337</v>
      </c>
      <c r="N47" s="1015">
        <v>45336</v>
      </c>
      <c r="O47" s="1015">
        <v>45338</v>
      </c>
      <c r="P47" s="1151" t="s">
        <v>6044</v>
      </c>
      <c r="Q47" s="718" t="s">
        <v>50</v>
      </c>
      <c r="R47" s="718" t="s">
        <v>6045</v>
      </c>
      <c r="S47" s="718"/>
      <c r="T47" s="656"/>
      <c r="U47" s="656"/>
      <c r="V47" s="656"/>
      <c r="W47" s="656"/>
      <c r="X47" s="656"/>
      <c r="Y47" s="656"/>
      <c r="Z47" s="656"/>
    </row>
    <row r="48" spans="1:26" s="26" customFormat="1" ht="45">
      <c r="A48" s="120" t="s">
        <v>468</v>
      </c>
      <c r="B48" s="2580" t="s">
        <v>6046</v>
      </c>
      <c r="C48" s="120" t="s">
        <v>200</v>
      </c>
      <c r="D48" s="653">
        <v>45335</v>
      </c>
      <c r="E48" s="2357">
        <v>45335</v>
      </c>
      <c r="F48" s="120" t="s">
        <v>260</v>
      </c>
      <c r="G48" s="698" t="s">
        <v>6035</v>
      </c>
      <c r="H48" s="653">
        <v>45336</v>
      </c>
      <c r="I48" s="694"/>
      <c r="J48" s="3268" t="s">
        <v>5470</v>
      </c>
      <c r="K48" s="120" t="s">
        <v>6036</v>
      </c>
      <c r="L48" s="900" t="s">
        <v>162</v>
      </c>
      <c r="M48" s="842">
        <v>45342</v>
      </c>
      <c r="N48" s="838">
        <v>45336</v>
      </c>
      <c r="O48" s="653">
        <v>45337</v>
      </c>
      <c r="P48" s="4326" t="s">
        <v>6047</v>
      </c>
      <c r="Q48" s="120" t="s">
        <v>75</v>
      </c>
      <c r="R48" s="698" t="s">
        <v>6048</v>
      </c>
      <c r="S48" s="120"/>
      <c r="T48" s="2333">
        <v>1147.33</v>
      </c>
      <c r="U48" s="120">
        <v>905.25</v>
      </c>
      <c r="V48" s="120">
        <v>1</v>
      </c>
      <c r="W48" s="2128">
        <f>表12_14[[#This Row],[Sales Amount]]-表12_14[[#This Row],[Cost]]</f>
        <v>242.07999999999993</v>
      </c>
      <c r="X48" s="1041">
        <f>表12_14[[#This Row],[Profit]]/表12_14[[#This Row],[Cost]]</f>
        <v>0.2674178403755868</v>
      </c>
      <c r="Y48" s="120"/>
      <c r="Z48" s="120"/>
    </row>
    <row r="49" spans="1:28" s="26" customFormat="1">
      <c r="A49" s="4646" t="s">
        <v>6049</v>
      </c>
      <c r="B49" s="5323" t="s">
        <v>6050</v>
      </c>
      <c r="C49" s="4861" t="s">
        <v>28</v>
      </c>
      <c r="D49" s="4953">
        <v>45334</v>
      </c>
      <c r="E49" s="4885">
        <v>45335</v>
      </c>
      <c r="F49" s="4861" t="s">
        <v>151</v>
      </c>
      <c r="G49" s="4861" t="s">
        <v>6051</v>
      </c>
      <c r="H49" s="4991">
        <v>45337</v>
      </c>
      <c r="I49" s="4902" t="s">
        <v>899</v>
      </c>
      <c r="J49" s="2358" t="s">
        <v>6052</v>
      </c>
      <c r="K49" s="4861" t="s">
        <v>6053</v>
      </c>
      <c r="L49" s="1188" t="s">
        <v>542</v>
      </c>
      <c r="M49" s="4991">
        <v>45338</v>
      </c>
      <c r="N49" s="4863">
        <v>45337</v>
      </c>
      <c r="O49" s="4991">
        <v>45338</v>
      </c>
      <c r="P49" s="4926" t="s">
        <v>6054</v>
      </c>
      <c r="Q49" s="4839" t="s">
        <v>35</v>
      </c>
      <c r="R49" s="1432" t="s">
        <v>36</v>
      </c>
      <c r="S49" s="18" t="s">
        <v>37</v>
      </c>
      <c r="T49" s="93">
        <v>836.25</v>
      </c>
      <c r="U49" s="93">
        <v>607.5</v>
      </c>
      <c r="V49" s="93"/>
      <c r="W49" s="93"/>
      <c r="X49" s="2262"/>
      <c r="Y49" s="93"/>
      <c r="Z49" s="1068"/>
    </row>
    <row r="50" spans="1:28" s="26" customFormat="1">
      <c r="A50" s="4646" t="s">
        <v>6049</v>
      </c>
      <c r="B50" s="5323" t="s">
        <v>6055</v>
      </c>
      <c r="C50" s="4861" t="s">
        <v>28</v>
      </c>
      <c r="D50" s="4953">
        <v>45334</v>
      </c>
      <c r="E50" s="4885">
        <v>45335</v>
      </c>
      <c r="F50" s="4861" t="s">
        <v>151</v>
      </c>
      <c r="G50" s="718" t="s">
        <v>6051</v>
      </c>
      <c r="H50" s="4991">
        <v>45338</v>
      </c>
      <c r="I50" s="4902" t="s">
        <v>899</v>
      </c>
      <c r="J50" s="3544" t="s">
        <v>6052</v>
      </c>
      <c r="K50" s="4861" t="s">
        <v>6053</v>
      </c>
      <c r="L50" s="4902" t="s">
        <v>542</v>
      </c>
      <c r="M50" s="4991">
        <v>45338</v>
      </c>
      <c r="N50" s="4863">
        <v>45338</v>
      </c>
      <c r="O50" s="4991">
        <v>45342</v>
      </c>
      <c r="P50" s="4882" t="s">
        <v>6056</v>
      </c>
      <c r="Q50" s="4839" t="s">
        <v>35</v>
      </c>
      <c r="R50" s="1432" t="s">
        <v>36</v>
      </c>
      <c r="S50" s="18" t="s">
        <v>37</v>
      </c>
      <c r="T50" s="93">
        <v>1090</v>
      </c>
      <c r="U50" s="93">
        <v>645</v>
      </c>
      <c r="V50" s="93"/>
      <c r="W50" s="93"/>
      <c r="X50" s="2262"/>
      <c r="Y50" s="93"/>
      <c r="Z50" s="1068"/>
    </row>
    <row r="51" spans="1:28" s="507" customFormat="1">
      <c r="A51" s="4607" t="s">
        <v>6057</v>
      </c>
      <c r="B51" s="2581" t="s">
        <v>6058</v>
      </c>
      <c r="C51" s="4845" t="s">
        <v>28</v>
      </c>
      <c r="D51" s="4906">
        <v>45322</v>
      </c>
      <c r="E51" s="4916">
        <v>45336</v>
      </c>
      <c r="F51" s="4845" t="s">
        <v>770</v>
      </c>
      <c r="G51" s="4934" t="s">
        <v>46</v>
      </c>
      <c r="H51" s="4845"/>
      <c r="I51" s="4845"/>
      <c r="J51" s="2352" t="s">
        <v>32</v>
      </c>
      <c r="K51" s="4845" t="s">
        <v>310</v>
      </c>
      <c r="L51" s="117" t="s">
        <v>6059</v>
      </c>
      <c r="M51" s="4960">
        <v>45338</v>
      </c>
      <c r="N51" s="4960">
        <v>45337</v>
      </c>
      <c r="O51" s="4960">
        <v>45341</v>
      </c>
      <c r="P51" s="4937" t="s">
        <v>6060</v>
      </c>
      <c r="Q51" s="4845" t="s">
        <v>50</v>
      </c>
      <c r="R51" s="2284" t="s">
        <v>6061</v>
      </c>
      <c r="S51" s="120"/>
      <c r="T51" s="120"/>
      <c r="U51" s="120"/>
      <c r="V51" s="120"/>
      <c r="W51" s="120"/>
      <c r="X51" s="120"/>
      <c r="Y51" s="120"/>
      <c r="Z51" s="1209"/>
      <c r="AA51" s="117"/>
      <c r="AB51" s="117"/>
    </row>
    <row r="52" spans="1:28" s="507" customFormat="1">
      <c r="A52" s="3417" t="s">
        <v>409</v>
      </c>
      <c r="B52" s="5328" t="s">
        <v>6062</v>
      </c>
      <c r="C52" s="4845" t="s">
        <v>28</v>
      </c>
      <c r="D52" s="4906">
        <v>45323</v>
      </c>
      <c r="E52" s="4916">
        <v>45336</v>
      </c>
      <c r="F52" s="4845" t="s">
        <v>86</v>
      </c>
      <c r="G52" s="4845" t="s">
        <v>46</v>
      </c>
      <c r="H52" s="4845"/>
      <c r="I52" s="4845"/>
      <c r="J52" s="2352" t="s">
        <v>32</v>
      </c>
      <c r="K52" s="4845" t="s">
        <v>310</v>
      </c>
      <c r="L52" s="117" t="s">
        <v>6063</v>
      </c>
      <c r="M52" s="4960">
        <v>45338</v>
      </c>
      <c r="N52" s="4960">
        <v>45337</v>
      </c>
      <c r="O52" s="4960">
        <v>45340</v>
      </c>
      <c r="P52" s="4937" t="s">
        <v>6064</v>
      </c>
      <c r="Q52" s="4845" t="s">
        <v>50</v>
      </c>
      <c r="R52" s="2353" t="s">
        <v>6065</v>
      </c>
      <c r="S52" s="120"/>
      <c r="T52" s="120"/>
      <c r="U52" s="120"/>
      <c r="V52" s="120"/>
      <c r="W52" s="120"/>
      <c r="X52" s="120"/>
      <c r="Y52" s="120"/>
      <c r="Z52" s="1209"/>
    </row>
    <row r="53" spans="1:28" s="507" customFormat="1">
      <c r="A53" s="4607" t="s">
        <v>3343</v>
      </c>
      <c r="B53" s="5328" t="s">
        <v>6066</v>
      </c>
      <c r="C53" s="4934" t="s">
        <v>28</v>
      </c>
      <c r="D53" s="4906">
        <v>45324</v>
      </c>
      <c r="E53" s="4916">
        <v>45336</v>
      </c>
      <c r="F53" s="4845" t="s">
        <v>45</v>
      </c>
      <c r="G53" s="4845" t="s">
        <v>46</v>
      </c>
      <c r="H53" s="4845"/>
      <c r="I53" s="4845"/>
      <c r="J53" s="2378" t="s">
        <v>32</v>
      </c>
      <c r="K53" s="4934" t="s">
        <v>310</v>
      </c>
      <c r="L53" s="5330" t="s">
        <v>6067</v>
      </c>
      <c r="M53" s="4960">
        <v>45338</v>
      </c>
      <c r="N53" s="4960">
        <v>45337</v>
      </c>
      <c r="O53" s="4960">
        <v>45339</v>
      </c>
      <c r="P53" s="4937" t="s">
        <v>6068</v>
      </c>
      <c r="Q53" s="4845" t="s">
        <v>50</v>
      </c>
      <c r="R53" s="2284" t="s">
        <v>6069</v>
      </c>
      <c r="S53" s="120"/>
      <c r="T53" s="120"/>
      <c r="U53" s="120"/>
      <c r="V53" s="120"/>
      <c r="W53" s="120"/>
      <c r="X53" s="2305"/>
      <c r="Y53" s="120"/>
      <c r="Z53" s="1209"/>
    </row>
    <row r="54" spans="1:28" s="507" customFormat="1" ht="30">
      <c r="A54" s="4607" t="s">
        <v>4793</v>
      </c>
      <c r="B54" s="5331" t="s">
        <v>6070</v>
      </c>
      <c r="C54" s="4845" t="s">
        <v>28</v>
      </c>
      <c r="D54" s="4906">
        <v>45321</v>
      </c>
      <c r="E54" s="4916">
        <v>45336</v>
      </c>
      <c r="F54" s="4845" t="s">
        <v>245</v>
      </c>
      <c r="G54" s="4845" t="s">
        <v>3002</v>
      </c>
      <c r="H54" s="4845"/>
      <c r="I54" s="4845"/>
      <c r="J54" s="2381" t="s">
        <v>32</v>
      </c>
      <c r="K54" s="4845" t="s">
        <v>47</v>
      </c>
      <c r="L54" s="117" t="s">
        <v>6031</v>
      </c>
      <c r="M54" s="3501" t="s">
        <v>738</v>
      </c>
      <c r="N54" s="4960">
        <v>45338</v>
      </c>
      <c r="O54" s="4960">
        <v>45350</v>
      </c>
      <c r="P54" s="4932" t="s">
        <v>6071</v>
      </c>
      <c r="Q54" s="4845" t="s">
        <v>50</v>
      </c>
      <c r="R54" s="2284" t="s">
        <v>6072</v>
      </c>
      <c r="S54" s="120"/>
      <c r="T54" s="120"/>
      <c r="U54" s="120"/>
      <c r="V54" s="120"/>
      <c r="W54" s="120"/>
      <c r="X54" s="2305"/>
      <c r="Y54" s="120"/>
      <c r="Z54" s="1209"/>
    </row>
    <row r="55" spans="1:28" s="26" customFormat="1">
      <c r="A55" s="4646" t="s">
        <v>1945</v>
      </c>
      <c r="B55" s="5323" t="s">
        <v>6073</v>
      </c>
      <c r="C55" s="4861" t="s">
        <v>28</v>
      </c>
      <c r="D55" s="4953">
        <v>45308</v>
      </c>
      <c r="E55" s="3534">
        <v>45337</v>
      </c>
      <c r="F55" s="4861" t="s">
        <v>167</v>
      </c>
      <c r="G55" s="4861" t="s">
        <v>6074</v>
      </c>
      <c r="H55" s="4861"/>
      <c r="I55" s="4861"/>
      <c r="J55" s="718" t="s">
        <v>322</v>
      </c>
      <c r="K55" s="4861" t="s">
        <v>6075</v>
      </c>
      <c r="L55" s="4861"/>
      <c r="M55" s="4861"/>
      <c r="N55" s="5333" t="s">
        <v>6076</v>
      </c>
      <c r="O55" s="4861"/>
      <c r="P55" s="4882" t="s">
        <v>6077</v>
      </c>
      <c r="Q55" s="4839" t="s">
        <v>35</v>
      </c>
      <c r="R55" s="1432" t="s">
        <v>3988</v>
      </c>
      <c r="S55" s="18" t="s">
        <v>67</v>
      </c>
      <c r="T55" s="508">
        <v>45</v>
      </c>
      <c r="U55" s="508"/>
      <c r="V55" s="508"/>
      <c r="W55" s="508"/>
      <c r="X55" s="508"/>
      <c r="Y55" s="508"/>
      <c r="Z55" s="2337"/>
    </row>
    <row r="56" spans="1:28" s="26" customFormat="1" ht="30">
      <c r="A56" s="4607" t="s">
        <v>468</v>
      </c>
      <c r="B56" s="5331" t="s">
        <v>6078</v>
      </c>
      <c r="C56" s="4845" t="s">
        <v>200</v>
      </c>
      <c r="D56" s="4906">
        <v>45327</v>
      </c>
      <c r="E56" s="879">
        <v>45337</v>
      </c>
      <c r="F56" s="4845" t="s">
        <v>93</v>
      </c>
      <c r="G56" s="4938" t="s">
        <v>4274</v>
      </c>
      <c r="H56" s="5282">
        <v>45341</v>
      </c>
      <c r="I56" s="4964" t="s">
        <v>178</v>
      </c>
      <c r="J56" s="120" t="s">
        <v>297</v>
      </c>
      <c r="K56" s="4845" t="s">
        <v>6079</v>
      </c>
      <c r="L56" s="1617">
        <v>8635</v>
      </c>
      <c r="M56" s="3366">
        <v>45338</v>
      </c>
      <c r="N56" s="4918">
        <v>45338</v>
      </c>
      <c r="O56" s="4906">
        <v>45341</v>
      </c>
      <c r="P56" s="4909" t="s">
        <v>6080</v>
      </c>
      <c r="Q56" s="4845" t="s">
        <v>75</v>
      </c>
      <c r="R56" s="2284" t="s">
        <v>6081</v>
      </c>
      <c r="S56" s="120"/>
      <c r="T56" s="2128">
        <v>1395</v>
      </c>
      <c r="U56" s="2129">
        <v>819.3</v>
      </c>
      <c r="V56" s="120">
        <v>1</v>
      </c>
      <c r="W56" s="2129">
        <f>表12_14[[#This Row],[Sales Amount]]-表12_14[[#This Row],[Cost]]</f>
        <v>575.70000000000005</v>
      </c>
      <c r="X56" s="1041">
        <f>表12_14[[#This Row],[Profit]]/表12_14[[#This Row],[Cost]]</f>
        <v>0.70267301354815093</v>
      </c>
      <c r="Y56" s="719" t="s">
        <v>5640</v>
      </c>
      <c r="Z56" s="1209"/>
    </row>
    <row r="57" spans="1:28" s="26" customFormat="1">
      <c r="A57" s="4647" t="s">
        <v>2396</v>
      </c>
      <c r="B57" s="5334" t="s">
        <v>6082</v>
      </c>
      <c r="C57" s="4902" t="s">
        <v>28</v>
      </c>
      <c r="D57" s="5035">
        <v>45336</v>
      </c>
      <c r="E57" s="4885">
        <v>45337</v>
      </c>
      <c r="F57" s="4902" t="s">
        <v>151</v>
      </c>
      <c r="G57" s="4902" t="s">
        <v>6083</v>
      </c>
      <c r="H57" s="4991">
        <v>45341</v>
      </c>
      <c r="I57" s="4902" t="s">
        <v>104</v>
      </c>
      <c r="J57" s="2160" t="s">
        <v>5399</v>
      </c>
      <c r="K57" s="4861" t="s">
        <v>5227</v>
      </c>
      <c r="L57" s="1188" t="s">
        <v>542</v>
      </c>
      <c r="M57" s="4991">
        <v>45344</v>
      </c>
      <c r="N57" s="4991">
        <v>45338</v>
      </c>
      <c r="O57" s="4863">
        <v>45341</v>
      </c>
      <c r="P57" s="5335" t="s">
        <v>6084</v>
      </c>
      <c r="Q57" s="4839" t="s">
        <v>35</v>
      </c>
      <c r="R57" s="1432" t="s">
        <v>36</v>
      </c>
      <c r="S57" s="18" t="s">
        <v>37</v>
      </c>
      <c r="T57" s="508">
        <v>1560</v>
      </c>
      <c r="U57" s="508">
        <v>1008.5</v>
      </c>
      <c r="V57" s="508"/>
      <c r="W57" s="508"/>
      <c r="X57" s="508"/>
      <c r="Y57" s="508"/>
      <c r="Z57" s="2337"/>
    </row>
    <row r="58" spans="1:28" s="26" customFormat="1">
      <c r="A58" s="3557" t="s">
        <v>2396</v>
      </c>
      <c r="B58" s="2571" t="s">
        <v>6085</v>
      </c>
      <c r="C58" s="3434" t="s">
        <v>28</v>
      </c>
      <c r="D58" s="3558">
        <v>45336</v>
      </c>
      <c r="E58" s="877">
        <v>45337</v>
      </c>
      <c r="F58" s="3434" t="s">
        <v>93</v>
      </c>
      <c r="G58" s="3434" t="s">
        <v>6083</v>
      </c>
      <c r="H58" s="3525">
        <v>45341</v>
      </c>
      <c r="I58" s="3434" t="s">
        <v>115</v>
      </c>
      <c r="J58" s="2160" t="s">
        <v>5399</v>
      </c>
      <c r="K58" s="3246" t="s">
        <v>5227</v>
      </c>
      <c r="L58" s="4902" t="s">
        <v>542</v>
      </c>
      <c r="M58" s="3525">
        <v>45342</v>
      </c>
      <c r="N58" s="3524">
        <v>45338</v>
      </c>
      <c r="O58" s="3526">
        <v>45342</v>
      </c>
      <c r="P58" s="3559" t="s">
        <v>6086</v>
      </c>
      <c r="Q58" s="3275" t="s">
        <v>35</v>
      </c>
      <c r="R58" s="2093" t="s">
        <v>36</v>
      </c>
      <c r="S58" s="710" t="s">
        <v>37</v>
      </c>
      <c r="T58" s="641">
        <v>1610</v>
      </c>
      <c r="U58" s="641">
        <v>1048.5</v>
      </c>
      <c r="V58" s="641"/>
      <c r="W58" s="641"/>
      <c r="X58" s="641"/>
      <c r="Y58" s="641"/>
      <c r="Z58" s="643"/>
    </row>
    <row r="59" spans="1:28" s="507" customFormat="1" ht="15.75">
      <c r="A59" s="3417" t="s">
        <v>409</v>
      </c>
      <c r="B59" s="3538" t="s">
        <v>6087</v>
      </c>
      <c r="C59" s="3268" t="s">
        <v>28</v>
      </c>
      <c r="D59" s="3262">
        <v>45321</v>
      </c>
      <c r="E59" s="3264">
        <v>45337</v>
      </c>
      <c r="F59" s="3268" t="s">
        <v>151</v>
      </c>
      <c r="G59" s="3268" t="s">
        <v>46</v>
      </c>
      <c r="H59" s="3262"/>
      <c r="I59" s="3268"/>
      <c r="J59" s="3560" t="s">
        <v>32</v>
      </c>
      <c r="K59" s="3268" t="s">
        <v>310</v>
      </c>
      <c r="L59" s="3268" t="s">
        <v>6088</v>
      </c>
      <c r="M59" s="3541">
        <v>45339</v>
      </c>
      <c r="N59" s="3541">
        <v>45337</v>
      </c>
      <c r="O59" s="3541">
        <v>45339</v>
      </c>
      <c r="P59" s="3561" t="s">
        <v>6089</v>
      </c>
      <c r="Q59" s="3268" t="s">
        <v>50</v>
      </c>
      <c r="R59" s="1723" t="s">
        <v>6090</v>
      </c>
      <c r="S59" s="660"/>
      <c r="T59" s="693"/>
      <c r="U59" s="693"/>
      <c r="V59" s="693"/>
      <c r="W59" s="693"/>
      <c r="X59" s="693"/>
      <c r="Y59" s="693"/>
      <c r="Z59" s="899"/>
    </row>
    <row r="60" spans="1:28" s="507" customFormat="1">
      <c r="A60" s="3417" t="s">
        <v>409</v>
      </c>
      <c r="B60" s="3538" t="s">
        <v>6091</v>
      </c>
      <c r="C60" s="3268" t="s">
        <v>3181</v>
      </c>
      <c r="D60" s="3262">
        <v>45333</v>
      </c>
      <c r="E60" s="3264">
        <v>45337</v>
      </c>
      <c r="F60" s="3268" t="s">
        <v>56</v>
      </c>
      <c r="G60" s="3268" t="s">
        <v>46</v>
      </c>
      <c r="H60" s="3262"/>
      <c r="I60" s="3268"/>
      <c r="J60" s="3560" t="s">
        <v>32</v>
      </c>
      <c r="K60" s="3268" t="s">
        <v>310</v>
      </c>
      <c r="L60" s="2359" t="s">
        <v>6092</v>
      </c>
      <c r="M60" s="3262">
        <v>45339</v>
      </c>
      <c r="N60" s="3262">
        <v>45338</v>
      </c>
      <c r="O60" s="3262">
        <v>45340</v>
      </c>
      <c r="P60" s="3542" t="s">
        <v>6093</v>
      </c>
      <c r="Q60" s="3268" t="s">
        <v>50</v>
      </c>
      <c r="R60" s="2125" t="s">
        <v>6094</v>
      </c>
      <c r="S60" s="660"/>
      <c r="T60" s="660"/>
      <c r="U60" s="660"/>
      <c r="V60" s="660"/>
      <c r="W60" s="660">
        <f>表12[[#This Row],[Sales Amount]]-表12[[#This Row],[Cost]]</f>
        <v>0</v>
      </c>
      <c r="X60" s="2282" t="str">
        <f>IFERROR(Table6[[#This Row],[Profit]]/Table6[[#This Row],[Cost]]," ")</f>
        <v xml:space="preserve"> </v>
      </c>
      <c r="Y60" s="660"/>
      <c r="Z60" s="113"/>
    </row>
    <row r="61" spans="1:28" s="507" customFormat="1" ht="45">
      <c r="A61" s="4607" t="s">
        <v>165</v>
      </c>
      <c r="B61" s="5331" t="s">
        <v>6095</v>
      </c>
      <c r="C61" s="4845" t="s">
        <v>28</v>
      </c>
      <c r="D61" s="4906">
        <v>45337</v>
      </c>
      <c r="E61" s="4916">
        <v>45337</v>
      </c>
      <c r="F61" s="4938" t="s">
        <v>135</v>
      </c>
      <c r="G61" s="4964" t="s">
        <v>6035</v>
      </c>
      <c r="H61" s="4844">
        <v>45344</v>
      </c>
      <c r="I61" s="5336" t="s">
        <v>5794</v>
      </c>
      <c r="J61" s="4845" t="s">
        <v>5470</v>
      </c>
      <c r="K61" s="4964" t="s">
        <v>6096</v>
      </c>
      <c r="L61" s="4908" t="s">
        <v>162</v>
      </c>
      <c r="M61" s="4918">
        <v>45347</v>
      </c>
      <c r="N61" s="4918">
        <v>45344</v>
      </c>
      <c r="O61" s="4906">
        <v>45345</v>
      </c>
      <c r="P61" s="4909" t="s">
        <v>6097</v>
      </c>
      <c r="Q61" s="4845" t="s">
        <v>75</v>
      </c>
      <c r="R61" s="1063" t="s">
        <v>6098</v>
      </c>
      <c r="S61" s="660"/>
      <c r="T61" s="2333">
        <v>1021.06</v>
      </c>
      <c r="U61" s="1063">
        <f>835+71.06</f>
        <v>906.06</v>
      </c>
      <c r="V61" s="120">
        <v>1</v>
      </c>
      <c r="W61" s="2126">
        <f>表12_14[[#This Row],[Sales Amount]]-表12_14[[#This Row],[Cost]]</f>
        <v>115</v>
      </c>
      <c r="X61" s="885">
        <f>表12_14[[#This Row],[Profit]]/表12_14[[#This Row],[Cost]]</f>
        <v>0.12692316182151292</v>
      </c>
      <c r="Y61" s="120"/>
      <c r="Z61" s="1209"/>
    </row>
    <row r="62" spans="1:28">
      <c r="A62" s="3235" t="s">
        <v>6099</v>
      </c>
      <c r="B62" s="5323" t="s">
        <v>6100</v>
      </c>
      <c r="C62" s="3275" t="s">
        <v>28</v>
      </c>
      <c r="D62" s="3280">
        <v>45337</v>
      </c>
      <c r="E62" s="3346">
        <v>45337</v>
      </c>
      <c r="F62" s="3275" t="s">
        <v>167</v>
      </c>
      <c r="G62" s="3275" t="s">
        <v>6024</v>
      </c>
      <c r="H62" s="3350">
        <v>45348</v>
      </c>
      <c r="I62" s="3357" t="s">
        <v>108</v>
      </c>
      <c r="J62" s="3286" t="s">
        <v>859</v>
      </c>
      <c r="K62" s="3275" t="s">
        <v>6101</v>
      </c>
      <c r="L62" s="3357" t="s">
        <v>542</v>
      </c>
      <c r="M62" s="3525">
        <v>45345</v>
      </c>
      <c r="N62" s="3350">
        <v>45345</v>
      </c>
      <c r="O62" s="3279">
        <v>45349</v>
      </c>
      <c r="P62" s="3258" t="s">
        <v>6102</v>
      </c>
      <c r="Q62" s="4839" t="s">
        <v>35</v>
      </c>
      <c r="R62" s="1432" t="s">
        <v>36</v>
      </c>
      <c r="S62" s="710" t="s">
        <v>6103</v>
      </c>
      <c r="T62" s="152">
        <v>2781.5</v>
      </c>
      <c r="U62" s="152">
        <v>2225</v>
      </c>
      <c r="V62" s="152"/>
      <c r="W62" s="152"/>
      <c r="X62" s="2124"/>
      <c r="Y62" s="152"/>
      <c r="Z62" s="645"/>
    </row>
    <row r="63" spans="1:28" s="26" customFormat="1">
      <c r="A63" s="3235" t="s">
        <v>6099</v>
      </c>
      <c r="B63" s="5323" t="s">
        <v>6104</v>
      </c>
      <c r="C63" s="3275" t="s">
        <v>28</v>
      </c>
      <c r="D63" s="3280">
        <v>45337</v>
      </c>
      <c r="E63" s="3346">
        <v>45337</v>
      </c>
      <c r="F63" s="4839" t="s">
        <v>167</v>
      </c>
      <c r="G63" s="4839" t="s">
        <v>6024</v>
      </c>
      <c r="H63" s="3350">
        <v>45344</v>
      </c>
      <c r="I63" s="3357" t="s">
        <v>40</v>
      </c>
      <c r="J63" s="1998" t="s">
        <v>859</v>
      </c>
      <c r="K63" s="3275" t="s">
        <v>6101</v>
      </c>
      <c r="L63" s="4841" t="s">
        <v>542</v>
      </c>
      <c r="M63" s="3524">
        <v>45342</v>
      </c>
      <c r="N63" s="3371">
        <v>45342</v>
      </c>
      <c r="O63" s="3279">
        <v>45344</v>
      </c>
      <c r="P63" s="3283" t="s">
        <v>6105</v>
      </c>
      <c r="Q63" s="3300" t="s">
        <v>35</v>
      </c>
      <c r="R63" s="2093" t="s">
        <v>36</v>
      </c>
      <c r="S63" s="710" t="s">
        <v>6103</v>
      </c>
      <c r="T63" s="152">
        <v>2488.75</v>
      </c>
      <c r="U63" s="152">
        <v>2020</v>
      </c>
      <c r="V63" s="152"/>
      <c r="W63" s="152"/>
      <c r="X63" s="2124"/>
      <c r="Y63" s="152"/>
      <c r="Z63" s="645"/>
    </row>
    <row r="64" spans="1:28" s="26" customFormat="1">
      <c r="A64" s="4599" t="s">
        <v>6099</v>
      </c>
      <c r="B64" s="5323" t="s">
        <v>6106</v>
      </c>
      <c r="C64" s="4839" t="s">
        <v>28</v>
      </c>
      <c r="D64" s="4859">
        <v>45337</v>
      </c>
      <c r="E64" s="4867">
        <v>45337</v>
      </c>
      <c r="F64" s="4839" t="s">
        <v>167</v>
      </c>
      <c r="G64" s="4839" t="s">
        <v>6024</v>
      </c>
      <c r="H64" s="4990">
        <v>45344</v>
      </c>
      <c r="I64" s="4841" t="s">
        <v>108</v>
      </c>
      <c r="J64" s="4854" t="s">
        <v>859</v>
      </c>
      <c r="K64" s="4839" t="s">
        <v>6101</v>
      </c>
      <c r="L64" s="4841" t="s">
        <v>542</v>
      </c>
      <c r="M64" s="4991">
        <v>45342</v>
      </c>
      <c r="N64" s="5078">
        <v>45342</v>
      </c>
      <c r="O64" s="4957">
        <v>45344</v>
      </c>
      <c r="P64" s="4871" t="s">
        <v>6107</v>
      </c>
      <c r="Q64" s="4834" t="s">
        <v>35</v>
      </c>
      <c r="R64" s="1432" t="s">
        <v>36</v>
      </c>
      <c r="S64" s="18" t="s">
        <v>6103</v>
      </c>
      <c r="T64" s="93">
        <v>2582.75</v>
      </c>
      <c r="U64" s="93">
        <v>2020</v>
      </c>
      <c r="V64" s="93"/>
      <c r="W64" s="93"/>
      <c r="X64" s="2246"/>
      <c r="Y64" s="93"/>
      <c r="Z64" s="1068"/>
    </row>
    <row r="65" spans="1:26" s="117" customFormat="1">
      <c r="A65" s="3417" t="s">
        <v>409</v>
      </c>
      <c r="B65" s="5328" t="s">
        <v>6108</v>
      </c>
      <c r="C65" s="4845" t="s">
        <v>755</v>
      </c>
      <c r="D65" s="4906">
        <v>45329</v>
      </c>
      <c r="E65" s="4916">
        <v>45337</v>
      </c>
      <c r="F65" s="4845" t="s">
        <v>45</v>
      </c>
      <c r="G65" s="3268" t="s">
        <v>829</v>
      </c>
      <c r="H65" s="4845"/>
      <c r="I65" s="4845"/>
      <c r="J65" s="4845" t="s">
        <v>168</v>
      </c>
      <c r="K65" s="4845" t="s">
        <v>310</v>
      </c>
      <c r="L65" s="4845" t="s">
        <v>6109</v>
      </c>
      <c r="M65" s="5337">
        <v>45339</v>
      </c>
      <c r="N65" s="4960">
        <v>45341</v>
      </c>
      <c r="O65" s="3541">
        <v>45342</v>
      </c>
      <c r="P65" s="4937" t="s">
        <v>6110</v>
      </c>
      <c r="Q65" s="4845" t="s">
        <v>50</v>
      </c>
      <c r="R65" s="1723" t="s">
        <v>6111</v>
      </c>
      <c r="S65" s="660"/>
      <c r="T65" s="120"/>
      <c r="U65" s="120"/>
      <c r="V65" s="120"/>
      <c r="W65" s="120"/>
      <c r="X65" s="2305"/>
      <c r="Y65" s="660"/>
      <c r="Z65" s="1209"/>
    </row>
    <row r="66" spans="1:26" ht="30">
      <c r="A66" s="3417" t="s">
        <v>409</v>
      </c>
      <c r="B66" s="5323" t="s">
        <v>6112</v>
      </c>
      <c r="C66" s="3246" t="s">
        <v>5511</v>
      </c>
      <c r="D66" s="3534">
        <v>45329</v>
      </c>
      <c r="E66" s="3535">
        <v>45337</v>
      </c>
      <c r="F66" s="3246" t="s">
        <v>990</v>
      </c>
      <c r="G66" s="3523" t="s">
        <v>1350</v>
      </c>
      <c r="H66" s="3075"/>
      <c r="I66" s="3075"/>
      <c r="J66" s="3562" t="s">
        <v>32</v>
      </c>
      <c r="K66" s="3258" t="s">
        <v>310</v>
      </c>
      <c r="L66" s="4861"/>
      <c r="M66" s="3563">
        <v>45339</v>
      </c>
      <c r="N66" s="3526">
        <v>45339</v>
      </c>
      <c r="O66" s="3246"/>
      <c r="P66" s="3283" t="s">
        <v>6113</v>
      </c>
      <c r="Q66" s="3246" t="s">
        <v>50</v>
      </c>
      <c r="R66" s="2346" t="s">
        <v>51</v>
      </c>
      <c r="S66" s="727"/>
      <c r="T66" s="727"/>
      <c r="U66" s="727"/>
      <c r="V66" s="727"/>
      <c r="W66" s="727"/>
      <c r="X66" s="2315"/>
      <c r="Y66" s="727"/>
      <c r="Z66" s="711"/>
    </row>
    <row r="67" spans="1:26" ht="30">
      <c r="A67" s="3417" t="s">
        <v>468</v>
      </c>
      <c r="B67" s="2570" t="s">
        <v>6114</v>
      </c>
      <c r="C67" s="3268" t="s">
        <v>200</v>
      </c>
      <c r="D67" s="3262">
        <v>45327</v>
      </c>
      <c r="E67" s="3264">
        <v>45338</v>
      </c>
      <c r="F67" s="3268" t="s">
        <v>93</v>
      </c>
      <c r="G67" s="3430" t="s">
        <v>4274</v>
      </c>
      <c r="H67" s="3262">
        <v>45341</v>
      </c>
      <c r="I67" s="3432" t="s">
        <v>115</v>
      </c>
      <c r="J67" s="3268" t="s">
        <v>297</v>
      </c>
      <c r="K67" s="3268" t="s">
        <v>6079</v>
      </c>
      <c r="L67" s="4845">
        <v>1136</v>
      </c>
      <c r="M67" s="3366">
        <v>45341</v>
      </c>
      <c r="N67" s="3366">
        <v>45341</v>
      </c>
      <c r="O67" s="3262">
        <v>45341</v>
      </c>
      <c r="P67" s="4246" t="s">
        <v>6115</v>
      </c>
      <c r="Q67" s="3268" t="s">
        <v>75</v>
      </c>
      <c r="R67" s="2125" t="s">
        <v>6081</v>
      </c>
      <c r="S67" s="660"/>
      <c r="T67" s="660">
        <v>955</v>
      </c>
      <c r="U67" s="660">
        <v>564.29999999999995</v>
      </c>
      <c r="V67" s="660">
        <v>1</v>
      </c>
      <c r="W67" s="1447">
        <f>表12_14[[#This Row],[Sales Amount]]-表12_14[[#This Row],[Cost]]</f>
        <v>390.70000000000005</v>
      </c>
      <c r="X67" s="885">
        <f>表12_14[[#This Row],[Profit]]/表12_14[[#This Row],[Cost]]</f>
        <v>0.69236221867800829</v>
      </c>
      <c r="Y67" s="1063" t="s">
        <v>5640</v>
      </c>
      <c r="Z67" s="113"/>
    </row>
    <row r="68" spans="1:26" ht="30">
      <c r="A68" s="3417" t="s">
        <v>468</v>
      </c>
      <c r="B68" s="5331" t="s">
        <v>6116</v>
      </c>
      <c r="C68" s="3268" t="s">
        <v>200</v>
      </c>
      <c r="D68" s="3262">
        <v>45327</v>
      </c>
      <c r="E68" s="3264">
        <v>45338</v>
      </c>
      <c r="F68" s="4845" t="s">
        <v>93</v>
      </c>
      <c r="G68" s="4938" t="s">
        <v>4274</v>
      </c>
      <c r="H68" s="3262">
        <v>45341</v>
      </c>
      <c r="I68" s="3432" t="s">
        <v>6117</v>
      </c>
      <c r="J68" s="120" t="s">
        <v>297</v>
      </c>
      <c r="K68" s="3268" t="s">
        <v>6079</v>
      </c>
      <c r="L68" s="1628">
        <v>1070</v>
      </c>
      <c r="M68" s="3366">
        <v>45341</v>
      </c>
      <c r="N68" s="3366">
        <v>45341</v>
      </c>
      <c r="O68" s="3262">
        <v>45341</v>
      </c>
      <c r="P68" s="4246" t="s">
        <v>6115</v>
      </c>
      <c r="Q68" s="3268" t="s">
        <v>75</v>
      </c>
      <c r="R68" s="2125" t="s">
        <v>6081</v>
      </c>
      <c r="S68" s="660"/>
      <c r="T68" s="660">
        <v>955</v>
      </c>
      <c r="U68" s="660">
        <v>564.29999999999995</v>
      </c>
      <c r="V68" s="660">
        <v>1</v>
      </c>
      <c r="W68" s="1447">
        <f>表12_14[[#This Row],[Sales Amount]]-表12_14[[#This Row],[Cost]]</f>
        <v>390.70000000000005</v>
      </c>
      <c r="X68" s="885">
        <f>表12_14[[#This Row],[Profit]]/表12_14[[#This Row],[Cost]]</f>
        <v>0.69236221867800829</v>
      </c>
      <c r="Y68" s="1063" t="s">
        <v>5640</v>
      </c>
      <c r="Z68" s="113"/>
    </row>
    <row r="69" spans="1:26" s="117" customFormat="1">
      <c r="A69" s="3417" t="s">
        <v>409</v>
      </c>
      <c r="B69" s="5328" t="s">
        <v>6118</v>
      </c>
      <c r="C69" s="3268" t="s">
        <v>28</v>
      </c>
      <c r="D69" s="3262">
        <v>45328</v>
      </c>
      <c r="E69" s="3264">
        <v>45338</v>
      </c>
      <c r="F69" s="3268" t="s">
        <v>151</v>
      </c>
      <c r="G69" s="3268" t="s">
        <v>46</v>
      </c>
      <c r="H69" s="3268"/>
      <c r="I69" s="3268"/>
      <c r="J69" s="2352" t="s">
        <v>32</v>
      </c>
      <c r="K69" s="3268" t="s">
        <v>310</v>
      </c>
      <c r="L69" s="2359" t="s">
        <v>6119</v>
      </c>
      <c r="M69" s="3541">
        <v>45340</v>
      </c>
      <c r="N69" s="3541">
        <v>45341</v>
      </c>
      <c r="O69" s="3541">
        <v>45342</v>
      </c>
      <c r="P69" s="3542" t="s">
        <v>6120</v>
      </c>
      <c r="Q69" s="3268" t="s">
        <v>50</v>
      </c>
      <c r="R69" s="1723" t="s">
        <v>6121</v>
      </c>
      <c r="S69" s="660"/>
      <c r="T69" s="660"/>
      <c r="U69" s="660"/>
      <c r="V69" s="660"/>
      <c r="W69" s="660"/>
      <c r="X69" s="660"/>
      <c r="Y69" s="660"/>
      <c r="Z69" s="113"/>
    </row>
    <row r="70" spans="1:26" s="2254" customFormat="1">
      <c r="A70" s="3235" t="s">
        <v>1945</v>
      </c>
      <c r="B70" s="5323" t="s">
        <v>6122</v>
      </c>
      <c r="C70" s="3275" t="s">
        <v>28</v>
      </c>
      <c r="D70" s="3280">
        <v>45334</v>
      </c>
      <c r="E70" s="3346">
        <v>45338</v>
      </c>
      <c r="F70" s="3275" t="s">
        <v>98</v>
      </c>
      <c r="G70" s="3275" t="s">
        <v>6123</v>
      </c>
      <c r="H70" s="3350">
        <v>45358</v>
      </c>
      <c r="I70" s="3357" t="s">
        <v>178</v>
      </c>
      <c r="J70" s="1998" t="s">
        <v>6124</v>
      </c>
      <c r="K70" s="3275" t="s">
        <v>6125</v>
      </c>
      <c r="L70" s="915"/>
      <c r="M70" s="3371">
        <v>45343</v>
      </c>
      <c r="N70" s="1139">
        <v>45342</v>
      </c>
      <c r="O70" s="3279">
        <v>45358</v>
      </c>
      <c r="P70" s="3258" t="s">
        <v>6126</v>
      </c>
      <c r="Q70" s="3275" t="s">
        <v>35</v>
      </c>
      <c r="R70" s="2093" t="s">
        <v>36</v>
      </c>
      <c r="S70" s="710" t="s">
        <v>67</v>
      </c>
      <c r="T70" s="152">
        <v>1475</v>
      </c>
      <c r="U70" s="152">
        <v>1005</v>
      </c>
      <c r="V70" s="152"/>
      <c r="W70" s="152"/>
      <c r="X70" s="152"/>
      <c r="Y70" s="152"/>
      <c r="Z70" s="645"/>
    </row>
    <row r="71" spans="1:26">
      <c r="A71" s="3527" t="s">
        <v>2396</v>
      </c>
      <c r="B71" s="5323" t="s">
        <v>6127</v>
      </c>
      <c r="C71" s="3246" t="s">
        <v>28</v>
      </c>
      <c r="D71" s="3534">
        <v>45334</v>
      </c>
      <c r="E71" s="3535">
        <v>45338</v>
      </c>
      <c r="F71" s="3246" t="s">
        <v>135</v>
      </c>
      <c r="G71" s="3564" t="s">
        <v>6128</v>
      </c>
      <c r="H71" s="3525">
        <v>45343</v>
      </c>
      <c r="I71" s="3434" t="s">
        <v>899</v>
      </c>
      <c r="J71" s="2360" t="s">
        <v>1478</v>
      </c>
      <c r="K71" s="3564" t="s">
        <v>6129</v>
      </c>
      <c r="L71" s="2361" t="s">
        <v>542</v>
      </c>
      <c r="M71" s="3525">
        <v>45345</v>
      </c>
      <c r="N71" s="3524">
        <v>45343</v>
      </c>
      <c r="O71" s="3525">
        <v>45349</v>
      </c>
      <c r="P71" s="3258" t="s">
        <v>6130</v>
      </c>
      <c r="Q71" s="4839" t="s">
        <v>35</v>
      </c>
      <c r="R71" s="1432" t="s">
        <v>36</v>
      </c>
      <c r="S71" s="18" t="s">
        <v>5901</v>
      </c>
      <c r="T71" s="152">
        <v>605</v>
      </c>
      <c r="U71" s="152">
        <v>355.2</v>
      </c>
      <c r="V71" s="152"/>
      <c r="W71" s="152"/>
      <c r="X71" s="152"/>
      <c r="Y71" s="152"/>
      <c r="Z71" s="645"/>
    </row>
    <row r="72" spans="1:26">
      <c r="A72" s="3527" t="s">
        <v>2396</v>
      </c>
      <c r="B72" s="5323" t="s">
        <v>6131</v>
      </c>
      <c r="C72" s="3246" t="s">
        <v>28</v>
      </c>
      <c r="D72" s="3534">
        <v>45334</v>
      </c>
      <c r="E72" s="3535">
        <v>45338</v>
      </c>
      <c r="F72" s="3246" t="s">
        <v>135</v>
      </c>
      <c r="G72" s="3564" t="s">
        <v>6128</v>
      </c>
      <c r="H72" s="3525">
        <v>45343</v>
      </c>
      <c r="I72" s="3434" t="s">
        <v>899</v>
      </c>
      <c r="J72" s="2360" t="s">
        <v>1478</v>
      </c>
      <c r="K72" s="3564" t="s">
        <v>6129</v>
      </c>
      <c r="L72" s="1188" t="s">
        <v>542</v>
      </c>
      <c r="M72" s="3525">
        <v>45345</v>
      </c>
      <c r="N72" s="3524">
        <v>45343</v>
      </c>
      <c r="O72" s="3524">
        <v>45349</v>
      </c>
      <c r="P72" s="3258" t="s">
        <v>6130</v>
      </c>
      <c r="Q72" s="3275" t="s">
        <v>35</v>
      </c>
      <c r="R72" s="58" t="s">
        <v>36</v>
      </c>
      <c r="S72" s="710" t="s">
        <v>5901</v>
      </c>
      <c r="T72" s="152">
        <v>605</v>
      </c>
      <c r="U72" s="152">
        <v>355.2</v>
      </c>
      <c r="V72" s="152"/>
      <c r="W72" s="152"/>
      <c r="X72" s="152"/>
      <c r="Y72" s="152"/>
      <c r="Z72" s="645"/>
    </row>
    <row r="73" spans="1:26" s="117" customFormat="1">
      <c r="A73" s="4319" t="s">
        <v>3343</v>
      </c>
      <c r="B73" s="2582" t="s">
        <v>6132</v>
      </c>
      <c r="C73" s="3430" t="s">
        <v>28</v>
      </c>
      <c r="D73" s="3565">
        <v>45333</v>
      </c>
      <c r="E73" s="3264">
        <v>45339</v>
      </c>
      <c r="F73" s="3430" t="s">
        <v>86</v>
      </c>
      <c r="G73" s="3430" t="s">
        <v>46</v>
      </c>
      <c r="H73" s="3268"/>
      <c r="I73" s="3268"/>
      <c r="J73" s="719" t="s">
        <v>32</v>
      </c>
      <c r="K73" s="3430" t="s">
        <v>310</v>
      </c>
      <c r="L73" s="2359" t="s">
        <v>6133</v>
      </c>
      <c r="M73" s="3541">
        <v>45341</v>
      </c>
      <c r="N73" s="3541">
        <v>45339</v>
      </c>
      <c r="O73" s="3541">
        <v>45341</v>
      </c>
      <c r="P73" s="3533" t="s">
        <v>6134</v>
      </c>
      <c r="Q73" s="3430" t="s">
        <v>89</v>
      </c>
      <c r="R73" s="507" t="s">
        <v>6135</v>
      </c>
      <c r="S73" s="660"/>
      <c r="T73" s="660"/>
      <c r="U73" s="660"/>
      <c r="V73" s="660"/>
      <c r="W73" s="660"/>
      <c r="X73" s="660"/>
      <c r="Y73" s="660"/>
      <c r="Z73" s="113"/>
    </row>
    <row r="74" spans="1:26" s="117" customFormat="1">
      <c r="A74" s="3417" t="s">
        <v>409</v>
      </c>
      <c r="B74" s="5328" t="s">
        <v>6136</v>
      </c>
      <c r="C74" s="3268" t="s">
        <v>28</v>
      </c>
      <c r="D74" s="3262">
        <v>45331</v>
      </c>
      <c r="E74" s="3264">
        <v>45339</v>
      </c>
      <c r="F74" s="3268" t="s">
        <v>151</v>
      </c>
      <c r="G74" s="3268" t="s">
        <v>46</v>
      </c>
      <c r="H74" s="3268"/>
      <c r="I74" s="3268"/>
      <c r="J74" s="2352" t="s">
        <v>32</v>
      </c>
      <c r="K74" s="3268" t="s">
        <v>310</v>
      </c>
      <c r="L74" s="2359" t="s">
        <v>6137</v>
      </c>
      <c r="M74" s="3541">
        <v>45341</v>
      </c>
      <c r="N74" s="3541">
        <v>45341</v>
      </c>
      <c r="O74" s="3541">
        <v>45342</v>
      </c>
      <c r="P74" s="3542" t="s">
        <v>6138</v>
      </c>
      <c r="Q74" s="3268" t="s">
        <v>50</v>
      </c>
      <c r="R74" s="2125" t="s">
        <v>6139</v>
      </c>
      <c r="S74" s="660"/>
      <c r="T74" s="660"/>
      <c r="U74" s="660"/>
      <c r="V74" s="660"/>
      <c r="W74" s="660"/>
      <c r="X74" s="660"/>
      <c r="Y74" s="660"/>
      <c r="Z74" s="113"/>
    </row>
    <row r="75" spans="1:26" ht="45">
      <c r="A75" s="3417" t="s">
        <v>2847</v>
      </c>
      <c r="B75" s="5328" t="s">
        <v>6140</v>
      </c>
      <c r="C75" s="3268" t="s">
        <v>28</v>
      </c>
      <c r="D75" s="3262">
        <v>45329</v>
      </c>
      <c r="E75" s="3264">
        <v>45339</v>
      </c>
      <c r="F75" s="3268" t="s">
        <v>151</v>
      </c>
      <c r="G75" s="3268" t="s">
        <v>302</v>
      </c>
      <c r="H75" s="3262">
        <v>45343</v>
      </c>
      <c r="I75" s="3432" t="s">
        <v>71</v>
      </c>
      <c r="J75" s="120" t="s">
        <v>32</v>
      </c>
      <c r="K75" s="3268" t="s">
        <v>1829</v>
      </c>
      <c r="L75" s="882" t="s">
        <v>6141</v>
      </c>
      <c r="M75" s="3262">
        <v>45341</v>
      </c>
      <c r="N75" s="3262">
        <v>45341</v>
      </c>
      <c r="O75" s="3262">
        <v>45343</v>
      </c>
      <c r="P75" s="4328" t="s">
        <v>6142</v>
      </c>
      <c r="Q75" s="3268" t="s">
        <v>75</v>
      </c>
      <c r="R75" s="1723" t="s">
        <v>6143</v>
      </c>
      <c r="S75" s="1063"/>
      <c r="T75" s="660">
        <v>970</v>
      </c>
      <c r="U75" s="660">
        <v>720</v>
      </c>
      <c r="V75" s="660">
        <v>1</v>
      </c>
      <c r="W75" s="660">
        <f>表12_14[[#This Row],[Sales Amount]]-表12_14[[#This Row],[Cost]]</f>
        <v>250</v>
      </c>
      <c r="X75" s="885">
        <f>表12_14[[#This Row],[Profit]]/表12_14[[#This Row],[Cost]]</f>
        <v>0.34722222222222221</v>
      </c>
      <c r="Y75" s="660"/>
      <c r="Z75" s="113"/>
    </row>
    <row r="76" spans="1:26" s="117" customFormat="1" ht="30">
      <c r="A76" s="3417" t="s">
        <v>409</v>
      </c>
      <c r="B76" s="5328" t="s">
        <v>6144</v>
      </c>
      <c r="C76" s="3268" t="s">
        <v>28</v>
      </c>
      <c r="D76" s="3262">
        <v>45332</v>
      </c>
      <c r="E76" s="3264">
        <v>45339</v>
      </c>
      <c r="F76" s="3268" t="s">
        <v>45</v>
      </c>
      <c r="G76" s="3268" t="s">
        <v>46</v>
      </c>
      <c r="H76" s="3268"/>
      <c r="I76" s="3268"/>
      <c r="J76" s="120" t="s">
        <v>32</v>
      </c>
      <c r="K76" s="3268" t="s">
        <v>47</v>
      </c>
      <c r="L76" s="117" t="s">
        <v>6145</v>
      </c>
      <c r="M76" s="3566">
        <v>45341</v>
      </c>
      <c r="N76" s="3541">
        <v>45341</v>
      </c>
      <c r="O76" s="3541">
        <v>45347</v>
      </c>
      <c r="P76" s="3542" t="s">
        <v>6146</v>
      </c>
      <c r="Q76" s="3268" t="s">
        <v>50</v>
      </c>
      <c r="R76" s="1723" t="s">
        <v>6147</v>
      </c>
      <c r="S76" s="660"/>
      <c r="T76" s="660"/>
      <c r="U76" s="660"/>
      <c r="V76" s="660"/>
      <c r="W76" s="660"/>
      <c r="X76" s="2282"/>
      <c r="Y76" s="660"/>
      <c r="Z76" s="113"/>
    </row>
    <row r="77" spans="1:26" s="117" customFormat="1" ht="17.25">
      <c r="A77" s="3417" t="s">
        <v>6148</v>
      </c>
      <c r="B77" s="2583" t="s">
        <v>6149</v>
      </c>
      <c r="C77" s="3268" t="s">
        <v>44</v>
      </c>
      <c r="D77" s="3262">
        <v>45320</v>
      </c>
      <c r="E77" s="3264">
        <v>45340</v>
      </c>
      <c r="F77" s="3268" t="s">
        <v>56</v>
      </c>
      <c r="G77" s="3268" t="s">
        <v>46</v>
      </c>
      <c r="H77" s="3262"/>
      <c r="I77" s="3268"/>
      <c r="J77" s="2352" t="s">
        <v>32</v>
      </c>
      <c r="K77" s="3268" t="s">
        <v>310</v>
      </c>
      <c r="L77" s="2362" t="s">
        <v>6150</v>
      </c>
      <c r="M77" s="3541">
        <v>45340</v>
      </c>
      <c r="N77" s="3541">
        <v>45340</v>
      </c>
      <c r="O77" s="3541">
        <v>45341</v>
      </c>
      <c r="P77" s="26" t="s">
        <v>6151</v>
      </c>
      <c r="Q77" s="3268" t="s">
        <v>50</v>
      </c>
      <c r="R77" s="507" t="s">
        <v>6152</v>
      </c>
      <c r="S77" s="660"/>
      <c r="T77" s="693"/>
      <c r="U77" s="693"/>
      <c r="V77" s="693"/>
      <c r="W77" s="693"/>
      <c r="X77" s="693"/>
      <c r="Y77" s="693"/>
      <c r="Z77" s="899"/>
    </row>
    <row r="78" spans="1:26" s="117" customFormat="1">
      <c r="A78" s="3417" t="s">
        <v>6148</v>
      </c>
      <c r="B78" s="5328" t="s">
        <v>6153</v>
      </c>
      <c r="C78" s="3268" t="s">
        <v>44</v>
      </c>
      <c r="D78" s="3262">
        <v>45322</v>
      </c>
      <c r="E78" s="879">
        <v>45340</v>
      </c>
      <c r="F78" s="3268" t="s">
        <v>56</v>
      </c>
      <c r="G78" s="117" t="s">
        <v>46</v>
      </c>
      <c r="H78" s="3268"/>
      <c r="I78" s="3268"/>
      <c r="J78" s="2352" t="s">
        <v>32</v>
      </c>
      <c r="K78" s="3268" t="s">
        <v>310</v>
      </c>
      <c r="L78" s="2359" t="s">
        <v>6154</v>
      </c>
      <c r="M78" s="4906">
        <v>45339</v>
      </c>
      <c r="N78" s="3541">
        <v>45339</v>
      </c>
      <c r="O78" s="3541">
        <v>45341</v>
      </c>
      <c r="P78" s="845" t="s">
        <v>6155</v>
      </c>
      <c r="Q78" s="3268" t="s">
        <v>50</v>
      </c>
      <c r="R78" s="507" t="s">
        <v>6156</v>
      </c>
      <c r="S78" s="660"/>
      <c r="T78" s="660"/>
      <c r="U78" s="660"/>
      <c r="V78" s="660"/>
      <c r="W78" s="660"/>
      <c r="X78" s="660"/>
      <c r="Y78" s="660"/>
      <c r="Z78" s="113"/>
    </row>
    <row r="79" spans="1:26" s="117" customFormat="1" ht="17.25">
      <c r="A79" s="3567" t="s">
        <v>3343</v>
      </c>
      <c r="B79" s="5338" t="s">
        <v>6157</v>
      </c>
      <c r="C79" s="3520" t="s">
        <v>28</v>
      </c>
      <c r="D79" s="3262">
        <v>45328</v>
      </c>
      <c r="E79" s="3264">
        <v>45340</v>
      </c>
      <c r="F79" s="3520" t="s">
        <v>151</v>
      </c>
      <c r="G79" s="3520" t="s">
        <v>46</v>
      </c>
      <c r="H79" s="4845"/>
      <c r="I79" s="3268"/>
      <c r="J79" s="2379" t="s">
        <v>32</v>
      </c>
      <c r="K79" s="3520" t="s">
        <v>310</v>
      </c>
      <c r="L79" s="2359" t="s">
        <v>6158</v>
      </c>
      <c r="M79" s="3541">
        <v>45342</v>
      </c>
      <c r="N79" s="3541">
        <v>45342</v>
      </c>
      <c r="O79" s="3541">
        <v>45344</v>
      </c>
      <c r="P79" s="3542" t="s">
        <v>6159</v>
      </c>
      <c r="Q79" s="3268" t="s">
        <v>50</v>
      </c>
      <c r="R79" s="2125" t="s">
        <v>6160</v>
      </c>
      <c r="S79" s="660"/>
      <c r="T79" s="660"/>
      <c r="U79" s="660"/>
      <c r="V79" s="660"/>
      <c r="W79" s="660"/>
      <c r="X79" s="660"/>
      <c r="Y79" s="660"/>
      <c r="Z79" s="113"/>
    </row>
    <row r="80" spans="1:26" s="117" customFormat="1" ht="45">
      <c r="A80" s="3417" t="s">
        <v>468</v>
      </c>
      <c r="B80" s="2584" t="s">
        <v>6161</v>
      </c>
      <c r="C80" s="3268" t="s">
        <v>28</v>
      </c>
      <c r="D80" s="3262">
        <v>45330</v>
      </c>
      <c r="E80" s="3264">
        <v>45340</v>
      </c>
      <c r="F80" s="3268" t="s">
        <v>29</v>
      </c>
      <c r="G80" s="3273" t="s">
        <v>3492</v>
      </c>
      <c r="H80" s="3262">
        <v>45342</v>
      </c>
      <c r="I80" s="3432" t="s">
        <v>178</v>
      </c>
      <c r="J80" s="3268" t="s">
        <v>2306</v>
      </c>
      <c r="K80" s="3268" t="s">
        <v>2313</v>
      </c>
      <c r="L80" s="5059">
        <v>2194463</v>
      </c>
      <c r="M80" s="3438">
        <v>45342</v>
      </c>
      <c r="N80" s="3438">
        <v>45342</v>
      </c>
      <c r="O80" s="3262">
        <v>45342</v>
      </c>
      <c r="P80" s="4328" t="s">
        <v>6162</v>
      </c>
      <c r="Q80" s="3268" t="s">
        <v>75</v>
      </c>
      <c r="R80" s="2140" t="s">
        <v>6163</v>
      </c>
      <c r="S80" s="660"/>
      <c r="T80" s="120">
        <v>715</v>
      </c>
      <c r="U80" s="1988">
        <v>535.6</v>
      </c>
      <c r="V80" s="120">
        <v>1</v>
      </c>
      <c r="W80" s="1447">
        <f>表12_14[[#This Row],[Sales Amount]]-表12_14[[#This Row],[Cost]]</f>
        <v>179.39999999999998</v>
      </c>
      <c r="X80" s="885">
        <f>表12_14[[#This Row],[Profit]]/表12_14[[#This Row],[Cost]]</f>
        <v>0.33495145631067957</v>
      </c>
      <c r="Y80" s="1063" t="s">
        <v>5640</v>
      </c>
      <c r="Z80" s="113"/>
    </row>
    <row r="81" spans="1:26" s="117" customFormat="1">
      <c r="A81" s="3417" t="s">
        <v>409</v>
      </c>
      <c r="B81" s="2583" t="s">
        <v>6164</v>
      </c>
      <c r="C81" s="3462" t="s">
        <v>28</v>
      </c>
      <c r="D81" s="3565">
        <v>45333</v>
      </c>
      <c r="E81" s="3264">
        <f>7+表12_14[[#This Row],[ETA PORT]]</f>
        <v>45340</v>
      </c>
      <c r="F81" s="3462" t="s">
        <v>86</v>
      </c>
      <c r="G81" s="3462" t="s">
        <v>46</v>
      </c>
      <c r="H81" s="3268"/>
      <c r="I81" s="3268"/>
      <c r="J81" s="3560" t="s">
        <v>32</v>
      </c>
      <c r="K81" s="3462" t="s">
        <v>310</v>
      </c>
      <c r="L81" s="2359" t="s">
        <v>6165</v>
      </c>
      <c r="M81" s="3566">
        <v>45342</v>
      </c>
      <c r="N81" s="3566">
        <v>45340</v>
      </c>
      <c r="O81" s="3566">
        <v>45342</v>
      </c>
      <c r="P81" s="3568" t="s">
        <v>6166</v>
      </c>
      <c r="Q81" s="3462" t="s">
        <v>50</v>
      </c>
      <c r="R81" s="2364" t="s">
        <v>6167</v>
      </c>
      <c r="S81" s="1012"/>
      <c r="T81" s="1012"/>
      <c r="U81" s="1012"/>
      <c r="V81" s="1012"/>
      <c r="W81" s="1012"/>
      <c r="X81" s="1012"/>
      <c r="Y81" s="1012"/>
      <c r="Z81" s="907"/>
    </row>
    <row r="82" spans="1:26" s="709" customFormat="1">
      <c r="A82" s="3527" t="s">
        <v>3343</v>
      </c>
      <c r="B82" s="5323" t="s">
        <v>6168</v>
      </c>
      <c r="C82" s="3246" t="s">
        <v>28</v>
      </c>
      <c r="D82" s="3534">
        <v>45333</v>
      </c>
      <c r="E82" s="3535">
        <v>45363</v>
      </c>
      <c r="F82" s="3434" t="s">
        <v>1017</v>
      </c>
      <c r="G82" s="3569" t="s">
        <v>46</v>
      </c>
      <c r="H82" s="3246"/>
      <c r="I82" s="3246"/>
      <c r="J82" s="3530" t="s">
        <v>32</v>
      </c>
      <c r="K82" s="3569" t="s">
        <v>310</v>
      </c>
      <c r="L82" s="707" t="s">
        <v>6169</v>
      </c>
      <c r="M82" s="3525">
        <v>45365</v>
      </c>
      <c r="N82" s="3526">
        <v>45365</v>
      </c>
      <c r="O82" s="3526">
        <v>45367</v>
      </c>
      <c r="P82" s="3283" t="s">
        <v>6170</v>
      </c>
      <c r="Q82" s="3246" t="s">
        <v>50</v>
      </c>
      <c r="R82" s="2346" t="s">
        <v>6171</v>
      </c>
      <c r="S82" s="727"/>
      <c r="T82" s="727"/>
      <c r="U82" s="727"/>
      <c r="V82" s="727"/>
      <c r="W82" s="727"/>
      <c r="X82" s="727"/>
      <c r="Y82" s="727"/>
      <c r="Z82" s="711"/>
    </row>
    <row r="83" spans="1:26" s="117" customFormat="1" ht="45">
      <c r="A83" s="3417" t="s">
        <v>468</v>
      </c>
      <c r="B83" s="5331" t="s">
        <v>6172</v>
      </c>
      <c r="C83" s="3268" t="s">
        <v>28</v>
      </c>
      <c r="D83" s="3262">
        <v>45330</v>
      </c>
      <c r="E83" s="3264">
        <v>45340</v>
      </c>
      <c r="F83" s="3268" t="s">
        <v>245</v>
      </c>
      <c r="G83" s="3268" t="s">
        <v>57</v>
      </c>
      <c r="H83" s="3366">
        <v>45343</v>
      </c>
      <c r="I83" s="3273"/>
      <c r="J83" s="3268" t="s">
        <v>297</v>
      </c>
      <c r="K83" s="3268" t="s">
        <v>6173</v>
      </c>
      <c r="L83" s="4929">
        <v>2502008</v>
      </c>
      <c r="M83" s="3366">
        <v>45342</v>
      </c>
      <c r="N83" s="3366">
        <v>45342</v>
      </c>
      <c r="O83" s="3262">
        <v>45343</v>
      </c>
      <c r="P83" s="4327" t="s">
        <v>6174</v>
      </c>
      <c r="Q83" s="3268" t="s">
        <v>75</v>
      </c>
      <c r="R83" s="4329" t="s">
        <v>6175</v>
      </c>
      <c r="S83" s="1063"/>
      <c r="T83" s="2131">
        <v>1653.75</v>
      </c>
      <c r="U83" s="1447">
        <v>1224.452</v>
      </c>
      <c r="V83" s="660">
        <v>1</v>
      </c>
      <c r="W83" s="660">
        <f>表12[[#This Row],[Sales Amount]]-表12[[#This Row],[Cost]]</f>
        <v>120</v>
      </c>
      <c r="X83" s="885">
        <f>表12_14[[#This Row],[Profit]]/表12_14[[#This Row],[Cost]]</f>
        <v>9.8003025026705826E-2</v>
      </c>
      <c r="Y83" s="660"/>
      <c r="Z83" s="113"/>
    </row>
    <row r="84" spans="1:26" s="1061" customFormat="1">
      <c r="A84" s="3417" t="s">
        <v>409</v>
      </c>
      <c r="B84" s="2581" t="s">
        <v>6176</v>
      </c>
      <c r="C84" s="3274" t="s">
        <v>28</v>
      </c>
      <c r="D84" s="3262">
        <v>45329</v>
      </c>
      <c r="E84" s="3264">
        <v>45340</v>
      </c>
      <c r="F84" s="3268" t="s">
        <v>86</v>
      </c>
      <c r="G84" s="3268" t="s">
        <v>669</v>
      </c>
      <c r="H84" s="3268"/>
      <c r="I84" s="3268"/>
      <c r="J84" s="3539" t="s">
        <v>32</v>
      </c>
      <c r="K84" s="3546" t="s">
        <v>47</v>
      </c>
      <c r="L84" s="117" t="s">
        <v>6177</v>
      </c>
      <c r="M84" s="3547">
        <v>45342</v>
      </c>
      <c r="N84" s="3541">
        <v>45342</v>
      </c>
      <c r="O84" s="3541">
        <v>45346</v>
      </c>
      <c r="P84" s="3542" t="s">
        <v>6178</v>
      </c>
      <c r="Q84" s="3268" t="s">
        <v>50</v>
      </c>
      <c r="R84" s="1723" t="s">
        <v>6179</v>
      </c>
      <c r="S84" s="660"/>
      <c r="T84" s="660"/>
      <c r="U84" s="660"/>
      <c r="V84" s="660"/>
      <c r="W84" s="660"/>
      <c r="X84" s="2282"/>
      <c r="Y84" s="660"/>
      <c r="Z84" s="113"/>
    </row>
    <row r="85" spans="1:26" s="117" customFormat="1" ht="45">
      <c r="A85" s="3417" t="s">
        <v>468</v>
      </c>
      <c r="B85" s="5331" t="s">
        <v>6180</v>
      </c>
      <c r="C85" s="117" t="s">
        <v>28</v>
      </c>
      <c r="D85" s="3262">
        <v>45330</v>
      </c>
      <c r="E85" s="3264">
        <v>45340</v>
      </c>
      <c r="F85" s="3268" t="s">
        <v>245</v>
      </c>
      <c r="G85" s="3268" t="s">
        <v>57</v>
      </c>
      <c r="H85" s="3366">
        <v>45343</v>
      </c>
      <c r="I85" s="3273"/>
      <c r="J85" s="117" t="s">
        <v>297</v>
      </c>
      <c r="K85" s="117" t="s">
        <v>6173</v>
      </c>
      <c r="L85" s="766">
        <v>2502009</v>
      </c>
      <c r="M85" s="3366">
        <v>45342</v>
      </c>
      <c r="N85" s="3366">
        <v>45342</v>
      </c>
      <c r="O85" s="3262">
        <v>45343</v>
      </c>
      <c r="P85" s="4327" t="s">
        <v>6181</v>
      </c>
      <c r="Q85" s="3268" t="s">
        <v>75</v>
      </c>
      <c r="R85" s="4329" t="s">
        <v>6182</v>
      </c>
      <c r="S85" s="1063"/>
      <c r="T85" s="2126">
        <v>1745</v>
      </c>
      <c r="U85" s="1447">
        <v>1412.2</v>
      </c>
      <c r="V85" s="660">
        <v>1</v>
      </c>
      <c r="W85" s="1447">
        <f>表12_14[[#This Row],[Sales Amount]]-表12_14[[#This Row],[Cost]]</f>
        <v>332.79999999999995</v>
      </c>
      <c r="X85" s="885">
        <f>表12_14[[#This Row],[Profit]]/表12_14[[#This Row],[Cost]]</f>
        <v>0.23566067129301796</v>
      </c>
      <c r="Y85" s="660"/>
      <c r="Z85" s="113"/>
    </row>
    <row r="86" spans="1:26" s="163" customFormat="1" ht="45">
      <c r="A86" s="3417" t="s">
        <v>468</v>
      </c>
      <c r="B86" s="2570" t="s">
        <v>6183</v>
      </c>
      <c r="C86" s="3268" t="s">
        <v>28</v>
      </c>
      <c r="D86" s="3262">
        <v>45330</v>
      </c>
      <c r="E86" s="3264">
        <v>45340</v>
      </c>
      <c r="F86" s="3268" t="s">
        <v>245</v>
      </c>
      <c r="G86" s="3268" t="s">
        <v>57</v>
      </c>
      <c r="H86" s="3366">
        <v>45343</v>
      </c>
      <c r="I86" s="3273"/>
      <c r="J86" s="3268" t="s">
        <v>297</v>
      </c>
      <c r="K86" s="3430" t="s">
        <v>6173</v>
      </c>
      <c r="L86" s="766">
        <v>2502007</v>
      </c>
      <c r="M86" s="3366">
        <v>45342</v>
      </c>
      <c r="N86" s="3366">
        <v>45342</v>
      </c>
      <c r="O86" s="3262">
        <v>45344</v>
      </c>
      <c r="P86" s="4327" t="s">
        <v>6184</v>
      </c>
      <c r="Q86" s="3268" t="s">
        <v>75</v>
      </c>
      <c r="R86" s="4329" t="s">
        <v>6185</v>
      </c>
      <c r="S86" s="1063" t="s">
        <v>6186</v>
      </c>
      <c r="T86" s="2126">
        <v>1505</v>
      </c>
      <c r="U86" s="660">
        <v>1168.2</v>
      </c>
      <c r="V86" s="660">
        <v>1</v>
      </c>
      <c r="W86" s="2126">
        <f>表12_14[[#This Row],[Sales Amount]]-表12_14[[#This Row],[Cost]]</f>
        <v>336.79999999999995</v>
      </c>
      <c r="X86" s="885">
        <f>表12_14[[#This Row],[Profit]]/表12_14[[#This Row],[Cost]]</f>
        <v>0.288306796781373</v>
      </c>
      <c r="Y86" s="660"/>
      <c r="Z86" s="113"/>
    </row>
    <row r="87" spans="1:26">
      <c r="A87" s="3527" t="s">
        <v>2618</v>
      </c>
      <c r="B87" s="5323" t="s">
        <v>6187</v>
      </c>
      <c r="C87" s="709" t="s">
        <v>6188</v>
      </c>
      <c r="D87" s="3534">
        <v>45339</v>
      </c>
      <c r="E87" s="3535">
        <v>45341</v>
      </c>
      <c r="F87" s="709" t="s">
        <v>56</v>
      </c>
      <c r="G87" s="709" t="s">
        <v>6189</v>
      </c>
      <c r="H87" s="3434" t="s">
        <v>6190</v>
      </c>
      <c r="I87" s="3537"/>
      <c r="J87" s="709" t="s">
        <v>382</v>
      </c>
      <c r="K87" s="709" t="s">
        <v>382</v>
      </c>
      <c r="L87" s="1188" t="s">
        <v>542</v>
      </c>
      <c r="M87" s="3525">
        <v>45343</v>
      </c>
      <c r="N87" s="3570">
        <v>45342</v>
      </c>
      <c r="O87" s="3526">
        <v>45342</v>
      </c>
      <c r="P87" s="3258" t="s">
        <v>6191</v>
      </c>
      <c r="Q87" s="3275" t="s">
        <v>35</v>
      </c>
      <c r="R87" s="2093" t="s">
        <v>36</v>
      </c>
      <c r="S87" s="710" t="s">
        <v>2622</v>
      </c>
      <c r="T87" s="641">
        <v>50</v>
      </c>
      <c r="U87" s="641"/>
      <c r="V87" s="641"/>
      <c r="W87" s="641"/>
      <c r="X87" s="641"/>
      <c r="Y87" s="641"/>
      <c r="Z87" s="643"/>
    </row>
    <row r="88" spans="1:26" s="117" customFormat="1">
      <c r="A88" s="3417" t="s">
        <v>409</v>
      </c>
      <c r="B88" s="2583" t="s">
        <v>6192</v>
      </c>
      <c r="C88" s="117" t="s">
        <v>28</v>
      </c>
      <c r="D88" s="3262">
        <v>45334</v>
      </c>
      <c r="E88" s="3264">
        <f>7+表12_14[[#This Row],[ETA PORT]]</f>
        <v>45341</v>
      </c>
      <c r="F88" s="3268" t="s">
        <v>86</v>
      </c>
      <c r="G88" s="117" t="s">
        <v>46</v>
      </c>
      <c r="H88" s="3262"/>
      <c r="I88" s="3268"/>
      <c r="J88" s="2363" t="s">
        <v>32</v>
      </c>
      <c r="K88" s="117" t="s">
        <v>310</v>
      </c>
      <c r="L88" s="3540" t="s">
        <v>6193</v>
      </c>
      <c r="M88" s="3262">
        <v>45340</v>
      </c>
      <c r="N88" s="3541">
        <v>45340</v>
      </c>
      <c r="O88" s="3541">
        <v>45342</v>
      </c>
      <c r="P88" s="3542" t="s">
        <v>6194</v>
      </c>
      <c r="Q88" s="3268" t="s">
        <v>50</v>
      </c>
      <c r="R88" s="2125" t="s">
        <v>6195</v>
      </c>
      <c r="S88" s="660"/>
      <c r="T88" s="693"/>
      <c r="U88" s="693"/>
      <c r="V88" s="693"/>
      <c r="W88" s="693"/>
      <c r="X88" s="693"/>
      <c r="Y88" s="693"/>
      <c r="Z88" s="899"/>
    </row>
    <row r="89" spans="1:26" s="117" customFormat="1">
      <c r="A89" s="4330" t="s">
        <v>3343</v>
      </c>
      <c r="B89" s="5338" t="s">
        <v>6196</v>
      </c>
      <c r="C89" s="2380" t="s">
        <v>28</v>
      </c>
      <c r="D89" s="3262">
        <v>45323</v>
      </c>
      <c r="E89" s="3264">
        <v>45341</v>
      </c>
      <c r="F89" s="2380" t="s">
        <v>86</v>
      </c>
      <c r="G89" s="2380" t="s">
        <v>46</v>
      </c>
      <c r="H89" s="3268"/>
      <c r="I89" s="3268"/>
      <c r="J89" s="2336" t="s">
        <v>32</v>
      </c>
      <c r="K89" s="2380" t="s">
        <v>310</v>
      </c>
      <c r="L89" s="2359" t="s">
        <v>6197</v>
      </c>
      <c r="M89" s="3541">
        <v>45343</v>
      </c>
      <c r="N89" s="3541">
        <v>45343</v>
      </c>
      <c r="O89" s="3541">
        <v>45345</v>
      </c>
      <c r="P89" s="3533" t="s">
        <v>6198</v>
      </c>
      <c r="Q89" s="3430" t="s">
        <v>89</v>
      </c>
      <c r="R89" s="2125">
        <f>R298</f>
        <v>0</v>
      </c>
      <c r="S89" s="660"/>
      <c r="T89" s="660"/>
      <c r="U89" s="660"/>
      <c r="V89" s="660"/>
      <c r="W89" s="660"/>
      <c r="X89" s="660"/>
      <c r="Y89" s="660"/>
      <c r="Z89" s="113"/>
    </row>
    <row r="90" spans="1:26">
      <c r="A90" s="3417" t="s">
        <v>409</v>
      </c>
      <c r="B90" s="2585" t="s">
        <v>6199</v>
      </c>
      <c r="C90" s="2329" t="s">
        <v>28</v>
      </c>
      <c r="D90" s="3262">
        <v>45331</v>
      </c>
      <c r="E90" s="3264">
        <v>45341</v>
      </c>
      <c r="F90" s="3520" t="s">
        <v>86</v>
      </c>
      <c r="G90" s="2329" t="s">
        <v>46</v>
      </c>
      <c r="H90" s="3268"/>
      <c r="I90" s="3268"/>
      <c r="J90" s="2330" t="s">
        <v>32</v>
      </c>
      <c r="K90" s="2329" t="s">
        <v>310</v>
      </c>
      <c r="L90" s="2359" t="s">
        <v>6200</v>
      </c>
      <c r="M90" s="3541">
        <v>45344</v>
      </c>
      <c r="N90" s="3541">
        <v>45342</v>
      </c>
      <c r="O90" s="3541">
        <v>45343</v>
      </c>
      <c r="P90" s="3542" t="s">
        <v>6201</v>
      </c>
      <c r="Q90" s="3268" t="s">
        <v>50</v>
      </c>
      <c r="R90" s="1723" t="s">
        <v>6202</v>
      </c>
      <c r="S90" s="660"/>
      <c r="T90" s="660"/>
      <c r="U90" s="660"/>
      <c r="V90" s="660"/>
      <c r="W90" s="660"/>
      <c r="X90" s="660"/>
      <c r="Y90" s="660"/>
      <c r="Z90" s="113"/>
    </row>
    <row r="91" spans="1:26" s="2254" customFormat="1">
      <c r="A91" s="3527" t="s">
        <v>2396</v>
      </c>
      <c r="B91" s="3528" t="s">
        <v>6203</v>
      </c>
      <c r="C91" s="3246" t="s">
        <v>451</v>
      </c>
      <c r="D91" s="3534">
        <v>45338</v>
      </c>
      <c r="E91" s="3535">
        <v>45341</v>
      </c>
      <c r="F91" s="3246" t="s">
        <v>135</v>
      </c>
      <c r="G91" s="3564" t="s">
        <v>6204</v>
      </c>
      <c r="H91" s="3525">
        <v>45344</v>
      </c>
      <c r="I91" s="3523" t="s">
        <v>899</v>
      </c>
      <c r="J91" s="3564" t="s">
        <v>1478</v>
      </c>
      <c r="K91" s="3564" t="s">
        <v>6129</v>
      </c>
      <c r="L91" s="1188" t="s">
        <v>542</v>
      </c>
      <c r="M91" s="3525">
        <v>45349</v>
      </c>
      <c r="N91" s="3526">
        <v>45344</v>
      </c>
      <c r="O91" s="3525">
        <v>45348</v>
      </c>
      <c r="P91" s="3258" t="s">
        <v>6205</v>
      </c>
      <c r="Q91" s="3275" t="s">
        <v>35</v>
      </c>
      <c r="R91" s="2093" t="s">
        <v>36</v>
      </c>
      <c r="S91" s="710" t="s">
        <v>5901</v>
      </c>
      <c r="T91" s="152">
        <v>545</v>
      </c>
      <c r="U91" s="152">
        <v>215.2</v>
      </c>
      <c r="V91" s="152"/>
      <c r="W91" s="152"/>
      <c r="X91" s="152"/>
      <c r="Y91" s="152"/>
      <c r="Z91" s="645"/>
    </row>
    <row r="92" spans="1:26" s="117" customFormat="1">
      <c r="A92" s="3417" t="s">
        <v>409</v>
      </c>
      <c r="B92" s="3571" t="s">
        <v>6206</v>
      </c>
      <c r="C92" s="3520" t="s">
        <v>28</v>
      </c>
      <c r="D92" s="3262">
        <v>45331</v>
      </c>
      <c r="E92" s="3264">
        <v>45341</v>
      </c>
      <c r="F92" s="3520" t="s">
        <v>45</v>
      </c>
      <c r="G92" s="3520" t="s">
        <v>46</v>
      </c>
      <c r="H92" s="3268"/>
      <c r="I92" s="3268"/>
      <c r="J92" s="3572" t="s">
        <v>32</v>
      </c>
      <c r="K92" s="3520" t="s">
        <v>310</v>
      </c>
      <c r="L92" s="2359">
        <v>764261</v>
      </c>
      <c r="M92" s="3541">
        <v>45343</v>
      </c>
      <c r="N92" s="3541">
        <v>45342</v>
      </c>
      <c r="O92" s="3541">
        <v>45345</v>
      </c>
      <c r="P92" s="3542" t="s">
        <v>6207</v>
      </c>
      <c r="Q92" s="3268" t="s">
        <v>89</v>
      </c>
      <c r="R92" s="2125" t="s">
        <v>6208</v>
      </c>
      <c r="S92" s="660"/>
      <c r="T92" s="660"/>
      <c r="U92" s="660"/>
      <c r="V92" s="660"/>
      <c r="W92" s="660"/>
      <c r="X92" s="2282"/>
      <c r="Y92" s="660"/>
      <c r="Z92" s="113"/>
    </row>
    <row r="93" spans="1:26" s="117" customFormat="1">
      <c r="A93" s="3417" t="s">
        <v>409</v>
      </c>
      <c r="B93" s="3571" t="s">
        <v>6209</v>
      </c>
      <c r="C93" s="3520" t="s">
        <v>28</v>
      </c>
      <c r="D93" s="3262">
        <v>45331</v>
      </c>
      <c r="E93" s="3264">
        <v>45341</v>
      </c>
      <c r="F93" s="3520" t="s">
        <v>45</v>
      </c>
      <c r="G93" s="3520" t="s">
        <v>46</v>
      </c>
      <c r="H93" s="3268"/>
      <c r="I93" s="3268"/>
      <c r="J93" s="3572" t="s">
        <v>32</v>
      </c>
      <c r="K93" s="3520" t="s">
        <v>310</v>
      </c>
      <c r="L93" s="3540" t="s">
        <v>6210</v>
      </c>
      <c r="M93" s="3541">
        <v>45343</v>
      </c>
      <c r="N93" s="3541">
        <v>45342</v>
      </c>
      <c r="O93" s="3541">
        <v>45344</v>
      </c>
      <c r="P93" s="3542" t="s">
        <v>6211</v>
      </c>
      <c r="Q93" s="120" t="s">
        <v>89</v>
      </c>
      <c r="R93" s="719" t="s">
        <v>6212</v>
      </c>
      <c r="S93" s="120"/>
      <c r="T93" s="660"/>
      <c r="U93" s="660"/>
      <c r="V93" s="660"/>
      <c r="W93" s="660"/>
      <c r="X93" s="2282"/>
      <c r="Y93" s="660"/>
      <c r="Z93" s="113"/>
    </row>
    <row r="94" spans="1:26" s="806" customFormat="1" ht="15.75">
      <c r="A94" s="3417" t="s">
        <v>409</v>
      </c>
      <c r="B94" s="3573" t="s">
        <v>6213</v>
      </c>
      <c r="C94" s="3268" t="s">
        <v>28</v>
      </c>
      <c r="D94" s="3262">
        <v>45323</v>
      </c>
      <c r="E94" s="3264">
        <v>45342</v>
      </c>
      <c r="F94" s="3268" t="s">
        <v>86</v>
      </c>
      <c r="G94" s="3268" t="s">
        <v>46</v>
      </c>
      <c r="H94" s="3268"/>
      <c r="I94" s="3268"/>
      <c r="J94" s="2352" t="s">
        <v>32</v>
      </c>
      <c r="K94" s="3268" t="s">
        <v>310</v>
      </c>
      <c r="L94" s="3574" t="s">
        <v>6214</v>
      </c>
      <c r="M94" s="3262">
        <v>45342</v>
      </c>
      <c r="N94" s="3541">
        <v>45341</v>
      </c>
      <c r="O94" s="3541">
        <v>45342</v>
      </c>
      <c r="P94" s="3542" t="s">
        <v>6215</v>
      </c>
      <c r="Q94" s="4845" t="s">
        <v>50</v>
      </c>
      <c r="R94" s="1723" t="s">
        <v>6216</v>
      </c>
      <c r="S94" s="660"/>
      <c r="T94" s="693"/>
      <c r="U94" s="693"/>
      <c r="V94" s="693"/>
      <c r="W94" s="693">
        <v>0</v>
      </c>
      <c r="X94" s="693" t="s">
        <v>532</v>
      </c>
      <c r="Y94" s="693"/>
      <c r="Z94" s="899"/>
    </row>
    <row r="95" spans="1:26">
      <c r="A95" s="3417" t="s">
        <v>409</v>
      </c>
      <c r="B95" s="3575" t="s">
        <v>6217</v>
      </c>
      <c r="C95" s="3576" t="s">
        <v>28</v>
      </c>
      <c r="D95" s="3565">
        <v>45336</v>
      </c>
      <c r="E95" s="3264">
        <v>45342</v>
      </c>
      <c r="F95" s="3576" t="s">
        <v>2225</v>
      </c>
      <c r="G95" s="3576" t="s">
        <v>1350</v>
      </c>
      <c r="H95" s="3268"/>
      <c r="I95" s="3268"/>
      <c r="J95" s="2375" t="s">
        <v>32</v>
      </c>
      <c r="K95" s="3576" t="s">
        <v>310</v>
      </c>
      <c r="L95" s="3540">
        <v>2387455</v>
      </c>
      <c r="M95" s="3566">
        <v>45344</v>
      </c>
      <c r="N95" s="3566">
        <v>45342</v>
      </c>
      <c r="O95" s="3541">
        <v>45343</v>
      </c>
      <c r="P95" s="3568" t="s">
        <v>6218</v>
      </c>
      <c r="Q95" s="5243" t="s">
        <v>89</v>
      </c>
      <c r="R95" s="2364" t="s">
        <v>6219</v>
      </c>
      <c r="S95" s="1012"/>
      <c r="T95" s="1012"/>
      <c r="U95" s="1012"/>
      <c r="V95" s="1012"/>
      <c r="W95" s="1012"/>
      <c r="X95" s="1012"/>
      <c r="Y95" s="1012"/>
      <c r="Z95" s="907"/>
    </row>
    <row r="96" spans="1:26" s="2344" customFormat="1">
      <c r="A96" s="3417" t="s">
        <v>409</v>
      </c>
      <c r="B96" s="3571" t="s">
        <v>6220</v>
      </c>
      <c r="C96" s="2331" t="s">
        <v>28</v>
      </c>
      <c r="D96" s="3565">
        <v>45336</v>
      </c>
      <c r="E96" s="3264">
        <v>45342</v>
      </c>
      <c r="F96" s="2331" t="s">
        <v>2225</v>
      </c>
      <c r="G96" s="2331" t="s">
        <v>1350</v>
      </c>
      <c r="H96" s="3268"/>
      <c r="I96" s="3268"/>
      <c r="J96" s="2331" t="s">
        <v>32</v>
      </c>
      <c r="K96" s="2331" t="s">
        <v>310</v>
      </c>
      <c r="L96" s="2359">
        <v>2387305</v>
      </c>
      <c r="M96" s="3566">
        <v>45344</v>
      </c>
      <c r="N96" s="3566">
        <v>45342</v>
      </c>
      <c r="O96" s="1189">
        <v>45343</v>
      </c>
      <c r="P96" s="3568" t="s">
        <v>6221</v>
      </c>
      <c r="Q96" s="3462" t="s">
        <v>89</v>
      </c>
      <c r="R96" s="2364" t="s">
        <v>6222</v>
      </c>
      <c r="S96" s="1012"/>
      <c r="T96" s="1012"/>
      <c r="U96" s="1012"/>
      <c r="V96" s="1012"/>
      <c r="W96" s="1012"/>
      <c r="X96" s="1012"/>
      <c r="Y96" s="1012"/>
      <c r="Z96" s="907"/>
    </row>
    <row r="97" spans="1:26" s="117" customFormat="1">
      <c r="A97" s="3417" t="s">
        <v>409</v>
      </c>
      <c r="B97" s="3571" t="s">
        <v>6223</v>
      </c>
      <c r="C97" s="2331" t="s">
        <v>28</v>
      </c>
      <c r="D97" s="3565">
        <v>45332</v>
      </c>
      <c r="E97" s="3264">
        <v>45342</v>
      </c>
      <c r="F97" s="3576" t="s">
        <v>2225</v>
      </c>
      <c r="G97" s="3576" t="s">
        <v>1350</v>
      </c>
      <c r="H97" s="3268"/>
      <c r="I97" s="3268"/>
      <c r="J97" s="2336" t="s">
        <v>32</v>
      </c>
      <c r="K97" s="2331" t="s">
        <v>310</v>
      </c>
      <c r="L97" s="2359">
        <v>2387378</v>
      </c>
      <c r="M97" s="3566">
        <v>45343</v>
      </c>
      <c r="N97" s="3566">
        <v>45343</v>
      </c>
      <c r="O97" s="3541">
        <v>45345</v>
      </c>
      <c r="P97" s="3568" t="s">
        <v>6224</v>
      </c>
      <c r="Q97" s="3462" t="s">
        <v>50</v>
      </c>
      <c r="R97" s="2364" t="s">
        <v>6225</v>
      </c>
      <c r="S97" s="1012"/>
      <c r="T97" s="1012"/>
      <c r="U97" s="1012"/>
      <c r="V97" s="1012"/>
      <c r="W97" s="1012"/>
      <c r="X97" s="1012"/>
      <c r="Y97" s="1012"/>
      <c r="Z97" s="907"/>
    </row>
    <row r="98" spans="1:26" s="117" customFormat="1">
      <c r="A98" s="3417" t="s">
        <v>409</v>
      </c>
      <c r="B98" s="3571" t="s">
        <v>6226</v>
      </c>
      <c r="C98" s="2331" t="s">
        <v>28</v>
      </c>
      <c r="D98" s="3565">
        <v>45332</v>
      </c>
      <c r="E98" s="3264">
        <v>45342</v>
      </c>
      <c r="F98" s="3576" t="s">
        <v>2225</v>
      </c>
      <c r="G98" s="3576" t="s">
        <v>1350</v>
      </c>
      <c r="H98" s="3268"/>
      <c r="I98" s="3268"/>
      <c r="J98" s="2336" t="s">
        <v>32</v>
      </c>
      <c r="K98" s="2331" t="s">
        <v>310</v>
      </c>
      <c r="L98" s="2359">
        <v>2387251</v>
      </c>
      <c r="M98" s="3566">
        <v>45344</v>
      </c>
      <c r="N98" s="3566">
        <v>45342</v>
      </c>
      <c r="O98" s="3541">
        <v>45344</v>
      </c>
      <c r="P98" s="3568" t="s">
        <v>6227</v>
      </c>
      <c r="Q98" s="3462" t="s">
        <v>50</v>
      </c>
      <c r="R98" s="2364" t="s">
        <v>6228</v>
      </c>
      <c r="S98" s="1012"/>
      <c r="T98" s="1012"/>
      <c r="U98" s="1012"/>
      <c r="V98" s="1012"/>
      <c r="W98" s="1012"/>
      <c r="X98" s="1012"/>
      <c r="Y98" s="1012"/>
      <c r="Z98" s="907"/>
    </row>
    <row r="99" spans="1:26">
      <c r="A99" s="3527" t="s">
        <v>329</v>
      </c>
      <c r="B99" s="2569" t="s">
        <v>6229</v>
      </c>
      <c r="C99" s="709" t="s">
        <v>28</v>
      </c>
      <c r="D99" s="3534">
        <v>45334</v>
      </c>
      <c r="E99" s="877">
        <v>45342</v>
      </c>
      <c r="F99" s="709" t="s">
        <v>151</v>
      </c>
      <c r="G99" s="709" t="s">
        <v>46</v>
      </c>
      <c r="H99" s="3525">
        <v>45344</v>
      </c>
      <c r="I99" s="3434" t="s">
        <v>6230</v>
      </c>
      <c r="J99" s="709" t="s">
        <v>1353</v>
      </c>
      <c r="K99" s="709" t="s">
        <v>331</v>
      </c>
      <c r="L99" s="2365">
        <v>30960000</v>
      </c>
      <c r="M99" s="3525">
        <v>45344</v>
      </c>
      <c r="N99" s="3526">
        <v>45343</v>
      </c>
      <c r="O99" s="3526">
        <v>45344</v>
      </c>
      <c r="P99" s="3283" t="s">
        <v>6231</v>
      </c>
      <c r="Q99" s="3275" t="s">
        <v>35</v>
      </c>
      <c r="R99" s="2093" t="s">
        <v>36</v>
      </c>
      <c r="S99" s="710" t="s">
        <v>37</v>
      </c>
      <c r="T99" s="152">
        <v>830</v>
      </c>
      <c r="U99" s="152">
        <v>710</v>
      </c>
      <c r="V99" s="152"/>
      <c r="W99" s="152"/>
      <c r="X99" s="2135"/>
      <c r="Y99" s="152"/>
      <c r="Z99" s="645"/>
    </row>
    <row r="100" spans="1:26" s="117" customFormat="1">
      <c r="A100" s="3417" t="s">
        <v>409</v>
      </c>
      <c r="B100" s="3571" t="s">
        <v>6232</v>
      </c>
      <c r="C100" s="2331" t="s">
        <v>28</v>
      </c>
      <c r="D100" s="3565">
        <v>45332</v>
      </c>
      <c r="E100" s="879">
        <v>45342</v>
      </c>
      <c r="F100" s="2331" t="s">
        <v>2225</v>
      </c>
      <c r="G100" s="2331" t="s">
        <v>1350</v>
      </c>
      <c r="H100" s="3268"/>
      <c r="I100" s="3268"/>
      <c r="J100" s="2336" t="s">
        <v>32</v>
      </c>
      <c r="K100" s="2331" t="s">
        <v>310</v>
      </c>
      <c r="L100" s="2359">
        <v>2387336</v>
      </c>
      <c r="M100" s="3566">
        <v>45343</v>
      </c>
      <c r="N100" s="3566">
        <v>45343</v>
      </c>
      <c r="O100" s="3541">
        <v>45346</v>
      </c>
      <c r="P100" s="3568" t="s">
        <v>6233</v>
      </c>
      <c r="Q100" s="3462" t="s">
        <v>89</v>
      </c>
      <c r="R100" s="2364" t="s">
        <v>6234</v>
      </c>
      <c r="S100" s="1012"/>
      <c r="T100" s="1012"/>
      <c r="U100" s="1012"/>
      <c r="V100" s="1012"/>
      <c r="W100" s="1012"/>
      <c r="X100" s="2366"/>
      <c r="Y100" s="1012"/>
      <c r="Z100" s="907"/>
    </row>
    <row r="101" spans="1:26" s="117" customFormat="1">
      <c r="A101" s="3417" t="s">
        <v>409</v>
      </c>
      <c r="B101" s="3571" t="s">
        <v>6235</v>
      </c>
      <c r="C101" s="2331" t="s">
        <v>28</v>
      </c>
      <c r="D101" s="3565">
        <v>45332</v>
      </c>
      <c r="E101" s="879">
        <v>45342</v>
      </c>
      <c r="F101" s="2331" t="s">
        <v>2225</v>
      </c>
      <c r="G101" s="2331" t="s">
        <v>1350</v>
      </c>
      <c r="H101" s="3268"/>
      <c r="I101" s="3268"/>
      <c r="J101" s="2336" t="s">
        <v>32</v>
      </c>
      <c r="K101" s="2331" t="s">
        <v>310</v>
      </c>
      <c r="L101" s="2359">
        <v>2387171</v>
      </c>
      <c r="M101" s="3566">
        <v>45343</v>
      </c>
      <c r="N101" s="3566">
        <v>45343</v>
      </c>
      <c r="O101" s="3541">
        <v>45345</v>
      </c>
      <c r="P101" s="3568" t="s">
        <v>6236</v>
      </c>
      <c r="Q101" s="3462" t="s">
        <v>50</v>
      </c>
      <c r="R101" s="2364" t="s">
        <v>6237</v>
      </c>
      <c r="S101" s="1012"/>
      <c r="T101" s="1012"/>
      <c r="U101" s="1012"/>
      <c r="V101" s="1012"/>
      <c r="W101" s="1012"/>
      <c r="X101" s="2366"/>
      <c r="Y101" s="1012"/>
      <c r="Z101" s="907"/>
    </row>
    <row r="102" spans="1:26" s="117" customFormat="1">
      <c r="A102" s="3417" t="s">
        <v>409</v>
      </c>
      <c r="B102" s="3571" t="s">
        <v>6238</v>
      </c>
      <c r="C102" s="2331" t="s">
        <v>28</v>
      </c>
      <c r="D102" s="3565">
        <v>45332</v>
      </c>
      <c r="E102" s="879">
        <v>45342</v>
      </c>
      <c r="F102" s="2331" t="s">
        <v>2225</v>
      </c>
      <c r="G102" s="2331" t="s">
        <v>1350</v>
      </c>
      <c r="H102" s="3462"/>
      <c r="I102" s="3462"/>
      <c r="J102" s="2336" t="s">
        <v>32</v>
      </c>
      <c r="K102" s="2331" t="s">
        <v>310</v>
      </c>
      <c r="L102" s="2359">
        <v>2387238</v>
      </c>
      <c r="M102" s="3566">
        <v>45343</v>
      </c>
      <c r="N102" s="3566">
        <v>45343</v>
      </c>
      <c r="O102" s="3566">
        <v>45345</v>
      </c>
      <c r="P102" s="3568" t="s">
        <v>6239</v>
      </c>
      <c r="Q102" s="3462" t="s">
        <v>50</v>
      </c>
      <c r="R102" s="2364" t="s">
        <v>6240</v>
      </c>
      <c r="S102" s="1012"/>
      <c r="T102" s="1012"/>
      <c r="U102" s="1012"/>
      <c r="V102" s="1012"/>
      <c r="W102" s="1012"/>
      <c r="X102" s="2366"/>
      <c r="Y102" s="1012"/>
      <c r="Z102" s="907"/>
    </row>
    <row r="103" spans="1:26" s="117" customFormat="1">
      <c r="A103" s="3417" t="s">
        <v>409</v>
      </c>
      <c r="B103" s="3571" t="s">
        <v>6241</v>
      </c>
      <c r="C103" s="2331" t="s">
        <v>28</v>
      </c>
      <c r="D103" s="3565">
        <v>45332</v>
      </c>
      <c r="E103" s="3264">
        <v>45342</v>
      </c>
      <c r="F103" s="2331" t="s">
        <v>2225</v>
      </c>
      <c r="G103" s="2331" t="s">
        <v>1350</v>
      </c>
      <c r="H103" s="3268"/>
      <c r="I103" s="3268"/>
      <c r="J103" s="2336" t="s">
        <v>32</v>
      </c>
      <c r="K103" s="2331" t="s">
        <v>310</v>
      </c>
      <c r="L103" s="507">
        <v>2387454</v>
      </c>
      <c r="M103" s="3566">
        <v>45343</v>
      </c>
      <c r="N103" s="3566">
        <v>45343</v>
      </c>
      <c r="O103" s="3541">
        <v>45345</v>
      </c>
      <c r="P103" s="3568" t="s">
        <v>6242</v>
      </c>
      <c r="Q103" s="3462" t="s">
        <v>50</v>
      </c>
      <c r="R103" s="2364" t="s">
        <v>6243</v>
      </c>
      <c r="S103" s="1012"/>
      <c r="T103" s="1012"/>
      <c r="U103" s="1012"/>
      <c r="V103" s="1012"/>
      <c r="W103" s="1012"/>
      <c r="X103" s="2366"/>
      <c r="Y103" s="1012"/>
      <c r="Z103" s="907"/>
    </row>
    <row r="104" spans="1:26">
      <c r="A104" s="3527" t="s">
        <v>639</v>
      </c>
      <c r="B104" s="2566" t="s">
        <v>6244</v>
      </c>
      <c r="C104" s="709" t="s">
        <v>28</v>
      </c>
      <c r="D104" s="3534">
        <v>45330</v>
      </c>
      <c r="E104" s="877">
        <v>45342</v>
      </c>
      <c r="F104" s="3246" t="s">
        <v>245</v>
      </c>
      <c r="G104" s="709" t="s">
        <v>361</v>
      </c>
      <c r="H104" s="3525">
        <v>45344</v>
      </c>
      <c r="I104" s="3537"/>
      <c r="J104" s="1175" t="s">
        <v>32</v>
      </c>
      <c r="K104" s="709" t="s">
        <v>1486</v>
      </c>
      <c r="L104" s="1188">
        <v>876868</v>
      </c>
      <c r="M104" s="3525">
        <v>45345</v>
      </c>
      <c r="N104" s="3526">
        <v>45344</v>
      </c>
      <c r="O104" s="3526">
        <v>45344</v>
      </c>
      <c r="P104" s="3283" t="s">
        <v>6245</v>
      </c>
      <c r="Q104" s="3275" t="s">
        <v>35</v>
      </c>
      <c r="R104" s="2093" t="s">
        <v>36</v>
      </c>
      <c r="S104" s="710" t="s">
        <v>37</v>
      </c>
      <c r="T104" s="152">
        <v>1150</v>
      </c>
      <c r="U104" s="152">
        <v>950</v>
      </c>
      <c r="V104" s="152"/>
      <c r="W104" s="152"/>
      <c r="X104" s="2124"/>
      <c r="Y104" s="152"/>
      <c r="Z104" s="645"/>
    </row>
    <row r="105" spans="1:26" s="117" customFormat="1">
      <c r="A105" s="3417" t="s">
        <v>409</v>
      </c>
      <c r="B105" s="3571" t="s">
        <v>6246</v>
      </c>
      <c r="C105" s="3576" t="s">
        <v>28</v>
      </c>
      <c r="D105" s="3565">
        <v>45331</v>
      </c>
      <c r="E105" s="3264">
        <v>45343</v>
      </c>
      <c r="F105" s="3577" t="s">
        <v>86</v>
      </c>
      <c r="G105" s="2338" t="s">
        <v>46</v>
      </c>
      <c r="H105" s="3578"/>
      <c r="I105" s="3578"/>
      <c r="J105" s="2339" t="s">
        <v>32</v>
      </c>
      <c r="K105" s="2338" t="s">
        <v>310</v>
      </c>
      <c r="L105" s="5330" t="s">
        <v>6247</v>
      </c>
      <c r="M105" s="3579">
        <v>45345</v>
      </c>
      <c r="N105" s="3579">
        <v>45344</v>
      </c>
      <c r="O105" s="3579">
        <v>45346</v>
      </c>
      <c r="P105" s="3580" t="s">
        <v>6248</v>
      </c>
      <c r="Q105" s="3578" t="s">
        <v>50</v>
      </c>
      <c r="R105" s="2340" t="s">
        <v>6249</v>
      </c>
      <c r="S105" s="2341"/>
      <c r="T105" s="2341"/>
      <c r="U105" s="2341"/>
      <c r="V105" s="2341"/>
      <c r="W105" s="2341"/>
      <c r="X105" s="2341"/>
      <c r="Y105" s="2341"/>
      <c r="Z105" s="2342"/>
    </row>
    <row r="106" spans="1:26" s="709" customFormat="1" ht="16.5">
      <c r="A106" s="3417" t="s">
        <v>409</v>
      </c>
      <c r="B106" s="3581" t="s">
        <v>6250</v>
      </c>
      <c r="C106" s="2400" t="s">
        <v>28</v>
      </c>
      <c r="D106" s="3558">
        <v>45331</v>
      </c>
      <c r="E106" s="3535">
        <v>45343</v>
      </c>
      <c r="F106" s="2400" t="s">
        <v>151</v>
      </c>
      <c r="G106" s="2400" t="s">
        <v>46</v>
      </c>
      <c r="H106" s="3246"/>
      <c r="I106" s="3246"/>
      <c r="J106" s="3582" t="s">
        <v>32</v>
      </c>
      <c r="K106" s="2400" t="s">
        <v>310</v>
      </c>
      <c r="L106" s="2401" t="s">
        <v>6251</v>
      </c>
      <c r="M106" s="3525">
        <v>45345</v>
      </c>
      <c r="N106" s="3525">
        <v>45344</v>
      </c>
      <c r="O106" s="3525">
        <v>45348</v>
      </c>
      <c r="P106" s="2402" t="s">
        <v>6252</v>
      </c>
      <c r="Q106" s="2385" t="s">
        <v>50</v>
      </c>
      <c r="R106" s="2384" t="s">
        <v>6253</v>
      </c>
      <c r="S106" s="2385"/>
      <c r="T106" s="2385"/>
      <c r="U106" s="2385"/>
      <c r="V106" s="2385"/>
      <c r="W106" s="2385"/>
      <c r="X106" s="2385"/>
      <c r="Y106" s="2385"/>
      <c r="Z106" s="914"/>
    </row>
    <row r="107" spans="1:26" s="117" customFormat="1">
      <c r="A107" s="3417" t="s">
        <v>409</v>
      </c>
      <c r="B107" s="3583" t="s">
        <v>6254</v>
      </c>
      <c r="C107" s="3576" t="s">
        <v>28</v>
      </c>
      <c r="D107" s="3565">
        <v>45331</v>
      </c>
      <c r="E107" s="3377">
        <v>45343</v>
      </c>
      <c r="F107" s="3520" t="s">
        <v>45</v>
      </c>
      <c r="G107" s="5321" t="s">
        <v>46</v>
      </c>
      <c r="H107" s="3268"/>
      <c r="I107" s="3268"/>
      <c r="J107" s="5339" t="s">
        <v>32</v>
      </c>
      <c r="K107" s="5321" t="s">
        <v>310</v>
      </c>
      <c r="L107" s="3540" t="s">
        <v>6255</v>
      </c>
      <c r="M107" s="3541">
        <v>45345</v>
      </c>
      <c r="N107" s="3541">
        <v>45345</v>
      </c>
      <c r="O107" s="3541">
        <v>45348</v>
      </c>
      <c r="P107" s="3542" t="s">
        <v>6256</v>
      </c>
      <c r="Q107" s="4845" t="s">
        <v>50</v>
      </c>
      <c r="R107" s="2353" t="s">
        <v>6257</v>
      </c>
      <c r="S107" s="120"/>
      <c r="T107" s="660"/>
      <c r="U107" s="660"/>
      <c r="V107" s="660"/>
      <c r="W107" s="660"/>
      <c r="X107" s="660"/>
      <c r="Y107" s="660"/>
      <c r="Z107" s="113"/>
    </row>
    <row r="108" spans="1:26" s="709" customFormat="1">
      <c r="A108" s="3584" t="s">
        <v>3343</v>
      </c>
      <c r="B108" s="5340" t="s">
        <v>6258</v>
      </c>
      <c r="C108" s="5341" t="s">
        <v>28</v>
      </c>
      <c r="D108" s="3558">
        <v>45331</v>
      </c>
      <c r="E108" s="3535">
        <v>45343</v>
      </c>
      <c r="F108" s="3585" t="s">
        <v>45</v>
      </c>
      <c r="G108" s="5342" t="s">
        <v>46</v>
      </c>
      <c r="H108" s="3586"/>
      <c r="I108" s="3586"/>
      <c r="J108" s="5343" t="s">
        <v>32</v>
      </c>
      <c r="K108" s="5342" t="s">
        <v>310</v>
      </c>
      <c r="L108" s="5344" t="s">
        <v>6259</v>
      </c>
      <c r="M108" s="5345">
        <v>45345</v>
      </c>
      <c r="N108" s="3587">
        <v>45345</v>
      </c>
      <c r="O108" s="3587">
        <v>45347</v>
      </c>
      <c r="P108" s="5346" t="s">
        <v>6260</v>
      </c>
      <c r="Q108" s="5347" t="s">
        <v>50</v>
      </c>
      <c r="R108" s="2416" t="s">
        <v>6261</v>
      </c>
      <c r="S108" s="2417"/>
      <c r="T108" s="2417"/>
      <c r="U108" s="2417"/>
      <c r="V108" s="2417"/>
      <c r="W108" s="2417"/>
      <c r="X108" s="2417"/>
      <c r="Y108" s="2417"/>
      <c r="Z108" s="2418"/>
    </row>
    <row r="109" spans="1:26" s="709" customFormat="1">
      <c r="A109" s="3588" t="s">
        <v>3343</v>
      </c>
      <c r="B109" s="3581" t="s">
        <v>6262</v>
      </c>
      <c r="C109" s="3589" t="s">
        <v>28</v>
      </c>
      <c r="D109" s="3558">
        <v>45334</v>
      </c>
      <c r="E109" s="3535">
        <v>45343</v>
      </c>
      <c r="F109" s="3590" t="s">
        <v>1017</v>
      </c>
      <c r="G109" s="4926" t="s">
        <v>669</v>
      </c>
      <c r="H109" s="3246"/>
      <c r="I109" s="3246"/>
      <c r="J109" s="5348" t="s">
        <v>32</v>
      </c>
      <c r="K109" s="4926" t="s">
        <v>310</v>
      </c>
      <c r="L109" s="3591" t="s">
        <v>6263</v>
      </c>
      <c r="M109" s="3524">
        <v>45345</v>
      </c>
      <c r="N109" s="3526">
        <v>45345</v>
      </c>
      <c r="O109" s="3526">
        <v>45348</v>
      </c>
      <c r="P109" s="3283" t="s">
        <v>6264</v>
      </c>
      <c r="Q109" s="4861" t="s">
        <v>50</v>
      </c>
      <c r="R109" s="2345" t="s">
        <v>6265</v>
      </c>
      <c r="S109" s="718"/>
      <c r="T109" s="727"/>
      <c r="U109" s="727"/>
      <c r="V109" s="727"/>
      <c r="W109" s="727"/>
      <c r="X109" s="2315"/>
      <c r="Y109" s="727"/>
      <c r="Z109" s="711"/>
    </row>
    <row r="110" spans="1:26" s="2470" customFormat="1">
      <c r="A110" s="3592" t="s">
        <v>732</v>
      </c>
      <c r="B110" s="3593" t="s">
        <v>6266</v>
      </c>
      <c r="C110" s="3594" t="s">
        <v>3181</v>
      </c>
      <c r="D110" s="3595">
        <v>45336</v>
      </c>
      <c r="E110" s="1657">
        <v>45369</v>
      </c>
      <c r="F110" s="3594" t="s">
        <v>990</v>
      </c>
      <c r="G110" s="3594" t="s">
        <v>669</v>
      </c>
      <c r="H110" s="3594" t="s">
        <v>6267</v>
      </c>
      <c r="I110" s="3594"/>
      <c r="J110" s="3596" t="s">
        <v>32</v>
      </c>
      <c r="K110" s="3597" t="s">
        <v>310</v>
      </c>
      <c r="L110" s="1442" t="s">
        <v>6268</v>
      </c>
      <c r="M110" s="3598">
        <v>45371</v>
      </c>
      <c r="N110" s="3599">
        <v>45341</v>
      </c>
      <c r="O110" s="3599">
        <v>45372</v>
      </c>
      <c r="P110" s="3600" t="s">
        <v>6269</v>
      </c>
      <c r="Q110" s="3594" t="s">
        <v>50</v>
      </c>
      <c r="R110" s="2466" t="s">
        <v>51</v>
      </c>
      <c r="S110" s="2467"/>
      <c r="T110" s="2467"/>
      <c r="U110" s="2467"/>
      <c r="V110" s="2467"/>
      <c r="W110" s="2467"/>
      <c r="X110" s="2468"/>
      <c r="Y110" s="2467"/>
      <c r="Z110" s="2469"/>
    </row>
    <row r="111" spans="1:26" s="2316" customFormat="1">
      <c r="A111" s="3527" t="s">
        <v>639</v>
      </c>
      <c r="B111" s="2566" t="s">
        <v>6270</v>
      </c>
      <c r="C111" s="3246" t="s">
        <v>28</v>
      </c>
      <c r="D111" s="3534">
        <v>45329</v>
      </c>
      <c r="E111" s="877">
        <v>45343</v>
      </c>
      <c r="F111" s="3246" t="s">
        <v>151</v>
      </c>
      <c r="G111" s="3246" t="s">
        <v>361</v>
      </c>
      <c r="H111" s="3525">
        <v>45345</v>
      </c>
      <c r="I111" s="3537"/>
      <c r="J111" s="3544" t="s">
        <v>32</v>
      </c>
      <c r="K111" s="3246" t="s">
        <v>1486</v>
      </c>
      <c r="L111" s="1188">
        <v>673994</v>
      </c>
      <c r="M111" s="3525">
        <v>45345</v>
      </c>
      <c r="N111" s="3526">
        <v>45344</v>
      </c>
      <c r="O111" s="3526">
        <v>45345</v>
      </c>
      <c r="P111" s="3283" t="s">
        <v>6271</v>
      </c>
      <c r="Q111" s="3275" t="s">
        <v>35</v>
      </c>
      <c r="R111" s="2093" t="s">
        <v>36</v>
      </c>
      <c r="S111" s="710" t="s">
        <v>37</v>
      </c>
      <c r="T111" s="152">
        <v>1150</v>
      </c>
      <c r="U111" s="152">
        <v>950</v>
      </c>
      <c r="V111" s="152"/>
      <c r="W111" s="152"/>
      <c r="X111" s="2124"/>
      <c r="Y111" s="152"/>
      <c r="Z111" s="645"/>
    </row>
    <row r="112" spans="1:26" s="709" customFormat="1">
      <c r="A112" s="3588" t="s">
        <v>6272</v>
      </c>
      <c r="B112" s="3601" t="s">
        <v>6273</v>
      </c>
      <c r="C112" s="3590" t="s">
        <v>28</v>
      </c>
      <c r="D112" s="3534">
        <v>45331</v>
      </c>
      <c r="E112" s="3535">
        <v>45343</v>
      </c>
      <c r="F112" s="3590" t="s">
        <v>990</v>
      </c>
      <c r="G112" s="3590" t="s">
        <v>669</v>
      </c>
      <c r="H112" s="3246"/>
      <c r="I112" s="3246"/>
      <c r="J112" s="3602" t="s">
        <v>32</v>
      </c>
      <c r="K112" s="3590" t="s">
        <v>310</v>
      </c>
      <c r="L112" s="3258" t="s">
        <v>6274</v>
      </c>
      <c r="M112" s="3525">
        <v>45345</v>
      </c>
      <c r="N112" s="3526">
        <v>45346</v>
      </c>
      <c r="O112" s="3526">
        <v>45348</v>
      </c>
      <c r="P112" s="3283" t="s">
        <v>6275</v>
      </c>
      <c r="Q112" s="3246" t="s">
        <v>50</v>
      </c>
      <c r="R112" s="2346" t="s">
        <v>6276</v>
      </c>
      <c r="S112" s="727"/>
      <c r="T112" s="727"/>
      <c r="U112" s="727"/>
      <c r="V112" s="727"/>
      <c r="W112" s="727"/>
      <c r="X112" s="2315"/>
      <c r="Y112" s="727"/>
      <c r="Z112" s="711"/>
    </row>
    <row r="113" spans="1:26" s="709" customFormat="1">
      <c r="A113" s="3417" t="s">
        <v>409</v>
      </c>
      <c r="B113" s="3528" t="s">
        <v>6277</v>
      </c>
      <c r="C113" s="3246" t="s">
        <v>28</v>
      </c>
      <c r="D113" s="3534">
        <v>45308</v>
      </c>
      <c r="E113" s="3535">
        <v>45344</v>
      </c>
      <c r="F113" s="3526" t="s">
        <v>56</v>
      </c>
      <c r="G113" s="3246" t="s">
        <v>669</v>
      </c>
      <c r="H113" s="3075"/>
      <c r="I113" s="3075"/>
      <c r="J113" s="3434" t="s">
        <v>6278</v>
      </c>
      <c r="K113" s="3246" t="s">
        <v>310</v>
      </c>
      <c r="L113" s="106" t="s">
        <v>6279</v>
      </c>
      <c r="M113" s="3526">
        <v>45346</v>
      </c>
      <c r="N113" s="3526">
        <v>45346</v>
      </c>
      <c r="O113" s="3526">
        <v>45350</v>
      </c>
      <c r="P113" s="3283" t="s">
        <v>6280</v>
      </c>
      <c r="Q113" s="4331" t="s">
        <v>89</v>
      </c>
      <c r="R113" s="2415" t="s">
        <v>6281</v>
      </c>
      <c r="S113" s="727"/>
      <c r="T113" s="713"/>
      <c r="U113" s="713"/>
      <c r="V113" s="713"/>
      <c r="W113" s="713"/>
      <c r="X113" s="713"/>
      <c r="Y113" s="713"/>
      <c r="Z113" s="2372"/>
    </row>
    <row r="114" spans="1:26" s="117" customFormat="1">
      <c r="A114" s="3417" t="s">
        <v>409</v>
      </c>
      <c r="B114" s="2586" t="s">
        <v>6282</v>
      </c>
      <c r="C114" s="3520" t="s">
        <v>3181</v>
      </c>
      <c r="D114" s="3262">
        <v>45326</v>
      </c>
      <c r="E114" s="3264">
        <v>45344</v>
      </c>
      <c r="F114" s="3520" t="s">
        <v>56</v>
      </c>
      <c r="G114" s="2329" t="s">
        <v>46</v>
      </c>
      <c r="H114" s="4845"/>
      <c r="I114" s="3268"/>
      <c r="J114" s="2330" t="s">
        <v>32</v>
      </c>
      <c r="K114" s="3520" t="s">
        <v>310</v>
      </c>
      <c r="L114" s="3268">
        <v>167038</v>
      </c>
      <c r="M114" s="4960">
        <v>45346</v>
      </c>
      <c r="N114" s="3541">
        <v>45345</v>
      </c>
      <c r="O114" s="3541">
        <v>45348</v>
      </c>
      <c r="P114" s="845" t="s">
        <v>6283</v>
      </c>
      <c r="Q114" s="3268" t="s">
        <v>50</v>
      </c>
      <c r="R114" s="2125" t="s">
        <v>6284</v>
      </c>
      <c r="S114" s="660"/>
      <c r="T114" s="693"/>
      <c r="U114" s="693"/>
      <c r="V114" s="693"/>
      <c r="W114" s="693"/>
      <c r="X114" s="693"/>
      <c r="Y114" s="693"/>
      <c r="Z114" s="899"/>
    </row>
    <row r="115" spans="1:26" s="709" customFormat="1">
      <c r="A115" s="3417" t="s">
        <v>409</v>
      </c>
      <c r="B115" s="2566" t="s">
        <v>6285</v>
      </c>
      <c r="C115" s="3258" t="s">
        <v>28</v>
      </c>
      <c r="D115" s="3534">
        <v>45337</v>
      </c>
      <c r="E115" s="3535">
        <v>45355</v>
      </c>
      <c r="F115" s="3246" t="s">
        <v>45</v>
      </c>
      <c r="G115" s="709" t="s">
        <v>669</v>
      </c>
      <c r="H115" s="3246"/>
      <c r="J115" s="3530" t="s">
        <v>32</v>
      </c>
      <c r="K115" s="3258" t="s">
        <v>310</v>
      </c>
      <c r="L115" s="3258" t="s">
        <v>6286</v>
      </c>
      <c r="M115" s="3563">
        <v>45357</v>
      </c>
      <c r="N115" s="1194">
        <v>45356</v>
      </c>
      <c r="O115" s="3526">
        <v>45358</v>
      </c>
      <c r="P115" s="1019" t="s">
        <v>6287</v>
      </c>
      <c r="Q115" s="3246" t="s">
        <v>50</v>
      </c>
      <c r="R115" s="2346" t="s">
        <v>6288</v>
      </c>
      <c r="S115" s="727"/>
      <c r="T115" s="727"/>
      <c r="U115" s="727"/>
      <c r="V115" s="727"/>
      <c r="W115" s="727"/>
      <c r="X115" s="2315"/>
      <c r="Y115" s="727"/>
      <c r="Z115" s="711"/>
    </row>
    <row r="116" spans="1:26" s="117" customFormat="1" ht="30">
      <c r="A116" s="4599" t="s">
        <v>710</v>
      </c>
      <c r="B116" s="2566" t="s">
        <v>6289</v>
      </c>
      <c r="C116" s="4839" t="s">
        <v>28</v>
      </c>
      <c r="D116" s="3280">
        <v>45327</v>
      </c>
      <c r="E116" s="3346">
        <v>45344</v>
      </c>
      <c r="F116" s="4839" t="s">
        <v>151</v>
      </c>
      <c r="G116" s="58" t="s">
        <v>361</v>
      </c>
      <c r="H116" s="5100" t="s">
        <v>6290</v>
      </c>
      <c r="I116" s="5101" t="s">
        <v>6291</v>
      </c>
      <c r="J116" s="3347" t="s">
        <v>32</v>
      </c>
      <c r="K116" s="4839" t="s">
        <v>6292</v>
      </c>
      <c r="L116" s="3357">
        <v>355168</v>
      </c>
      <c r="M116" s="4990">
        <v>45347</v>
      </c>
      <c r="N116" s="4990">
        <v>45346</v>
      </c>
      <c r="O116" s="4990">
        <v>45355</v>
      </c>
      <c r="P116" s="1650" t="s">
        <v>6293</v>
      </c>
      <c r="Q116" s="4834" t="s">
        <v>35</v>
      </c>
      <c r="R116" s="1432" t="s">
        <v>36</v>
      </c>
      <c r="S116" s="18" t="s">
        <v>6006</v>
      </c>
      <c r="T116" s="84">
        <v>3615</v>
      </c>
      <c r="U116" s="84">
        <v>2670</v>
      </c>
      <c r="V116" s="93"/>
      <c r="W116" s="93"/>
      <c r="X116" s="2246"/>
      <c r="Y116" s="93"/>
      <c r="Z116" s="1068"/>
    </row>
    <row r="117" spans="1:26">
      <c r="A117" s="4599" t="s">
        <v>263</v>
      </c>
      <c r="B117" s="5323" t="s">
        <v>6294</v>
      </c>
      <c r="C117" s="4861" t="s">
        <v>44</v>
      </c>
      <c r="D117" s="4953">
        <v>45345</v>
      </c>
      <c r="E117" s="4953">
        <v>45345</v>
      </c>
      <c r="F117" s="4861" t="s">
        <v>135</v>
      </c>
      <c r="G117" s="4861" t="s">
        <v>6295</v>
      </c>
      <c r="H117" s="5329">
        <v>45351</v>
      </c>
      <c r="I117" s="5349">
        <v>0.375</v>
      </c>
      <c r="J117" s="4861" t="s">
        <v>6296</v>
      </c>
      <c r="K117" s="4861" t="s">
        <v>5799</v>
      </c>
      <c r="L117" s="709"/>
      <c r="M117" s="4953">
        <v>45351</v>
      </c>
      <c r="N117" s="4953">
        <v>45350</v>
      </c>
      <c r="O117" s="3534">
        <v>45352</v>
      </c>
      <c r="P117" s="4871" t="s">
        <v>6297</v>
      </c>
      <c r="Q117" s="4861" t="s">
        <v>128</v>
      </c>
      <c r="R117" s="2345" t="s">
        <v>36</v>
      </c>
      <c r="S117" s="718"/>
      <c r="T117" s="656">
        <v>2261.12</v>
      </c>
      <c r="U117" s="656">
        <f>1477.5+131.12+120</f>
        <v>1728.62</v>
      </c>
      <c r="V117" s="656">
        <v>1</v>
      </c>
      <c r="W117" s="656">
        <f>表12_14[[#This Row],[Sales Amount]]-表12_14[[#This Row],[Cost]]</f>
        <v>532.5</v>
      </c>
      <c r="X117" s="656"/>
      <c r="Y117" s="656"/>
      <c r="Z117" s="2356"/>
    </row>
    <row r="118" spans="1:26">
      <c r="A118" s="3235" t="s">
        <v>263</v>
      </c>
      <c r="B118" s="2573" t="s">
        <v>6298</v>
      </c>
      <c r="C118" s="3246" t="s">
        <v>44</v>
      </c>
      <c r="D118" s="3534">
        <v>45345</v>
      </c>
      <c r="E118" s="3534">
        <v>45345</v>
      </c>
      <c r="F118" s="3246" t="s">
        <v>135</v>
      </c>
      <c r="G118" s="3246" t="s">
        <v>5798</v>
      </c>
      <c r="H118" s="3534">
        <v>45350</v>
      </c>
      <c r="I118" s="1426">
        <v>0.375</v>
      </c>
      <c r="J118" s="3246" t="s">
        <v>6296</v>
      </c>
      <c r="K118" s="3246" t="s">
        <v>5799</v>
      </c>
      <c r="L118" s="3246"/>
      <c r="M118" s="3534">
        <v>45351</v>
      </c>
      <c r="N118" s="3534">
        <v>45349</v>
      </c>
      <c r="O118" s="3534">
        <v>45351</v>
      </c>
      <c r="P118" s="3283" t="s">
        <v>6299</v>
      </c>
      <c r="Q118" s="3246" t="s">
        <v>128</v>
      </c>
      <c r="R118" s="2346" t="s">
        <v>36</v>
      </c>
      <c r="S118" s="727"/>
      <c r="T118" s="713">
        <v>2011.12</v>
      </c>
      <c r="U118" s="713">
        <f>1477.5+131.12+120</f>
        <v>1728.62</v>
      </c>
      <c r="V118" s="713">
        <v>1</v>
      </c>
      <c r="W118" s="713">
        <f>表12_14[[#This Row],[Sales Amount]]-表12_14[[#This Row],[Cost]]</f>
        <v>282.5</v>
      </c>
      <c r="X118" s="713"/>
      <c r="Y118" s="713"/>
      <c r="Z118" s="2372"/>
    </row>
    <row r="119" spans="1:26" s="117" customFormat="1" ht="30">
      <c r="A119" s="4643" t="s">
        <v>4284</v>
      </c>
      <c r="B119" s="5331" t="s">
        <v>6300</v>
      </c>
      <c r="C119" s="4845" t="s">
        <v>28</v>
      </c>
      <c r="D119" s="4906">
        <v>45327</v>
      </c>
      <c r="E119" s="4917">
        <v>45345</v>
      </c>
      <c r="F119" s="4938" t="s">
        <v>167</v>
      </c>
      <c r="G119" s="4938" t="s">
        <v>6301</v>
      </c>
      <c r="H119" s="3262">
        <v>45348</v>
      </c>
      <c r="I119" s="4947" t="s">
        <v>178</v>
      </c>
      <c r="J119" s="3430" t="s">
        <v>6302</v>
      </c>
      <c r="K119" s="4938" t="s">
        <v>6303</v>
      </c>
      <c r="L119" s="5318" t="s">
        <v>6304</v>
      </c>
      <c r="M119" s="4906">
        <v>45349</v>
      </c>
      <c r="N119" s="4906">
        <v>45348</v>
      </c>
      <c r="O119" s="4906">
        <v>45348</v>
      </c>
      <c r="P119" s="5350" t="s">
        <v>6305</v>
      </c>
      <c r="Q119" s="4845" t="s">
        <v>75</v>
      </c>
      <c r="R119" s="2284" t="s">
        <v>6306</v>
      </c>
      <c r="S119" s="120"/>
      <c r="T119" s="698">
        <v>535</v>
      </c>
      <c r="U119" s="698">
        <v>414.8</v>
      </c>
      <c r="V119" s="120">
        <v>1</v>
      </c>
      <c r="W119" s="120">
        <f>表12_14[[#This Row],[Sales Amount]]-表12_14[[#This Row],[Cost]]</f>
        <v>120.19999999999999</v>
      </c>
      <c r="X119" s="1041">
        <f>表12_14[[#This Row],[Profit]]/表12_14[[#This Row],[Cost]]</f>
        <v>0.28977820636451296</v>
      </c>
      <c r="Y119" s="120"/>
      <c r="Z119" s="1209"/>
    </row>
    <row r="120" spans="1:26">
      <c r="A120" s="4647" t="s">
        <v>1431</v>
      </c>
      <c r="B120" s="2571" t="s">
        <v>6307</v>
      </c>
      <c r="C120" s="4902" t="s">
        <v>28</v>
      </c>
      <c r="D120" s="5035">
        <v>45336</v>
      </c>
      <c r="E120" s="4885">
        <v>45345</v>
      </c>
      <c r="F120" s="4902" t="s">
        <v>285</v>
      </c>
      <c r="G120" s="4902" t="s">
        <v>669</v>
      </c>
      <c r="H120" s="4991">
        <v>45348</v>
      </c>
      <c r="I120" s="4902"/>
      <c r="J120" s="3523" t="s">
        <v>32</v>
      </c>
      <c r="K120" s="4861" t="s">
        <v>1433</v>
      </c>
      <c r="L120" s="4902" t="s">
        <v>6308</v>
      </c>
      <c r="M120" s="4991">
        <v>45348</v>
      </c>
      <c r="N120" s="4863">
        <v>45347</v>
      </c>
      <c r="O120" s="4863">
        <v>45348</v>
      </c>
      <c r="P120" s="4871" t="s">
        <v>6309</v>
      </c>
      <c r="Q120" s="4839" t="s">
        <v>35</v>
      </c>
      <c r="R120" s="1432" t="s">
        <v>36</v>
      </c>
      <c r="S120" s="18" t="s">
        <v>37</v>
      </c>
      <c r="T120" s="93">
        <v>1633.5</v>
      </c>
      <c r="U120" s="93">
        <v>1455</v>
      </c>
      <c r="V120" s="93"/>
      <c r="W120" s="93"/>
      <c r="X120" s="2246"/>
      <c r="Y120" s="93"/>
      <c r="Z120" s="1068"/>
    </row>
    <row r="121" spans="1:26">
      <c r="A121" s="3527" t="s">
        <v>1431</v>
      </c>
      <c r="B121" s="2566" t="s">
        <v>6310</v>
      </c>
      <c r="C121" s="3246" t="s">
        <v>28</v>
      </c>
      <c r="D121" s="3534">
        <v>45336</v>
      </c>
      <c r="E121" s="3535">
        <v>45345</v>
      </c>
      <c r="F121" s="3246" t="s">
        <v>285</v>
      </c>
      <c r="G121" s="709" t="s">
        <v>669</v>
      </c>
      <c r="H121" s="3525">
        <v>45349</v>
      </c>
      <c r="I121" s="3434" t="s">
        <v>115</v>
      </c>
      <c r="J121" s="2348" t="s">
        <v>32</v>
      </c>
      <c r="K121" s="3246" t="s">
        <v>1433</v>
      </c>
      <c r="L121" s="4902" t="s">
        <v>6311</v>
      </c>
      <c r="M121" s="3525">
        <v>45348</v>
      </c>
      <c r="N121" s="3526">
        <v>45347</v>
      </c>
      <c r="O121" s="3526">
        <v>45349</v>
      </c>
      <c r="P121" s="3283" t="s">
        <v>6312</v>
      </c>
      <c r="Q121" s="3275" t="s">
        <v>35</v>
      </c>
      <c r="R121" s="2093" t="s">
        <v>36</v>
      </c>
      <c r="S121" s="710" t="s">
        <v>37</v>
      </c>
      <c r="T121" s="152">
        <v>1633.5</v>
      </c>
      <c r="U121" s="152">
        <v>1455</v>
      </c>
      <c r="V121" s="152"/>
      <c r="W121" s="152"/>
      <c r="X121" s="2124"/>
      <c r="Y121" s="152"/>
      <c r="Z121" s="645"/>
    </row>
    <row r="122" spans="1:26">
      <c r="A122" s="4646" t="s">
        <v>1431</v>
      </c>
      <c r="B122" s="5351" t="s">
        <v>6313</v>
      </c>
      <c r="C122" s="4861" t="s">
        <v>28</v>
      </c>
      <c r="D122" s="4953">
        <v>45336</v>
      </c>
      <c r="E122" s="3535">
        <v>45345</v>
      </c>
      <c r="F122" s="4861" t="s">
        <v>285</v>
      </c>
      <c r="G122" s="4861" t="s">
        <v>669</v>
      </c>
      <c r="H122" s="4991">
        <v>45350</v>
      </c>
      <c r="I122" s="4902" t="s">
        <v>115</v>
      </c>
      <c r="J122" s="2348" t="s">
        <v>32</v>
      </c>
      <c r="K122" s="3246" t="s">
        <v>1433</v>
      </c>
      <c r="L122" s="3434" t="s">
        <v>6314</v>
      </c>
      <c r="M122" s="3525">
        <v>45348</v>
      </c>
      <c r="N122" s="3526">
        <v>45347</v>
      </c>
      <c r="O122" s="4863">
        <v>45350</v>
      </c>
      <c r="P122" s="3258" t="s">
        <v>6315</v>
      </c>
      <c r="Q122" s="4839" t="s">
        <v>35</v>
      </c>
      <c r="R122" s="1432" t="s">
        <v>36</v>
      </c>
      <c r="S122" s="18" t="s">
        <v>37</v>
      </c>
      <c r="T122" s="93">
        <v>1858.5</v>
      </c>
      <c r="U122" s="93">
        <v>1630</v>
      </c>
      <c r="V122" s="93"/>
      <c r="W122" s="93"/>
      <c r="X122" s="2246"/>
      <c r="Y122" s="93"/>
      <c r="Z122" s="1068"/>
    </row>
    <row r="123" spans="1:26">
      <c r="A123" s="4646" t="s">
        <v>1431</v>
      </c>
      <c r="B123" s="5351" t="s">
        <v>6316</v>
      </c>
      <c r="C123" s="4861" t="s">
        <v>28</v>
      </c>
      <c r="D123" s="4953">
        <v>45336</v>
      </c>
      <c r="E123" s="3535">
        <v>45345</v>
      </c>
      <c r="F123" s="4861" t="s">
        <v>285</v>
      </c>
      <c r="G123" s="4861" t="s">
        <v>669</v>
      </c>
      <c r="H123" s="4991">
        <v>45350</v>
      </c>
      <c r="I123" s="5352"/>
      <c r="J123" s="3523" t="s">
        <v>32</v>
      </c>
      <c r="K123" s="4861" t="s">
        <v>1433</v>
      </c>
      <c r="L123" s="4902" t="s">
        <v>6317</v>
      </c>
      <c r="M123" s="4991">
        <v>45348</v>
      </c>
      <c r="N123" s="5353">
        <v>45348</v>
      </c>
      <c r="O123" s="4863">
        <v>45350</v>
      </c>
      <c r="P123" s="4882" t="s">
        <v>6318</v>
      </c>
      <c r="Q123" s="4839" t="s">
        <v>35</v>
      </c>
      <c r="R123" s="1432" t="s">
        <v>36</v>
      </c>
      <c r="S123" s="18" t="s">
        <v>37</v>
      </c>
      <c r="T123" s="93">
        <v>1701</v>
      </c>
      <c r="U123" s="93">
        <v>1525</v>
      </c>
      <c r="V123" s="93"/>
      <c r="W123" s="93"/>
      <c r="X123" s="2246"/>
      <c r="Y123" s="93"/>
      <c r="Z123" s="1068"/>
    </row>
    <row r="124" spans="1:26" ht="75">
      <c r="A124" s="4607" t="s">
        <v>468</v>
      </c>
      <c r="B124" s="5354" t="s">
        <v>6319</v>
      </c>
      <c r="C124" s="4845" t="s">
        <v>28</v>
      </c>
      <c r="D124" s="4906">
        <v>45345</v>
      </c>
      <c r="E124" s="4916">
        <v>45345</v>
      </c>
      <c r="F124" s="4845" t="s">
        <v>260</v>
      </c>
      <c r="G124" s="4964" t="s">
        <v>4355</v>
      </c>
      <c r="H124" s="4917">
        <v>45355</v>
      </c>
      <c r="I124" s="4938" t="s">
        <v>618</v>
      </c>
      <c r="J124" s="3268" t="s">
        <v>6320</v>
      </c>
      <c r="K124" s="4909" t="s">
        <v>6321</v>
      </c>
      <c r="L124" s="4938" t="s">
        <v>1642</v>
      </c>
      <c r="M124" s="4844">
        <v>45351</v>
      </c>
      <c r="N124" s="4844">
        <v>45352</v>
      </c>
      <c r="O124" s="4906">
        <v>45355</v>
      </c>
      <c r="P124" s="4246" t="s">
        <v>6322</v>
      </c>
      <c r="Q124" s="4845" t="s">
        <v>75</v>
      </c>
      <c r="R124" s="2140" t="s">
        <v>6323</v>
      </c>
      <c r="S124" s="120"/>
      <c r="T124" s="2368" t="s">
        <v>6324</v>
      </c>
      <c r="U124" s="694">
        <v>706.76</v>
      </c>
      <c r="V124" s="694">
        <v>1</v>
      </c>
      <c r="W124" s="2369">
        <f>表12_14[[#This Row],[Sales Amount]]-表12_14[[#This Row],[Cost]]</f>
        <v>192.54999999999995</v>
      </c>
      <c r="X124" s="1041" t="str">
        <f>IFERROR(Table6[[#This Row],[Profit]]/Table6[[#This Row],[Cost]]," ")</f>
        <v xml:space="preserve"> </v>
      </c>
      <c r="Y124" s="679"/>
      <c r="Z124" s="2370"/>
    </row>
    <row r="125" spans="1:26" s="117" customFormat="1" ht="75">
      <c r="A125" s="4607" t="s">
        <v>468</v>
      </c>
      <c r="B125" s="5354" t="s">
        <v>6325</v>
      </c>
      <c r="C125" s="4845" t="s">
        <v>200</v>
      </c>
      <c r="D125" s="4906">
        <v>45345</v>
      </c>
      <c r="E125" s="4916">
        <v>45345</v>
      </c>
      <c r="F125" s="4845" t="s">
        <v>260</v>
      </c>
      <c r="G125" s="4947" t="s">
        <v>4355</v>
      </c>
      <c r="H125" s="4917">
        <v>45355</v>
      </c>
      <c r="I125" s="4938" t="s">
        <v>445</v>
      </c>
      <c r="J125" s="3268" t="s">
        <v>6320</v>
      </c>
      <c r="K125" s="4947" t="s">
        <v>6321</v>
      </c>
      <c r="L125" s="4938" t="s">
        <v>1642</v>
      </c>
      <c r="M125" s="4844">
        <v>45351</v>
      </c>
      <c r="N125" s="4844">
        <v>45352</v>
      </c>
      <c r="O125" s="4906">
        <v>45355</v>
      </c>
      <c r="P125" s="4909" t="s">
        <v>6326</v>
      </c>
      <c r="Q125" s="4845" t="s">
        <v>75</v>
      </c>
      <c r="R125" s="2140" t="s">
        <v>6327</v>
      </c>
      <c r="S125" s="120"/>
      <c r="T125" s="2368" t="s">
        <v>6324</v>
      </c>
      <c r="U125" s="694">
        <v>706.76</v>
      </c>
      <c r="V125" s="694">
        <v>1</v>
      </c>
      <c r="W125" s="2369">
        <f>表12_14[[#This Row],[Sales Amount]]-表12_14[[#This Row],[Cost]]</f>
        <v>192.54999999999995</v>
      </c>
      <c r="X125" s="1811">
        <f>IFERROR(Table6[[#This Row],[Profit]]/Table6[[#This Row],[Cost]]," ")</f>
        <v>0.36044176706827308</v>
      </c>
      <c r="Y125" s="679"/>
      <c r="Z125" s="2370"/>
    </row>
    <row r="126" spans="1:26" s="117" customFormat="1" ht="30">
      <c r="A126" s="4603" t="s">
        <v>263</v>
      </c>
      <c r="B126" s="5331" t="s">
        <v>6328</v>
      </c>
      <c r="C126" s="4845" t="s">
        <v>44</v>
      </c>
      <c r="D126" s="4906">
        <v>45346</v>
      </c>
      <c r="E126" s="4906">
        <v>45346</v>
      </c>
      <c r="F126" s="4845" t="s">
        <v>135</v>
      </c>
      <c r="G126" s="4845" t="s">
        <v>5798</v>
      </c>
      <c r="H126" s="4906">
        <v>45352</v>
      </c>
      <c r="I126" s="4963">
        <v>0.375</v>
      </c>
      <c r="J126" s="3268" t="s">
        <v>2492</v>
      </c>
      <c r="K126" s="4845" t="s">
        <v>5799</v>
      </c>
      <c r="L126" s="4845"/>
      <c r="M126" s="4906">
        <v>45351</v>
      </c>
      <c r="N126" s="4906">
        <v>45351</v>
      </c>
      <c r="O126" s="4906">
        <v>45355</v>
      </c>
      <c r="P126" s="5355" t="s">
        <v>6329</v>
      </c>
      <c r="Q126" s="4845" t="s">
        <v>128</v>
      </c>
      <c r="R126" s="2463" t="s">
        <v>6330</v>
      </c>
      <c r="S126" s="120"/>
      <c r="T126" s="2461">
        <v>1885.66</v>
      </c>
      <c r="U126" s="2461">
        <f>1525+60</f>
        <v>1585</v>
      </c>
      <c r="V126" s="33">
        <v>1</v>
      </c>
      <c r="W126" s="2461">
        <f>表12_14[[#This Row],[Sales Amount]]-表12_14[[#This Row],[Cost]]</f>
        <v>300.66000000000008</v>
      </c>
      <c r="X126" s="2462">
        <f>表12_14[[#This Row],[Profit]]/表12_14[[#This Row],[Cost]]</f>
        <v>0.18969085173501582</v>
      </c>
      <c r="Y126" s="33"/>
      <c r="Z126" s="2354"/>
    </row>
    <row r="127" spans="1:26" s="117" customFormat="1" ht="30">
      <c r="A127" s="4603" t="s">
        <v>263</v>
      </c>
      <c r="B127" s="5331" t="s">
        <v>6331</v>
      </c>
      <c r="C127" s="4845" t="s">
        <v>44</v>
      </c>
      <c r="D127" s="4906">
        <v>45346</v>
      </c>
      <c r="E127" s="4906">
        <v>45346</v>
      </c>
      <c r="F127" s="4845" t="s">
        <v>135</v>
      </c>
      <c r="G127" s="4845" t="s">
        <v>5798</v>
      </c>
      <c r="H127" s="4906">
        <v>45356</v>
      </c>
      <c r="I127" s="4963">
        <v>0.375</v>
      </c>
      <c r="J127" s="3268" t="s">
        <v>2492</v>
      </c>
      <c r="K127" s="4845" t="s">
        <v>5799</v>
      </c>
      <c r="L127" s="4845"/>
      <c r="M127" s="4906">
        <v>45351</v>
      </c>
      <c r="N127" s="4906">
        <v>45351</v>
      </c>
      <c r="O127" s="4906">
        <v>45351</v>
      </c>
      <c r="P127" s="4937" t="s">
        <v>6329</v>
      </c>
      <c r="Q127" s="4845" t="s">
        <v>128</v>
      </c>
      <c r="R127" s="2463" t="s">
        <v>6330</v>
      </c>
      <c r="S127" s="120"/>
      <c r="T127" s="2461">
        <v>1885.65</v>
      </c>
      <c r="U127" s="2461">
        <f>1525+60</f>
        <v>1585</v>
      </c>
      <c r="V127" s="33">
        <v>1</v>
      </c>
      <c r="W127" s="2461">
        <f>表12_14[[#This Row],[Sales Amount]]-表12_14[[#This Row],[Cost]]</f>
        <v>300.65000000000009</v>
      </c>
      <c r="X127" s="2462">
        <f>表12_14[[#This Row],[Profit]]/表12_14[[#This Row],[Cost]]</f>
        <v>0.18968454258675085</v>
      </c>
      <c r="Y127" s="33"/>
      <c r="Z127" s="2354"/>
    </row>
    <row r="128" spans="1:26" s="117" customFormat="1">
      <c r="A128" s="3417" t="s">
        <v>409</v>
      </c>
      <c r="B128" s="3575" t="s">
        <v>6332</v>
      </c>
      <c r="C128" s="3520" t="s">
        <v>28</v>
      </c>
      <c r="D128" s="3262">
        <v>45330</v>
      </c>
      <c r="E128" s="3264">
        <v>45346</v>
      </c>
      <c r="F128" s="3520" t="s">
        <v>86</v>
      </c>
      <c r="G128" s="3520" t="s">
        <v>669</v>
      </c>
      <c r="H128" s="3268"/>
      <c r="I128" s="3268"/>
      <c r="J128" s="3576" t="s">
        <v>32</v>
      </c>
      <c r="K128" s="3520" t="s">
        <v>310</v>
      </c>
      <c r="L128" s="3274" t="s">
        <v>6333</v>
      </c>
      <c r="M128" s="3541">
        <v>45347</v>
      </c>
      <c r="N128" s="3541">
        <v>45348</v>
      </c>
      <c r="O128" s="3541">
        <v>45350</v>
      </c>
      <c r="P128" s="3542" t="s">
        <v>6334</v>
      </c>
      <c r="Q128" s="3268" t="s">
        <v>89</v>
      </c>
      <c r="R128" s="1723" t="s">
        <v>6335</v>
      </c>
      <c r="S128" s="660"/>
      <c r="T128" s="660"/>
      <c r="U128" s="660"/>
      <c r="V128" s="660"/>
      <c r="W128" s="660"/>
      <c r="X128" s="2282"/>
      <c r="Y128" s="660"/>
      <c r="Z128" s="113"/>
    </row>
    <row r="129" spans="1:26" s="709" customFormat="1" ht="17.25">
      <c r="A129" s="4648" t="s">
        <v>4793</v>
      </c>
      <c r="B129" s="5356" t="s">
        <v>6336</v>
      </c>
      <c r="C129" s="5357" t="s">
        <v>28</v>
      </c>
      <c r="D129" s="4953">
        <v>45331</v>
      </c>
      <c r="E129" s="3535">
        <v>45346</v>
      </c>
      <c r="F129" s="5357" t="s">
        <v>45</v>
      </c>
      <c r="G129" s="5357" t="s">
        <v>46</v>
      </c>
      <c r="H129" s="4861"/>
      <c r="I129" s="4861"/>
      <c r="J129" s="3602" t="s">
        <v>32</v>
      </c>
      <c r="K129" s="5357" t="s">
        <v>310</v>
      </c>
      <c r="L129" s="2439">
        <v>742356</v>
      </c>
      <c r="M129" s="4863">
        <v>45348</v>
      </c>
      <c r="N129" s="4863">
        <v>45347</v>
      </c>
      <c r="O129" s="4863">
        <v>45349</v>
      </c>
      <c r="P129" s="5358" t="s">
        <v>6337</v>
      </c>
      <c r="Q129" s="5359" t="s">
        <v>89</v>
      </c>
      <c r="R129" s="2345" t="s">
        <v>6338</v>
      </c>
      <c r="S129" s="718"/>
      <c r="T129" s="718"/>
      <c r="U129" s="718"/>
      <c r="V129" s="718"/>
      <c r="W129" s="718"/>
      <c r="X129" s="718"/>
      <c r="Y129" s="718"/>
      <c r="Z129" s="1349"/>
    </row>
    <row r="130" spans="1:26" s="2335" customFormat="1" ht="45">
      <c r="A130" s="4607" t="s">
        <v>468</v>
      </c>
      <c r="B130" s="5331" t="s">
        <v>6339</v>
      </c>
      <c r="C130" s="4845" t="s">
        <v>200</v>
      </c>
      <c r="D130" s="4906">
        <v>45331</v>
      </c>
      <c r="E130" s="3264">
        <v>45346</v>
      </c>
      <c r="F130" s="4845" t="s">
        <v>245</v>
      </c>
      <c r="G130" s="4845" t="s">
        <v>57</v>
      </c>
      <c r="H130" s="4906">
        <v>45349</v>
      </c>
      <c r="I130" s="4947"/>
      <c r="J130" s="4845" t="s">
        <v>297</v>
      </c>
      <c r="K130" s="4845" t="s">
        <v>6173</v>
      </c>
      <c r="L130" s="4845">
        <v>2501908</v>
      </c>
      <c r="M130" s="4906">
        <v>45348</v>
      </c>
      <c r="N130" s="4906">
        <v>45348</v>
      </c>
      <c r="O130" s="4906">
        <v>45349</v>
      </c>
      <c r="P130" s="4932" t="s">
        <v>6340</v>
      </c>
      <c r="Q130" s="4845" t="s">
        <v>75</v>
      </c>
      <c r="R130" s="2140" t="s">
        <v>6341</v>
      </c>
      <c r="S130" s="120"/>
      <c r="T130" s="2128">
        <v>1745</v>
      </c>
      <c r="U130" s="2333">
        <v>1473.2</v>
      </c>
      <c r="V130" s="120">
        <v>1</v>
      </c>
      <c r="W130" s="2126">
        <f>表12_14[[#This Row],[Sales Amount]]-表12_14[[#This Row],[Cost]]</f>
        <v>271.79999999999995</v>
      </c>
      <c r="X130" s="885">
        <f>表12_14[[#This Row],[Profit]]/表12_14[[#This Row],[Cost]]</f>
        <v>0.18449633450991038</v>
      </c>
      <c r="Y130" s="120"/>
      <c r="Z130" s="1209"/>
    </row>
    <row r="131" spans="1:26" s="117" customFormat="1" ht="45">
      <c r="A131" s="4643" t="s">
        <v>122</v>
      </c>
      <c r="B131" s="5331" t="s">
        <v>6342</v>
      </c>
      <c r="C131" s="4845" t="s">
        <v>44</v>
      </c>
      <c r="D131" s="4906">
        <v>45346</v>
      </c>
      <c r="E131" s="4916">
        <v>45346</v>
      </c>
      <c r="F131" s="4845" t="s">
        <v>45</v>
      </c>
      <c r="G131" s="4845" t="s">
        <v>3714</v>
      </c>
      <c r="H131" s="4845"/>
      <c r="I131" s="4947"/>
      <c r="J131" s="4938" t="s">
        <v>6343</v>
      </c>
      <c r="K131" s="5360" t="s">
        <v>6344</v>
      </c>
      <c r="L131" s="4938" t="s">
        <v>162</v>
      </c>
      <c r="M131" s="4918">
        <v>45352</v>
      </c>
      <c r="N131" s="4918">
        <v>45352</v>
      </c>
      <c r="O131" s="4960">
        <v>45357</v>
      </c>
      <c r="P131" s="5355" t="s">
        <v>6345</v>
      </c>
      <c r="Q131" s="4938" t="s">
        <v>75</v>
      </c>
      <c r="R131" s="2140" t="s">
        <v>6346</v>
      </c>
      <c r="S131" s="120"/>
      <c r="T131" s="120"/>
      <c r="U131" s="120"/>
      <c r="V131" s="120"/>
      <c r="W131" s="120"/>
      <c r="X131" s="120"/>
      <c r="Y131" s="120"/>
      <c r="Z131" s="1209"/>
    </row>
    <row r="132" spans="1:26" s="117" customFormat="1">
      <c r="A132" s="3417" t="s">
        <v>409</v>
      </c>
      <c r="B132" s="5361" t="s">
        <v>6347</v>
      </c>
      <c r="C132" s="5321" t="s">
        <v>28</v>
      </c>
      <c r="D132" s="4906">
        <v>45331</v>
      </c>
      <c r="E132" s="4916">
        <v>45346</v>
      </c>
      <c r="F132" s="5321" t="s">
        <v>1017</v>
      </c>
      <c r="G132" s="5321" t="s">
        <v>669</v>
      </c>
      <c r="H132" s="4845"/>
      <c r="I132" s="4845"/>
      <c r="J132" s="5362" t="s">
        <v>32</v>
      </c>
      <c r="K132" s="5321" t="s">
        <v>310</v>
      </c>
      <c r="L132" s="5363" t="s">
        <v>6348</v>
      </c>
      <c r="M132" s="5364">
        <v>45348</v>
      </c>
      <c r="N132" s="4960">
        <v>45347</v>
      </c>
      <c r="O132" s="4960">
        <v>45350</v>
      </c>
      <c r="P132" s="4937" t="s">
        <v>6349</v>
      </c>
      <c r="Q132" s="4845" t="s">
        <v>50</v>
      </c>
      <c r="R132" s="2284" t="s">
        <v>6350</v>
      </c>
      <c r="S132" s="120"/>
      <c r="T132" s="120"/>
      <c r="U132" s="120"/>
      <c r="V132" s="120"/>
      <c r="W132" s="120"/>
      <c r="X132" s="2305"/>
      <c r="Y132" s="120"/>
      <c r="Z132" s="1209"/>
    </row>
    <row r="133" spans="1:26" s="709" customFormat="1">
      <c r="A133" s="3417" t="s">
        <v>409</v>
      </c>
      <c r="B133" s="5323" t="s">
        <v>6351</v>
      </c>
      <c r="C133" s="4861" t="s">
        <v>28</v>
      </c>
      <c r="D133" s="4953">
        <v>45339</v>
      </c>
      <c r="E133" s="4885">
        <v>45367</v>
      </c>
      <c r="F133" s="4861" t="s">
        <v>2225</v>
      </c>
      <c r="G133" s="4902" t="s">
        <v>1350</v>
      </c>
      <c r="J133" s="5077" t="s">
        <v>32</v>
      </c>
      <c r="K133" s="4882" t="s">
        <v>310</v>
      </c>
      <c r="L133" s="707">
        <v>4452792</v>
      </c>
      <c r="M133" s="4991">
        <v>45368</v>
      </c>
      <c r="N133" s="4863">
        <v>45367</v>
      </c>
      <c r="O133" s="4863">
        <v>45371</v>
      </c>
      <c r="P133" s="4871" t="s">
        <v>6352</v>
      </c>
      <c r="Q133" s="4861" t="s">
        <v>89</v>
      </c>
      <c r="R133" s="2345" t="s">
        <v>6353</v>
      </c>
      <c r="S133" s="718"/>
      <c r="T133" s="718"/>
      <c r="U133" s="718"/>
      <c r="V133" s="718"/>
      <c r="W133" s="718"/>
      <c r="X133" s="2426"/>
      <c r="Y133" s="718"/>
      <c r="Z133" s="1349"/>
    </row>
    <row r="134" spans="1:26" s="117" customFormat="1" ht="17.25">
      <c r="A134" s="4645" t="s">
        <v>6354</v>
      </c>
      <c r="B134" s="2586" t="s">
        <v>6355</v>
      </c>
      <c r="C134" s="5321" t="s">
        <v>28</v>
      </c>
      <c r="D134" s="822">
        <v>45336</v>
      </c>
      <c r="E134" s="4916">
        <v>45346</v>
      </c>
      <c r="F134" s="5321" t="s">
        <v>56</v>
      </c>
      <c r="G134" s="5321" t="s">
        <v>669</v>
      </c>
      <c r="H134" s="4845"/>
      <c r="I134" s="4845"/>
      <c r="J134" s="2331" t="s">
        <v>32</v>
      </c>
      <c r="K134" s="5321" t="s">
        <v>310</v>
      </c>
      <c r="L134" s="5365" t="s">
        <v>6356</v>
      </c>
      <c r="M134" s="5364">
        <v>45348</v>
      </c>
      <c r="N134" s="4960">
        <v>45348</v>
      </c>
      <c r="O134" s="4960">
        <v>45349</v>
      </c>
      <c r="P134" s="4937" t="s">
        <v>6357</v>
      </c>
      <c r="Q134" s="4845" t="s">
        <v>89</v>
      </c>
      <c r="R134" s="2284" t="s">
        <v>6358</v>
      </c>
      <c r="S134" s="120"/>
      <c r="T134" s="120"/>
      <c r="U134" s="120"/>
      <c r="V134" s="120"/>
      <c r="W134" s="120"/>
      <c r="X134" s="2305"/>
      <c r="Y134" s="120"/>
      <c r="Z134" s="1209"/>
    </row>
    <row r="135" spans="1:26" s="117" customFormat="1">
      <c r="A135" s="3417" t="s">
        <v>409</v>
      </c>
      <c r="B135" s="3575" t="s">
        <v>6359</v>
      </c>
      <c r="C135" s="3268" t="s">
        <v>28</v>
      </c>
      <c r="D135" s="3262">
        <v>45323</v>
      </c>
      <c r="E135" s="4916">
        <v>45347</v>
      </c>
      <c r="F135" s="3462" t="s">
        <v>151</v>
      </c>
      <c r="G135" s="5243" t="s">
        <v>46</v>
      </c>
      <c r="H135" s="3262"/>
      <c r="I135" s="3268"/>
      <c r="J135" s="3560" t="s">
        <v>32</v>
      </c>
      <c r="K135" s="3268" t="s">
        <v>310</v>
      </c>
      <c r="L135" s="5297" t="s">
        <v>6360</v>
      </c>
      <c r="M135" s="3262">
        <v>45349</v>
      </c>
      <c r="N135" s="3541">
        <v>45349</v>
      </c>
      <c r="O135" s="3541">
        <v>45353</v>
      </c>
      <c r="P135" s="3542" t="s">
        <v>6361</v>
      </c>
      <c r="Q135" s="3268" t="s">
        <v>50</v>
      </c>
      <c r="R135" s="1723" t="s">
        <v>6362</v>
      </c>
      <c r="S135" s="660"/>
      <c r="T135" s="693"/>
      <c r="U135" s="693"/>
      <c r="V135" s="693"/>
      <c r="W135" s="693"/>
      <c r="X135" s="693"/>
      <c r="Y135" s="693"/>
      <c r="Z135" s="899"/>
    </row>
    <row r="136" spans="1:26" s="709" customFormat="1">
      <c r="A136" s="3603" t="s">
        <v>4793</v>
      </c>
      <c r="B136" s="2587" t="s">
        <v>6363</v>
      </c>
      <c r="C136" s="3602" t="s">
        <v>28</v>
      </c>
      <c r="D136" s="3558">
        <v>45331</v>
      </c>
      <c r="E136" s="3535">
        <v>45347</v>
      </c>
      <c r="F136" s="3602" t="s">
        <v>45</v>
      </c>
      <c r="G136" s="5348" t="s">
        <v>46</v>
      </c>
      <c r="H136" s="3246"/>
      <c r="I136" s="3246"/>
      <c r="J136" s="3602" t="s">
        <v>32</v>
      </c>
      <c r="K136" s="5348" t="s">
        <v>310</v>
      </c>
      <c r="L136" s="4861" t="s">
        <v>6364</v>
      </c>
      <c r="M136" s="3525">
        <v>45349</v>
      </c>
      <c r="N136" s="3525">
        <v>45349</v>
      </c>
      <c r="O136" s="3525">
        <v>45351</v>
      </c>
      <c r="P136" s="3604" t="s">
        <v>6365</v>
      </c>
      <c r="Q136" s="3523" t="s">
        <v>89</v>
      </c>
      <c r="R136" s="2384" t="s">
        <v>6366</v>
      </c>
      <c r="S136" s="2385"/>
      <c r="T136" s="2385"/>
      <c r="U136" s="2385"/>
      <c r="V136" s="2385"/>
      <c r="W136" s="2385"/>
      <c r="X136" s="2385"/>
      <c r="Y136" s="2385"/>
      <c r="Z136" s="914"/>
    </row>
    <row r="137" spans="1:26" s="709" customFormat="1">
      <c r="A137" s="3603" t="s">
        <v>4793</v>
      </c>
      <c r="B137" s="2587" t="s">
        <v>6367</v>
      </c>
      <c r="C137" s="3589" t="s">
        <v>28</v>
      </c>
      <c r="D137" s="3558">
        <v>45331</v>
      </c>
      <c r="E137" s="3535">
        <v>45347</v>
      </c>
      <c r="F137" s="3589" t="s">
        <v>45</v>
      </c>
      <c r="G137" s="5341" t="s">
        <v>46</v>
      </c>
      <c r="H137" s="3246"/>
      <c r="I137" s="3246"/>
      <c r="J137" s="3602" t="s">
        <v>32</v>
      </c>
      <c r="K137" s="3589" t="s">
        <v>310</v>
      </c>
      <c r="L137" s="709" t="s">
        <v>6368</v>
      </c>
      <c r="M137" s="3525">
        <v>45349</v>
      </c>
      <c r="N137" s="3525">
        <v>45349</v>
      </c>
      <c r="O137" s="3525">
        <v>45351</v>
      </c>
      <c r="P137" s="3605" t="s">
        <v>6369</v>
      </c>
      <c r="Q137" s="3434" t="s">
        <v>50</v>
      </c>
      <c r="R137" s="2384" t="s">
        <v>6370</v>
      </c>
      <c r="S137" s="2385"/>
      <c r="T137" s="2385"/>
      <c r="U137" s="2385"/>
      <c r="V137" s="2385"/>
      <c r="W137" s="2385"/>
      <c r="X137" s="2385"/>
      <c r="Y137" s="2385"/>
      <c r="Z137" s="914"/>
    </row>
    <row r="138" spans="1:26" s="117" customFormat="1">
      <c r="A138" s="3417" t="s">
        <v>409</v>
      </c>
      <c r="B138" s="2585" t="s">
        <v>6371</v>
      </c>
      <c r="C138" s="3576" t="s">
        <v>28</v>
      </c>
      <c r="D138" s="3565">
        <v>45331</v>
      </c>
      <c r="E138" s="3264">
        <v>45347</v>
      </c>
      <c r="F138" s="3576" t="s">
        <v>45</v>
      </c>
      <c r="G138" s="5366" t="s">
        <v>46</v>
      </c>
      <c r="H138" s="3268"/>
      <c r="I138" s="3268"/>
      <c r="J138" s="3572" t="s">
        <v>32</v>
      </c>
      <c r="K138" s="3576" t="s">
        <v>310</v>
      </c>
      <c r="L138" s="4845" t="s">
        <v>6372</v>
      </c>
      <c r="M138" s="3566">
        <v>45349</v>
      </c>
      <c r="N138" s="3566">
        <v>45349</v>
      </c>
      <c r="O138" s="3566">
        <v>45350</v>
      </c>
      <c r="P138" s="3568" t="s">
        <v>6373</v>
      </c>
      <c r="Q138" s="3462" t="s">
        <v>89</v>
      </c>
      <c r="R138" s="2364" t="s">
        <v>6374</v>
      </c>
      <c r="S138" s="1012"/>
      <c r="T138" s="1012"/>
      <c r="U138" s="1012"/>
      <c r="V138" s="1012"/>
      <c r="W138" s="1012"/>
      <c r="X138" s="1012"/>
      <c r="Y138" s="1012"/>
      <c r="Z138" s="907"/>
    </row>
    <row r="139" spans="1:26" s="1188" customFormat="1">
      <c r="A139" s="3417" t="s">
        <v>409</v>
      </c>
      <c r="B139" s="2566" t="s">
        <v>6375</v>
      </c>
      <c r="C139" s="3258" t="s">
        <v>28</v>
      </c>
      <c r="D139" s="3534">
        <v>45331</v>
      </c>
      <c r="E139" s="3535">
        <v>45347</v>
      </c>
      <c r="F139" s="3246" t="s">
        <v>45</v>
      </c>
      <c r="G139" s="4861" t="s">
        <v>669</v>
      </c>
      <c r="H139" s="3246"/>
      <c r="I139" s="3246"/>
      <c r="J139" s="3530" t="s">
        <v>32</v>
      </c>
      <c r="K139" s="3258" t="s">
        <v>310</v>
      </c>
      <c r="L139" s="4861" t="s">
        <v>6376</v>
      </c>
      <c r="M139" s="3524">
        <v>45349</v>
      </c>
      <c r="N139" s="3526">
        <v>45349</v>
      </c>
      <c r="O139" s="3526">
        <v>45351</v>
      </c>
      <c r="P139" s="3283" t="s">
        <v>6377</v>
      </c>
      <c r="Q139" s="3246" t="s">
        <v>50</v>
      </c>
      <c r="R139" s="2346" t="s">
        <v>6288</v>
      </c>
      <c r="S139" s="727"/>
      <c r="T139" s="727"/>
      <c r="U139" s="727"/>
      <c r="V139" s="727"/>
      <c r="W139" s="727"/>
      <c r="X139" s="2315"/>
      <c r="Y139" s="727"/>
      <c r="Z139" s="711"/>
    </row>
    <row r="140" spans="1:26" s="117" customFormat="1">
      <c r="A140" s="3417" t="s">
        <v>409</v>
      </c>
      <c r="B140" s="3571" t="s">
        <v>6378</v>
      </c>
      <c r="C140" s="3576" t="s">
        <v>28</v>
      </c>
      <c r="D140" s="3565">
        <v>45337</v>
      </c>
      <c r="E140" s="3264">
        <v>45347</v>
      </c>
      <c r="F140" s="3576" t="s">
        <v>1017</v>
      </c>
      <c r="G140" s="5366" t="s">
        <v>669</v>
      </c>
      <c r="H140" s="3268"/>
      <c r="I140" s="3268"/>
      <c r="J140" s="3572" t="s">
        <v>32</v>
      </c>
      <c r="K140" s="3576" t="s">
        <v>310</v>
      </c>
      <c r="L140" s="117" t="s">
        <v>6379</v>
      </c>
      <c r="M140" s="3606">
        <v>45349</v>
      </c>
      <c r="N140" s="3566">
        <v>45349</v>
      </c>
      <c r="O140" s="3566">
        <v>45350</v>
      </c>
      <c r="P140" s="3568" t="s">
        <v>6380</v>
      </c>
      <c r="Q140" s="3462" t="s">
        <v>50</v>
      </c>
      <c r="R140" s="2364" t="s">
        <v>6381</v>
      </c>
      <c r="S140" s="1012"/>
      <c r="T140" s="1012"/>
      <c r="U140" s="1012"/>
      <c r="V140" s="1012"/>
      <c r="W140" s="1012"/>
      <c r="X140" s="2366"/>
      <c r="Y140" s="1012"/>
      <c r="Z140" s="907"/>
    </row>
    <row r="141" spans="1:26" s="2335" customFormat="1" ht="30">
      <c r="A141" s="3417" t="s">
        <v>409</v>
      </c>
      <c r="B141" s="2586" t="s">
        <v>6382</v>
      </c>
      <c r="C141" s="2331" t="s">
        <v>28</v>
      </c>
      <c r="D141" s="3565">
        <v>45337</v>
      </c>
      <c r="E141" s="3264">
        <v>45347</v>
      </c>
      <c r="F141" s="2331" t="s">
        <v>1017</v>
      </c>
      <c r="G141" s="5366" t="s">
        <v>669</v>
      </c>
      <c r="H141" s="3268"/>
      <c r="I141" s="3268"/>
      <c r="J141" s="2336" t="s">
        <v>32</v>
      </c>
      <c r="K141" s="2331" t="s">
        <v>310</v>
      </c>
      <c r="L141" s="1061" t="s">
        <v>6383</v>
      </c>
      <c r="M141" s="3606">
        <v>45349</v>
      </c>
      <c r="N141" s="3566">
        <v>45351</v>
      </c>
      <c r="O141" s="3566">
        <v>45353</v>
      </c>
      <c r="P141" s="3568" t="s">
        <v>6384</v>
      </c>
      <c r="Q141" s="3462" t="s">
        <v>50</v>
      </c>
      <c r="R141" s="2364" t="s">
        <v>6385</v>
      </c>
      <c r="S141" s="1012"/>
      <c r="T141" s="1012"/>
      <c r="U141" s="1012"/>
      <c r="V141" s="1012"/>
      <c r="W141" s="1012"/>
      <c r="X141" s="2366"/>
      <c r="Y141" s="1012"/>
      <c r="Z141" s="907"/>
    </row>
    <row r="142" spans="1:26" s="709" customFormat="1">
      <c r="A142" s="3603" t="s">
        <v>3343</v>
      </c>
      <c r="B142" s="2587" t="s">
        <v>6386</v>
      </c>
      <c r="C142" s="2387" t="s">
        <v>28</v>
      </c>
      <c r="D142" s="3558">
        <v>45337</v>
      </c>
      <c r="E142" s="877">
        <v>45347</v>
      </c>
      <c r="F142" s="2387" t="s">
        <v>45</v>
      </c>
      <c r="G142" s="5341" t="s">
        <v>669</v>
      </c>
      <c r="H142" s="3246"/>
      <c r="I142" s="3246"/>
      <c r="J142" s="2388" t="s">
        <v>32</v>
      </c>
      <c r="K142" s="2387" t="s">
        <v>310</v>
      </c>
      <c r="L142" s="707" t="s">
        <v>6387</v>
      </c>
      <c r="M142" s="3524">
        <v>45349</v>
      </c>
      <c r="N142" s="3525">
        <v>45349</v>
      </c>
      <c r="O142" s="3525">
        <v>45350</v>
      </c>
      <c r="P142" s="3605" t="s">
        <v>6388</v>
      </c>
      <c r="Q142" s="3434" t="s">
        <v>50</v>
      </c>
      <c r="R142" s="2384" t="s">
        <v>6389</v>
      </c>
      <c r="S142" s="2385"/>
      <c r="T142" s="2385"/>
      <c r="U142" s="2385"/>
      <c r="V142" s="2385"/>
      <c r="W142" s="2385"/>
      <c r="X142" s="2386"/>
      <c r="Y142" s="2385"/>
      <c r="Z142" s="914"/>
    </row>
    <row r="143" spans="1:26" s="709" customFormat="1">
      <c r="A143" s="3527" t="s">
        <v>3343</v>
      </c>
      <c r="B143" s="2566" t="s">
        <v>6390</v>
      </c>
      <c r="C143" s="707" t="s">
        <v>28</v>
      </c>
      <c r="D143" s="3534">
        <v>45340</v>
      </c>
      <c r="E143" s="877">
        <v>45366</v>
      </c>
      <c r="F143" s="709" t="s">
        <v>45</v>
      </c>
      <c r="G143" s="4861" t="s">
        <v>669</v>
      </c>
      <c r="H143" s="3246"/>
      <c r="I143" s="3246"/>
      <c r="J143" s="1651" t="s">
        <v>32</v>
      </c>
      <c r="K143" s="707" t="s">
        <v>310</v>
      </c>
      <c r="L143" s="707" t="s">
        <v>6391</v>
      </c>
      <c r="M143" s="3524">
        <v>45368</v>
      </c>
      <c r="N143" s="3526">
        <v>45366</v>
      </c>
      <c r="O143" s="3526">
        <v>45369</v>
      </c>
      <c r="P143" s="3283" t="s">
        <v>6392</v>
      </c>
      <c r="Q143" s="3246" t="s">
        <v>50</v>
      </c>
      <c r="R143" s="2346" t="s">
        <v>6393</v>
      </c>
      <c r="S143" s="727"/>
      <c r="T143" s="727"/>
      <c r="U143" s="727"/>
      <c r="V143" s="727"/>
      <c r="W143" s="727"/>
      <c r="X143" s="2315"/>
      <c r="Y143" s="727"/>
      <c r="Z143" s="711"/>
    </row>
    <row r="144" spans="1:26" s="709" customFormat="1">
      <c r="A144" s="718" t="s">
        <v>3343</v>
      </c>
      <c r="B144" s="2567" t="s">
        <v>6394</v>
      </c>
      <c r="C144" s="656" t="s">
        <v>28</v>
      </c>
      <c r="D144" s="1016">
        <v>45340</v>
      </c>
      <c r="E144" s="877">
        <v>45366</v>
      </c>
      <c r="F144" s="718" t="s">
        <v>45</v>
      </c>
      <c r="G144" s="718" t="s">
        <v>669</v>
      </c>
      <c r="H144" s="718"/>
      <c r="I144" s="718"/>
      <c r="J144" s="5077" t="s">
        <v>32</v>
      </c>
      <c r="K144" s="656" t="s">
        <v>310</v>
      </c>
      <c r="L144" s="707" t="s">
        <v>6395</v>
      </c>
      <c r="M144" s="6049">
        <v>45368</v>
      </c>
      <c r="N144" s="1015">
        <v>45366</v>
      </c>
      <c r="O144" s="1015">
        <v>45369</v>
      </c>
      <c r="P144" s="1151" t="s">
        <v>6396</v>
      </c>
      <c r="Q144" s="718" t="s">
        <v>50</v>
      </c>
      <c r="R144" s="718" t="s">
        <v>6397</v>
      </c>
      <c r="S144" s="718"/>
      <c r="T144" s="718"/>
      <c r="U144" s="718"/>
      <c r="V144" s="718"/>
      <c r="W144" s="718"/>
      <c r="X144" s="2426"/>
      <c r="Y144" s="718"/>
      <c r="Z144" s="718"/>
    </row>
    <row r="145" spans="1:26">
      <c r="A145" s="18" t="s">
        <v>6099</v>
      </c>
      <c r="B145" s="2567" t="s">
        <v>6398</v>
      </c>
      <c r="C145" s="18" t="s">
        <v>28</v>
      </c>
      <c r="D145" s="661">
        <v>45346</v>
      </c>
      <c r="E145" s="708">
        <v>45347</v>
      </c>
      <c r="F145" s="18" t="s">
        <v>56</v>
      </c>
      <c r="G145" s="982" t="s">
        <v>6399</v>
      </c>
      <c r="H145" s="1770">
        <v>45351</v>
      </c>
      <c r="I145" s="1116" t="s">
        <v>108</v>
      </c>
      <c r="J145" s="4854" t="s">
        <v>859</v>
      </c>
      <c r="K145" s="18" t="s">
        <v>6101</v>
      </c>
      <c r="L145" s="1116" t="s">
        <v>542</v>
      </c>
      <c r="M145" s="1771">
        <v>45351</v>
      </c>
      <c r="N145" s="982">
        <v>45350</v>
      </c>
      <c r="O145" s="982">
        <v>45351</v>
      </c>
      <c r="P145" s="656" t="s">
        <v>6400</v>
      </c>
      <c r="Q145" s="18" t="s">
        <v>35</v>
      </c>
      <c r="R145" s="1432" t="s">
        <v>36</v>
      </c>
      <c r="S145" s="18" t="s">
        <v>6103</v>
      </c>
      <c r="T145" s="93">
        <v>2380</v>
      </c>
      <c r="U145" s="93">
        <v>1930</v>
      </c>
      <c r="V145" s="93"/>
      <c r="W145" s="93"/>
      <c r="X145" s="2246"/>
      <c r="Y145" s="93"/>
      <c r="Z145" s="93"/>
    </row>
    <row r="146" spans="1:26" s="709" customFormat="1">
      <c r="A146" s="4646" t="s">
        <v>3343</v>
      </c>
      <c r="B146" s="5323" t="s">
        <v>6401</v>
      </c>
      <c r="C146" s="4861" t="s">
        <v>28</v>
      </c>
      <c r="D146" s="4953">
        <v>45334</v>
      </c>
      <c r="E146" s="4885">
        <v>45348</v>
      </c>
      <c r="F146" s="4902" t="s">
        <v>45</v>
      </c>
      <c r="G146" s="5367" t="s">
        <v>46</v>
      </c>
      <c r="H146" s="4861"/>
      <c r="I146" s="4861"/>
      <c r="J146" s="5367" t="s">
        <v>32</v>
      </c>
      <c r="K146" s="4882" t="s">
        <v>310</v>
      </c>
      <c r="L146" s="718" t="s">
        <v>6402</v>
      </c>
      <c r="M146" s="1015">
        <v>45350</v>
      </c>
      <c r="N146" s="4863">
        <v>45350</v>
      </c>
      <c r="O146" s="4863">
        <v>45351</v>
      </c>
      <c r="P146" s="4871" t="s">
        <v>6403</v>
      </c>
      <c r="Q146" s="4861" t="s">
        <v>50</v>
      </c>
      <c r="R146" s="2345" t="s">
        <v>6404</v>
      </c>
      <c r="S146" s="718"/>
      <c r="T146" s="718"/>
      <c r="U146" s="718"/>
      <c r="V146" s="718"/>
      <c r="W146" s="718"/>
      <c r="X146" s="718"/>
      <c r="Y146" s="718"/>
      <c r="Z146" s="1349"/>
    </row>
    <row r="147" spans="1:26" s="709" customFormat="1">
      <c r="A147" s="3417" t="s">
        <v>409</v>
      </c>
      <c r="B147" s="3607" t="s">
        <v>6405</v>
      </c>
      <c r="C147" s="3589" t="s">
        <v>28</v>
      </c>
      <c r="D147" s="3558">
        <v>45337</v>
      </c>
      <c r="E147" s="3535">
        <v>45348</v>
      </c>
      <c r="F147" s="3589" t="s">
        <v>45</v>
      </c>
      <c r="G147" s="3589" t="s">
        <v>669</v>
      </c>
      <c r="H147" s="3246"/>
      <c r="I147" s="3246"/>
      <c r="J147" s="3602" t="s">
        <v>32</v>
      </c>
      <c r="K147" s="3589" t="s">
        <v>310</v>
      </c>
      <c r="L147" s="3246" t="s">
        <v>6406</v>
      </c>
      <c r="M147" s="3524">
        <v>45350</v>
      </c>
      <c r="N147" s="3525">
        <v>45349</v>
      </c>
      <c r="O147" s="3525">
        <v>45351</v>
      </c>
      <c r="P147" s="3605" t="s">
        <v>6407</v>
      </c>
      <c r="Q147" s="3434" t="s">
        <v>50</v>
      </c>
      <c r="R147" s="2384" t="s">
        <v>6408</v>
      </c>
      <c r="S147" s="2385"/>
      <c r="T147" s="2385"/>
      <c r="U147" s="2385"/>
      <c r="V147" s="2385"/>
      <c r="W147" s="2385"/>
      <c r="X147" s="2386"/>
      <c r="Y147" s="2385"/>
      <c r="Z147" s="914"/>
    </row>
    <row r="148" spans="1:26" s="709" customFormat="1">
      <c r="A148" s="3527" t="s">
        <v>3343</v>
      </c>
      <c r="B148" s="3528" t="s">
        <v>6409</v>
      </c>
      <c r="C148" s="3258" t="s">
        <v>28</v>
      </c>
      <c r="D148" s="912">
        <v>45337</v>
      </c>
      <c r="E148" s="4885">
        <v>45348</v>
      </c>
      <c r="F148" s="4861" t="s">
        <v>45</v>
      </c>
      <c r="G148" s="4861" t="s">
        <v>669</v>
      </c>
      <c r="H148" s="3246"/>
      <c r="I148" s="3246"/>
      <c r="J148" s="3530" t="s">
        <v>32</v>
      </c>
      <c r="K148" s="3258" t="s">
        <v>310</v>
      </c>
      <c r="L148" s="3246" t="s">
        <v>6410</v>
      </c>
      <c r="M148" s="3524">
        <v>45350</v>
      </c>
      <c r="N148" s="3526">
        <v>45350</v>
      </c>
      <c r="O148" s="3526">
        <v>45353</v>
      </c>
      <c r="P148" s="3283" t="s">
        <v>6411</v>
      </c>
      <c r="Q148" s="3246" t="s">
        <v>50</v>
      </c>
      <c r="R148" s="2346" t="s">
        <v>6412</v>
      </c>
      <c r="S148" s="727"/>
      <c r="T148" s="727"/>
      <c r="U148" s="727"/>
      <c r="V148" s="727"/>
      <c r="W148" s="727"/>
      <c r="X148" s="2315"/>
      <c r="Y148" s="727"/>
      <c r="Z148" s="711"/>
    </row>
    <row r="149" spans="1:26">
      <c r="A149" s="4599" t="s">
        <v>2396</v>
      </c>
      <c r="B149" s="3528" t="s">
        <v>6413</v>
      </c>
      <c r="C149" s="3275" t="s">
        <v>28</v>
      </c>
      <c r="D149" s="844">
        <v>45345</v>
      </c>
      <c r="E149" s="4867">
        <v>45348</v>
      </c>
      <c r="F149" s="4839" t="s">
        <v>135</v>
      </c>
      <c r="G149" s="4854" t="s">
        <v>6128</v>
      </c>
      <c r="H149" s="3350">
        <v>45356</v>
      </c>
      <c r="I149" s="3357" t="s">
        <v>899</v>
      </c>
      <c r="J149" s="3286" t="s">
        <v>1478</v>
      </c>
      <c r="K149" s="3286" t="s">
        <v>6129</v>
      </c>
      <c r="L149" s="3357" t="s">
        <v>542</v>
      </c>
      <c r="M149" s="3371">
        <v>45355</v>
      </c>
      <c r="N149" s="3279">
        <v>45353</v>
      </c>
      <c r="O149" s="3371">
        <v>45357</v>
      </c>
      <c r="P149" s="3258" t="s">
        <v>6414</v>
      </c>
      <c r="Q149" s="3275" t="s">
        <v>35</v>
      </c>
      <c r="R149" s="2093" t="s">
        <v>36</v>
      </c>
      <c r="S149" s="710" t="s">
        <v>5901</v>
      </c>
      <c r="T149" s="152">
        <v>545</v>
      </c>
      <c r="U149" s="152">
        <v>415.2</v>
      </c>
      <c r="V149" s="152"/>
      <c r="W149" s="152"/>
      <c r="X149" s="2135"/>
      <c r="Y149" s="152"/>
      <c r="Z149" s="645"/>
    </row>
    <row r="150" spans="1:26">
      <c r="A150" s="4599" t="s">
        <v>2396</v>
      </c>
      <c r="B150" s="3528" t="s">
        <v>6415</v>
      </c>
      <c r="C150" s="3275" t="s">
        <v>28</v>
      </c>
      <c r="D150" s="844">
        <v>45345</v>
      </c>
      <c r="E150" s="4867">
        <v>45348</v>
      </c>
      <c r="F150" s="4839" t="s">
        <v>135</v>
      </c>
      <c r="G150" s="4854" t="s">
        <v>6128</v>
      </c>
      <c r="H150" s="3371">
        <v>45356</v>
      </c>
      <c r="I150" s="3357" t="s">
        <v>899</v>
      </c>
      <c r="J150" s="3286" t="s">
        <v>1478</v>
      </c>
      <c r="K150" s="3286" t="s">
        <v>6129</v>
      </c>
      <c r="L150" s="3357" t="s">
        <v>542</v>
      </c>
      <c r="M150" s="3371">
        <v>45355</v>
      </c>
      <c r="N150" s="3279">
        <v>45353</v>
      </c>
      <c r="O150" s="3350">
        <v>45357</v>
      </c>
      <c r="P150" s="3258" t="s">
        <v>6416</v>
      </c>
      <c r="Q150" s="3275" t="s">
        <v>35</v>
      </c>
      <c r="R150" s="2093" t="s">
        <v>36</v>
      </c>
      <c r="S150" s="710" t="s">
        <v>5901</v>
      </c>
      <c r="T150" s="152">
        <v>545</v>
      </c>
      <c r="U150" s="152">
        <v>415.2</v>
      </c>
      <c r="V150" s="152"/>
      <c r="W150" s="152"/>
      <c r="X150" s="2135"/>
      <c r="Y150" s="152"/>
      <c r="Z150" s="645"/>
    </row>
    <row r="151" spans="1:26">
      <c r="A151" s="3235" t="s">
        <v>2396</v>
      </c>
      <c r="B151" s="3528" t="s">
        <v>6417</v>
      </c>
      <c r="C151" s="3275" t="s">
        <v>28</v>
      </c>
      <c r="D151" s="3280">
        <v>45345</v>
      </c>
      <c r="E151" s="4867">
        <v>45348</v>
      </c>
      <c r="F151" s="3275" t="s">
        <v>135</v>
      </c>
      <c r="G151" s="3286" t="s">
        <v>6128</v>
      </c>
      <c r="H151" s="3371">
        <v>45356</v>
      </c>
      <c r="I151" s="3357" t="s">
        <v>899</v>
      </c>
      <c r="J151" s="3286" t="s">
        <v>1478</v>
      </c>
      <c r="K151" s="4854" t="s">
        <v>6129</v>
      </c>
      <c r="L151" s="3357" t="s">
        <v>542</v>
      </c>
      <c r="M151" s="3371">
        <v>45355</v>
      </c>
      <c r="N151" s="3279">
        <v>45353</v>
      </c>
      <c r="O151" s="3350">
        <v>45358</v>
      </c>
      <c r="P151" s="3258" t="s">
        <v>6416</v>
      </c>
      <c r="Q151" s="3275" t="s">
        <v>35</v>
      </c>
      <c r="R151" s="2093" t="s">
        <v>36</v>
      </c>
      <c r="S151" s="710" t="s">
        <v>5901</v>
      </c>
      <c r="T151" s="152">
        <v>590</v>
      </c>
      <c r="U151" s="152">
        <v>455.2</v>
      </c>
      <c r="V151" s="152"/>
      <c r="W151" s="152"/>
      <c r="X151" s="2135"/>
      <c r="Y151" s="152"/>
      <c r="Z151" s="645"/>
    </row>
    <row r="152" spans="1:26" s="709" customFormat="1">
      <c r="A152" s="3588" t="s">
        <v>3343</v>
      </c>
      <c r="B152" s="2587" t="s">
        <v>6418</v>
      </c>
      <c r="C152" s="1650" t="s">
        <v>28</v>
      </c>
      <c r="D152" s="3534">
        <v>45331</v>
      </c>
      <c r="E152" s="3535">
        <v>45349</v>
      </c>
      <c r="F152" s="3590" t="s">
        <v>45</v>
      </c>
      <c r="G152" s="4926" t="s">
        <v>46</v>
      </c>
      <c r="H152" s="3246"/>
      <c r="I152" s="3246"/>
      <c r="J152" s="2403" t="s">
        <v>32</v>
      </c>
      <c r="K152" s="1650" t="s">
        <v>310</v>
      </c>
      <c r="L152" s="707" t="s">
        <v>6419</v>
      </c>
      <c r="M152" s="3526">
        <v>45349</v>
      </c>
      <c r="N152" s="3526">
        <v>45349</v>
      </c>
      <c r="O152" s="3526">
        <v>45350</v>
      </c>
      <c r="P152" s="3283" t="s">
        <v>6420</v>
      </c>
      <c r="Q152" s="3246" t="s">
        <v>50</v>
      </c>
      <c r="R152" s="2346" t="s">
        <v>6421</v>
      </c>
      <c r="S152" s="727"/>
      <c r="T152" s="727"/>
      <c r="U152" s="727"/>
      <c r="V152" s="727"/>
      <c r="W152" s="727"/>
      <c r="X152" s="727"/>
      <c r="Y152" s="727"/>
      <c r="Z152" s="711"/>
    </row>
    <row r="153" spans="1:26">
      <c r="A153" s="3235" t="s">
        <v>6049</v>
      </c>
      <c r="B153" s="3528" t="s">
        <v>6422</v>
      </c>
      <c r="C153" s="58" t="s">
        <v>28</v>
      </c>
      <c r="D153" s="3280">
        <v>45348</v>
      </c>
      <c r="E153" s="3346">
        <v>45349</v>
      </c>
      <c r="F153" s="3275" t="s">
        <v>151</v>
      </c>
      <c r="G153" s="4839" t="s">
        <v>6051</v>
      </c>
      <c r="H153" s="3350">
        <v>45357</v>
      </c>
      <c r="I153" s="3357" t="s">
        <v>5031</v>
      </c>
      <c r="J153" s="1114" t="s">
        <v>6052</v>
      </c>
      <c r="K153" s="58" t="s">
        <v>6053</v>
      </c>
      <c r="L153" s="915" t="s">
        <v>542</v>
      </c>
      <c r="M153" s="3350">
        <v>45355</v>
      </c>
      <c r="N153" s="1640">
        <v>45355</v>
      </c>
      <c r="O153" s="3350">
        <v>45358</v>
      </c>
      <c r="P153" s="3258" t="s">
        <v>6423</v>
      </c>
      <c r="Q153" s="3275" t="s">
        <v>35</v>
      </c>
      <c r="R153" s="2093" t="s">
        <v>36</v>
      </c>
      <c r="S153" s="710" t="s">
        <v>37</v>
      </c>
      <c r="T153" s="152">
        <v>880</v>
      </c>
      <c r="U153" s="152">
        <v>635</v>
      </c>
      <c r="V153" s="152"/>
      <c r="W153" s="152"/>
      <c r="X153" s="2135"/>
      <c r="Y153" s="152"/>
      <c r="Z153" s="645"/>
    </row>
    <row r="154" spans="1:26" s="2389" customFormat="1">
      <c r="A154" s="3527" t="s">
        <v>4793</v>
      </c>
      <c r="B154" s="3601" t="s">
        <v>6424</v>
      </c>
      <c r="C154" s="707" t="s">
        <v>28</v>
      </c>
      <c r="D154" s="3534">
        <v>45337</v>
      </c>
      <c r="E154" s="3535">
        <v>45349</v>
      </c>
      <c r="F154" s="3434" t="s">
        <v>45</v>
      </c>
      <c r="G154" s="4902" t="s">
        <v>46</v>
      </c>
      <c r="H154" s="3246"/>
      <c r="I154" s="3246"/>
      <c r="J154" s="1651" t="s">
        <v>32</v>
      </c>
      <c r="K154" s="707" t="s">
        <v>310</v>
      </c>
      <c r="L154" s="3608" t="s">
        <v>6425</v>
      </c>
      <c r="M154" s="3526">
        <v>45351</v>
      </c>
      <c r="N154" s="3526">
        <v>45350</v>
      </c>
      <c r="O154" s="3526">
        <v>45353</v>
      </c>
      <c r="P154" s="3283" t="s">
        <v>6426</v>
      </c>
      <c r="Q154" s="3246" t="s">
        <v>50</v>
      </c>
      <c r="R154" s="2346" t="s">
        <v>6427</v>
      </c>
      <c r="S154" s="727"/>
      <c r="T154" s="727"/>
      <c r="U154" s="727"/>
      <c r="V154" s="727"/>
      <c r="W154" s="727"/>
      <c r="X154" s="2315"/>
      <c r="Y154" s="727"/>
      <c r="Z154" s="711"/>
    </row>
    <row r="155" spans="1:26" s="709" customFormat="1">
      <c r="A155" s="3527" t="s">
        <v>3343</v>
      </c>
      <c r="B155" s="3528" t="s">
        <v>6428</v>
      </c>
      <c r="C155" s="707" t="s">
        <v>28</v>
      </c>
      <c r="D155" s="3534">
        <v>45337</v>
      </c>
      <c r="E155" s="877">
        <v>45349</v>
      </c>
      <c r="F155" s="3246" t="s">
        <v>45</v>
      </c>
      <c r="G155" s="4861" t="s">
        <v>669</v>
      </c>
      <c r="H155" s="3246"/>
      <c r="I155" s="3246"/>
      <c r="J155" s="1651" t="s">
        <v>32</v>
      </c>
      <c r="K155" s="707" t="s">
        <v>310</v>
      </c>
      <c r="L155" s="709" t="s">
        <v>6429</v>
      </c>
      <c r="M155" s="3524">
        <v>45351</v>
      </c>
      <c r="N155" s="3526">
        <v>45351</v>
      </c>
      <c r="O155" s="3526">
        <v>45353</v>
      </c>
      <c r="P155" s="3283" t="s">
        <v>6430</v>
      </c>
      <c r="Q155" s="3246" t="s">
        <v>50</v>
      </c>
      <c r="R155" s="2346" t="s">
        <v>6431</v>
      </c>
      <c r="S155" s="727"/>
      <c r="T155" s="727"/>
      <c r="U155" s="727"/>
      <c r="V155" s="727"/>
      <c r="W155" s="727"/>
      <c r="X155" s="2315"/>
      <c r="Y155" s="727"/>
      <c r="Z155" s="711"/>
    </row>
    <row r="156" spans="1:26" s="2335" customFormat="1">
      <c r="A156" s="3417" t="s">
        <v>409</v>
      </c>
      <c r="B156" s="3538" t="s">
        <v>6432</v>
      </c>
      <c r="C156" s="2377" t="s">
        <v>28</v>
      </c>
      <c r="D156" s="3565">
        <v>45339</v>
      </c>
      <c r="E156" s="3264">
        <v>45349</v>
      </c>
      <c r="F156" s="3274" t="s">
        <v>2225</v>
      </c>
      <c r="G156" s="4934" t="s">
        <v>1350</v>
      </c>
      <c r="H156" s="3268"/>
      <c r="I156" s="3268"/>
      <c r="J156" s="2373" t="s">
        <v>32</v>
      </c>
      <c r="K156" s="507" t="s">
        <v>310</v>
      </c>
      <c r="L156" s="117">
        <v>2981915</v>
      </c>
      <c r="M156" s="3606">
        <v>45351</v>
      </c>
      <c r="N156" s="3541">
        <v>45350</v>
      </c>
      <c r="O156" s="3541">
        <v>45352</v>
      </c>
      <c r="P156" s="3542" t="s">
        <v>6433</v>
      </c>
      <c r="Q156" s="3268" t="s">
        <v>50</v>
      </c>
      <c r="R156" s="2125" t="s">
        <v>6434</v>
      </c>
      <c r="S156" s="660"/>
      <c r="T156" s="660"/>
      <c r="U156" s="660"/>
      <c r="V156" s="660"/>
      <c r="W156" s="660"/>
      <c r="X156" s="2282"/>
      <c r="Y156" s="660"/>
      <c r="Z156" s="113"/>
    </row>
    <row r="157" spans="1:26" s="117" customFormat="1" ht="15.75">
      <c r="A157" s="3417" t="s">
        <v>409</v>
      </c>
      <c r="B157" s="2586" t="s">
        <v>6435</v>
      </c>
      <c r="C157" s="2377" t="s">
        <v>28</v>
      </c>
      <c r="D157" s="3565">
        <v>45339</v>
      </c>
      <c r="E157" s="3264">
        <v>45349</v>
      </c>
      <c r="F157" s="3274" t="s">
        <v>2225</v>
      </c>
      <c r="G157" s="3274" t="s">
        <v>1350</v>
      </c>
      <c r="H157" s="3268"/>
      <c r="I157" s="3268"/>
      <c r="J157" s="2373" t="s">
        <v>32</v>
      </c>
      <c r="K157" s="507" t="s">
        <v>310</v>
      </c>
      <c r="L157" s="3609">
        <v>2982010</v>
      </c>
      <c r="M157" s="3606">
        <v>45351</v>
      </c>
      <c r="N157" s="3541">
        <v>45351</v>
      </c>
      <c r="O157" s="3541">
        <v>45353</v>
      </c>
      <c r="P157" s="3542" t="s">
        <v>6436</v>
      </c>
      <c r="Q157" s="3268" t="s">
        <v>50</v>
      </c>
      <c r="R157" s="2125" t="s">
        <v>6437</v>
      </c>
      <c r="S157" s="660"/>
      <c r="T157" s="660"/>
      <c r="U157" s="660"/>
      <c r="V157" s="660"/>
      <c r="W157" s="660"/>
      <c r="X157" s="2282"/>
      <c r="Y157" s="660"/>
      <c r="Z157" s="113"/>
    </row>
    <row r="158" spans="1:26" s="117" customFormat="1">
      <c r="A158" s="3417" t="s">
        <v>409</v>
      </c>
      <c r="B158" s="3538" t="s">
        <v>6438</v>
      </c>
      <c r="C158" s="3546" t="s">
        <v>28</v>
      </c>
      <c r="D158" s="3565">
        <v>45339</v>
      </c>
      <c r="E158" s="3264">
        <v>45349</v>
      </c>
      <c r="F158" s="507" t="s">
        <v>2225</v>
      </c>
      <c r="G158" s="507" t="s">
        <v>1350</v>
      </c>
      <c r="H158" s="3268"/>
      <c r="I158" s="3268"/>
      <c r="J158" s="3539" t="s">
        <v>32</v>
      </c>
      <c r="K158" s="507" t="s">
        <v>310</v>
      </c>
      <c r="L158" s="117">
        <v>2981632</v>
      </c>
      <c r="M158" s="3606">
        <v>45351</v>
      </c>
      <c r="N158" s="3541">
        <v>45350</v>
      </c>
      <c r="O158" s="3541">
        <v>45352</v>
      </c>
      <c r="P158" s="845" t="s">
        <v>6439</v>
      </c>
      <c r="Q158" s="3268" t="s">
        <v>50</v>
      </c>
      <c r="R158" s="1723" t="s">
        <v>6440</v>
      </c>
      <c r="S158" s="660"/>
      <c r="T158" s="660"/>
      <c r="U158" s="660"/>
      <c r="V158" s="660"/>
      <c r="W158" s="660"/>
      <c r="X158" s="2282"/>
      <c r="Y158" s="660"/>
      <c r="Z158" s="113"/>
    </row>
    <row r="159" spans="1:26" s="1188" customFormat="1" ht="15.75">
      <c r="A159" s="3417" t="s">
        <v>409</v>
      </c>
      <c r="B159" s="3601" t="s">
        <v>6441</v>
      </c>
      <c r="C159" s="707" t="s">
        <v>28</v>
      </c>
      <c r="D159" s="3534">
        <v>45339</v>
      </c>
      <c r="E159" s="3535">
        <v>45349</v>
      </c>
      <c r="F159" s="3258" t="s">
        <v>2225</v>
      </c>
      <c r="G159" s="3258" t="s">
        <v>1350</v>
      </c>
      <c r="H159" s="3246"/>
      <c r="I159" s="3246"/>
      <c r="J159" s="1651" t="s">
        <v>32</v>
      </c>
      <c r="K159" s="707" t="s">
        <v>310</v>
      </c>
      <c r="L159" s="2397">
        <v>2981787</v>
      </c>
      <c r="M159" s="3524">
        <v>45351</v>
      </c>
      <c r="N159" s="3526">
        <v>45350</v>
      </c>
      <c r="O159" s="3526">
        <v>45351</v>
      </c>
      <c r="P159" s="3283" t="s">
        <v>6442</v>
      </c>
      <c r="Q159" s="3246" t="s">
        <v>50</v>
      </c>
      <c r="R159" s="2346" t="s">
        <v>6443</v>
      </c>
      <c r="S159" s="727"/>
      <c r="T159" s="727"/>
      <c r="U159" s="727"/>
      <c r="V159" s="727"/>
      <c r="W159" s="727"/>
      <c r="X159" s="2315"/>
      <c r="Y159" s="727"/>
      <c r="Z159" s="711"/>
    </row>
    <row r="160" spans="1:26" s="2389" customFormat="1">
      <c r="A160" s="3527" t="s">
        <v>3343</v>
      </c>
      <c r="B160" s="2588" t="s">
        <v>6444</v>
      </c>
      <c r="C160" s="707" t="s">
        <v>28</v>
      </c>
      <c r="D160" s="3534">
        <v>45337</v>
      </c>
      <c r="E160" s="877">
        <v>45349</v>
      </c>
      <c r="F160" s="3246" t="s">
        <v>45</v>
      </c>
      <c r="G160" s="3246" t="s">
        <v>669</v>
      </c>
      <c r="H160" s="3246"/>
      <c r="I160" s="3246"/>
      <c r="J160" s="1651" t="s">
        <v>32</v>
      </c>
      <c r="K160" s="707" t="s">
        <v>310</v>
      </c>
      <c r="L160" s="709" t="s">
        <v>6445</v>
      </c>
      <c r="M160" s="3570">
        <v>45351</v>
      </c>
      <c r="N160" s="3526">
        <v>45351</v>
      </c>
      <c r="O160" s="3526">
        <v>45352</v>
      </c>
      <c r="P160" s="3283" t="s">
        <v>6446</v>
      </c>
      <c r="Q160" s="3246" t="s">
        <v>50</v>
      </c>
      <c r="R160" s="2346" t="s">
        <v>6447</v>
      </c>
      <c r="S160" s="727"/>
      <c r="T160" s="727"/>
      <c r="U160" s="727"/>
      <c r="V160" s="727"/>
      <c r="W160" s="727"/>
      <c r="X160" s="2315"/>
      <c r="Y160" s="727"/>
      <c r="Z160" s="711"/>
    </row>
    <row r="161" spans="1:26" s="2389" customFormat="1">
      <c r="A161" s="3603" t="s">
        <v>3343</v>
      </c>
      <c r="B161" s="2587" t="s">
        <v>6448</v>
      </c>
      <c r="C161" s="2387" t="s">
        <v>28</v>
      </c>
      <c r="D161" s="3558">
        <v>45337</v>
      </c>
      <c r="E161" s="877">
        <v>45349</v>
      </c>
      <c r="F161" s="3589" t="s">
        <v>45</v>
      </c>
      <c r="G161" s="3589" t="s">
        <v>669</v>
      </c>
      <c r="H161" s="3246"/>
      <c r="I161" s="3246"/>
      <c r="J161" s="2388" t="s">
        <v>32</v>
      </c>
      <c r="K161" s="2387" t="s">
        <v>310</v>
      </c>
      <c r="L161" s="3258" t="s">
        <v>6449</v>
      </c>
      <c r="M161" s="3524">
        <v>45350</v>
      </c>
      <c r="N161" s="3525">
        <v>45350</v>
      </c>
      <c r="O161" s="3525">
        <v>45352</v>
      </c>
      <c r="P161" s="3605" t="s">
        <v>6450</v>
      </c>
      <c r="Q161" s="3434" t="s">
        <v>50</v>
      </c>
      <c r="R161" s="2384" t="s">
        <v>6451</v>
      </c>
      <c r="S161" s="2385"/>
      <c r="T161" s="2385"/>
      <c r="U161" s="2385"/>
      <c r="V161" s="2385"/>
      <c r="W161" s="2385"/>
      <c r="X161" s="2386"/>
      <c r="Y161" s="2385"/>
      <c r="Z161" s="914"/>
    </row>
    <row r="162" spans="1:26" s="117" customFormat="1">
      <c r="A162" s="3417" t="s">
        <v>409</v>
      </c>
      <c r="B162" s="2581" t="s">
        <v>6452</v>
      </c>
      <c r="C162" s="507" t="s">
        <v>28</v>
      </c>
      <c r="D162" s="3262">
        <v>45336</v>
      </c>
      <c r="E162" s="879">
        <v>45349</v>
      </c>
      <c r="F162" s="3274" t="s">
        <v>2225</v>
      </c>
      <c r="G162" s="3274" t="s">
        <v>1350</v>
      </c>
      <c r="H162" s="3268"/>
      <c r="I162" s="3268"/>
      <c r="J162" s="2373" t="s">
        <v>32</v>
      </c>
      <c r="K162" s="507" t="s">
        <v>310</v>
      </c>
      <c r="L162" s="117">
        <v>2981643</v>
      </c>
      <c r="M162" s="3606">
        <v>45351</v>
      </c>
      <c r="N162" s="3541">
        <v>45351</v>
      </c>
      <c r="O162" s="3541">
        <v>45353</v>
      </c>
      <c r="P162" s="3542" t="s">
        <v>6453</v>
      </c>
      <c r="Q162" s="3268" t="s">
        <v>50</v>
      </c>
      <c r="R162" s="2125" t="s">
        <v>6454</v>
      </c>
      <c r="S162" s="660"/>
      <c r="T162" s="660"/>
      <c r="U162" s="660"/>
      <c r="V162" s="660"/>
      <c r="W162" s="660"/>
      <c r="X162" s="2282"/>
      <c r="Y162" s="660"/>
      <c r="Z162" s="113"/>
    </row>
    <row r="163" spans="1:26" s="117" customFormat="1">
      <c r="A163" s="3417" t="s">
        <v>409</v>
      </c>
      <c r="B163" s="3538" t="s">
        <v>6455</v>
      </c>
      <c r="C163" s="1061" t="s">
        <v>4180</v>
      </c>
      <c r="D163" s="3565">
        <v>45338</v>
      </c>
      <c r="E163" s="3264">
        <v>45349</v>
      </c>
      <c r="F163" s="3268" t="s">
        <v>990</v>
      </c>
      <c r="G163" s="3268" t="s">
        <v>669</v>
      </c>
      <c r="H163" s="3268"/>
      <c r="I163" s="3268"/>
      <c r="J163" s="2373" t="s">
        <v>32</v>
      </c>
      <c r="K163" s="507" t="s">
        <v>310</v>
      </c>
      <c r="L163" s="3268" t="s">
        <v>6456</v>
      </c>
      <c r="M163" s="3606">
        <v>45351</v>
      </c>
      <c r="N163" s="3541">
        <v>45351</v>
      </c>
      <c r="O163" s="3541">
        <v>45355</v>
      </c>
      <c r="P163" s="3542" t="s">
        <v>6457</v>
      </c>
      <c r="Q163" s="3268" t="s">
        <v>50</v>
      </c>
      <c r="R163" s="1723" t="s">
        <v>6458</v>
      </c>
      <c r="S163" s="660"/>
      <c r="T163" s="660"/>
      <c r="U163" s="660"/>
      <c r="V163" s="660"/>
      <c r="W163" s="660"/>
      <c r="X163" s="2282"/>
      <c r="Y163" s="660"/>
      <c r="Z163" s="113"/>
    </row>
    <row r="164" spans="1:26" s="709" customFormat="1">
      <c r="A164" s="3557" t="s">
        <v>3343</v>
      </c>
      <c r="B164" s="3610" t="s">
        <v>6459</v>
      </c>
      <c r="C164" s="3569" t="s">
        <v>28</v>
      </c>
      <c r="D164" s="3558">
        <v>45337</v>
      </c>
      <c r="E164" s="877">
        <v>45349</v>
      </c>
      <c r="F164" s="3434" t="s">
        <v>45</v>
      </c>
      <c r="G164" s="3434" t="s">
        <v>669</v>
      </c>
      <c r="H164" s="3434"/>
      <c r="I164" s="3434"/>
      <c r="J164" s="1651" t="s">
        <v>32</v>
      </c>
      <c r="K164" s="2383" t="s">
        <v>310</v>
      </c>
      <c r="L164" s="709" t="s">
        <v>6460</v>
      </c>
      <c r="M164" s="3570">
        <v>45351</v>
      </c>
      <c r="N164" s="3525">
        <v>45351</v>
      </c>
      <c r="O164" s="3525">
        <v>45353</v>
      </c>
      <c r="P164" s="3605" t="s">
        <v>6461</v>
      </c>
      <c r="Q164" s="3434" t="s">
        <v>50</v>
      </c>
      <c r="R164" s="2384" t="s">
        <v>6462</v>
      </c>
      <c r="S164" s="2385"/>
      <c r="T164" s="2385"/>
      <c r="U164" s="2385"/>
      <c r="V164" s="2385"/>
      <c r="W164" s="2385"/>
      <c r="X164" s="2386"/>
      <c r="Y164" s="2385"/>
      <c r="Z164" s="914"/>
    </row>
    <row r="165" spans="1:26" s="709" customFormat="1">
      <c r="A165" s="3527" t="s">
        <v>3343</v>
      </c>
      <c r="B165" s="3528" t="s">
        <v>6463</v>
      </c>
      <c r="C165" s="2383" t="s">
        <v>28</v>
      </c>
      <c r="D165" s="3558">
        <v>45337</v>
      </c>
      <c r="E165" s="3535">
        <v>45349</v>
      </c>
      <c r="F165" s="3246" t="s">
        <v>45</v>
      </c>
      <c r="G165" s="3246" t="s">
        <v>669</v>
      </c>
      <c r="H165" s="3246"/>
      <c r="I165" s="3246"/>
      <c r="J165" s="1651" t="s">
        <v>32</v>
      </c>
      <c r="K165" s="707" t="s">
        <v>310</v>
      </c>
      <c r="L165" s="709" t="s">
        <v>6464</v>
      </c>
      <c r="M165" s="3524">
        <v>45351</v>
      </c>
      <c r="N165" s="3526">
        <v>45351</v>
      </c>
      <c r="O165" s="3526">
        <v>45355</v>
      </c>
      <c r="P165" s="3283" t="s">
        <v>6465</v>
      </c>
      <c r="Q165" s="3246" t="s">
        <v>50</v>
      </c>
      <c r="R165" s="2346" t="s">
        <v>6466</v>
      </c>
      <c r="S165" s="727"/>
      <c r="T165" s="727"/>
      <c r="U165" s="727"/>
      <c r="V165" s="727"/>
      <c r="W165" s="727"/>
      <c r="X165" s="2315"/>
      <c r="Y165" s="727"/>
      <c r="Z165" s="711"/>
    </row>
    <row r="166" spans="1:26" s="709" customFormat="1">
      <c r="A166" s="3417" t="s">
        <v>409</v>
      </c>
      <c r="B166" s="3528" t="s">
        <v>6467</v>
      </c>
      <c r="C166" s="709" t="s">
        <v>28</v>
      </c>
      <c r="D166" s="3534">
        <v>45339</v>
      </c>
      <c r="E166" s="877">
        <v>45349</v>
      </c>
      <c r="F166" s="3246" t="s">
        <v>2225</v>
      </c>
      <c r="G166" s="3434" t="s">
        <v>1350</v>
      </c>
      <c r="H166" s="3246"/>
      <c r="I166" s="3246"/>
      <c r="J166" s="1651" t="s">
        <v>32</v>
      </c>
      <c r="K166" s="707" t="s">
        <v>310</v>
      </c>
      <c r="L166" s="709">
        <v>2981648</v>
      </c>
      <c r="M166" s="3525">
        <v>45351</v>
      </c>
      <c r="N166" s="3526">
        <v>45350</v>
      </c>
      <c r="O166" s="3526">
        <v>45352</v>
      </c>
      <c r="P166" s="3283" t="s">
        <v>6468</v>
      </c>
      <c r="Q166" s="3246" t="s">
        <v>89</v>
      </c>
      <c r="R166" s="2346" t="s">
        <v>6469</v>
      </c>
      <c r="S166" s="727"/>
      <c r="T166" s="727"/>
      <c r="U166" s="727"/>
      <c r="V166" s="727"/>
      <c r="W166" s="727"/>
      <c r="X166" s="2315"/>
      <c r="Y166" s="727"/>
      <c r="Z166" s="711"/>
    </row>
    <row r="167" spans="1:26" s="709" customFormat="1">
      <c r="A167" s="3417" t="s">
        <v>409</v>
      </c>
      <c r="B167" s="2566" t="s">
        <v>6470</v>
      </c>
      <c r="C167" s="709" t="s">
        <v>28</v>
      </c>
      <c r="D167" s="3534">
        <v>45339</v>
      </c>
      <c r="E167" s="3535">
        <v>45349</v>
      </c>
      <c r="F167" s="3246" t="s">
        <v>2225</v>
      </c>
      <c r="G167" s="3434" t="s">
        <v>1350</v>
      </c>
      <c r="H167" s="3246"/>
      <c r="I167" s="3246"/>
      <c r="J167" s="1651" t="s">
        <v>32</v>
      </c>
      <c r="K167" s="707" t="s">
        <v>310</v>
      </c>
      <c r="L167" s="3246">
        <v>2982004</v>
      </c>
      <c r="M167" s="3525">
        <v>45351</v>
      </c>
      <c r="N167" s="3526">
        <v>45350</v>
      </c>
      <c r="O167" s="3526">
        <v>45352</v>
      </c>
      <c r="P167" s="3283" t="s">
        <v>6471</v>
      </c>
      <c r="Q167" s="3246" t="s">
        <v>89</v>
      </c>
      <c r="R167" s="2415" t="s">
        <v>6472</v>
      </c>
      <c r="S167" s="727"/>
      <c r="T167" s="727"/>
      <c r="U167" s="727"/>
      <c r="V167" s="727"/>
      <c r="W167" s="727"/>
      <c r="X167" s="2315"/>
      <c r="Y167" s="727"/>
      <c r="Z167" s="711"/>
    </row>
    <row r="168" spans="1:26">
      <c r="A168" s="3237" t="s">
        <v>6049</v>
      </c>
      <c r="B168" s="2566" t="s">
        <v>6473</v>
      </c>
      <c r="C168" s="58" t="s">
        <v>28</v>
      </c>
      <c r="D168" s="3280">
        <v>45348</v>
      </c>
      <c r="E168" s="3346">
        <v>45349</v>
      </c>
      <c r="F168" s="3275" t="s">
        <v>151</v>
      </c>
      <c r="G168" s="3286" t="s">
        <v>6051</v>
      </c>
      <c r="H168" s="3350">
        <v>45356</v>
      </c>
      <c r="I168" s="3357" t="s">
        <v>5031</v>
      </c>
      <c r="J168" s="1114" t="s">
        <v>6052</v>
      </c>
      <c r="K168" s="1114" t="s">
        <v>6053</v>
      </c>
      <c r="L168" s="3357" t="s">
        <v>542</v>
      </c>
      <c r="M168" s="3350">
        <v>45352</v>
      </c>
      <c r="N168" s="3371">
        <v>45352</v>
      </c>
      <c r="O168" s="3279">
        <v>45357</v>
      </c>
      <c r="P168" s="3258" t="s">
        <v>6474</v>
      </c>
      <c r="Q168" s="3275" t="s">
        <v>35</v>
      </c>
      <c r="R168" s="2093" t="s">
        <v>36</v>
      </c>
      <c r="S168" s="710" t="s">
        <v>37</v>
      </c>
      <c r="T168" s="152">
        <v>1400</v>
      </c>
      <c r="U168" s="152">
        <v>1047.5</v>
      </c>
      <c r="V168" s="152"/>
      <c r="W168" s="152"/>
      <c r="X168" s="2124"/>
      <c r="Y168" s="152"/>
      <c r="Z168" s="645"/>
    </row>
    <row r="169" spans="1:26">
      <c r="A169" s="3237" t="s">
        <v>6049</v>
      </c>
      <c r="B169" s="3528" t="s">
        <v>6475</v>
      </c>
      <c r="C169" s="58" t="s">
        <v>28</v>
      </c>
      <c r="D169" s="3280">
        <v>45348</v>
      </c>
      <c r="E169" s="1112">
        <v>45349</v>
      </c>
      <c r="F169" s="3275" t="s">
        <v>151</v>
      </c>
      <c r="G169" s="3286" t="s">
        <v>6051</v>
      </c>
      <c r="H169" s="3350">
        <v>45358</v>
      </c>
      <c r="I169" s="3357" t="s">
        <v>5031</v>
      </c>
      <c r="J169" s="1114" t="s">
        <v>6052</v>
      </c>
      <c r="K169" s="1114" t="s">
        <v>6053</v>
      </c>
      <c r="L169" s="915" t="s">
        <v>542</v>
      </c>
      <c r="M169" s="1414">
        <v>45355</v>
      </c>
      <c r="N169" s="1640">
        <v>45355</v>
      </c>
      <c r="O169" s="3350">
        <v>45359</v>
      </c>
      <c r="P169" s="3258" t="s">
        <v>6476</v>
      </c>
      <c r="Q169" s="3275" t="s">
        <v>35</v>
      </c>
      <c r="R169" s="2093" t="s">
        <v>36</v>
      </c>
      <c r="S169" s="710" t="s">
        <v>37</v>
      </c>
      <c r="T169" s="152">
        <v>1200</v>
      </c>
      <c r="U169" s="152">
        <v>872.5</v>
      </c>
      <c r="V169" s="152"/>
      <c r="W169" s="152"/>
      <c r="X169" s="2124"/>
      <c r="Y169" s="152"/>
      <c r="Z169" s="645"/>
    </row>
    <row r="170" spans="1:26">
      <c r="A170" s="3527" t="s">
        <v>2396</v>
      </c>
      <c r="B170" s="2566" t="s">
        <v>6477</v>
      </c>
      <c r="C170" s="709" t="s">
        <v>28</v>
      </c>
      <c r="D170" s="3534">
        <v>45334</v>
      </c>
      <c r="E170" s="877">
        <v>45350</v>
      </c>
      <c r="F170" s="3246" t="s">
        <v>260</v>
      </c>
      <c r="G170" s="3246" t="s">
        <v>6083</v>
      </c>
      <c r="H170" s="3525">
        <v>45352</v>
      </c>
      <c r="I170" s="3434" t="s">
        <v>104</v>
      </c>
      <c r="J170" s="709" t="s">
        <v>5399</v>
      </c>
      <c r="K170" s="709" t="s">
        <v>5227</v>
      </c>
      <c r="L170" s="1188" t="s">
        <v>542</v>
      </c>
      <c r="M170" s="3434" t="s">
        <v>6478</v>
      </c>
      <c r="N170" s="3526">
        <v>45351</v>
      </c>
      <c r="O170" s="3526">
        <v>45352</v>
      </c>
      <c r="P170" s="3559" t="s">
        <v>6479</v>
      </c>
      <c r="Q170" s="3275" t="s">
        <v>35</v>
      </c>
      <c r="R170" s="2093" t="s">
        <v>36</v>
      </c>
      <c r="S170" s="710" t="s">
        <v>37</v>
      </c>
      <c r="T170" s="641">
        <v>1240</v>
      </c>
      <c r="U170" s="641">
        <v>773</v>
      </c>
      <c r="V170" s="641"/>
      <c r="W170" s="641"/>
      <c r="X170" s="641"/>
      <c r="Y170" s="641"/>
      <c r="Z170" s="643"/>
    </row>
    <row r="171" spans="1:26" s="163" customFormat="1">
      <c r="A171" s="3235" t="s">
        <v>329</v>
      </c>
      <c r="B171" s="2566" t="s">
        <v>6480</v>
      </c>
      <c r="C171" s="58" t="s">
        <v>28</v>
      </c>
      <c r="D171" s="3280">
        <v>45345</v>
      </c>
      <c r="E171" s="3346">
        <v>45370</v>
      </c>
      <c r="F171" s="3275" t="s">
        <v>285</v>
      </c>
      <c r="G171" s="3275" t="s">
        <v>30</v>
      </c>
      <c r="H171" s="3350">
        <v>45372</v>
      </c>
      <c r="I171" s="3357" t="s">
        <v>115</v>
      </c>
      <c r="J171" s="58" t="s">
        <v>1353</v>
      </c>
      <c r="K171" s="58" t="s">
        <v>331</v>
      </c>
      <c r="L171" s="3357">
        <v>374602</v>
      </c>
      <c r="M171" s="3350">
        <v>45372</v>
      </c>
      <c r="N171" s="3371">
        <v>45372</v>
      </c>
      <c r="O171" s="3279">
        <v>45372</v>
      </c>
      <c r="P171" s="3258" t="s">
        <v>6481</v>
      </c>
      <c r="Q171" s="3275" t="s">
        <v>35</v>
      </c>
      <c r="R171" s="2093" t="s">
        <v>36</v>
      </c>
      <c r="S171" s="710" t="s">
        <v>5901</v>
      </c>
      <c r="T171" s="641">
        <v>1100</v>
      </c>
      <c r="U171" s="641">
        <v>910</v>
      </c>
      <c r="V171" s="641"/>
      <c r="W171" s="641"/>
      <c r="X171" s="641"/>
      <c r="Y171" s="641"/>
      <c r="Z171" s="643"/>
    </row>
    <row r="172" spans="1:26" s="1442" customFormat="1" ht="15.75">
      <c r="A172" s="3611" t="s">
        <v>732</v>
      </c>
      <c r="B172" s="2589" t="s">
        <v>6482</v>
      </c>
      <c r="C172" s="1442" t="s">
        <v>3181</v>
      </c>
      <c r="D172" s="3612">
        <v>45327</v>
      </c>
      <c r="E172" s="3391">
        <v>45350</v>
      </c>
      <c r="F172" s="3594" t="s">
        <v>990</v>
      </c>
      <c r="G172" s="3597" t="s">
        <v>46</v>
      </c>
      <c r="H172" s="3252"/>
      <c r="I172" s="3252"/>
      <c r="J172" s="1759" t="s">
        <v>32</v>
      </c>
      <c r="K172" s="1569" t="s">
        <v>310</v>
      </c>
      <c r="L172" s="2420" t="s">
        <v>6483</v>
      </c>
      <c r="M172" s="1761">
        <v>45352</v>
      </c>
      <c r="N172" s="3613">
        <v>45352</v>
      </c>
      <c r="O172" s="3613">
        <v>45355</v>
      </c>
      <c r="P172" s="3614" t="s">
        <v>6484</v>
      </c>
      <c r="Q172" s="3252" t="s">
        <v>50</v>
      </c>
      <c r="R172" s="2421" t="s">
        <v>51</v>
      </c>
      <c r="S172" s="1724"/>
      <c r="T172" s="1724"/>
      <c r="U172" s="1724"/>
      <c r="V172" s="1724"/>
      <c r="W172" s="1724"/>
      <c r="X172" s="1724"/>
      <c r="Y172" s="1724"/>
      <c r="Z172" s="2422"/>
    </row>
    <row r="173" spans="1:26" s="709" customFormat="1">
      <c r="A173" s="3527" t="s">
        <v>3343</v>
      </c>
      <c r="B173" s="2566" t="s">
        <v>6485</v>
      </c>
      <c r="C173" s="707" t="s">
        <v>28</v>
      </c>
      <c r="D173" s="3534">
        <v>45337</v>
      </c>
      <c r="E173" s="3535">
        <v>45350</v>
      </c>
      <c r="F173" s="3246" t="s">
        <v>45</v>
      </c>
      <c r="G173" s="3246" t="s">
        <v>669</v>
      </c>
      <c r="H173" s="3246"/>
      <c r="I173" s="3246"/>
      <c r="J173" s="1651" t="s">
        <v>32</v>
      </c>
      <c r="K173" s="707" t="s">
        <v>310</v>
      </c>
      <c r="L173" s="709" t="s">
        <v>6486</v>
      </c>
      <c r="M173" s="3524">
        <v>45352</v>
      </c>
      <c r="N173" s="3526">
        <v>45352</v>
      </c>
      <c r="O173" s="3526">
        <v>45354</v>
      </c>
      <c r="P173" s="3283" t="s">
        <v>6487</v>
      </c>
      <c r="Q173" s="3246" t="s">
        <v>50</v>
      </c>
      <c r="R173" s="2346" t="s">
        <v>6488</v>
      </c>
      <c r="S173" s="727"/>
      <c r="T173" s="727"/>
      <c r="U173" s="727"/>
      <c r="V173" s="727"/>
      <c r="W173" s="727"/>
      <c r="X173" s="2315"/>
      <c r="Y173" s="727"/>
      <c r="Z173" s="711"/>
    </row>
    <row r="174" spans="1:26" s="117" customFormat="1">
      <c r="A174" s="3417" t="s">
        <v>409</v>
      </c>
      <c r="B174" s="2581" t="s">
        <v>6489</v>
      </c>
      <c r="C174" s="2377" t="s">
        <v>28</v>
      </c>
      <c r="D174" s="3565">
        <v>45338</v>
      </c>
      <c r="E174" s="3264">
        <v>45350</v>
      </c>
      <c r="F174" s="3462" t="s">
        <v>45</v>
      </c>
      <c r="G174" s="3462" t="s">
        <v>46</v>
      </c>
      <c r="H174" s="3268"/>
      <c r="I174" s="3268"/>
      <c r="J174" s="2373" t="s">
        <v>32</v>
      </c>
      <c r="K174" s="507" t="s">
        <v>310</v>
      </c>
      <c r="L174" s="1189" t="s">
        <v>6490</v>
      </c>
      <c r="M174" s="3541">
        <v>45352</v>
      </c>
      <c r="N174" s="3541">
        <v>45352</v>
      </c>
      <c r="O174" s="3541">
        <v>45354</v>
      </c>
      <c r="P174" s="3542" t="s">
        <v>6491</v>
      </c>
      <c r="Q174" s="3268" t="s">
        <v>50</v>
      </c>
      <c r="R174" s="1723" t="s">
        <v>6492</v>
      </c>
      <c r="S174" s="660"/>
      <c r="T174" s="660"/>
      <c r="U174" s="660"/>
      <c r="V174" s="660"/>
      <c r="W174" s="660"/>
      <c r="X174" s="2282"/>
      <c r="Y174" s="660"/>
      <c r="Z174" s="113"/>
    </row>
    <row r="175" spans="1:26" s="117" customFormat="1">
      <c r="A175" s="3234" t="s">
        <v>263</v>
      </c>
      <c r="B175" s="2570" t="s">
        <v>6493</v>
      </c>
      <c r="C175" s="117" t="s">
        <v>44</v>
      </c>
      <c r="D175" s="3262">
        <v>45351</v>
      </c>
      <c r="E175" s="822">
        <v>45351</v>
      </c>
      <c r="F175" s="3268" t="s">
        <v>135</v>
      </c>
      <c r="G175" s="3268" t="s">
        <v>6295</v>
      </c>
      <c r="H175" s="3262">
        <v>45357</v>
      </c>
      <c r="I175" s="4963">
        <v>0.375</v>
      </c>
      <c r="J175" s="117" t="s">
        <v>6296</v>
      </c>
      <c r="K175" s="1617" t="s">
        <v>5799</v>
      </c>
      <c r="M175" s="4906">
        <v>45358</v>
      </c>
      <c r="N175" s="4906">
        <v>45356</v>
      </c>
      <c r="O175" s="3541">
        <v>45358</v>
      </c>
      <c r="P175" s="3533" t="s">
        <v>6494</v>
      </c>
      <c r="Q175" s="3430" t="s">
        <v>75</v>
      </c>
      <c r="R175" s="2127" t="s">
        <v>6495</v>
      </c>
      <c r="S175" s="660"/>
      <c r="T175" s="693">
        <v>2141.12</v>
      </c>
      <c r="U175" s="2404">
        <f>1493.33+131.12</f>
        <v>1624.4499999999998</v>
      </c>
      <c r="V175" s="693">
        <v>1</v>
      </c>
      <c r="W175" s="2404">
        <f>表12_14[[#This Row],[Sales Amount]]-表12_14[[#This Row],[Cost]]</f>
        <v>516.67000000000007</v>
      </c>
      <c r="X175" s="940">
        <f>表12_14[[#This Row],[Profit]]/表12_14[[#This Row],[Cost]]</f>
        <v>0.31805841977284627</v>
      </c>
      <c r="Y175" s="693"/>
      <c r="Z175" s="899"/>
    </row>
    <row r="176" spans="1:26" s="117" customFormat="1">
      <c r="A176" s="3234" t="s">
        <v>263</v>
      </c>
      <c r="B176" s="3531" t="s">
        <v>6496</v>
      </c>
      <c r="C176" s="117" t="s">
        <v>44</v>
      </c>
      <c r="D176" s="3262">
        <v>45351</v>
      </c>
      <c r="E176" s="3262">
        <v>45351</v>
      </c>
      <c r="F176" s="3268" t="s">
        <v>135</v>
      </c>
      <c r="G176" s="3268" t="s">
        <v>5798</v>
      </c>
      <c r="H176" s="3262">
        <v>45359</v>
      </c>
      <c r="I176" s="4963">
        <v>0.375</v>
      </c>
      <c r="J176" s="117" t="s">
        <v>2492</v>
      </c>
      <c r="K176" s="117" t="s">
        <v>5799</v>
      </c>
      <c r="M176" s="4906">
        <v>45358</v>
      </c>
      <c r="N176" s="4906">
        <v>45358</v>
      </c>
      <c r="O176" s="3541">
        <v>45362</v>
      </c>
      <c r="P176" s="3533" t="s">
        <v>6497</v>
      </c>
      <c r="Q176" s="3430" t="s">
        <v>75</v>
      </c>
      <c r="R176" s="2125" t="s">
        <v>6498</v>
      </c>
      <c r="S176" s="660"/>
      <c r="T176" s="693">
        <v>2301.91</v>
      </c>
      <c r="U176" s="2405">
        <f>196.91+1525+120</f>
        <v>1841.91</v>
      </c>
      <c r="V176" s="693">
        <v>1</v>
      </c>
      <c r="W176" s="2404">
        <f>表12_14[[#This Row],[Sales Amount]]-表12_14[[#This Row],[Cost]]</f>
        <v>459.99999999999977</v>
      </c>
      <c r="X176" s="940">
        <f>表12_14[[#This Row],[Profit]]/表12_14[[#This Row],[Cost]]</f>
        <v>0.24974075823465847</v>
      </c>
      <c r="Y176" s="693"/>
      <c r="Z176" s="899"/>
    </row>
    <row r="177" spans="1:26" s="117" customFormat="1" ht="45">
      <c r="A177" s="3417" t="s">
        <v>2847</v>
      </c>
      <c r="B177" s="3531" t="s">
        <v>6499</v>
      </c>
      <c r="C177" s="117" t="s">
        <v>28</v>
      </c>
      <c r="D177" s="3262">
        <v>45349</v>
      </c>
      <c r="E177" s="3264">
        <v>45357</v>
      </c>
      <c r="F177" s="3268" t="s">
        <v>93</v>
      </c>
      <c r="G177" s="3268" t="s">
        <v>5557</v>
      </c>
      <c r="H177" s="3366">
        <v>45359</v>
      </c>
      <c r="I177" s="4951" t="s">
        <v>1196</v>
      </c>
      <c r="J177" s="3268" t="s">
        <v>322</v>
      </c>
      <c r="K177" s="117" t="s">
        <v>2652</v>
      </c>
      <c r="L177" s="3367">
        <v>3623325</v>
      </c>
      <c r="M177" s="4918">
        <v>45359</v>
      </c>
      <c r="N177" s="4918">
        <v>45359</v>
      </c>
      <c r="O177" s="3366">
        <v>45362</v>
      </c>
      <c r="P177" s="2393" t="s">
        <v>6500</v>
      </c>
      <c r="Q177" s="3268" t="s">
        <v>75</v>
      </c>
      <c r="R177" s="4329" t="s">
        <v>6501</v>
      </c>
      <c r="S177" s="660"/>
      <c r="T177" s="660">
        <v>1075</v>
      </c>
      <c r="U177" s="715">
        <v>824.5</v>
      </c>
      <c r="V177" s="660">
        <v>1</v>
      </c>
      <c r="W177" s="660">
        <f>表12_14[[#This Row],[Sales Amount]]-表12_14[[#This Row],[Cost]]</f>
        <v>250.5</v>
      </c>
      <c r="X177" s="885">
        <f>表12_14[[#This Row],[Profit]]/表12_14[[#This Row],[Cost]]</f>
        <v>0.30382049727107335</v>
      </c>
      <c r="Y177" s="1063" t="s">
        <v>5640</v>
      </c>
      <c r="Z177" s="113"/>
    </row>
    <row r="178" spans="1:26" s="117" customFormat="1" ht="60">
      <c r="A178" s="3417" t="s">
        <v>409</v>
      </c>
      <c r="B178" s="3531" t="s">
        <v>6502</v>
      </c>
      <c r="C178" s="117" t="s">
        <v>28</v>
      </c>
      <c r="D178" s="3430" t="s">
        <v>6502</v>
      </c>
      <c r="E178" s="3264">
        <v>45357</v>
      </c>
      <c r="F178" s="3268" t="s">
        <v>45</v>
      </c>
      <c r="G178" s="3268" t="s">
        <v>361</v>
      </c>
      <c r="H178" s="3293" t="s">
        <v>6503</v>
      </c>
      <c r="I178" s="3615" t="s">
        <v>6504</v>
      </c>
      <c r="J178" s="3430" t="s">
        <v>322</v>
      </c>
      <c r="K178" s="716" t="s">
        <v>6505</v>
      </c>
      <c r="L178" s="3430">
        <v>171542</v>
      </c>
      <c r="M178" s="4906">
        <v>45360</v>
      </c>
      <c r="N178" s="4906">
        <v>45360</v>
      </c>
      <c r="O178" s="3519">
        <v>45363</v>
      </c>
      <c r="P178" s="4104" t="s">
        <v>6506</v>
      </c>
      <c r="Q178" s="3268" t="s">
        <v>75</v>
      </c>
      <c r="R178" s="2127" t="s">
        <v>6507</v>
      </c>
      <c r="S178" s="660"/>
      <c r="T178" s="2126">
        <v>2857.5</v>
      </c>
      <c r="U178" s="660">
        <v>2200</v>
      </c>
      <c r="V178" s="660">
        <v>1</v>
      </c>
      <c r="W178" s="2126">
        <f>表12_14[[#This Row],[Sales Amount]]-表12_14[[#This Row],[Cost]]</f>
        <v>657.5</v>
      </c>
      <c r="X178" s="885">
        <f>表12_14[[#This Row],[Profit]]/表12_14[[#This Row],[Cost]]</f>
        <v>0.29886363636363639</v>
      </c>
      <c r="Y178" s="660"/>
      <c r="Z178" s="113"/>
    </row>
    <row r="179" spans="1:26" s="709" customFormat="1">
      <c r="A179" s="3417" t="s">
        <v>409</v>
      </c>
      <c r="B179" s="2590" t="s">
        <v>6508</v>
      </c>
      <c r="C179" s="1650" t="s">
        <v>28</v>
      </c>
      <c r="D179" s="3534">
        <v>45331</v>
      </c>
      <c r="E179" s="3535">
        <v>45351</v>
      </c>
      <c r="F179" s="3589" t="s">
        <v>45</v>
      </c>
      <c r="G179" s="3589" t="s">
        <v>46</v>
      </c>
      <c r="H179" s="4861"/>
      <c r="I179" s="4861"/>
      <c r="J179" s="2388" t="s">
        <v>32</v>
      </c>
      <c r="K179" s="1650" t="s">
        <v>310</v>
      </c>
      <c r="L179" s="4861" t="s">
        <v>6509</v>
      </c>
      <c r="M179" s="4991">
        <v>45352</v>
      </c>
      <c r="N179" s="4863">
        <v>45353</v>
      </c>
      <c r="O179" s="5368">
        <v>45357</v>
      </c>
      <c r="P179" s="4871" t="s">
        <v>6510</v>
      </c>
      <c r="Q179" s="4861" t="s">
        <v>50</v>
      </c>
      <c r="R179" s="2345" t="s">
        <v>6288</v>
      </c>
      <c r="S179" s="718"/>
      <c r="T179" s="718"/>
      <c r="U179" s="718"/>
      <c r="V179" s="718"/>
      <c r="W179" s="718"/>
      <c r="X179" s="718"/>
      <c r="Y179" s="718"/>
      <c r="Z179" s="1349"/>
    </row>
    <row r="180" spans="1:26" s="709" customFormat="1">
      <c r="A180" s="3584" t="s">
        <v>3343</v>
      </c>
      <c r="B180" s="3607" t="s">
        <v>6511</v>
      </c>
      <c r="C180" s="2407" t="s">
        <v>28</v>
      </c>
      <c r="D180" s="5369">
        <v>45331</v>
      </c>
      <c r="E180" s="5333">
        <v>45351</v>
      </c>
      <c r="F180" s="3589" t="s">
        <v>45</v>
      </c>
      <c r="G180" s="3589" t="s">
        <v>46</v>
      </c>
      <c r="H180" s="3586"/>
      <c r="I180" s="3586"/>
      <c r="J180" s="3602" t="s">
        <v>32</v>
      </c>
      <c r="K180" s="2407" t="s">
        <v>310</v>
      </c>
      <c r="L180" s="3246" t="s">
        <v>6512</v>
      </c>
      <c r="M180" s="3525">
        <v>45353</v>
      </c>
      <c r="N180" s="3587">
        <v>45353</v>
      </c>
      <c r="O180" s="3587">
        <v>45355</v>
      </c>
      <c r="P180" s="2408" t="s">
        <v>6513</v>
      </c>
      <c r="Q180" s="3586" t="s">
        <v>50</v>
      </c>
      <c r="R180" s="2409" t="s">
        <v>6514</v>
      </c>
      <c r="S180" s="2410"/>
      <c r="T180" s="2410"/>
      <c r="U180" s="2410"/>
      <c r="V180" s="2410"/>
      <c r="W180" s="2410"/>
      <c r="X180" s="2410"/>
      <c r="Y180" s="2410"/>
      <c r="Z180" s="2411"/>
    </row>
    <row r="181" spans="1:26" s="709" customFormat="1">
      <c r="A181" s="3588" t="s">
        <v>3343</v>
      </c>
      <c r="B181" s="3607" t="s">
        <v>6515</v>
      </c>
      <c r="C181" s="1650" t="s">
        <v>28</v>
      </c>
      <c r="D181" s="3534">
        <v>45331</v>
      </c>
      <c r="E181" s="3616">
        <v>45351</v>
      </c>
      <c r="F181" s="3589" t="s">
        <v>45</v>
      </c>
      <c r="G181" s="3589" t="s">
        <v>46</v>
      </c>
      <c r="H181" s="3246"/>
      <c r="I181" s="3246"/>
      <c r="J181" s="3602" t="s">
        <v>32</v>
      </c>
      <c r="K181" s="1650" t="s">
        <v>310</v>
      </c>
      <c r="L181" s="3246" t="s">
        <v>6516</v>
      </c>
      <c r="M181" s="3525">
        <v>45353</v>
      </c>
      <c r="N181" s="3526">
        <v>45353</v>
      </c>
      <c r="O181" s="3526">
        <v>45355</v>
      </c>
      <c r="P181" s="1019" t="s">
        <v>6517</v>
      </c>
      <c r="Q181" s="3246" t="s">
        <v>50</v>
      </c>
      <c r="R181" s="2346" t="s">
        <v>6518</v>
      </c>
      <c r="S181" s="727"/>
      <c r="T181" s="727"/>
      <c r="U181" s="727"/>
      <c r="V181" s="727"/>
      <c r="W181" s="727"/>
      <c r="X181" s="727"/>
      <c r="Y181" s="727"/>
      <c r="Z181" s="711"/>
    </row>
    <row r="182" spans="1:26" s="117" customFormat="1" ht="45">
      <c r="A182" s="3417" t="s">
        <v>4685</v>
      </c>
      <c r="B182" s="2570" t="s">
        <v>6519</v>
      </c>
      <c r="C182" s="117" t="s">
        <v>28</v>
      </c>
      <c r="D182" s="3262">
        <v>45342</v>
      </c>
      <c r="E182" s="879">
        <v>45352</v>
      </c>
      <c r="F182" s="3268" t="s">
        <v>45</v>
      </c>
      <c r="G182" s="3268" t="s">
        <v>302</v>
      </c>
      <c r="H182" s="3292">
        <v>45356</v>
      </c>
      <c r="I182" s="3273" t="s">
        <v>445</v>
      </c>
      <c r="J182" s="1617" t="s">
        <v>32</v>
      </c>
      <c r="K182" s="716" t="s">
        <v>966</v>
      </c>
      <c r="L182" s="1617" t="s">
        <v>6520</v>
      </c>
      <c r="M182" s="839">
        <v>45354</v>
      </c>
      <c r="N182" s="3262">
        <v>45355</v>
      </c>
      <c r="O182" s="3262">
        <v>45356</v>
      </c>
      <c r="P182" s="4327" t="s">
        <v>6521</v>
      </c>
      <c r="Q182" s="3268" t="s">
        <v>75</v>
      </c>
      <c r="R182" s="845" t="s">
        <v>6522</v>
      </c>
      <c r="S182" s="660"/>
      <c r="T182" s="660">
        <v>1445</v>
      </c>
      <c r="U182" s="660">
        <v>1000</v>
      </c>
      <c r="V182" s="660">
        <v>1</v>
      </c>
      <c r="W182" s="660">
        <f>表12_14[[#This Row],[Sales Amount]]-表12_14[[#This Row],[Cost]]</f>
        <v>445</v>
      </c>
      <c r="X182" s="885">
        <f>表12_14[[#This Row],[Profit]]/表12_14[[#This Row],[Cost]]</f>
        <v>0.44500000000000001</v>
      </c>
      <c r="Y182" s="660"/>
      <c r="Z182" s="113"/>
    </row>
    <row r="183" spans="1:26" s="117" customFormat="1">
      <c r="A183" s="3417" t="s">
        <v>409</v>
      </c>
      <c r="B183" s="2591" t="s">
        <v>6523</v>
      </c>
      <c r="C183" s="3546" t="s">
        <v>28</v>
      </c>
      <c r="D183" s="3565">
        <v>45338</v>
      </c>
      <c r="E183" s="3264">
        <v>45351</v>
      </c>
      <c r="F183" s="3462" t="s">
        <v>45</v>
      </c>
      <c r="G183" s="3462" t="s">
        <v>46</v>
      </c>
      <c r="H183" s="3462"/>
      <c r="I183" s="3462"/>
      <c r="J183" s="3539" t="s">
        <v>32</v>
      </c>
      <c r="K183" s="3546" t="s">
        <v>310</v>
      </c>
      <c r="L183" s="3566" t="s">
        <v>6524</v>
      </c>
      <c r="M183" s="3606">
        <v>45352</v>
      </c>
      <c r="N183" s="3566">
        <v>45352</v>
      </c>
      <c r="O183" s="3566">
        <v>45355</v>
      </c>
      <c r="P183" s="3568" t="s">
        <v>6525</v>
      </c>
      <c r="Q183" s="3462" t="s">
        <v>50</v>
      </c>
      <c r="R183" s="2364" t="s">
        <v>6526</v>
      </c>
      <c r="S183" s="1012"/>
      <c r="T183" s="1012"/>
      <c r="U183" s="1012"/>
      <c r="V183" s="1012"/>
      <c r="W183" s="1012"/>
      <c r="X183" s="2366"/>
      <c r="Y183" s="1012"/>
      <c r="Z183" s="907"/>
    </row>
    <row r="184" spans="1:26" s="2395" customFormat="1">
      <c r="A184" s="3417" t="s">
        <v>409</v>
      </c>
      <c r="B184" s="3528" t="s">
        <v>6527</v>
      </c>
      <c r="C184" s="707" t="s">
        <v>28</v>
      </c>
      <c r="D184" s="3534">
        <v>45336</v>
      </c>
      <c r="E184" s="877">
        <v>45351</v>
      </c>
      <c r="F184" s="3258" t="s">
        <v>2225</v>
      </c>
      <c r="G184" s="3258" t="s">
        <v>1350</v>
      </c>
      <c r="H184" s="3246"/>
      <c r="I184" s="3246"/>
      <c r="J184" s="1651" t="s">
        <v>32</v>
      </c>
      <c r="K184" s="707" t="s">
        <v>310</v>
      </c>
      <c r="L184" s="709">
        <v>2981751</v>
      </c>
      <c r="M184" s="2394">
        <v>45353</v>
      </c>
      <c r="N184" s="3526">
        <v>45353</v>
      </c>
      <c r="O184" s="3526">
        <v>45357</v>
      </c>
      <c r="P184" s="3283" t="s">
        <v>6528</v>
      </c>
      <c r="Q184" s="3246" t="s">
        <v>50</v>
      </c>
      <c r="R184" s="2346" t="s">
        <v>36</v>
      </c>
      <c r="S184" s="727"/>
      <c r="T184" s="727"/>
      <c r="U184" s="727"/>
      <c r="V184" s="727"/>
      <c r="W184" s="727"/>
      <c r="X184" s="2315"/>
      <c r="Y184" s="727"/>
      <c r="Z184" s="711"/>
    </row>
    <row r="185" spans="1:26" s="709" customFormat="1">
      <c r="A185" s="4332" t="s">
        <v>4022</v>
      </c>
      <c r="B185" s="3607" t="s">
        <v>6529</v>
      </c>
      <c r="C185" s="3590" t="s">
        <v>28</v>
      </c>
      <c r="D185" s="3534">
        <v>45337</v>
      </c>
      <c r="E185" s="3616">
        <v>45350</v>
      </c>
      <c r="F185" s="3589" t="s">
        <v>45</v>
      </c>
      <c r="G185" s="3589" t="s">
        <v>46</v>
      </c>
      <c r="H185" s="3246"/>
      <c r="I185" s="3246"/>
      <c r="J185" s="3589" t="s">
        <v>32</v>
      </c>
      <c r="K185" s="3590" t="s">
        <v>47</v>
      </c>
      <c r="L185" s="3246" t="s">
        <v>6530</v>
      </c>
      <c r="M185" s="3525">
        <v>45352</v>
      </c>
      <c r="N185" s="3526">
        <v>45352</v>
      </c>
      <c r="O185" s="3526">
        <v>45355</v>
      </c>
      <c r="P185" s="3283" t="s">
        <v>6531</v>
      </c>
      <c r="Q185" s="3246" t="s">
        <v>50</v>
      </c>
      <c r="R185" s="2346" t="s">
        <v>6532</v>
      </c>
      <c r="S185" s="727"/>
      <c r="T185" s="727"/>
      <c r="U185" s="727"/>
      <c r="V185" s="727"/>
      <c r="W185" s="727"/>
      <c r="X185" s="2315"/>
      <c r="Y185" s="727"/>
      <c r="Z185" s="711"/>
    </row>
    <row r="186" spans="1:26" s="709" customFormat="1">
      <c r="A186" s="3417" t="s">
        <v>409</v>
      </c>
      <c r="B186" s="3528" t="s">
        <v>6533</v>
      </c>
      <c r="C186" s="3258" t="s">
        <v>28</v>
      </c>
      <c r="D186" s="3534">
        <v>45345</v>
      </c>
      <c r="E186" s="3535">
        <v>45368</v>
      </c>
      <c r="F186" s="3246" t="s">
        <v>45</v>
      </c>
      <c r="G186" s="3246" t="s">
        <v>669</v>
      </c>
      <c r="H186" s="3246"/>
      <c r="I186" s="3246"/>
      <c r="J186" s="1651" t="s">
        <v>32</v>
      </c>
      <c r="K186" s="3258" t="s">
        <v>310</v>
      </c>
      <c r="L186" s="707" t="s">
        <v>6534</v>
      </c>
      <c r="M186" s="3563">
        <v>45370</v>
      </c>
      <c r="N186" s="3526">
        <v>45369</v>
      </c>
      <c r="O186" s="3526">
        <v>45371</v>
      </c>
      <c r="P186" s="3283" t="s">
        <v>6535</v>
      </c>
      <c r="Q186" s="709" t="s">
        <v>50</v>
      </c>
      <c r="R186" s="2346" t="s">
        <v>6536</v>
      </c>
      <c r="S186" s="727"/>
      <c r="T186" s="727"/>
      <c r="U186" s="727"/>
      <c r="V186" s="727"/>
      <c r="W186" s="727"/>
      <c r="X186" s="2315"/>
      <c r="Y186" s="727"/>
      <c r="Z186" s="711"/>
    </row>
    <row r="187" spans="1:26">
      <c r="A187" s="3235" t="s">
        <v>1035</v>
      </c>
      <c r="B187" s="4333" t="s">
        <v>6537</v>
      </c>
      <c r="C187" s="3275" t="s">
        <v>28</v>
      </c>
      <c r="D187" s="3280">
        <v>45349</v>
      </c>
      <c r="E187" s="4867">
        <v>45355</v>
      </c>
      <c r="F187" s="3275" t="s">
        <v>151</v>
      </c>
      <c r="G187" s="3275" t="s">
        <v>46</v>
      </c>
      <c r="H187" s="58" t="s">
        <v>1038</v>
      </c>
      <c r="I187" s="3275"/>
      <c r="J187" s="3347" t="s">
        <v>32</v>
      </c>
      <c r="K187" s="1344" t="s">
        <v>162</v>
      </c>
      <c r="L187" s="3357" t="s">
        <v>6538</v>
      </c>
      <c r="M187" s="3371">
        <v>45358</v>
      </c>
      <c r="N187" s="3350">
        <v>45357</v>
      </c>
      <c r="O187" s="3279">
        <v>45360</v>
      </c>
      <c r="P187" s="3258" t="s">
        <v>6539</v>
      </c>
      <c r="Q187" s="3275" t="s">
        <v>35</v>
      </c>
      <c r="R187" s="2093" t="s">
        <v>36</v>
      </c>
      <c r="S187" s="710" t="s">
        <v>1320</v>
      </c>
      <c r="T187" s="152"/>
      <c r="U187" s="152"/>
      <c r="V187" s="152"/>
      <c r="W187" s="152"/>
      <c r="X187" s="2135"/>
      <c r="Y187" s="152"/>
      <c r="Z187" s="645"/>
    </row>
    <row r="188" spans="1:26">
      <c r="A188" s="3527" t="s">
        <v>1035</v>
      </c>
      <c r="B188" s="4333" t="s">
        <v>6540</v>
      </c>
      <c r="C188" s="3246" t="s">
        <v>28</v>
      </c>
      <c r="D188" s="3534">
        <v>45349</v>
      </c>
      <c r="E188" s="3535">
        <v>45352</v>
      </c>
      <c r="F188" s="3246" t="s">
        <v>151</v>
      </c>
      <c r="G188" s="3246" t="s">
        <v>46</v>
      </c>
      <c r="H188" s="3246" t="s">
        <v>1038</v>
      </c>
      <c r="I188" s="3246"/>
      <c r="J188" s="3523" t="s">
        <v>32</v>
      </c>
      <c r="K188" s="3529" t="s">
        <v>162</v>
      </c>
      <c r="L188" s="3434" t="s">
        <v>6541</v>
      </c>
      <c r="M188" s="3524">
        <v>45355</v>
      </c>
      <c r="N188" s="3524">
        <v>45355</v>
      </c>
      <c r="O188" s="3524">
        <v>45355</v>
      </c>
      <c r="P188" s="707" t="s">
        <v>6539</v>
      </c>
      <c r="Q188" s="3275" t="s">
        <v>35</v>
      </c>
      <c r="R188" s="2093" t="s">
        <v>36</v>
      </c>
      <c r="S188" s="710" t="s">
        <v>1320</v>
      </c>
      <c r="T188" s="152"/>
      <c r="U188" s="152"/>
      <c r="V188" s="152"/>
      <c r="W188" s="152"/>
      <c r="X188" s="2135"/>
      <c r="Y188" s="152"/>
      <c r="Z188" s="645"/>
    </row>
    <row r="189" spans="1:26">
      <c r="A189" s="3235" t="s">
        <v>1035</v>
      </c>
      <c r="B189" s="3617" t="s">
        <v>6542</v>
      </c>
      <c r="C189" s="58" t="s">
        <v>28</v>
      </c>
      <c r="D189" s="3280">
        <v>45349</v>
      </c>
      <c r="E189" s="1112">
        <v>45352</v>
      </c>
      <c r="F189" s="3275" t="s">
        <v>151</v>
      </c>
      <c r="G189" s="3275" t="s">
        <v>46</v>
      </c>
      <c r="H189" s="3275" t="s">
        <v>1038</v>
      </c>
      <c r="I189" s="3275"/>
      <c r="J189" s="913" t="s">
        <v>32</v>
      </c>
      <c r="K189" s="1344" t="s">
        <v>162</v>
      </c>
      <c r="L189" s="3357">
        <v>858382</v>
      </c>
      <c r="M189" s="1640">
        <v>45355</v>
      </c>
      <c r="N189" s="3350">
        <v>45354</v>
      </c>
      <c r="O189" s="3371">
        <v>45357</v>
      </c>
      <c r="P189" s="3258" t="s">
        <v>6539</v>
      </c>
      <c r="Q189" s="3275" t="s">
        <v>35</v>
      </c>
      <c r="R189" s="2093" t="s">
        <v>36</v>
      </c>
      <c r="S189" s="710" t="s">
        <v>1320</v>
      </c>
      <c r="T189" s="152"/>
      <c r="U189" s="152"/>
      <c r="V189" s="152"/>
      <c r="W189" s="152"/>
      <c r="X189" s="2135"/>
      <c r="Y189" s="152"/>
      <c r="Z189" s="645"/>
    </row>
    <row r="190" spans="1:26" s="117" customFormat="1" ht="105">
      <c r="A190" s="3417" t="s">
        <v>409</v>
      </c>
      <c r="B190" s="3430" t="s">
        <v>6543</v>
      </c>
      <c r="C190" s="117" t="s">
        <v>28</v>
      </c>
      <c r="D190" s="3262">
        <v>45346</v>
      </c>
      <c r="E190" s="3264">
        <v>45353</v>
      </c>
      <c r="F190" s="3268" t="s">
        <v>151</v>
      </c>
      <c r="G190" s="3273" t="s">
        <v>2491</v>
      </c>
      <c r="H190" s="2495">
        <v>45413</v>
      </c>
      <c r="I190" s="3273"/>
      <c r="J190" s="117" t="s">
        <v>72</v>
      </c>
      <c r="K190" s="1617" t="s">
        <v>6544</v>
      </c>
      <c r="L190" s="3418" t="s">
        <v>6545</v>
      </c>
      <c r="M190" s="3262">
        <v>45356</v>
      </c>
      <c r="N190" s="3418" t="s">
        <v>6546</v>
      </c>
      <c r="O190" s="3314">
        <v>45413</v>
      </c>
      <c r="P190" s="3293" t="s">
        <v>6547</v>
      </c>
      <c r="Q190" s="3268" t="s">
        <v>75</v>
      </c>
      <c r="R190" s="2125" t="s">
        <v>6548</v>
      </c>
      <c r="S190" s="660"/>
      <c r="T190" s="660">
        <v>3010</v>
      </c>
      <c r="U190" s="1063">
        <f>2049+453</f>
        <v>2502</v>
      </c>
      <c r="V190" s="120">
        <v>1</v>
      </c>
      <c r="W190" s="660">
        <f>表12_14[[#This Row],[Sales Amount]]-表12_14[[#This Row],[Cost]]</f>
        <v>508</v>
      </c>
      <c r="X190" s="885">
        <f>表12_14[[#This Row],[Profit]]/表12_14[[#This Row],[Cost]]</f>
        <v>0.20303756994404476</v>
      </c>
      <c r="Y190" s="660"/>
      <c r="Z190" s="113"/>
    </row>
    <row r="191" spans="1:26" s="709" customFormat="1">
      <c r="A191" s="3527" t="s">
        <v>6148</v>
      </c>
      <c r="B191" s="3528" t="s">
        <v>6549</v>
      </c>
      <c r="C191" s="707" t="s">
        <v>28</v>
      </c>
      <c r="D191" s="3534">
        <v>45333</v>
      </c>
      <c r="E191" s="3535">
        <v>45353</v>
      </c>
      <c r="F191" s="3246" t="s">
        <v>245</v>
      </c>
      <c r="G191" s="3434" t="s">
        <v>1350</v>
      </c>
      <c r="H191" s="3246"/>
      <c r="I191" s="3246"/>
      <c r="J191" s="1651" t="s">
        <v>32</v>
      </c>
      <c r="K191" s="707" t="s">
        <v>310</v>
      </c>
      <c r="L191" s="709">
        <v>3792550</v>
      </c>
      <c r="M191" s="3525">
        <v>45355</v>
      </c>
      <c r="N191" s="3526">
        <v>45355</v>
      </c>
      <c r="O191" s="3526">
        <v>45356</v>
      </c>
      <c r="P191" s="3283" t="s">
        <v>6550</v>
      </c>
      <c r="Q191" s="3246" t="s">
        <v>50</v>
      </c>
      <c r="R191" s="2346" t="s">
        <v>6551</v>
      </c>
      <c r="S191" s="727"/>
      <c r="T191" s="727"/>
      <c r="U191" s="727"/>
      <c r="V191" s="727"/>
      <c r="W191" s="727"/>
      <c r="X191" s="727"/>
      <c r="Y191" s="727"/>
      <c r="Z191" s="711"/>
    </row>
    <row r="192" spans="1:26" s="1188" customFormat="1">
      <c r="A192" s="3527" t="s">
        <v>3343</v>
      </c>
      <c r="B192" s="3528" t="s">
        <v>6552</v>
      </c>
      <c r="C192" s="3246" t="s">
        <v>28</v>
      </c>
      <c r="D192" s="3534">
        <v>45346</v>
      </c>
      <c r="E192" s="3535">
        <v>45359</v>
      </c>
      <c r="F192" s="3246" t="s">
        <v>86</v>
      </c>
      <c r="G192" s="3246" t="s">
        <v>46</v>
      </c>
      <c r="H192" s="3246"/>
      <c r="I192" s="3246"/>
      <c r="J192" s="1651" t="s">
        <v>32</v>
      </c>
      <c r="K192" s="2383" t="s">
        <v>310</v>
      </c>
      <c r="L192" s="707" t="s">
        <v>6553</v>
      </c>
      <c r="M192" s="3616">
        <v>45363</v>
      </c>
      <c r="N192" s="3526">
        <v>45359</v>
      </c>
      <c r="O192" s="3526">
        <v>45364</v>
      </c>
      <c r="P192" s="3283" t="s">
        <v>6554</v>
      </c>
      <c r="Q192" s="3246" t="s">
        <v>50</v>
      </c>
      <c r="R192" s="2346" t="s">
        <v>6555</v>
      </c>
      <c r="S192" s="727"/>
      <c r="T192" s="727"/>
      <c r="U192" s="727"/>
      <c r="V192" s="727"/>
      <c r="W192" s="727"/>
      <c r="X192" s="2315"/>
      <c r="Y192" s="727"/>
      <c r="Z192" s="711"/>
    </row>
    <row r="193" spans="1:26" s="117" customFormat="1">
      <c r="A193" s="4607" t="s">
        <v>165</v>
      </c>
      <c r="B193" s="3618" t="s">
        <v>6556</v>
      </c>
      <c r="C193" s="4908" t="s">
        <v>200</v>
      </c>
      <c r="D193" s="3262">
        <v>45345</v>
      </c>
      <c r="E193" s="3264">
        <v>45354</v>
      </c>
      <c r="F193" s="4845" t="s">
        <v>167</v>
      </c>
      <c r="G193" s="4908" t="s">
        <v>302</v>
      </c>
      <c r="H193" s="839">
        <v>45356</v>
      </c>
      <c r="I193" s="3268" t="s">
        <v>6557</v>
      </c>
      <c r="J193" s="117" t="s">
        <v>32</v>
      </c>
      <c r="K193" s="120" t="s">
        <v>2013</v>
      </c>
      <c r="L193" s="3430" t="s">
        <v>6558</v>
      </c>
      <c r="M193" s="839">
        <v>45356</v>
      </c>
      <c r="N193" s="3262">
        <v>45356</v>
      </c>
      <c r="O193" s="3262">
        <v>45356</v>
      </c>
      <c r="P193" s="3432" t="s">
        <v>6559</v>
      </c>
      <c r="Q193" s="4845" t="s">
        <v>75</v>
      </c>
      <c r="R193" s="2125" t="s">
        <v>6560</v>
      </c>
      <c r="S193" s="660"/>
      <c r="T193" s="660">
        <v>1070</v>
      </c>
      <c r="U193" s="660">
        <v>870</v>
      </c>
      <c r="V193" s="660">
        <v>1</v>
      </c>
      <c r="W193" s="660">
        <f>表12_14[[#This Row],[Sales Amount]]-表12_14[[#This Row],[Cost]]</f>
        <v>200</v>
      </c>
      <c r="X193" s="885">
        <f>表12_14[[#This Row],[Profit]]/表12_14[[#This Row],[Cost]]</f>
        <v>0.22988505747126436</v>
      </c>
      <c r="Y193" s="660"/>
      <c r="Z193" s="113"/>
    </row>
    <row r="194" spans="1:26" s="117" customFormat="1" ht="45">
      <c r="A194" s="4607" t="s">
        <v>2847</v>
      </c>
      <c r="B194" s="3531" t="s">
        <v>6561</v>
      </c>
      <c r="C194" s="4845" t="s">
        <v>28</v>
      </c>
      <c r="D194" s="3262">
        <v>45349</v>
      </c>
      <c r="E194" s="3264">
        <v>45357</v>
      </c>
      <c r="F194" s="4845" t="s">
        <v>93</v>
      </c>
      <c r="G194" s="4845" t="s">
        <v>5557</v>
      </c>
      <c r="H194" s="3366">
        <v>45359</v>
      </c>
      <c r="I194" s="3293" t="s">
        <v>445</v>
      </c>
      <c r="J194" s="117" t="s">
        <v>322</v>
      </c>
      <c r="K194" s="120" t="s">
        <v>2652</v>
      </c>
      <c r="L194" s="3367">
        <v>3623317</v>
      </c>
      <c r="M194" s="3366">
        <v>45359</v>
      </c>
      <c r="N194" s="3366">
        <v>45359</v>
      </c>
      <c r="O194" s="3366">
        <v>45363</v>
      </c>
      <c r="P194" s="3619" t="s">
        <v>6562</v>
      </c>
      <c r="Q194" s="4845" t="s">
        <v>75</v>
      </c>
      <c r="R194" s="2127" t="s">
        <v>6563</v>
      </c>
      <c r="S194" s="660"/>
      <c r="T194" s="660">
        <v>1795</v>
      </c>
      <c r="U194" s="660">
        <v>1424.5</v>
      </c>
      <c r="V194" s="660">
        <v>1</v>
      </c>
      <c r="W194" s="660">
        <f>表12_14[[#This Row],[Sales Amount]]-表12_14[[#This Row],[Cost]]</f>
        <v>370.5</v>
      </c>
      <c r="X194" s="885">
        <f>表12_14[[#This Row],[Profit]]/表12_14[[#This Row],[Cost]]</f>
        <v>0.2600912600912601</v>
      </c>
      <c r="Y194" s="660" t="s">
        <v>5640</v>
      </c>
      <c r="Z194" s="113"/>
    </row>
    <row r="195" spans="1:26" s="709" customFormat="1">
      <c r="A195" s="4647" t="s">
        <v>4793</v>
      </c>
      <c r="B195" s="3528" t="s">
        <v>6564</v>
      </c>
      <c r="C195" s="5367" t="s">
        <v>28</v>
      </c>
      <c r="D195" s="3558">
        <v>45337</v>
      </c>
      <c r="E195" s="3535">
        <v>45353</v>
      </c>
      <c r="F195" s="4902" t="s">
        <v>45</v>
      </c>
      <c r="G195" s="4902" t="s">
        <v>46</v>
      </c>
      <c r="H195" s="3434"/>
      <c r="I195" s="3434"/>
      <c r="J195" s="1651" t="s">
        <v>32</v>
      </c>
      <c r="K195" s="1674" t="s">
        <v>310</v>
      </c>
      <c r="L195" s="2390" t="s">
        <v>6565</v>
      </c>
      <c r="M195" s="3525">
        <v>45355</v>
      </c>
      <c r="N195" s="3525">
        <v>45355</v>
      </c>
      <c r="O195" s="3525">
        <v>45356</v>
      </c>
      <c r="P195" s="3605" t="s">
        <v>6566</v>
      </c>
      <c r="Q195" s="4902" t="s">
        <v>50</v>
      </c>
      <c r="R195" s="2384" t="s">
        <v>6567</v>
      </c>
      <c r="S195" s="2385"/>
      <c r="T195" s="2385"/>
      <c r="U195" s="2385"/>
      <c r="V195" s="2385"/>
      <c r="W195" s="2385"/>
      <c r="X195" s="2386"/>
      <c r="Y195" s="2385"/>
      <c r="Z195" s="914"/>
    </row>
    <row r="196" spans="1:26" s="709" customFormat="1">
      <c r="A196" s="3417" t="s">
        <v>409</v>
      </c>
      <c r="B196" s="3528" t="s">
        <v>6568</v>
      </c>
      <c r="C196" s="4882" t="s">
        <v>28</v>
      </c>
      <c r="D196" s="3534">
        <v>45337</v>
      </c>
      <c r="E196" s="3535">
        <v>45353</v>
      </c>
      <c r="F196" s="3246" t="s">
        <v>1017</v>
      </c>
      <c r="G196" s="4861" t="s">
        <v>669</v>
      </c>
      <c r="H196" s="3246"/>
      <c r="I196" s="3246"/>
      <c r="J196" s="5077" t="s">
        <v>32</v>
      </c>
      <c r="K196" s="4882" t="s">
        <v>310</v>
      </c>
      <c r="L196" s="707" t="s">
        <v>6569</v>
      </c>
      <c r="M196" s="3563">
        <v>45355</v>
      </c>
      <c r="N196" s="3526">
        <v>45355</v>
      </c>
      <c r="O196" s="3526">
        <v>45356</v>
      </c>
      <c r="P196" s="3283" t="s">
        <v>6570</v>
      </c>
      <c r="Q196" s="4861" t="s">
        <v>50</v>
      </c>
      <c r="R196" s="2346" t="s">
        <v>6571</v>
      </c>
      <c r="S196" s="718"/>
      <c r="T196" s="727"/>
      <c r="U196" s="727"/>
      <c r="V196" s="727"/>
      <c r="W196" s="727"/>
      <c r="X196" s="2315"/>
      <c r="Y196" s="727"/>
      <c r="Z196" s="711"/>
    </row>
    <row r="197" spans="1:26">
      <c r="A197" s="3065" t="s">
        <v>3343</v>
      </c>
      <c r="B197" s="3620" t="s">
        <v>6572</v>
      </c>
      <c r="C197" s="4874" t="s">
        <v>28</v>
      </c>
      <c r="D197" s="3069">
        <v>45344</v>
      </c>
      <c r="E197" s="3550">
        <v>45353</v>
      </c>
      <c r="F197" s="3552" t="s">
        <v>1017</v>
      </c>
      <c r="G197" s="5370" t="s">
        <v>46</v>
      </c>
      <c r="H197" s="3075"/>
      <c r="I197" s="3075"/>
      <c r="J197" s="5371" t="s">
        <v>32</v>
      </c>
      <c r="K197" s="4873" t="s">
        <v>310</v>
      </c>
      <c r="L197" s="26" t="s">
        <v>6573</v>
      </c>
      <c r="M197" s="3621">
        <v>45355</v>
      </c>
      <c r="N197" s="3553">
        <v>45355</v>
      </c>
      <c r="O197" s="3553">
        <v>45356</v>
      </c>
      <c r="P197" s="3622" t="s">
        <v>6574</v>
      </c>
      <c r="Q197" s="4874" t="s">
        <v>50</v>
      </c>
      <c r="R197" s="2121" t="s">
        <v>6575</v>
      </c>
      <c r="S197" s="93"/>
      <c r="T197" s="152"/>
      <c r="U197" s="152"/>
      <c r="V197" s="152"/>
      <c r="W197" s="152"/>
      <c r="X197" s="2124"/>
      <c r="Y197" s="152"/>
      <c r="Z197" s="645"/>
    </row>
    <row r="198" spans="1:26" s="709" customFormat="1">
      <c r="A198" s="3527" t="s">
        <v>3343</v>
      </c>
      <c r="B198" s="3528" t="s">
        <v>6576</v>
      </c>
      <c r="C198" s="4861" t="s">
        <v>28</v>
      </c>
      <c r="D198" s="3534">
        <v>45346</v>
      </c>
      <c r="E198" s="3535">
        <v>45359</v>
      </c>
      <c r="F198" s="3246" t="s">
        <v>86</v>
      </c>
      <c r="G198" s="4861" t="s">
        <v>46</v>
      </c>
      <c r="H198" s="3246"/>
      <c r="I198" s="3246"/>
      <c r="J198" s="5077" t="s">
        <v>32</v>
      </c>
      <c r="K198" s="5367" t="s">
        <v>310</v>
      </c>
      <c r="L198" s="709" t="s">
        <v>6577</v>
      </c>
      <c r="M198" s="1341">
        <v>45363</v>
      </c>
      <c r="N198" s="3526">
        <v>45363</v>
      </c>
      <c r="O198" s="3526">
        <v>45364</v>
      </c>
      <c r="P198" s="3283" t="s">
        <v>6578</v>
      </c>
      <c r="Q198" s="4861" t="s">
        <v>50</v>
      </c>
      <c r="R198" s="2346" t="s">
        <v>6579</v>
      </c>
      <c r="S198" s="718"/>
      <c r="T198" s="727"/>
      <c r="U198" s="727"/>
      <c r="V198" s="727"/>
      <c r="W198" s="727"/>
      <c r="X198" s="2315"/>
      <c r="Y198" s="727"/>
      <c r="Z198" s="711"/>
    </row>
    <row r="199" spans="1:26" s="709" customFormat="1">
      <c r="A199" s="3527" t="s">
        <v>3343</v>
      </c>
      <c r="B199" s="3528" t="s">
        <v>6580</v>
      </c>
      <c r="C199" s="3246" t="s">
        <v>28</v>
      </c>
      <c r="D199" s="3534">
        <v>45346</v>
      </c>
      <c r="E199" s="3535">
        <v>45356</v>
      </c>
      <c r="F199" s="3246" t="s">
        <v>86</v>
      </c>
      <c r="G199" s="3246" t="s">
        <v>46</v>
      </c>
      <c r="H199" s="3246"/>
      <c r="I199" s="3246"/>
      <c r="J199" s="5077" t="s">
        <v>32</v>
      </c>
      <c r="K199" s="3258" t="s">
        <v>310</v>
      </c>
      <c r="L199" s="707" t="s">
        <v>6581</v>
      </c>
      <c r="M199" s="3525">
        <v>45358</v>
      </c>
      <c r="N199" s="3526">
        <v>45358</v>
      </c>
      <c r="O199" s="3526">
        <v>45362</v>
      </c>
      <c r="P199" s="3283" t="s">
        <v>6582</v>
      </c>
      <c r="Q199" s="3246" t="s">
        <v>50</v>
      </c>
      <c r="R199" s="2346" t="s">
        <v>6583</v>
      </c>
      <c r="S199" s="727"/>
      <c r="T199" s="727"/>
      <c r="U199" s="727"/>
      <c r="V199" s="727"/>
      <c r="W199" s="727"/>
      <c r="X199" s="2315"/>
      <c r="Y199" s="727"/>
      <c r="Z199" s="711"/>
    </row>
    <row r="200" spans="1:26" s="709" customFormat="1">
      <c r="A200" s="3527" t="s">
        <v>3343</v>
      </c>
      <c r="B200" s="3528" t="s">
        <v>6584</v>
      </c>
      <c r="C200" s="3246" t="s">
        <v>28</v>
      </c>
      <c r="D200" s="3534">
        <v>45346</v>
      </c>
      <c r="E200" s="3535">
        <v>45354</v>
      </c>
      <c r="F200" s="3246" t="s">
        <v>86</v>
      </c>
      <c r="G200" s="3246" t="s">
        <v>46</v>
      </c>
      <c r="H200" s="3246"/>
      <c r="I200" s="3246"/>
      <c r="J200" s="3530" t="s">
        <v>32</v>
      </c>
      <c r="K200" s="3258" t="s">
        <v>310</v>
      </c>
      <c r="L200" s="707" t="s">
        <v>6585</v>
      </c>
      <c r="M200" s="3623">
        <v>45356</v>
      </c>
      <c r="N200" s="3526">
        <v>45356</v>
      </c>
      <c r="O200" s="3526">
        <v>45358</v>
      </c>
      <c r="P200" s="3283" t="s">
        <v>6586</v>
      </c>
      <c r="Q200" s="3246" t="s">
        <v>50</v>
      </c>
      <c r="R200" s="2346" t="s">
        <v>6587</v>
      </c>
      <c r="S200" s="727"/>
      <c r="T200" s="727"/>
      <c r="U200" s="727"/>
      <c r="V200" s="727"/>
      <c r="W200" s="727"/>
      <c r="X200" s="2315"/>
      <c r="Y200" s="727"/>
      <c r="Z200" s="711"/>
    </row>
    <row r="201" spans="1:26" s="709" customFormat="1">
      <c r="A201" s="3527" t="s">
        <v>3343</v>
      </c>
      <c r="B201" s="2566" t="s">
        <v>6588</v>
      </c>
      <c r="C201" s="3246" t="s">
        <v>28</v>
      </c>
      <c r="D201" s="3534">
        <v>45346</v>
      </c>
      <c r="E201" s="877">
        <v>45360</v>
      </c>
      <c r="F201" s="3246" t="s">
        <v>86</v>
      </c>
      <c r="G201" s="709" t="s">
        <v>46</v>
      </c>
      <c r="H201" s="3246"/>
      <c r="I201" s="3246"/>
      <c r="J201" s="1651" t="s">
        <v>32</v>
      </c>
      <c r="K201" s="2383" t="s">
        <v>310</v>
      </c>
      <c r="L201" s="707" t="s">
        <v>6589</v>
      </c>
      <c r="M201" s="3434"/>
      <c r="N201" s="3526">
        <v>45361</v>
      </c>
      <c r="O201" s="3526">
        <v>45363</v>
      </c>
      <c r="P201" s="3283" t="s">
        <v>6590</v>
      </c>
      <c r="Q201" s="3246" t="s">
        <v>50</v>
      </c>
      <c r="R201" s="2346" t="s">
        <v>6591</v>
      </c>
      <c r="S201" s="727"/>
      <c r="T201" s="727"/>
      <c r="U201" s="727"/>
      <c r="V201" s="727"/>
      <c r="W201" s="727"/>
      <c r="X201" s="2315"/>
      <c r="Y201" s="727"/>
      <c r="Z201" s="711"/>
    </row>
    <row r="202" spans="1:26" s="1188" customFormat="1">
      <c r="A202" s="3527" t="s">
        <v>3343</v>
      </c>
      <c r="B202" s="2566" t="s">
        <v>6592</v>
      </c>
      <c r="C202" s="3246" t="s">
        <v>28</v>
      </c>
      <c r="D202" s="3534">
        <v>45346</v>
      </c>
      <c r="E202" s="877">
        <v>45359</v>
      </c>
      <c r="F202" s="3246" t="s">
        <v>86</v>
      </c>
      <c r="G202" s="709" t="s">
        <v>46</v>
      </c>
      <c r="H202" s="3246"/>
      <c r="I202" s="3246"/>
      <c r="J202" s="1651" t="s">
        <v>32</v>
      </c>
      <c r="K202" s="2383" t="s">
        <v>310</v>
      </c>
      <c r="L202" s="707" t="s">
        <v>6593</v>
      </c>
      <c r="M202" s="3616">
        <v>45363</v>
      </c>
      <c r="N202" s="3526">
        <v>45362</v>
      </c>
      <c r="O202" s="3526">
        <v>45364</v>
      </c>
      <c r="P202" s="3283" t="s">
        <v>6594</v>
      </c>
      <c r="Q202" s="3246" t="s">
        <v>50</v>
      </c>
      <c r="R202" s="2346" t="s">
        <v>6595</v>
      </c>
      <c r="S202" s="727"/>
      <c r="T202" s="727"/>
      <c r="U202" s="727"/>
      <c r="V202" s="727"/>
      <c r="W202" s="727"/>
      <c r="X202" s="2315"/>
      <c r="Y202" s="727"/>
      <c r="Z202" s="711"/>
    </row>
    <row r="203" spans="1:26" s="709" customFormat="1">
      <c r="A203" s="3527" t="s">
        <v>3343</v>
      </c>
      <c r="B203" s="2566" t="s">
        <v>6596</v>
      </c>
      <c r="C203" s="3246" t="s">
        <v>28</v>
      </c>
      <c r="D203" s="3534">
        <v>45346</v>
      </c>
      <c r="E203" s="3535">
        <v>45356</v>
      </c>
      <c r="F203" s="3246" t="s">
        <v>86</v>
      </c>
      <c r="G203" s="709" t="s">
        <v>46</v>
      </c>
      <c r="H203" s="3246"/>
      <c r="I203" s="3246"/>
      <c r="J203" s="1651" t="s">
        <v>32</v>
      </c>
      <c r="K203" s="707" t="s">
        <v>310</v>
      </c>
      <c r="L203" s="707" t="s">
        <v>6597</v>
      </c>
      <c r="M203" s="3525">
        <v>45358</v>
      </c>
      <c r="N203" s="3526">
        <v>45358</v>
      </c>
      <c r="O203" s="3526">
        <v>45363</v>
      </c>
      <c r="P203" s="3283" t="s">
        <v>6598</v>
      </c>
      <c r="Q203" s="3246" t="s">
        <v>50</v>
      </c>
      <c r="R203" s="2346" t="s">
        <v>6599</v>
      </c>
      <c r="S203" s="727"/>
      <c r="T203" s="727"/>
      <c r="U203" s="727"/>
      <c r="V203" s="727"/>
      <c r="W203" s="727"/>
      <c r="X203" s="2315"/>
      <c r="Y203" s="727"/>
      <c r="Z203" s="711"/>
    </row>
    <row r="204" spans="1:26" s="709" customFormat="1">
      <c r="A204" s="3527" t="s">
        <v>3343</v>
      </c>
      <c r="B204" s="3528" t="s">
        <v>6600</v>
      </c>
      <c r="C204" s="3246" t="s">
        <v>28</v>
      </c>
      <c r="D204" s="3534">
        <v>45346</v>
      </c>
      <c r="E204" s="3535">
        <v>45358</v>
      </c>
      <c r="F204" s="3246" t="s">
        <v>86</v>
      </c>
      <c r="G204" s="3246" t="s">
        <v>46</v>
      </c>
      <c r="H204" s="3246"/>
      <c r="I204" s="3246"/>
      <c r="J204" s="5077" t="s">
        <v>32</v>
      </c>
      <c r="K204" s="3258" t="s">
        <v>310</v>
      </c>
      <c r="L204" s="707" t="s">
        <v>6601</v>
      </c>
      <c r="M204" s="3525">
        <v>45358</v>
      </c>
      <c r="N204" s="3526">
        <v>45357</v>
      </c>
      <c r="O204" s="3526">
        <v>45360</v>
      </c>
      <c r="P204" s="3283" t="s">
        <v>6602</v>
      </c>
      <c r="Q204" s="3246" t="s">
        <v>50</v>
      </c>
      <c r="R204" s="2346" t="s">
        <v>6603</v>
      </c>
      <c r="S204" s="727"/>
      <c r="T204" s="727"/>
      <c r="U204" s="727"/>
      <c r="V204" s="727"/>
      <c r="W204" s="727"/>
      <c r="X204" s="2315"/>
      <c r="Y204" s="727"/>
      <c r="Z204" s="711"/>
    </row>
    <row r="205" spans="1:26" s="709" customFormat="1">
      <c r="A205" s="3527" t="s">
        <v>3343</v>
      </c>
      <c r="B205" s="3528" t="s">
        <v>6604</v>
      </c>
      <c r="C205" s="3246" t="s">
        <v>28</v>
      </c>
      <c r="D205" s="3534">
        <v>45346</v>
      </c>
      <c r="E205" s="3535">
        <v>45358</v>
      </c>
      <c r="F205" s="3246" t="s">
        <v>86</v>
      </c>
      <c r="G205" s="3246" t="s">
        <v>46</v>
      </c>
      <c r="H205" s="3246"/>
      <c r="I205" s="3246"/>
      <c r="J205" s="5077" t="s">
        <v>32</v>
      </c>
      <c r="K205" s="3258" t="s">
        <v>310</v>
      </c>
      <c r="L205" s="707" t="s">
        <v>6605</v>
      </c>
      <c r="M205" s="3523"/>
      <c r="N205" s="3526">
        <v>45357</v>
      </c>
      <c r="O205" s="3526">
        <v>45358</v>
      </c>
      <c r="P205" s="3283" t="s">
        <v>6606</v>
      </c>
      <c r="Q205" s="3246" t="s">
        <v>50</v>
      </c>
      <c r="R205" s="2346" t="s">
        <v>6607</v>
      </c>
      <c r="S205" s="727"/>
      <c r="T205" s="727"/>
      <c r="U205" s="727"/>
      <c r="V205" s="727"/>
      <c r="W205" s="727"/>
      <c r="X205" s="2315"/>
      <c r="Y205" s="727"/>
      <c r="Z205" s="711"/>
    </row>
    <row r="206" spans="1:26" s="709" customFormat="1">
      <c r="A206" s="3527" t="s">
        <v>3343</v>
      </c>
      <c r="B206" s="3624" t="s">
        <v>6608</v>
      </c>
      <c r="C206" s="3246" t="s">
        <v>28</v>
      </c>
      <c r="D206" s="3534">
        <v>45346</v>
      </c>
      <c r="E206" s="3535">
        <v>45359</v>
      </c>
      <c r="F206" s="3246" t="s">
        <v>86</v>
      </c>
      <c r="G206" s="3246" t="s">
        <v>46</v>
      </c>
      <c r="H206" s="3246"/>
      <c r="I206" s="3246"/>
      <c r="J206" s="5077" t="s">
        <v>32</v>
      </c>
      <c r="K206" s="3569" t="s">
        <v>310</v>
      </c>
      <c r="L206" s="707" t="s">
        <v>6609</v>
      </c>
      <c r="M206" s="3616">
        <v>45363</v>
      </c>
      <c r="N206" s="3526">
        <v>45362</v>
      </c>
      <c r="O206" s="3526">
        <v>45363</v>
      </c>
      <c r="P206" s="3283" t="s">
        <v>6610</v>
      </c>
      <c r="Q206" s="4861" t="s">
        <v>50</v>
      </c>
      <c r="R206" s="2346" t="s">
        <v>6611</v>
      </c>
      <c r="S206" s="727"/>
      <c r="T206" s="727"/>
      <c r="U206" s="727"/>
      <c r="V206" s="727"/>
      <c r="W206" s="727"/>
      <c r="X206" s="2315"/>
      <c r="Y206" s="727"/>
      <c r="Z206" s="711"/>
    </row>
    <row r="207" spans="1:26" s="709" customFormat="1">
      <c r="A207" s="709" t="s">
        <v>3343</v>
      </c>
      <c r="B207" s="3528" t="s">
        <v>6612</v>
      </c>
      <c r="C207" s="3246" t="s">
        <v>28</v>
      </c>
      <c r="D207" s="4953">
        <v>45346</v>
      </c>
      <c r="E207" s="4885">
        <v>45359</v>
      </c>
      <c r="F207" s="709" t="s">
        <v>86</v>
      </c>
      <c r="G207" s="709" t="s">
        <v>46</v>
      </c>
      <c r="H207" s="3246"/>
      <c r="I207" s="3246"/>
      <c r="J207" s="3530" t="s">
        <v>32</v>
      </c>
      <c r="K207" s="707" t="s">
        <v>310</v>
      </c>
      <c r="L207" s="4861" t="s">
        <v>6613</v>
      </c>
      <c r="M207" s="3616">
        <v>45363</v>
      </c>
      <c r="N207" s="3526">
        <v>45363</v>
      </c>
      <c r="O207" s="3526">
        <v>45365</v>
      </c>
      <c r="P207" s="1019" t="s">
        <v>6614</v>
      </c>
      <c r="Q207" s="3246" t="s">
        <v>50</v>
      </c>
      <c r="R207" s="2346" t="s">
        <v>6615</v>
      </c>
      <c r="S207" s="727"/>
      <c r="T207" s="727"/>
      <c r="U207" s="727"/>
      <c r="V207" s="727"/>
      <c r="W207" s="727"/>
      <c r="X207" s="2315"/>
      <c r="Y207" s="727"/>
      <c r="Z207" s="711"/>
    </row>
    <row r="208" spans="1:26" s="709" customFormat="1">
      <c r="A208" s="3527" t="s">
        <v>3343</v>
      </c>
      <c r="B208" s="2566" t="s">
        <v>6616</v>
      </c>
      <c r="C208" s="2390" t="s">
        <v>28</v>
      </c>
      <c r="D208" s="3534">
        <v>45346</v>
      </c>
      <c r="E208" s="4885">
        <v>45359</v>
      </c>
      <c r="F208" s="4861" t="s">
        <v>86</v>
      </c>
      <c r="G208" s="709" t="s">
        <v>46</v>
      </c>
      <c r="H208" s="3246"/>
      <c r="I208" s="3246"/>
      <c r="J208" s="3530" t="s">
        <v>32</v>
      </c>
      <c r="K208" s="2383" t="s">
        <v>310</v>
      </c>
      <c r="L208" s="707" t="s">
        <v>6617</v>
      </c>
      <c r="M208" s="1341">
        <v>45363</v>
      </c>
      <c r="N208" s="3526">
        <v>45362</v>
      </c>
      <c r="O208" s="3526">
        <v>45363</v>
      </c>
      <c r="P208" s="3283" t="s">
        <v>6618</v>
      </c>
      <c r="Q208" s="3246" t="s">
        <v>50</v>
      </c>
      <c r="R208" s="2346" t="s">
        <v>6619</v>
      </c>
      <c r="S208" s="727"/>
      <c r="T208" s="727"/>
      <c r="U208" s="727"/>
      <c r="V208" s="727"/>
      <c r="W208" s="727"/>
      <c r="X208" s="2315"/>
      <c r="Y208" s="727"/>
      <c r="Z208" s="711"/>
    </row>
    <row r="209" spans="1:28" s="709" customFormat="1">
      <c r="A209" s="3527" t="s">
        <v>3343</v>
      </c>
      <c r="B209" s="2566" t="s">
        <v>6620</v>
      </c>
      <c r="C209" s="709" t="s">
        <v>28</v>
      </c>
      <c r="D209" s="3534">
        <v>45344</v>
      </c>
      <c r="E209" s="3535">
        <v>45353</v>
      </c>
      <c r="F209" s="3246" t="s">
        <v>1017</v>
      </c>
      <c r="G209" s="3246" t="s">
        <v>46</v>
      </c>
      <c r="H209" s="3246"/>
      <c r="I209" s="3246"/>
      <c r="J209" s="3530" t="s">
        <v>32</v>
      </c>
      <c r="K209" s="707" t="s">
        <v>310</v>
      </c>
      <c r="L209" s="707" t="s">
        <v>6621</v>
      </c>
      <c r="M209" s="3623">
        <v>45355</v>
      </c>
      <c r="N209" s="3526">
        <v>45355</v>
      </c>
      <c r="O209" s="3526">
        <v>45356</v>
      </c>
      <c r="P209" s="3283" t="s">
        <v>6622</v>
      </c>
      <c r="Q209" s="3246" t="s">
        <v>50</v>
      </c>
      <c r="R209" s="2346" t="s">
        <v>6623</v>
      </c>
      <c r="S209" s="727"/>
      <c r="T209" s="727"/>
      <c r="U209" s="727"/>
      <c r="V209" s="727"/>
      <c r="W209" s="727"/>
      <c r="X209" s="2315"/>
      <c r="Y209" s="727"/>
      <c r="Z209" s="711"/>
    </row>
    <row r="210" spans="1:28" s="709" customFormat="1">
      <c r="A210" s="3417" t="s">
        <v>409</v>
      </c>
      <c r="B210" s="2566" t="s">
        <v>6624</v>
      </c>
      <c r="C210" s="709" t="s">
        <v>28</v>
      </c>
      <c r="D210" s="3534">
        <v>45346</v>
      </c>
      <c r="E210" s="877">
        <v>45356</v>
      </c>
      <c r="F210" s="3246" t="s">
        <v>151</v>
      </c>
      <c r="G210" s="4861" t="s">
        <v>46</v>
      </c>
      <c r="H210" s="3246"/>
      <c r="I210" s="3246"/>
      <c r="J210" s="3434" t="s">
        <v>32</v>
      </c>
      <c r="K210" s="709" t="s">
        <v>47</v>
      </c>
      <c r="L210" s="3246" t="s">
        <v>6625</v>
      </c>
      <c r="M210" s="3525">
        <v>45358</v>
      </c>
      <c r="N210" s="3526">
        <v>45358</v>
      </c>
      <c r="O210" s="3526">
        <v>45362</v>
      </c>
      <c r="P210" s="3283" t="s">
        <v>6626</v>
      </c>
      <c r="Q210" s="3246" t="s">
        <v>89</v>
      </c>
      <c r="R210" s="2346" t="s">
        <v>6253</v>
      </c>
      <c r="S210" s="727"/>
      <c r="T210" s="727"/>
      <c r="U210" s="727"/>
      <c r="V210" s="727"/>
      <c r="W210" s="727"/>
      <c r="X210" s="2315"/>
      <c r="Y210" s="727"/>
      <c r="Z210" s="711"/>
    </row>
    <row r="211" spans="1:28" s="709" customFormat="1">
      <c r="A211" s="3417" t="s">
        <v>409</v>
      </c>
      <c r="B211" s="2569" t="s">
        <v>6627</v>
      </c>
      <c r="C211" s="707" t="s">
        <v>28</v>
      </c>
      <c r="D211" s="3534">
        <v>45346</v>
      </c>
      <c r="E211" s="3535">
        <v>45356</v>
      </c>
      <c r="F211" s="3258" t="s">
        <v>151</v>
      </c>
      <c r="G211" s="4861" t="s">
        <v>46</v>
      </c>
      <c r="H211" s="3246"/>
      <c r="I211" s="3246"/>
      <c r="J211" s="3530" t="s">
        <v>32</v>
      </c>
      <c r="K211" s="707" t="s">
        <v>47</v>
      </c>
      <c r="L211" s="707" t="s">
        <v>6628</v>
      </c>
      <c r="M211" s="3525">
        <v>45358</v>
      </c>
      <c r="N211" s="3526">
        <v>45358</v>
      </c>
      <c r="O211" s="3526">
        <v>45362</v>
      </c>
      <c r="P211" s="3258" t="s">
        <v>6629</v>
      </c>
      <c r="Q211" s="3258" t="s">
        <v>89</v>
      </c>
      <c r="R211" s="2346" t="s">
        <v>6532</v>
      </c>
      <c r="S211" s="727"/>
      <c r="T211" s="727"/>
      <c r="U211" s="727"/>
      <c r="V211" s="727"/>
      <c r="W211" s="727"/>
      <c r="X211" s="2315"/>
      <c r="Y211" s="727"/>
      <c r="Z211" s="711"/>
    </row>
    <row r="212" spans="1:28" s="709" customFormat="1">
      <c r="A212" s="3417" t="s">
        <v>409</v>
      </c>
      <c r="B212" s="2569" t="s">
        <v>6630</v>
      </c>
      <c r="C212" s="707" t="s">
        <v>28</v>
      </c>
      <c r="D212" s="3534">
        <v>45346</v>
      </c>
      <c r="E212" s="3535">
        <v>45356</v>
      </c>
      <c r="F212" s="3258" t="s">
        <v>151</v>
      </c>
      <c r="G212" s="4861" t="s">
        <v>46</v>
      </c>
      <c r="H212" s="3246"/>
      <c r="I212" s="3246"/>
      <c r="J212" s="3530" t="s">
        <v>32</v>
      </c>
      <c r="K212" s="707" t="s">
        <v>310</v>
      </c>
      <c r="L212" s="3258" t="s">
        <v>6631</v>
      </c>
      <c r="M212" s="3524">
        <v>45358</v>
      </c>
      <c r="N212" s="3526">
        <v>45358</v>
      </c>
      <c r="O212" s="3526">
        <v>45363</v>
      </c>
      <c r="P212" s="3258" t="s">
        <v>6632</v>
      </c>
      <c r="Q212" s="3246" t="s">
        <v>50</v>
      </c>
      <c r="R212" s="2346" t="s">
        <v>6633</v>
      </c>
      <c r="S212" s="727"/>
      <c r="T212" s="727"/>
      <c r="U212" s="727"/>
      <c r="V212" s="727"/>
      <c r="W212" s="727"/>
      <c r="X212" s="2315"/>
      <c r="Y212" s="727"/>
      <c r="Z212" s="711"/>
    </row>
    <row r="213" spans="1:28" s="709" customFormat="1" ht="60">
      <c r="A213" s="3527" t="s">
        <v>732</v>
      </c>
      <c r="B213" s="2566" t="s">
        <v>6634</v>
      </c>
      <c r="C213" s="709" t="s">
        <v>28</v>
      </c>
      <c r="D213" s="3534">
        <v>45346</v>
      </c>
      <c r="E213" s="3535">
        <v>45371</v>
      </c>
      <c r="F213" s="3246" t="s">
        <v>45</v>
      </c>
      <c r="G213" s="4861" t="s">
        <v>46</v>
      </c>
      <c r="H213" s="3246"/>
      <c r="I213" s="3246"/>
      <c r="J213" s="3530" t="s">
        <v>32</v>
      </c>
      <c r="K213" s="707" t="s">
        <v>310</v>
      </c>
      <c r="L213" s="2464" t="s">
        <v>6635</v>
      </c>
      <c r="M213" s="3623">
        <v>45373</v>
      </c>
      <c r="N213" s="3526">
        <v>45372</v>
      </c>
      <c r="O213" s="3526">
        <v>45372</v>
      </c>
      <c r="P213" s="3283" t="s">
        <v>6636</v>
      </c>
      <c r="Q213" s="3246" t="s">
        <v>50</v>
      </c>
      <c r="R213" s="2346" t="s">
        <v>6637</v>
      </c>
      <c r="S213" s="727"/>
      <c r="T213" s="727"/>
      <c r="U213" s="727"/>
      <c r="V213" s="727"/>
      <c r="W213" s="727"/>
      <c r="X213" s="2315"/>
      <c r="Y213" s="727"/>
      <c r="Z213" s="711"/>
    </row>
    <row r="214" spans="1:28" s="1442" customFormat="1" ht="15.75">
      <c r="A214" s="3611" t="s">
        <v>732</v>
      </c>
      <c r="B214" s="2574" t="s">
        <v>6638</v>
      </c>
      <c r="C214" s="1442" t="s">
        <v>28</v>
      </c>
      <c r="D214" s="3612">
        <v>45346</v>
      </c>
      <c r="E214" s="3391">
        <v>45354</v>
      </c>
      <c r="F214" s="3252" t="s">
        <v>45</v>
      </c>
      <c r="G214" s="4911" t="s">
        <v>46</v>
      </c>
      <c r="H214" s="3252"/>
      <c r="I214" s="3252"/>
      <c r="J214" s="3596" t="s">
        <v>32</v>
      </c>
      <c r="K214" s="1569" t="s">
        <v>310</v>
      </c>
      <c r="L214" s="2423" t="s">
        <v>6639</v>
      </c>
      <c r="M214" s="3625">
        <v>45357</v>
      </c>
      <c r="N214" s="3613">
        <v>45356</v>
      </c>
      <c r="O214" s="3613">
        <v>45357</v>
      </c>
      <c r="P214" s="3614" t="s">
        <v>6640</v>
      </c>
      <c r="Q214" s="3252" t="s">
        <v>50</v>
      </c>
      <c r="R214" s="2421" t="s">
        <v>51</v>
      </c>
      <c r="S214" s="1724"/>
      <c r="T214" s="1724"/>
      <c r="U214" s="1724"/>
      <c r="V214" s="1724"/>
      <c r="W214" s="1724"/>
      <c r="X214" s="2424"/>
      <c r="Y214" s="1724"/>
      <c r="Z214" s="2422"/>
    </row>
    <row r="215" spans="1:28" s="709" customFormat="1">
      <c r="A215" s="3527" t="s">
        <v>6641</v>
      </c>
      <c r="B215" s="3528" t="s">
        <v>6642</v>
      </c>
      <c r="C215" s="4122" t="s">
        <v>28</v>
      </c>
      <c r="D215" s="4953">
        <v>45345</v>
      </c>
      <c r="E215" s="4885">
        <v>45363</v>
      </c>
      <c r="F215" s="4331" t="s">
        <v>245</v>
      </c>
      <c r="G215" s="4331" t="s">
        <v>801</v>
      </c>
      <c r="H215" s="3246"/>
      <c r="I215" s="3246"/>
      <c r="J215" s="3537" t="s">
        <v>32</v>
      </c>
      <c r="K215" s="709" t="s">
        <v>47</v>
      </c>
      <c r="L215" s="707">
        <v>787323</v>
      </c>
      <c r="M215" s="3525">
        <v>45365</v>
      </c>
      <c r="N215" s="3526">
        <v>45365</v>
      </c>
      <c r="O215" s="3526">
        <v>45366</v>
      </c>
      <c r="P215" s="4334" t="s">
        <v>6643</v>
      </c>
      <c r="Q215" s="4331" t="s">
        <v>89</v>
      </c>
      <c r="R215" s="2346" t="s">
        <v>6644</v>
      </c>
      <c r="S215" s="727"/>
      <c r="T215" s="713"/>
      <c r="U215" s="713"/>
      <c r="V215" s="713"/>
      <c r="W215" s="713"/>
      <c r="X215" s="713" t="str">
        <f>IFERROR(Table6[[#This Row],[Profit]]/Table6[[#This Row],[Cost]]," ")</f>
        <v xml:space="preserve"> </v>
      </c>
      <c r="Y215" s="713"/>
      <c r="Z215" s="2372"/>
    </row>
    <row r="216" spans="1:28" s="2395" customFormat="1">
      <c r="A216" s="3417" t="s">
        <v>409</v>
      </c>
      <c r="B216" s="2569" t="s">
        <v>6645</v>
      </c>
      <c r="C216" s="707" t="s">
        <v>28</v>
      </c>
      <c r="D216" s="3534">
        <v>45347</v>
      </c>
      <c r="E216" s="877">
        <v>45363</v>
      </c>
      <c r="F216" s="3258" t="s">
        <v>93</v>
      </c>
      <c r="G216" s="4861" t="s">
        <v>669</v>
      </c>
      <c r="H216" s="3246"/>
      <c r="I216" s="3246"/>
      <c r="J216" s="3530" t="s">
        <v>32</v>
      </c>
      <c r="K216" s="707" t="s">
        <v>47</v>
      </c>
      <c r="L216" s="707" t="s">
        <v>6646</v>
      </c>
      <c r="M216" s="3525">
        <v>45365</v>
      </c>
      <c r="N216" s="3526">
        <v>45364</v>
      </c>
      <c r="O216" s="3526">
        <v>45365</v>
      </c>
      <c r="P216" s="3258" t="s">
        <v>6647</v>
      </c>
      <c r="Q216" s="3258" t="s">
        <v>89</v>
      </c>
      <c r="R216" s="2346" t="s">
        <v>6648</v>
      </c>
      <c r="S216" s="727"/>
      <c r="T216" s="727"/>
      <c r="U216" s="727"/>
      <c r="V216" s="727"/>
      <c r="W216" s="727"/>
      <c r="X216" s="2315"/>
      <c r="Y216" s="727"/>
      <c r="Z216" s="711"/>
      <c r="AA216" s="1188"/>
      <c r="AB216" s="1188"/>
    </row>
    <row r="217" spans="1:28" s="2399" customFormat="1" ht="105">
      <c r="A217" s="3417" t="s">
        <v>3866</v>
      </c>
      <c r="B217" s="2570" t="s">
        <v>6649</v>
      </c>
      <c r="C217" s="117" t="s">
        <v>28</v>
      </c>
      <c r="D217" s="3262">
        <v>45339</v>
      </c>
      <c r="E217" s="3264">
        <v>45356</v>
      </c>
      <c r="F217" s="3430" t="s">
        <v>45</v>
      </c>
      <c r="G217" s="4938" t="s">
        <v>4274</v>
      </c>
      <c r="H217" s="3366">
        <v>45358</v>
      </c>
      <c r="I217" s="3293" t="s">
        <v>6650</v>
      </c>
      <c r="J217" s="3268" t="s">
        <v>6651</v>
      </c>
      <c r="K217" s="2392" t="s">
        <v>6652</v>
      </c>
      <c r="L217" s="3367">
        <v>7243</v>
      </c>
      <c r="M217" s="3366">
        <v>45357</v>
      </c>
      <c r="N217" s="3366">
        <v>45357</v>
      </c>
      <c r="O217" s="3626">
        <v>45363</v>
      </c>
      <c r="P217" s="3619" t="s">
        <v>6653</v>
      </c>
      <c r="Q217" s="3268" t="s">
        <v>75</v>
      </c>
      <c r="R217" s="2127" t="s">
        <v>6654</v>
      </c>
      <c r="S217" s="660"/>
      <c r="T217" s="660">
        <v>1645</v>
      </c>
      <c r="U217" s="660">
        <v>1187.5</v>
      </c>
      <c r="V217" s="660">
        <v>1</v>
      </c>
      <c r="W217" s="660">
        <f>表12_14[[#This Row],[Sales Amount]]-表12_14[[#This Row],[Cost]]</f>
        <v>457.5</v>
      </c>
      <c r="X217" s="885">
        <f>表12_14[[#This Row],[Profit]]/表12_14[[#This Row],[Cost]]</f>
        <v>0.38526315789473686</v>
      </c>
      <c r="Y217" s="660"/>
      <c r="Z217" s="113"/>
      <c r="AA217" s="1061"/>
      <c r="AB217" s="1061"/>
    </row>
    <row r="218" spans="1:28" s="117" customFormat="1">
      <c r="A218" s="3417" t="s">
        <v>468</v>
      </c>
      <c r="B218" s="3531" t="s">
        <v>6655</v>
      </c>
      <c r="C218" s="3268" t="s">
        <v>200</v>
      </c>
      <c r="D218" s="3262">
        <v>45344</v>
      </c>
      <c r="E218" s="3264">
        <v>45355</v>
      </c>
      <c r="F218" s="3268" t="s">
        <v>245</v>
      </c>
      <c r="G218" s="3268" t="s">
        <v>57</v>
      </c>
      <c r="H218" s="4907">
        <v>45357</v>
      </c>
      <c r="I218" s="5372" t="s">
        <v>445</v>
      </c>
      <c r="J218" s="4934" t="s">
        <v>32</v>
      </c>
      <c r="K218" s="3268" t="s">
        <v>6656</v>
      </c>
      <c r="L218" s="3380">
        <v>3524523</v>
      </c>
      <c r="M218" s="3262">
        <v>45357</v>
      </c>
      <c r="N218" s="3262">
        <v>45357</v>
      </c>
      <c r="O218" s="3262">
        <v>45357</v>
      </c>
      <c r="P218" s="3533" t="s">
        <v>6657</v>
      </c>
      <c r="Q218" s="4845" t="s">
        <v>75</v>
      </c>
      <c r="R218" s="2125" t="s">
        <v>6658</v>
      </c>
      <c r="S218" s="660"/>
      <c r="T218" s="660">
        <v>680</v>
      </c>
      <c r="U218" s="660">
        <v>560</v>
      </c>
      <c r="V218" s="660">
        <v>1</v>
      </c>
      <c r="W218" s="660">
        <f>表12_14[[#This Row],[Sales Amount]]-表12_14[[#This Row],[Cost]]</f>
        <v>120</v>
      </c>
      <c r="X218" s="885">
        <f>表12_14[[#This Row],[Profit]]/表12_14[[#This Row],[Cost]]</f>
        <v>0.21428571428571427</v>
      </c>
      <c r="Y218" s="660"/>
      <c r="Z218" s="113"/>
    </row>
    <row r="219" spans="1:28" s="117" customFormat="1" ht="45">
      <c r="A219" s="3417" t="s">
        <v>2847</v>
      </c>
      <c r="B219" s="3531" t="s">
        <v>6659</v>
      </c>
      <c r="C219" s="3268" t="s">
        <v>28</v>
      </c>
      <c r="D219" s="3262">
        <v>45349</v>
      </c>
      <c r="E219" s="3264">
        <v>45357</v>
      </c>
      <c r="F219" s="3268" t="s">
        <v>93</v>
      </c>
      <c r="G219" s="3268" t="s">
        <v>5557</v>
      </c>
      <c r="H219" s="3366">
        <v>45358</v>
      </c>
      <c r="I219" s="3627" t="s">
        <v>445</v>
      </c>
      <c r="J219" s="4929" t="s">
        <v>322</v>
      </c>
      <c r="K219" s="3268" t="s">
        <v>2652</v>
      </c>
      <c r="L219" s="3367">
        <v>3623255</v>
      </c>
      <c r="M219" s="3366">
        <v>45359</v>
      </c>
      <c r="N219" s="3366">
        <v>45358</v>
      </c>
      <c r="O219" s="3366">
        <v>45358</v>
      </c>
      <c r="P219" s="4327" t="s">
        <v>6660</v>
      </c>
      <c r="Q219" s="4845" t="s">
        <v>75</v>
      </c>
      <c r="R219" s="2125" t="s">
        <v>6661</v>
      </c>
      <c r="S219" s="660"/>
      <c r="T219" s="660">
        <v>1038.75</v>
      </c>
      <c r="U219" s="1447">
        <v>745.75</v>
      </c>
      <c r="V219" s="660">
        <v>1</v>
      </c>
      <c r="W219" s="2369">
        <f>表12_14[[#This Row],[Sales Amount]]-表12_14[[#This Row],[Cost]]</f>
        <v>293</v>
      </c>
      <c r="X219" s="1811" t="str">
        <f>IFERROR(Table6[[#This Row],[Profit]]/Table6[[#This Row],[Cost]]," ")</f>
        <v xml:space="preserve"> </v>
      </c>
      <c r="Y219" s="1063" t="s">
        <v>5640</v>
      </c>
      <c r="Z219" s="113"/>
    </row>
    <row r="220" spans="1:28" s="117" customFormat="1" ht="45">
      <c r="A220" s="3417" t="s">
        <v>2847</v>
      </c>
      <c r="B220" s="3531" t="s">
        <v>6662</v>
      </c>
      <c r="C220" s="3268" t="s">
        <v>28</v>
      </c>
      <c r="D220" s="3262">
        <v>45349</v>
      </c>
      <c r="E220" s="3264">
        <v>45357</v>
      </c>
      <c r="F220" s="3268" t="s">
        <v>93</v>
      </c>
      <c r="G220" s="3268" t="s">
        <v>5557</v>
      </c>
      <c r="H220" s="3366">
        <v>45358</v>
      </c>
      <c r="I220" s="3627" t="s">
        <v>1196</v>
      </c>
      <c r="J220" s="4845" t="s">
        <v>322</v>
      </c>
      <c r="K220" s="3268" t="s">
        <v>2652</v>
      </c>
      <c r="L220" s="3367">
        <v>3623314</v>
      </c>
      <c r="M220" s="3366">
        <v>45359</v>
      </c>
      <c r="N220" s="3366">
        <v>45358</v>
      </c>
      <c r="O220" s="3628">
        <v>45359</v>
      </c>
      <c r="P220" s="4328" t="s">
        <v>6663</v>
      </c>
      <c r="Q220" s="4845" t="s">
        <v>75</v>
      </c>
      <c r="R220" s="2127" t="s">
        <v>6664</v>
      </c>
      <c r="S220" s="660"/>
      <c r="T220" s="1063">
        <v>1395</v>
      </c>
      <c r="U220" s="1447">
        <v>1084.5</v>
      </c>
      <c r="V220" s="660">
        <v>1</v>
      </c>
      <c r="W220" s="1447">
        <f>表12_14[[#This Row],[Sales Amount]]-表12_14[[#This Row],[Cost]]</f>
        <v>310.5</v>
      </c>
      <c r="X220" s="885">
        <f>表12_14[[#This Row],[Profit]]/表12_14[[#This Row],[Cost]]</f>
        <v>0.2863070539419087</v>
      </c>
      <c r="Y220" s="1063" t="s">
        <v>5640</v>
      </c>
      <c r="Z220" s="113"/>
    </row>
    <row r="221" spans="1:28" s="117" customFormat="1" ht="30">
      <c r="A221" s="3417" t="s">
        <v>4685</v>
      </c>
      <c r="B221" s="3531" t="s">
        <v>6665</v>
      </c>
      <c r="C221" s="3268" t="s">
        <v>28</v>
      </c>
      <c r="D221" s="3262">
        <v>45346</v>
      </c>
      <c r="E221" s="3264">
        <v>45360</v>
      </c>
      <c r="F221" s="3430" t="s">
        <v>45</v>
      </c>
      <c r="G221" s="3629" t="s">
        <v>302</v>
      </c>
      <c r="H221" s="3264">
        <v>45363</v>
      </c>
      <c r="I221" s="4938" t="s">
        <v>108</v>
      </c>
      <c r="J221" s="4607" t="s">
        <v>32</v>
      </c>
      <c r="K221" s="3430" t="s">
        <v>966</v>
      </c>
      <c r="L221" s="3367" t="s">
        <v>6666</v>
      </c>
      <c r="M221" s="3366">
        <v>45362</v>
      </c>
      <c r="N221" s="3366">
        <v>45362</v>
      </c>
      <c r="O221" s="3541">
        <v>45363</v>
      </c>
      <c r="P221" s="4327" t="s">
        <v>6667</v>
      </c>
      <c r="Q221" s="4845" t="s">
        <v>75</v>
      </c>
      <c r="R221" s="2125" t="s">
        <v>6668</v>
      </c>
      <c r="S221" s="660"/>
      <c r="T221" s="1003">
        <v>1445</v>
      </c>
      <c r="U221" s="660">
        <v>1000</v>
      </c>
      <c r="V221" s="660">
        <v>1</v>
      </c>
      <c r="W221" s="1003">
        <f>表12_14[[#This Row],[Sales Amount]]-表12_14[[#This Row],[Cost]]</f>
        <v>445</v>
      </c>
      <c r="X221" s="885">
        <f>表12_14[[#This Row],[Profit]]/表12_14[[#This Row],[Cost]]</f>
        <v>0.44500000000000001</v>
      </c>
      <c r="Y221" s="660"/>
      <c r="Z221" s="113"/>
    </row>
    <row r="222" spans="1:28" s="117" customFormat="1">
      <c r="A222" s="3234" t="s">
        <v>263</v>
      </c>
      <c r="B222" s="3531" t="s">
        <v>6669</v>
      </c>
      <c r="C222" s="117" t="s">
        <v>44</v>
      </c>
      <c r="D222" s="3262">
        <v>45351</v>
      </c>
      <c r="E222" s="3262">
        <v>45351</v>
      </c>
      <c r="F222" s="3268" t="s">
        <v>135</v>
      </c>
      <c r="G222" s="3270" t="s">
        <v>5798</v>
      </c>
      <c r="H222" s="3262">
        <v>45363</v>
      </c>
      <c r="I222" s="4963">
        <v>0.375</v>
      </c>
      <c r="J222" s="3417" t="s">
        <v>2492</v>
      </c>
      <c r="K222" s="117" t="s">
        <v>5799</v>
      </c>
      <c r="L222" s="3268"/>
      <c r="M222" s="3262">
        <v>45358</v>
      </c>
      <c r="N222" s="3262">
        <v>45358</v>
      </c>
      <c r="O222" s="3541">
        <v>45364</v>
      </c>
      <c r="P222" s="2393" t="s">
        <v>6497</v>
      </c>
      <c r="Q222" s="3430" t="s">
        <v>75</v>
      </c>
      <c r="R222" s="1063" t="s">
        <v>6670</v>
      </c>
      <c r="S222" s="660"/>
      <c r="T222" s="693">
        <v>1970</v>
      </c>
      <c r="U222" s="2405">
        <f>1525+120</f>
        <v>1645</v>
      </c>
      <c r="V222" s="693">
        <v>1</v>
      </c>
      <c r="W222" s="2404">
        <f>表12_14[[#This Row],[Sales Amount]]-表12_14[[#This Row],[Cost]]</f>
        <v>325</v>
      </c>
      <c r="X222" s="940">
        <f>表12_14[[#This Row],[Profit]]/表12_14[[#This Row],[Cost]]</f>
        <v>0.19756838905775076</v>
      </c>
      <c r="Y222" s="693"/>
      <c r="Z222" s="899"/>
    </row>
    <row r="223" spans="1:28" s="2399" customFormat="1" ht="30">
      <c r="A223" s="3417" t="s">
        <v>165</v>
      </c>
      <c r="B223" s="2570" t="s">
        <v>6671</v>
      </c>
      <c r="C223" s="117" t="s">
        <v>28</v>
      </c>
      <c r="D223" s="3262">
        <v>45323</v>
      </c>
      <c r="E223" s="3264">
        <v>45359</v>
      </c>
      <c r="F223" s="3430" t="s">
        <v>151</v>
      </c>
      <c r="G223" s="1617" t="s">
        <v>4274</v>
      </c>
      <c r="H223" s="3438">
        <v>45362</v>
      </c>
      <c r="I223" s="4964" t="s">
        <v>3427</v>
      </c>
      <c r="J223" s="3474" t="s">
        <v>695</v>
      </c>
      <c r="K223" s="1617" t="s">
        <v>6672</v>
      </c>
      <c r="L223" s="3268">
        <v>5326</v>
      </c>
      <c r="M223" s="3262">
        <v>45360</v>
      </c>
      <c r="N223" s="3262">
        <v>45362</v>
      </c>
      <c r="O223" s="3427">
        <v>45364</v>
      </c>
      <c r="P223" s="3293" t="s">
        <v>6673</v>
      </c>
      <c r="Q223" s="3268" t="s">
        <v>75</v>
      </c>
      <c r="R223" s="2127" t="s">
        <v>6674</v>
      </c>
      <c r="S223" s="660"/>
      <c r="T223" s="1003">
        <v>1425</v>
      </c>
      <c r="U223" s="660">
        <v>1136</v>
      </c>
      <c r="V223" s="1003">
        <v>1</v>
      </c>
      <c r="W223" s="1003">
        <f>表12_14[[#This Row],[Sales Amount]]-表12_14[[#This Row],[Cost]]</f>
        <v>289</v>
      </c>
      <c r="X223" s="885">
        <f>表12_14[[#This Row],[Profit]]/表12_14[[#This Row],[Cost]]</f>
        <v>0.25440140845070425</v>
      </c>
      <c r="Y223" s="660"/>
      <c r="Z223" s="113"/>
      <c r="AA223" s="1061"/>
      <c r="AB223" s="1061"/>
    </row>
    <row r="224" spans="1:28" s="2300" customFormat="1">
      <c r="A224" s="3235" t="s">
        <v>3409</v>
      </c>
      <c r="B224" s="2566" t="s">
        <v>6675</v>
      </c>
      <c r="C224" s="58" t="s">
        <v>28</v>
      </c>
      <c r="D224" s="3280">
        <v>45340</v>
      </c>
      <c r="E224" s="3346">
        <v>45358</v>
      </c>
      <c r="F224" s="3275" t="s">
        <v>167</v>
      </c>
      <c r="G224" s="3275" t="s">
        <v>6676</v>
      </c>
      <c r="H224" s="2030" t="s">
        <v>3236</v>
      </c>
      <c r="I224" s="739"/>
      <c r="J224" s="3275" t="s">
        <v>382</v>
      </c>
      <c r="K224" s="58" t="s">
        <v>382</v>
      </c>
      <c r="L224" s="915" t="s">
        <v>542</v>
      </c>
      <c r="M224" s="3350">
        <v>45365</v>
      </c>
      <c r="N224" s="3279">
        <v>45359</v>
      </c>
      <c r="O224" s="3279">
        <v>45363</v>
      </c>
      <c r="P224" s="3258" t="s">
        <v>6677</v>
      </c>
      <c r="Q224" s="3275" t="s">
        <v>35</v>
      </c>
      <c r="R224" s="2093" t="s">
        <v>36</v>
      </c>
      <c r="S224" s="710" t="s">
        <v>3064</v>
      </c>
      <c r="T224" s="641"/>
      <c r="U224" s="641"/>
      <c r="V224" s="641"/>
      <c r="W224" s="641"/>
      <c r="X224" s="641"/>
      <c r="Y224" s="641"/>
      <c r="Z224" s="643"/>
      <c r="AA224" s="163"/>
      <c r="AB224" s="163"/>
    </row>
    <row r="225" spans="1:28" s="2395" customFormat="1">
      <c r="A225" s="3417" t="s">
        <v>409</v>
      </c>
      <c r="B225" s="2566" t="s">
        <v>6678</v>
      </c>
      <c r="C225" s="2383" t="s">
        <v>28</v>
      </c>
      <c r="D225" s="3558">
        <v>45346</v>
      </c>
      <c r="E225" s="3535">
        <v>45353</v>
      </c>
      <c r="F225" s="3434" t="s">
        <v>1017</v>
      </c>
      <c r="G225" s="3434" t="s">
        <v>46</v>
      </c>
      <c r="H225" s="3246" t="s">
        <v>6679</v>
      </c>
      <c r="I225" s="3246"/>
      <c r="J225" s="3530" t="s">
        <v>32</v>
      </c>
      <c r="K225" s="2383" t="s">
        <v>310</v>
      </c>
      <c r="L225" s="3258" t="s">
        <v>6680</v>
      </c>
      <c r="M225" s="3525">
        <v>45355</v>
      </c>
      <c r="N225" s="3525">
        <v>45354</v>
      </c>
      <c r="O225" s="3525">
        <v>45356</v>
      </c>
      <c r="P225" s="3605" t="s">
        <v>6681</v>
      </c>
      <c r="Q225" s="3434" t="s">
        <v>50</v>
      </c>
      <c r="R225" s="2384" t="s">
        <v>6633</v>
      </c>
      <c r="S225" s="2385"/>
      <c r="T225" s="2385"/>
      <c r="U225" s="2385"/>
      <c r="V225" s="2385"/>
      <c r="W225" s="2385"/>
      <c r="X225" s="2386"/>
      <c r="Y225" s="2385"/>
      <c r="Z225" s="914"/>
      <c r="AA225" s="1188"/>
      <c r="AB225" s="1188"/>
    </row>
    <row r="226" spans="1:28" s="2395" customFormat="1">
      <c r="A226" s="3417" t="s">
        <v>409</v>
      </c>
      <c r="B226" s="2569" t="s">
        <v>6682</v>
      </c>
      <c r="C226" s="707" t="s">
        <v>28</v>
      </c>
      <c r="D226" s="3534">
        <v>45346</v>
      </c>
      <c r="E226" s="3535">
        <v>45357</v>
      </c>
      <c r="F226" s="3258" t="s">
        <v>45</v>
      </c>
      <c r="G226" s="707" t="s">
        <v>46</v>
      </c>
      <c r="H226" s="3246"/>
      <c r="I226" s="3246"/>
      <c r="J226" s="3530" t="s">
        <v>32</v>
      </c>
      <c r="K226" s="707" t="s">
        <v>47</v>
      </c>
      <c r="L226" s="3258" t="s">
        <v>6683</v>
      </c>
      <c r="M226" s="3623">
        <v>45357</v>
      </c>
      <c r="N226" s="3526">
        <v>45356</v>
      </c>
      <c r="O226" s="3526">
        <v>45357</v>
      </c>
      <c r="P226" s="3258" t="s">
        <v>6684</v>
      </c>
      <c r="Q226" s="3258" t="s">
        <v>89</v>
      </c>
      <c r="R226" s="2346" t="s">
        <v>6685</v>
      </c>
      <c r="S226" s="727"/>
      <c r="T226" s="727"/>
      <c r="U226" s="727"/>
      <c r="V226" s="727"/>
      <c r="W226" s="727"/>
      <c r="X226" s="2315"/>
      <c r="Y226" s="727"/>
      <c r="Z226" s="711"/>
      <c r="AA226" s="1188"/>
      <c r="AB226" s="1188"/>
    </row>
    <row r="227" spans="1:28" s="2395" customFormat="1" ht="15.75">
      <c r="A227" s="3417" t="s">
        <v>409</v>
      </c>
      <c r="B227" s="2569" t="s">
        <v>6686</v>
      </c>
      <c r="C227" s="707" t="s">
        <v>28</v>
      </c>
      <c r="D227" s="3534">
        <v>45346</v>
      </c>
      <c r="E227" s="3535">
        <v>45357</v>
      </c>
      <c r="F227" s="3258" t="s">
        <v>45</v>
      </c>
      <c r="G227" s="707" t="s">
        <v>46</v>
      </c>
      <c r="H227" s="3246"/>
      <c r="I227" s="3246"/>
      <c r="J227" s="3530" t="s">
        <v>32</v>
      </c>
      <c r="K227" s="707" t="s">
        <v>47</v>
      </c>
      <c r="L227" s="3630">
        <v>191062</v>
      </c>
      <c r="M227" s="3623">
        <v>45359</v>
      </c>
      <c r="N227" s="3526">
        <v>45357</v>
      </c>
      <c r="O227" s="3526">
        <v>45359</v>
      </c>
      <c r="P227" s="3258" t="s">
        <v>6687</v>
      </c>
      <c r="Q227" s="3258" t="s">
        <v>89</v>
      </c>
      <c r="R227" s="2346" t="s">
        <v>6688</v>
      </c>
      <c r="S227" s="727"/>
      <c r="T227" s="727"/>
      <c r="U227" s="727"/>
      <c r="V227" s="727"/>
      <c r="W227" s="727"/>
      <c r="X227" s="2315"/>
      <c r="Y227" s="727"/>
      <c r="Z227" s="711"/>
      <c r="AA227" s="1188"/>
      <c r="AB227" s="1188"/>
    </row>
    <row r="228" spans="1:28" s="2395" customFormat="1">
      <c r="A228" s="3417" t="s">
        <v>409</v>
      </c>
      <c r="B228" s="4335" t="s">
        <v>6689</v>
      </c>
      <c r="C228" s="709" t="s">
        <v>28</v>
      </c>
      <c r="D228" s="3534">
        <v>45346</v>
      </c>
      <c r="E228" s="3535">
        <v>45364</v>
      </c>
      <c r="F228" s="4861" t="s">
        <v>45</v>
      </c>
      <c r="G228" s="709" t="s">
        <v>46</v>
      </c>
      <c r="H228" s="3246"/>
      <c r="I228" s="3246"/>
      <c r="J228" s="3523" t="s">
        <v>32</v>
      </c>
      <c r="K228" s="707" t="s">
        <v>310</v>
      </c>
      <c r="L228" s="707" t="s">
        <v>6690</v>
      </c>
      <c r="M228" s="3525">
        <v>45366</v>
      </c>
      <c r="N228" s="3526">
        <v>45366</v>
      </c>
      <c r="O228" s="3526">
        <v>45368</v>
      </c>
      <c r="P228" s="3283" t="s">
        <v>6691</v>
      </c>
      <c r="Q228" s="3246" t="s">
        <v>50</v>
      </c>
      <c r="R228" s="2346" t="s">
        <v>6692</v>
      </c>
      <c r="S228" s="727"/>
      <c r="T228" s="727"/>
      <c r="U228" s="727"/>
      <c r="V228" s="727"/>
      <c r="W228" s="727"/>
      <c r="X228" s="2315"/>
      <c r="Y228" s="727"/>
      <c r="Z228" s="711"/>
      <c r="AA228" s="1188"/>
      <c r="AB228" s="1188"/>
    </row>
    <row r="229" spans="1:28" s="709" customFormat="1">
      <c r="A229" s="3417" t="s">
        <v>409</v>
      </c>
      <c r="B229" s="3522" t="s">
        <v>6693</v>
      </c>
      <c r="C229" s="3258" t="s">
        <v>28</v>
      </c>
      <c r="D229" s="3534">
        <v>45346</v>
      </c>
      <c r="E229" s="3535">
        <v>45356</v>
      </c>
      <c r="F229" s="3258" t="s">
        <v>45</v>
      </c>
      <c r="G229" s="3246" t="s">
        <v>46</v>
      </c>
      <c r="H229" s="3246"/>
      <c r="I229" s="3246"/>
      <c r="J229" s="5077" t="s">
        <v>32</v>
      </c>
      <c r="K229" s="3258" t="s">
        <v>47</v>
      </c>
      <c r="L229" s="3258" t="s">
        <v>6694</v>
      </c>
      <c r="M229" s="3537"/>
      <c r="N229" s="3526">
        <v>45357</v>
      </c>
      <c r="O229" s="3526">
        <v>45359</v>
      </c>
      <c r="P229" s="3258" t="s">
        <v>6695</v>
      </c>
      <c r="Q229" s="3258" t="s">
        <v>89</v>
      </c>
      <c r="R229" s="2346" t="s">
        <v>6696</v>
      </c>
      <c r="S229" s="727"/>
      <c r="T229" s="727"/>
      <c r="U229" s="727"/>
      <c r="V229" s="727"/>
      <c r="W229" s="727"/>
      <c r="X229" s="2315"/>
      <c r="Y229" s="727"/>
      <c r="Z229" s="711"/>
    </row>
    <row r="230" spans="1:28" s="709" customFormat="1">
      <c r="A230" s="3417" t="s">
        <v>409</v>
      </c>
      <c r="B230" s="3528" t="s">
        <v>6697</v>
      </c>
      <c r="C230" s="3631" t="s">
        <v>28</v>
      </c>
      <c r="D230" s="3534">
        <v>45346</v>
      </c>
      <c r="E230" s="3535">
        <v>45366</v>
      </c>
      <c r="F230" s="3631" t="s">
        <v>45</v>
      </c>
      <c r="G230" s="3246" t="s">
        <v>46</v>
      </c>
      <c r="H230" s="3246"/>
      <c r="I230" s="3246"/>
      <c r="J230" s="5326" t="s">
        <v>32</v>
      </c>
      <c r="K230" s="3631" t="s">
        <v>47</v>
      </c>
      <c r="L230" s="707" t="s">
        <v>6698</v>
      </c>
      <c r="M230" s="3525">
        <v>45366</v>
      </c>
      <c r="N230" s="3526">
        <v>45366</v>
      </c>
      <c r="O230" s="3526">
        <v>45369</v>
      </c>
      <c r="P230" s="3632" t="s">
        <v>6699</v>
      </c>
      <c r="Q230" s="3631" t="s">
        <v>89</v>
      </c>
      <c r="R230" s="2346" t="s">
        <v>6700</v>
      </c>
      <c r="S230" s="727"/>
      <c r="T230" s="727"/>
      <c r="U230" s="727"/>
      <c r="V230" s="727"/>
      <c r="W230" s="727"/>
      <c r="X230" s="2315"/>
      <c r="Y230" s="727"/>
      <c r="Z230" s="711"/>
    </row>
    <row r="231" spans="1:28" s="709" customFormat="1">
      <c r="A231" s="3417" t="s">
        <v>409</v>
      </c>
      <c r="B231" s="3617" t="s">
        <v>6701</v>
      </c>
      <c r="C231" s="3246" t="s">
        <v>28</v>
      </c>
      <c r="D231" s="3534">
        <v>45340</v>
      </c>
      <c r="E231" s="3535">
        <v>45355</v>
      </c>
      <c r="F231" s="3434" t="s">
        <v>45</v>
      </c>
      <c r="G231" s="3434" t="s">
        <v>46</v>
      </c>
      <c r="H231" s="3246"/>
      <c r="I231" s="3246"/>
      <c r="J231" s="3530" t="s">
        <v>32</v>
      </c>
      <c r="K231" s="707" t="s">
        <v>310</v>
      </c>
      <c r="L231" s="2390" t="s">
        <v>6702</v>
      </c>
      <c r="M231" s="3623">
        <v>45355</v>
      </c>
      <c r="N231" s="3526">
        <v>45355</v>
      </c>
      <c r="O231" s="3526">
        <v>45357</v>
      </c>
      <c r="P231" s="3283" t="s">
        <v>6703</v>
      </c>
      <c r="Q231" s="3246" t="s">
        <v>50</v>
      </c>
      <c r="R231" s="2346" t="s">
        <v>6704</v>
      </c>
      <c r="S231" s="727"/>
      <c r="T231" s="727"/>
      <c r="U231" s="727"/>
      <c r="V231" s="727"/>
      <c r="W231" s="727"/>
      <c r="X231" s="2315"/>
      <c r="Y231" s="727"/>
      <c r="Z231" s="711"/>
    </row>
    <row r="232" spans="1:28" s="2399" customFormat="1" ht="90">
      <c r="A232" s="3417" t="s">
        <v>3866</v>
      </c>
      <c r="B232" s="2570" t="s">
        <v>6705</v>
      </c>
      <c r="C232" s="117" t="s">
        <v>28</v>
      </c>
      <c r="D232" s="3262">
        <v>45347</v>
      </c>
      <c r="E232" s="3264">
        <v>45359</v>
      </c>
      <c r="F232" s="3430" t="s">
        <v>45</v>
      </c>
      <c r="G232" s="4938" t="s">
        <v>4274</v>
      </c>
      <c r="H232" s="3366">
        <v>45363</v>
      </c>
      <c r="I232" s="3293" t="s">
        <v>6650</v>
      </c>
      <c r="J232" s="3268" t="s">
        <v>6651</v>
      </c>
      <c r="K232" s="2392" t="s">
        <v>6706</v>
      </c>
      <c r="L232" s="3367">
        <v>8799</v>
      </c>
      <c r="M232" s="3366">
        <v>45360</v>
      </c>
      <c r="N232" s="3366">
        <v>45363</v>
      </c>
      <c r="O232" s="3626">
        <v>45364</v>
      </c>
      <c r="P232" s="4327" t="s">
        <v>6707</v>
      </c>
      <c r="Q232" s="3268" t="s">
        <v>75</v>
      </c>
      <c r="R232" s="2127" t="s">
        <v>6708</v>
      </c>
      <c r="S232" s="660"/>
      <c r="T232" s="660">
        <v>1190</v>
      </c>
      <c r="U232" s="660">
        <v>837.5</v>
      </c>
      <c r="V232" s="660">
        <v>1</v>
      </c>
      <c r="W232" s="660">
        <f>表12_14[[#This Row],[Sales Amount]]-表12_14[[#This Row],[Cost]]</f>
        <v>352.5</v>
      </c>
      <c r="X232" s="885">
        <f>表12_14[[#This Row],[Profit]]/表12_14[[#This Row],[Cost]]</f>
        <v>0.42089552238805972</v>
      </c>
      <c r="Y232" s="660"/>
      <c r="Z232" s="113"/>
      <c r="AA232" s="1061"/>
      <c r="AB232" s="1061"/>
    </row>
    <row r="233" spans="1:28">
      <c r="A233" s="3235" t="s">
        <v>639</v>
      </c>
      <c r="B233" s="2566" t="s">
        <v>6709</v>
      </c>
      <c r="C233" s="58" t="s">
        <v>6710</v>
      </c>
      <c r="D233" s="3280">
        <v>45344</v>
      </c>
      <c r="E233" s="3346">
        <v>45355</v>
      </c>
      <c r="F233" s="58" t="s">
        <v>245</v>
      </c>
      <c r="G233" s="58" t="s">
        <v>3002</v>
      </c>
      <c r="H233" s="3279">
        <v>45357</v>
      </c>
      <c r="I233" s="3275"/>
      <c r="J233" s="58" t="s">
        <v>1353</v>
      </c>
      <c r="K233" s="58" t="s">
        <v>1486</v>
      </c>
      <c r="L233" s="3357">
        <v>3524522</v>
      </c>
      <c r="M233" s="3350">
        <v>45357</v>
      </c>
      <c r="N233" s="3350">
        <v>45356</v>
      </c>
      <c r="O233" s="3279">
        <v>45357</v>
      </c>
      <c r="P233" s="707" t="s">
        <v>6711</v>
      </c>
      <c r="Q233" s="58" t="s">
        <v>35</v>
      </c>
      <c r="R233" s="2093" t="s">
        <v>36</v>
      </c>
      <c r="S233" s="710" t="s">
        <v>37</v>
      </c>
      <c r="T233" s="152">
        <v>880</v>
      </c>
      <c r="U233" s="152">
        <v>594.79999999999995</v>
      </c>
      <c r="V233" s="152"/>
      <c r="W233" s="152"/>
      <c r="X233" s="2124"/>
      <c r="Y233" s="152"/>
      <c r="Z233" s="645"/>
    </row>
    <row r="234" spans="1:28" s="117" customFormat="1" ht="45">
      <c r="A234" s="3417" t="s">
        <v>165</v>
      </c>
      <c r="B234" s="3531" t="s">
        <v>6712</v>
      </c>
      <c r="C234" s="4150" t="s">
        <v>200</v>
      </c>
      <c r="D234" s="822">
        <v>45340</v>
      </c>
      <c r="E234" s="4916">
        <v>45361</v>
      </c>
      <c r="F234" s="3430" t="s">
        <v>2225</v>
      </c>
      <c r="G234" s="3432" t="s">
        <v>2093</v>
      </c>
      <c r="H234" s="3438">
        <v>45364</v>
      </c>
      <c r="I234" s="3268" t="s">
        <v>445</v>
      </c>
      <c r="J234" s="1617" t="s">
        <v>6713</v>
      </c>
      <c r="K234" s="3430" t="s">
        <v>6714</v>
      </c>
      <c r="L234" s="4242">
        <v>3674785</v>
      </c>
      <c r="M234" s="3438">
        <v>45363</v>
      </c>
      <c r="N234" s="3262">
        <v>45363</v>
      </c>
      <c r="O234" s="3262">
        <v>45364</v>
      </c>
      <c r="P234" s="4327" t="s">
        <v>6715</v>
      </c>
      <c r="Q234" s="3268" t="s">
        <v>75</v>
      </c>
      <c r="R234" s="2127" t="s">
        <v>6716</v>
      </c>
      <c r="S234" s="660"/>
      <c r="T234" s="660">
        <v>975</v>
      </c>
      <c r="U234" s="660">
        <v>732.4</v>
      </c>
      <c r="V234" s="660">
        <v>1</v>
      </c>
      <c r="W234" s="660">
        <f>表12_14[[#This Row],[Sales Amount]]-表12_14[[#This Row],[Cost]]</f>
        <v>242.60000000000002</v>
      </c>
      <c r="X234" s="885">
        <f>表12_14[[#This Row],[Profit]]/表12_14[[#This Row],[Cost]]</f>
        <v>0.33123975969415625</v>
      </c>
      <c r="Y234" s="660"/>
      <c r="Z234" s="113"/>
    </row>
    <row r="235" spans="1:28" s="117" customFormat="1" ht="45">
      <c r="A235" s="3417" t="s">
        <v>122</v>
      </c>
      <c r="B235" s="5331" t="s">
        <v>6717</v>
      </c>
      <c r="C235" s="117" t="s">
        <v>704</v>
      </c>
      <c r="D235" s="822">
        <v>45348</v>
      </c>
      <c r="E235" s="4916">
        <v>45358</v>
      </c>
      <c r="F235" s="3268" t="s">
        <v>93</v>
      </c>
      <c r="G235" s="3430" t="s">
        <v>302</v>
      </c>
      <c r="H235" s="3430" t="s">
        <v>162</v>
      </c>
      <c r="I235" s="3430" t="s">
        <v>162</v>
      </c>
      <c r="J235" s="117" t="s">
        <v>0</v>
      </c>
      <c r="K235" s="3633" t="s">
        <v>6718</v>
      </c>
      <c r="L235" s="3367" t="s">
        <v>6719</v>
      </c>
      <c r="M235" s="4918">
        <v>45361</v>
      </c>
      <c r="N235" s="4844">
        <v>45360</v>
      </c>
      <c r="O235" s="4844">
        <v>45362</v>
      </c>
      <c r="P235" s="3533" t="s">
        <v>6720</v>
      </c>
      <c r="Q235" s="3430" t="s">
        <v>75</v>
      </c>
      <c r="R235" s="2127" t="s">
        <v>6721</v>
      </c>
      <c r="S235" s="120"/>
      <c r="T235" s="33">
        <v>345</v>
      </c>
      <c r="U235" s="33">
        <v>90</v>
      </c>
      <c r="V235" s="33">
        <v>1</v>
      </c>
      <c r="W235" s="33">
        <f>表12_14[[#This Row],[Sales Amount]]-表12_14[[#This Row],[Cost]]</f>
        <v>255</v>
      </c>
      <c r="X235" s="2398"/>
      <c r="Y235" s="33"/>
      <c r="Z235" s="2354"/>
    </row>
    <row r="236" spans="1:28">
      <c r="A236" s="3235" t="s">
        <v>6099</v>
      </c>
      <c r="B236" s="3528" t="s">
        <v>6722</v>
      </c>
      <c r="C236" s="3275" t="s">
        <v>28</v>
      </c>
      <c r="D236" s="3280">
        <v>45356</v>
      </c>
      <c r="E236" s="3346">
        <v>45356</v>
      </c>
      <c r="F236" s="3275" t="s">
        <v>56</v>
      </c>
      <c r="G236" s="3279" t="s">
        <v>6399</v>
      </c>
      <c r="H236" s="3371">
        <v>45363</v>
      </c>
      <c r="I236" s="3357" t="s">
        <v>108</v>
      </c>
      <c r="J236" s="4854" t="s">
        <v>859</v>
      </c>
      <c r="K236" s="3275" t="s">
        <v>6101</v>
      </c>
      <c r="L236" s="3357" t="s">
        <v>542</v>
      </c>
      <c r="M236" s="3350">
        <v>45363</v>
      </c>
      <c r="N236" s="3350">
        <v>45362</v>
      </c>
      <c r="O236" s="3279">
        <v>45364</v>
      </c>
      <c r="P236" s="3258" t="s">
        <v>6723</v>
      </c>
      <c r="Q236" s="3300" t="s">
        <v>35</v>
      </c>
      <c r="R236" s="2093" t="s">
        <v>36</v>
      </c>
      <c r="S236" s="710" t="s">
        <v>6103</v>
      </c>
      <c r="T236" s="152">
        <v>2691.25</v>
      </c>
      <c r="U236" s="152">
        <v>2166.25</v>
      </c>
      <c r="V236" s="152"/>
      <c r="W236" s="152"/>
      <c r="X236" s="2124"/>
      <c r="Y236" s="152"/>
      <c r="Z236" s="645"/>
    </row>
    <row r="237" spans="1:28" s="709" customFormat="1">
      <c r="A237" s="3417" t="s">
        <v>409</v>
      </c>
      <c r="B237" s="4333" t="s">
        <v>6724</v>
      </c>
      <c r="C237" s="3246" t="s">
        <v>28</v>
      </c>
      <c r="D237" s="3534">
        <v>45346</v>
      </c>
      <c r="E237" s="3535">
        <v>45364</v>
      </c>
      <c r="F237" s="3246" t="s">
        <v>45</v>
      </c>
      <c r="G237" s="3246" t="s">
        <v>669</v>
      </c>
      <c r="H237" s="3246"/>
      <c r="I237" s="3246"/>
      <c r="J237" s="4902" t="s">
        <v>32</v>
      </c>
      <c r="K237" s="3246" t="s">
        <v>47</v>
      </c>
      <c r="L237" s="707" t="s">
        <v>6725</v>
      </c>
      <c r="M237" s="3525">
        <v>45366</v>
      </c>
      <c r="N237" s="3526">
        <v>45366</v>
      </c>
      <c r="O237" s="3526">
        <v>45369</v>
      </c>
      <c r="P237" s="4334" t="s">
        <v>6726</v>
      </c>
      <c r="Q237" s="3246" t="s">
        <v>89</v>
      </c>
      <c r="R237" s="2346" t="s">
        <v>6727</v>
      </c>
      <c r="S237" s="727"/>
      <c r="T237" s="727"/>
      <c r="U237" s="727"/>
      <c r="V237" s="727"/>
      <c r="W237" s="727"/>
      <c r="X237" s="2315"/>
      <c r="Y237" s="727"/>
      <c r="Z237" s="711"/>
    </row>
    <row r="238" spans="1:28" s="709" customFormat="1">
      <c r="A238" s="3527" t="s">
        <v>3343</v>
      </c>
      <c r="B238" s="2566" t="s">
        <v>6728</v>
      </c>
      <c r="C238" s="709" t="s">
        <v>28</v>
      </c>
      <c r="D238" s="3534">
        <v>45346</v>
      </c>
      <c r="E238" s="4885">
        <v>45360</v>
      </c>
      <c r="F238" s="707" t="s">
        <v>45</v>
      </c>
      <c r="G238" s="709" t="s">
        <v>46</v>
      </c>
      <c r="H238" s="3246"/>
      <c r="I238" s="3246"/>
      <c r="J238" s="1651" t="s">
        <v>32</v>
      </c>
      <c r="K238" s="2383" t="s">
        <v>47</v>
      </c>
      <c r="L238" s="707" t="s">
        <v>6729</v>
      </c>
      <c r="M238" s="1341">
        <v>45363</v>
      </c>
      <c r="N238" s="3526">
        <v>45362</v>
      </c>
      <c r="O238" s="3526">
        <v>45364</v>
      </c>
      <c r="P238" s="1019" t="s">
        <v>6730</v>
      </c>
      <c r="Q238" s="709" t="s">
        <v>50</v>
      </c>
      <c r="R238" s="2346" t="s">
        <v>6731</v>
      </c>
      <c r="S238" s="727"/>
      <c r="T238" s="727"/>
      <c r="U238" s="727"/>
      <c r="V238" s="727"/>
      <c r="W238" s="727"/>
      <c r="X238" s="2315"/>
      <c r="Y238" s="727"/>
      <c r="Z238" s="711"/>
    </row>
    <row r="239" spans="1:28" s="117" customFormat="1" ht="45">
      <c r="A239" s="3417" t="s">
        <v>122</v>
      </c>
      <c r="B239" s="2570" t="s">
        <v>6732</v>
      </c>
      <c r="C239" s="117" t="s">
        <v>704</v>
      </c>
      <c r="D239" s="3262">
        <v>45348</v>
      </c>
      <c r="E239" s="4917">
        <v>45358</v>
      </c>
      <c r="F239" s="117" t="s">
        <v>93</v>
      </c>
      <c r="G239" s="1617" t="s">
        <v>302</v>
      </c>
      <c r="H239" s="3430" t="s">
        <v>162</v>
      </c>
      <c r="I239" s="3430" t="s">
        <v>162</v>
      </c>
      <c r="J239" s="117" t="s">
        <v>0</v>
      </c>
      <c r="K239" s="855" t="s">
        <v>6718</v>
      </c>
      <c r="L239" s="3367" t="s">
        <v>6733</v>
      </c>
      <c r="M239" s="4918">
        <v>45361</v>
      </c>
      <c r="N239" s="4918">
        <v>45360</v>
      </c>
      <c r="O239" s="4844">
        <v>45362</v>
      </c>
      <c r="P239" s="845" t="s">
        <v>6720</v>
      </c>
      <c r="Q239" s="1617" t="s">
        <v>75</v>
      </c>
      <c r="R239" s="2127" t="s">
        <v>6721</v>
      </c>
      <c r="S239" s="660"/>
      <c r="T239" s="693"/>
      <c r="U239" s="693"/>
      <c r="V239" s="693"/>
      <c r="W239" s="693"/>
      <c r="X239" s="940"/>
      <c r="Y239" s="693"/>
      <c r="Z239" s="899"/>
    </row>
    <row r="240" spans="1:28" s="117" customFormat="1">
      <c r="A240" s="3234" t="s">
        <v>263</v>
      </c>
      <c r="B240" s="2570" t="s">
        <v>6734</v>
      </c>
      <c r="C240" s="3268" t="s">
        <v>44</v>
      </c>
      <c r="D240" s="3262">
        <v>45351</v>
      </c>
      <c r="E240" s="3262">
        <v>45351</v>
      </c>
      <c r="F240" s="3268" t="s">
        <v>135</v>
      </c>
      <c r="G240" s="3268" t="s">
        <v>5798</v>
      </c>
      <c r="H240" s="3262">
        <v>45364</v>
      </c>
      <c r="I240" s="3634">
        <v>0.375</v>
      </c>
      <c r="J240" s="3268" t="s">
        <v>2492</v>
      </c>
      <c r="K240" s="117" t="s">
        <v>5799</v>
      </c>
      <c r="L240" s="3268"/>
      <c r="M240" s="3262">
        <v>45358</v>
      </c>
      <c r="N240" s="3262">
        <v>45358</v>
      </c>
      <c r="O240" s="3541">
        <v>45365</v>
      </c>
      <c r="P240" s="2393" t="s">
        <v>6497</v>
      </c>
      <c r="Q240" s="3430" t="s">
        <v>75</v>
      </c>
      <c r="R240" s="2125" t="s">
        <v>6735</v>
      </c>
      <c r="S240" s="660"/>
      <c r="T240" s="693">
        <v>1970</v>
      </c>
      <c r="U240" s="2405">
        <f>1525+120</f>
        <v>1645</v>
      </c>
      <c r="V240" s="693">
        <v>1</v>
      </c>
      <c r="W240" s="2404">
        <f>表12_14[[#This Row],[Sales Amount]]-表12_14[[#This Row],[Cost]]</f>
        <v>325</v>
      </c>
      <c r="X240" s="940">
        <f>表12_14[[#This Row],[Profit]]/表12_14[[#This Row],[Cost]]</f>
        <v>0.19756838905775076</v>
      </c>
      <c r="Y240" s="693"/>
      <c r="Z240" s="899"/>
    </row>
    <row r="241" spans="1:26" s="117" customFormat="1" ht="45">
      <c r="A241" s="4607" t="s">
        <v>122</v>
      </c>
      <c r="B241" s="3531" t="s">
        <v>6736</v>
      </c>
      <c r="C241" s="4845" t="s">
        <v>704</v>
      </c>
      <c r="D241" s="3262">
        <v>45348</v>
      </c>
      <c r="E241" s="3377">
        <v>45358</v>
      </c>
      <c r="F241" s="3268" t="s">
        <v>93</v>
      </c>
      <c r="G241" s="3430" t="s">
        <v>302</v>
      </c>
      <c r="H241" s="4938" t="s">
        <v>162</v>
      </c>
      <c r="I241" s="3430" t="s">
        <v>162</v>
      </c>
      <c r="J241" s="3268" t="s">
        <v>0</v>
      </c>
      <c r="K241" s="3633" t="s">
        <v>6718</v>
      </c>
      <c r="L241" s="3367" t="s">
        <v>6737</v>
      </c>
      <c r="M241" s="4844">
        <v>45361</v>
      </c>
      <c r="N241" s="4918">
        <v>45360</v>
      </c>
      <c r="O241" s="4844">
        <v>45363</v>
      </c>
      <c r="P241" s="2393" t="s">
        <v>6720</v>
      </c>
      <c r="Q241" s="4938" t="s">
        <v>75</v>
      </c>
      <c r="R241" s="2127" t="s">
        <v>6721</v>
      </c>
      <c r="S241" s="660"/>
      <c r="T241" s="693"/>
      <c r="U241" s="693"/>
      <c r="V241" s="693"/>
      <c r="W241" s="693"/>
      <c r="X241" s="940"/>
      <c r="Y241" s="693"/>
      <c r="Z241" s="899"/>
    </row>
    <row r="242" spans="1:26" s="117" customFormat="1" ht="45">
      <c r="A242" s="3417" t="s">
        <v>5660</v>
      </c>
      <c r="B242" s="3531" t="s">
        <v>6738</v>
      </c>
      <c r="C242" s="3268" t="s">
        <v>28</v>
      </c>
      <c r="D242" s="3262">
        <v>45346</v>
      </c>
      <c r="E242" s="3264">
        <v>45358</v>
      </c>
      <c r="F242" s="3268" t="s">
        <v>1828</v>
      </c>
      <c r="G242" s="3268" t="s">
        <v>302</v>
      </c>
      <c r="H242" s="3366">
        <v>45363</v>
      </c>
      <c r="I242" s="3293" t="s">
        <v>178</v>
      </c>
      <c r="J242" s="4938" t="s">
        <v>6739</v>
      </c>
      <c r="K242" s="3430" t="s">
        <v>5663</v>
      </c>
      <c r="L242" s="3380" t="s">
        <v>6740</v>
      </c>
      <c r="M242" s="3427">
        <v>45361</v>
      </c>
      <c r="N242" s="3262">
        <v>45360</v>
      </c>
      <c r="O242" s="3453">
        <v>45363</v>
      </c>
      <c r="P242" s="4237" t="s">
        <v>6741</v>
      </c>
      <c r="Q242" s="3268" t="s">
        <v>75</v>
      </c>
      <c r="R242" s="4329" t="s">
        <v>6742</v>
      </c>
      <c r="S242" s="660"/>
      <c r="T242" s="660">
        <v>1850</v>
      </c>
      <c r="U242" s="660">
        <f>95+1079.75</f>
        <v>1174.75</v>
      </c>
      <c r="V242" s="660"/>
      <c r="W242" s="660">
        <f>表12[[#This Row],[Sales Amount]]-表12[[#This Row],[Cost]]</f>
        <v>0</v>
      </c>
      <c r="X242" s="885" t="str">
        <f>IFERROR(Table6[[#This Row],[Profit]]/Table6[[#This Row],[Cost]]," ")</f>
        <v xml:space="preserve"> </v>
      </c>
      <c r="Y242" s="4163" t="s">
        <v>5640</v>
      </c>
      <c r="Z242" s="113"/>
    </row>
    <row r="243" spans="1:26" s="117" customFormat="1" ht="60">
      <c r="A243" s="4607" t="s">
        <v>2847</v>
      </c>
      <c r="B243" s="2570" t="s">
        <v>6743</v>
      </c>
      <c r="C243" s="3268" t="s">
        <v>28</v>
      </c>
      <c r="D243" s="822">
        <v>45349</v>
      </c>
      <c r="E243" s="3264">
        <v>45357</v>
      </c>
      <c r="F243" s="3268" t="s">
        <v>93</v>
      </c>
      <c r="G243" t="s">
        <v>5557</v>
      </c>
      <c r="H243" s="3366">
        <v>45366</v>
      </c>
      <c r="I243" s="3627" t="s">
        <v>108</v>
      </c>
      <c r="J243" s="4845" t="s">
        <v>322</v>
      </c>
      <c r="K243" s="3268" t="s">
        <v>2652</v>
      </c>
      <c r="L243" s="3367">
        <v>3623331</v>
      </c>
      <c r="M243" s="3366">
        <v>45359</v>
      </c>
      <c r="N243" s="3366">
        <v>45359</v>
      </c>
      <c r="O243" s="3366">
        <v>45366</v>
      </c>
      <c r="P243" s="4237" t="s">
        <v>6744</v>
      </c>
      <c r="Q243" s="4845" t="s">
        <v>75</v>
      </c>
      <c r="R243" s="2125" t="s">
        <v>6745</v>
      </c>
      <c r="S243" s="660"/>
      <c r="T243" s="2131">
        <v>1577.5</v>
      </c>
      <c r="U243" s="706">
        <v>984.5</v>
      </c>
      <c r="V243" s="660">
        <v>1</v>
      </c>
      <c r="W243" s="2126">
        <f>表12_14[[#This Row],[Sales Amount]]-表12_14[[#This Row],[Cost]]</f>
        <v>593</v>
      </c>
      <c r="X243" s="885">
        <f>表12_14[[#This Row],[Profit]]/表12_14[[#This Row],[Cost]]</f>
        <v>0.60233621127475878</v>
      </c>
      <c r="Y243" s="1063" t="s">
        <v>5640</v>
      </c>
      <c r="Z243" s="113"/>
    </row>
    <row r="244" spans="1:26" s="117" customFormat="1" ht="30">
      <c r="A244" s="4607" t="s">
        <v>165</v>
      </c>
      <c r="B244" s="2592" t="s">
        <v>6746</v>
      </c>
      <c r="C244" s="4908" t="s">
        <v>451</v>
      </c>
      <c r="D244" s="3262">
        <v>45345</v>
      </c>
      <c r="E244" s="3264">
        <v>45362</v>
      </c>
      <c r="F244" s="3268" t="s">
        <v>167</v>
      </c>
      <c r="G244" s="4242" t="s">
        <v>302</v>
      </c>
      <c r="H244" s="3366">
        <v>45366</v>
      </c>
      <c r="I244" s="3367" t="s">
        <v>104</v>
      </c>
      <c r="J244" s="4845" t="s">
        <v>32</v>
      </c>
      <c r="K244" s="3268" t="s">
        <v>2013</v>
      </c>
      <c r="L244" s="3430" t="s">
        <v>6747</v>
      </c>
      <c r="M244" s="3453">
        <v>45367</v>
      </c>
      <c r="N244" s="3453">
        <v>45366</v>
      </c>
      <c r="O244" s="3453">
        <v>45366</v>
      </c>
      <c r="P244" s="2393" t="s">
        <v>6748</v>
      </c>
      <c r="Q244" s="4845" t="s">
        <v>75</v>
      </c>
      <c r="R244" s="2284" t="s">
        <v>6749</v>
      </c>
      <c r="S244" s="120"/>
      <c r="T244" s="660">
        <v>1070</v>
      </c>
      <c r="U244" s="660">
        <v>870</v>
      </c>
      <c r="V244" s="660">
        <v>1</v>
      </c>
      <c r="W244" s="660">
        <f>表12_14[[#This Row],[Sales Amount]]-表12_14[[#This Row],[Cost]]</f>
        <v>200</v>
      </c>
      <c r="X244" s="885">
        <f>表12_14[[#This Row],[Profit]]/表12_14[[#This Row],[Cost]]</f>
        <v>0.22988505747126436</v>
      </c>
      <c r="Y244" s="660"/>
      <c r="Z244" s="113"/>
    </row>
    <row r="245" spans="1:26" s="117" customFormat="1" ht="30">
      <c r="A245" s="4607" t="s">
        <v>165</v>
      </c>
      <c r="B245" s="5373" t="s">
        <v>6750</v>
      </c>
      <c r="C245" s="4908" t="s">
        <v>200</v>
      </c>
      <c r="D245" s="3262">
        <v>45345</v>
      </c>
      <c r="E245" s="3264">
        <v>45362</v>
      </c>
      <c r="F245" s="3268" t="s">
        <v>167</v>
      </c>
      <c r="G245" s="4242" t="s">
        <v>302</v>
      </c>
      <c r="H245" s="3366">
        <v>45366</v>
      </c>
      <c r="I245" s="3367" t="s">
        <v>104</v>
      </c>
      <c r="J245" s="3268" t="s">
        <v>32</v>
      </c>
      <c r="K245" s="3268" t="s">
        <v>2013</v>
      </c>
      <c r="L245" s="3430" t="s">
        <v>6751</v>
      </c>
      <c r="M245" s="3453">
        <v>45366</v>
      </c>
      <c r="N245" s="3453">
        <v>45366</v>
      </c>
      <c r="O245" s="3453">
        <v>45366</v>
      </c>
      <c r="P245" s="2393" t="s">
        <v>6748</v>
      </c>
      <c r="Q245" s="4845" t="s">
        <v>75</v>
      </c>
      <c r="R245" s="2284" t="s">
        <v>6752</v>
      </c>
      <c r="S245" s="120"/>
      <c r="T245" s="660">
        <v>1070</v>
      </c>
      <c r="U245" s="660">
        <v>870</v>
      </c>
      <c r="V245" s="660">
        <v>1</v>
      </c>
      <c r="W245" s="660">
        <f>表12_14[[#This Row],[Sales Amount]]-表12_14[[#This Row],[Cost]]</f>
        <v>200</v>
      </c>
      <c r="X245" s="885">
        <f>表12_14[[#This Row],[Profit]]/表12_14[[#This Row],[Cost]]</f>
        <v>0.22988505747126436</v>
      </c>
      <c r="Y245" s="660"/>
      <c r="Z245" s="113"/>
    </row>
    <row r="246" spans="1:26" s="709" customFormat="1">
      <c r="A246" s="3417" t="s">
        <v>409</v>
      </c>
      <c r="B246" s="2566" t="s">
        <v>6753</v>
      </c>
      <c r="C246" s="3246" t="s">
        <v>28</v>
      </c>
      <c r="D246" s="3534">
        <v>45346</v>
      </c>
      <c r="E246" s="3535">
        <v>45359</v>
      </c>
      <c r="F246" s="3246" t="s">
        <v>45</v>
      </c>
      <c r="G246" s="709" t="s">
        <v>46</v>
      </c>
      <c r="H246" s="3246"/>
      <c r="I246" s="3246"/>
      <c r="J246" s="3434" t="s">
        <v>32</v>
      </c>
      <c r="K246" s="3246" t="s">
        <v>47</v>
      </c>
      <c r="L246" s="3246" t="s">
        <v>6754</v>
      </c>
      <c r="M246" s="1341">
        <v>45363</v>
      </c>
      <c r="N246" s="3526">
        <v>45362</v>
      </c>
      <c r="O246" s="3526">
        <v>45363</v>
      </c>
      <c r="P246" s="3283" t="s">
        <v>6755</v>
      </c>
      <c r="Q246" s="3246" t="s">
        <v>89</v>
      </c>
      <c r="R246" s="2346" t="s">
        <v>6633</v>
      </c>
      <c r="S246" s="727"/>
      <c r="T246" s="727"/>
      <c r="U246" s="727"/>
      <c r="V246" s="727"/>
      <c r="W246" s="727"/>
      <c r="X246" s="2315"/>
      <c r="Y246" s="727"/>
      <c r="Z246" s="711"/>
    </row>
    <row r="247" spans="1:26" s="117" customFormat="1" ht="45">
      <c r="A247" s="3417" t="s">
        <v>122</v>
      </c>
      <c r="B247" s="3538" t="s">
        <v>6756</v>
      </c>
      <c r="C247" s="117" t="s">
        <v>44</v>
      </c>
      <c r="D247" s="3262">
        <v>45348</v>
      </c>
      <c r="E247" s="3264">
        <v>45363</v>
      </c>
      <c r="F247" s="117" t="s">
        <v>93</v>
      </c>
      <c r="G247" s="1617" t="s">
        <v>302</v>
      </c>
      <c r="H247" s="3430" t="s">
        <v>162</v>
      </c>
      <c r="I247" s="3430" t="s">
        <v>162</v>
      </c>
      <c r="J247" s="117" t="s">
        <v>0</v>
      </c>
      <c r="K247" s="855" t="s">
        <v>6718</v>
      </c>
      <c r="L247" s="3430" t="s">
        <v>6757</v>
      </c>
      <c r="M247" s="3366">
        <v>45366</v>
      </c>
      <c r="N247" s="3366">
        <v>45364</v>
      </c>
      <c r="O247" s="5374">
        <v>45369</v>
      </c>
      <c r="P247" s="2393" t="s">
        <v>6758</v>
      </c>
      <c r="Q247" s="1617" t="s">
        <v>75</v>
      </c>
      <c r="R247" s="2127" t="s">
        <v>6721</v>
      </c>
      <c r="S247" s="660"/>
      <c r="T247" s="693"/>
      <c r="U247" s="693"/>
      <c r="V247" s="693"/>
      <c r="W247" s="693"/>
      <c r="X247" s="693"/>
      <c r="Y247" s="693"/>
      <c r="Z247" s="899"/>
    </row>
    <row r="248" spans="1:26" s="117" customFormat="1" ht="45">
      <c r="A248" s="3417" t="s">
        <v>122</v>
      </c>
      <c r="B248" s="2581" t="s">
        <v>6759</v>
      </c>
      <c r="C248" s="117" t="s">
        <v>44</v>
      </c>
      <c r="D248" s="3262">
        <v>45348</v>
      </c>
      <c r="E248" s="3264">
        <v>45363</v>
      </c>
      <c r="F248" s="117" t="s">
        <v>93</v>
      </c>
      <c r="G248" s="1617" t="s">
        <v>302</v>
      </c>
      <c r="H248" s="3430" t="s">
        <v>162</v>
      </c>
      <c r="I248" s="3430" t="s">
        <v>162</v>
      </c>
      <c r="J248" s="117" t="s">
        <v>0</v>
      </c>
      <c r="K248" s="855" t="s">
        <v>6718</v>
      </c>
      <c r="L248" s="3430" t="s">
        <v>6760</v>
      </c>
      <c r="M248" s="3264">
        <v>45366</v>
      </c>
      <c r="N248" s="3377">
        <v>45366</v>
      </c>
      <c r="O248" s="5374">
        <v>45366</v>
      </c>
      <c r="P248" s="2393" t="s">
        <v>6720</v>
      </c>
      <c r="Q248" s="1617" t="s">
        <v>75</v>
      </c>
      <c r="R248" s="2127" t="s">
        <v>6721</v>
      </c>
      <c r="S248" s="660"/>
      <c r="T248" s="693"/>
      <c r="U248" s="693"/>
      <c r="V248" s="693"/>
      <c r="W248" s="693"/>
      <c r="X248" s="693"/>
      <c r="Y248" s="693"/>
      <c r="Z248" s="899"/>
    </row>
    <row r="249" spans="1:26" s="117" customFormat="1" ht="45">
      <c r="A249" s="3417" t="s">
        <v>122</v>
      </c>
      <c r="B249" s="2581" t="s">
        <v>6761</v>
      </c>
      <c r="C249" s="117" t="s">
        <v>44</v>
      </c>
      <c r="D249" s="3262">
        <v>45348</v>
      </c>
      <c r="E249" s="3264">
        <v>45363</v>
      </c>
      <c r="F249" s="117" t="s">
        <v>93</v>
      </c>
      <c r="G249" s="1617" t="s">
        <v>302</v>
      </c>
      <c r="H249" s="3430" t="s">
        <v>162</v>
      </c>
      <c r="I249" s="3430" t="s">
        <v>162</v>
      </c>
      <c r="J249" s="117" t="s">
        <v>0</v>
      </c>
      <c r="K249" s="855" t="s">
        <v>6718</v>
      </c>
      <c r="L249" s="3430" t="s">
        <v>6762</v>
      </c>
      <c r="M249" s="3366">
        <v>45366</v>
      </c>
      <c r="N249" s="3366">
        <v>45364</v>
      </c>
      <c r="O249" s="5374">
        <v>45366</v>
      </c>
      <c r="P249" s="2393" t="s">
        <v>6758</v>
      </c>
      <c r="Q249" s="3430" t="s">
        <v>75</v>
      </c>
      <c r="R249" s="2127" t="s">
        <v>6721</v>
      </c>
      <c r="S249" s="660"/>
      <c r="T249" s="693"/>
      <c r="U249" s="693"/>
      <c r="V249" s="693"/>
      <c r="W249" s="693"/>
      <c r="X249" s="693"/>
      <c r="Y249" s="693"/>
      <c r="Z249" s="899"/>
    </row>
    <row r="250" spans="1:26">
      <c r="A250" s="3235" t="s">
        <v>694</v>
      </c>
      <c r="B250" s="2575" t="s">
        <v>6763</v>
      </c>
      <c r="C250" s="3275" t="s">
        <v>6764</v>
      </c>
      <c r="D250" s="3280">
        <v>45338</v>
      </c>
      <c r="E250" s="3280">
        <v>45359</v>
      </c>
      <c r="F250" s="3275" t="s">
        <v>29</v>
      </c>
      <c r="G250" s="3275" t="s">
        <v>57</v>
      </c>
      <c r="H250" s="3357">
        <v>885661</v>
      </c>
      <c r="I250" s="3350">
        <v>45323</v>
      </c>
      <c r="J250" s="2332" t="s">
        <v>32</v>
      </c>
      <c r="K250" s="58" t="s">
        <v>3249</v>
      </c>
      <c r="L250" s="3357" t="s">
        <v>542</v>
      </c>
      <c r="M250" s="3357" t="s">
        <v>6765</v>
      </c>
      <c r="N250" s="3279">
        <v>45323</v>
      </c>
      <c r="O250" s="3279">
        <v>45323</v>
      </c>
      <c r="P250" s="3258" t="s">
        <v>6766</v>
      </c>
      <c r="Q250" s="3300" t="s">
        <v>35</v>
      </c>
      <c r="R250" s="2093" t="s">
        <v>36</v>
      </c>
      <c r="S250" s="710" t="s">
        <v>664</v>
      </c>
      <c r="T250" s="152"/>
      <c r="U250" s="152"/>
      <c r="V250" s="152"/>
      <c r="W250" s="152"/>
      <c r="X250" s="152"/>
      <c r="Y250" s="152"/>
      <c r="Z250" s="645"/>
    </row>
    <row r="251" spans="1:26" s="709" customFormat="1">
      <c r="A251" s="3417" t="s">
        <v>409</v>
      </c>
      <c r="B251" s="2566" t="s">
        <v>6767</v>
      </c>
      <c r="C251" s="3258" t="s">
        <v>28</v>
      </c>
      <c r="D251" s="3534">
        <v>45350</v>
      </c>
      <c r="E251" s="3535">
        <v>45373</v>
      </c>
      <c r="F251" s="3258" t="s">
        <v>2225</v>
      </c>
      <c r="G251" s="3258" t="s">
        <v>1350</v>
      </c>
      <c r="H251" s="3246"/>
      <c r="I251" s="3246"/>
      <c r="J251" s="5077" t="s">
        <v>32</v>
      </c>
      <c r="K251" s="3258" t="s">
        <v>47</v>
      </c>
      <c r="L251" s="709">
        <v>4223054</v>
      </c>
      <c r="M251" s="3525">
        <v>45375</v>
      </c>
      <c r="N251" s="3526">
        <v>45373</v>
      </c>
      <c r="O251" s="3526">
        <v>45375</v>
      </c>
      <c r="P251" s="707" t="s">
        <v>6768</v>
      </c>
      <c r="Q251" s="3258" t="s">
        <v>89</v>
      </c>
      <c r="R251" s="2346" t="s">
        <v>6769</v>
      </c>
      <c r="S251" s="727"/>
      <c r="T251" s="727"/>
      <c r="U251" s="727"/>
      <c r="V251" s="727"/>
      <c r="W251" s="727"/>
      <c r="X251" s="2315"/>
      <c r="Y251" s="727"/>
      <c r="Z251" s="711"/>
    </row>
    <row r="252" spans="1:26" s="709" customFormat="1">
      <c r="A252" s="3417" t="s">
        <v>409</v>
      </c>
      <c r="B252" s="2566" t="s">
        <v>6770</v>
      </c>
      <c r="C252" s="3246" t="s">
        <v>28</v>
      </c>
      <c r="D252" s="3534">
        <v>45351</v>
      </c>
      <c r="E252" s="3616">
        <v>45374</v>
      </c>
      <c r="F252" s="3246" t="s">
        <v>2225</v>
      </c>
      <c r="G252" s="3246" t="s">
        <v>1350</v>
      </c>
      <c r="H252" s="3246"/>
      <c r="I252" s="3246"/>
      <c r="J252" s="4902" t="s">
        <v>32</v>
      </c>
      <c r="K252" s="3246" t="s">
        <v>47</v>
      </c>
      <c r="L252" s="709">
        <v>4977542</v>
      </c>
      <c r="M252" s="3525">
        <v>45375</v>
      </c>
      <c r="N252" s="3526">
        <v>45374</v>
      </c>
      <c r="O252" s="3526">
        <v>45376</v>
      </c>
      <c r="P252" s="1019" t="s">
        <v>6771</v>
      </c>
      <c r="Q252" s="3246" t="s">
        <v>89</v>
      </c>
      <c r="R252" s="2346" t="s">
        <v>6772</v>
      </c>
      <c r="S252" s="727"/>
      <c r="T252" s="727"/>
      <c r="U252" s="727"/>
      <c r="V252" s="727"/>
      <c r="W252" s="727"/>
      <c r="X252" s="2315"/>
      <c r="Y252" s="727"/>
      <c r="Z252" s="711"/>
    </row>
    <row r="253" spans="1:26" s="709" customFormat="1">
      <c r="A253" s="3417" t="s">
        <v>409</v>
      </c>
      <c r="B253" s="3522" t="s">
        <v>6773</v>
      </c>
      <c r="C253" s="3258" t="s">
        <v>28</v>
      </c>
      <c r="D253" s="3534">
        <v>45351</v>
      </c>
      <c r="E253" s="3535">
        <v>45363</v>
      </c>
      <c r="F253" s="3258" t="s">
        <v>2225</v>
      </c>
      <c r="G253" s="3258" t="s">
        <v>1350</v>
      </c>
      <c r="H253" s="3246"/>
      <c r="I253" s="3246"/>
      <c r="J253" s="3530" t="s">
        <v>32</v>
      </c>
      <c r="K253" s="3258" t="s">
        <v>47</v>
      </c>
      <c r="L253" s="707">
        <v>3794420</v>
      </c>
      <c r="M253" s="3623">
        <v>45365</v>
      </c>
      <c r="N253" s="3526">
        <v>45365</v>
      </c>
      <c r="O253" s="3526">
        <v>45367</v>
      </c>
      <c r="P253" s="3258" t="s">
        <v>6774</v>
      </c>
      <c r="Q253" s="3258" t="s">
        <v>89</v>
      </c>
      <c r="R253" s="2346" t="s">
        <v>6775</v>
      </c>
      <c r="S253" s="727"/>
      <c r="T253" s="727"/>
      <c r="U253" s="727"/>
      <c r="V253" s="727"/>
      <c r="W253" s="727"/>
      <c r="X253" s="2315"/>
      <c r="Y253" s="727"/>
      <c r="Z253" s="711"/>
    </row>
    <row r="254" spans="1:26" s="709" customFormat="1">
      <c r="A254" s="3417" t="s">
        <v>409</v>
      </c>
      <c r="B254" s="2566" t="s">
        <v>6776</v>
      </c>
      <c r="C254" s="709" t="s">
        <v>28</v>
      </c>
      <c r="D254" s="3534">
        <v>45351</v>
      </c>
      <c r="E254" s="3616">
        <v>45374</v>
      </c>
      <c r="F254" s="709" t="s">
        <v>2225</v>
      </c>
      <c r="G254" s="709" t="s">
        <v>1350</v>
      </c>
      <c r="H254" s="3246"/>
      <c r="I254" s="3246"/>
      <c r="J254" s="1188" t="s">
        <v>32</v>
      </c>
      <c r="K254" s="709" t="s">
        <v>47</v>
      </c>
      <c r="L254" s="709">
        <v>5229738</v>
      </c>
      <c r="M254" s="3623">
        <v>45375</v>
      </c>
      <c r="N254" s="3526">
        <v>45374</v>
      </c>
      <c r="O254" s="3526">
        <v>45377</v>
      </c>
      <c r="P254" s="1019" t="s">
        <v>6777</v>
      </c>
      <c r="Q254" s="709" t="s">
        <v>89</v>
      </c>
      <c r="R254" s="2346" t="s">
        <v>6778</v>
      </c>
      <c r="S254" s="727"/>
      <c r="T254" s="727"/>
      <c r="U254" s="727"/>
      <c r="V254" s="727"/>
      <c r="W254" s="727"/>
      <c r="X254" s="2315"/>
      <c r="Y254" s="727"/>
      <c r="Z254" s="711"/>
    </row>
    <row r="255" spans="1:26" ht="90">
      <c r="A255" s="3635" t="s">
        <v>694</v>
      </c>
      <c r="B255" s="3636" t="s">
        <v>6779</v>
      </c>
      <c r="C255" s="3289" t="s">
        <v>6780</v>
      </c>
      <c r="D255" s="3351">
        <v>45337</v>
      </c>
      <c r="E255" s="3351">
        <v>45363</v>
      </c>
      <c r="F255" s="3289" t="s">
        <v>29</v>
      </c>
      <c r="G255" s="3289" t="s">
        <v>57</v>
      </c>
      <c r="H255" s="3637" t="s">
        <v>6781</v>
      </c>
      <c r="I255" s="3637" t="s">
        <v>6782</v>
      </c>
      <c r="J255" s="3556" t="s">
        <v>32</v>
      </c>
      <c r="K255" s="3289" t="s">
        <v>3249</v>
      </c>
      <c r="L255" s="3637" t="s">
        <v>542</v>
      </c>
      <c r="M255" s="3637" t="s">
        <v>6765</v>
      </c>
      <c r="N255" s="3289" t="s">
        <v>6783</v>
      </c>
      <c r="O255" s="3289" t="s">
        <v>6784</v>
      </c>
      <c r="P255" s="3638" t="s">
        <v>6785</v>
      </c>
      <c r="Q255" s="3300" t="s">
        <v>35</v>
      </c>
      <c r="R255" s="2093" t="s">
        <v>36</v>
      </c>
      <c r="S255" s="967" t="s">
        <v>664</v>
      </c>
      <c r="T255" s="994"/>
      <c r="U255" s="994"/>
      <c r="V255" s="994"/>
      <c r="W255" s="994"/>
      <c r="X255" s="994"/>
      <c r="Y255" s="994"/>
      <c r="Z255" s="865"/>
    </row>
    <row r="256" spans="1:26">
      <c r="A256" s="3235" t="s">
        <v>622</v>
      </c>
      <c r="B256" s="3528" t="s">
        <v>6786</v>
      </c>
      <c r="C256" s="3300" t="s">
        <v>28</v>
      </c>
      <c r="D256" s="3280">
        <v>45358</v>
      </c>
      <c r="E256" s="3346">
        <v>45374</v>
      </c>
      <c r="F256" s="3275" t="s">
        <v>29</v>
      </c>
      <c r="G256" s="3275" t="s">
        <v>30</v>
      </c>
      <c r="H256" s="3279">
        <v>45376</v>
      </c>
      <c r="I256" s="3275"/>
      <c r="J256" s="3347" t="s">
        <v>32</v>
      </c>
      <c r="K256" s="3275" t="s">
        <v>1445</v>
      </c>
      <c r="L256" s="1589">
        <v>236492</v>
      </c>
      <c r="M256" s="3350">
        <v>45376</v>
      </c>
      <c r="N256" s="3279">
        <v>45375</v>
      </c>
      <c r="O256" s="3350">
        <v>45376</v>
      </c>
      <c r="P256" s="3258" t="s">
        <v>6787</v>
      </c>
      <c r="Q256" s="3275" t="s">
        <v>35</v>
      </c>
      <c r="R256" s="2093" t="s">
        <v>36</v>
      </c>
      <c r="S256" s="710" t="s">
        <v>67</v>
      </c>
      <c r="T256" s="641">
        <v>650</v>
      </c>
      <c r="U256" s="512">
        <v>550</v>
      </c>
      <c r="V256" s="641"/>
      <c r="W256" s="641"/>
      <c r="X256" s="641"/>
      <c r="Y256" s="641"/>
      <c r="Z256" s="643"/>
    </row>
    <row r="257" spans="1:26" s="117" customFormat="1" ht="45">
      <c r="A257" s="4607" t="s">
        <v>1945</v>
      </c>
      <c r="B257" s="4938" t="s">
        <v>6788</v>
      </c>
      <c r="C257" s="4845" t="s">
        <v>794</v>
      </c>
      <c r="D257" s="4906">
        <v>45361</v>
      </c>
      <c r="E257" s="4916">
        <v>45382</v>
      </c>
      <c r="F257" s="4845" t="s">
        <v>245</v>
      </c>
      <c r="G257" s="4938" t="s">
        <v>2491</v>
      </c>
      <c r="H257" s="5337">
        <v>45385</v>
      </c>
      <c r="I257" s="5243" t="s">
        <v>6789</v>
      </c>
      <c r="J257" s="4915" t="s">
        <v>203</v>
      </c>
      <c r="K257" s="5375" t="s">
        <v>6790</v>
      </c>
      <c r="L257" s="5243">
        <v>5556</v>
      </c>
      <c r="M257" s="5364">
        <v>45384</v>
      </c>
      <c r="N257" s="4960">
        <v>45384</v>
      </c>
      <c r="O257" s="5337">
        <v>45401</v>
      </c>
      <c r="P257" s="4932" t="s">
        <v>6791</v>
      </c>
      <c r="Q257" s="4845" t="s">
        <v>75</v>
      </c>
      <c r="R257" s="2284" t="s">
        <v>6792</v>
      </c>
      <c r="S257" s="120" t="s">
        <v>67</v>
      </c>
      <c r="T257" s="2128">
        <v>4489.5</v>
      </c>
      <c r="U257" s="120">
        <f>1514.5+875+100+1655</f>
        <v>4144.5</v>
      </c>
      <c r="V257" s="120"/>
      <c r="W257" s="2128">
        <f>表12_14[[#This Row],[Sales Amount]]-表12_14[[#This Row],[Cost]]</f>
        <v>345</v>
      </c>
      <c r="X257" s="2305"/>
      <c r="Y257" s="120"/>
      <c r="Z257" s="1209"/>
    </row>
    <row r="258" spans="1:26">
      <c r="A258" s="3527" t="s">
        <v>329</v>
      </c>
      <c r="B258" s="3639" t="s">
        <v>6793</v>
      </c>
      <c r="C258" s="3246" t="s">
        <v>28</v>
      </c>
      <c r="D258" s="3534">
        <v>45358</v>
      </c>
      <c r="E258" s="3534">
        <v>45377</v>
      </c>
      <c r="F258" s="3246" t="s">
        <v>29</v>
      </c>
      <c r="G258" s="3246" t="s">
        <v>57</v>
      </c>
      <c r="H258" s="3525">
        <v>45342</v>
      </c>
      <c r="I258" s="3434" t="s">
        <v>2045</v>
      </c>
      <c r="J258" s="3523" t="s">
        <v>32</v>
      </c>
      <c r="K258" s="3246" t="s">
        <v>661</v>
      </c>
      <c r="L258" s="3434" t="s">
        <v>542</v>
      </c>
      <c r="M258" s="3434" t="s">
        <v>6794</v>
      </c>
      <c r="N258" s="3526">
        <v>45341</v>
      </c>
      <c r="O258" s="3526">
        <v>45342</v>
      </c>
      <c r="P258" s="3283" t="s">
        <v>6795</v>
      </c>
      <c r="Q258" s="3300" t="s">
        <v>35</v>
      </c>
      <c r="R258" s="2093" t="s">
        <v>36</v>
      </c>
      <c r="S258" s="967" t="s">
        <v>664</v>
      </c>
      <c r="T258" s="152">
        <v>810</v>
      </c>
      <c r="U258" s="152">
        <v>630</v>
      </c>
      <c r="V258" s="152"/>
      <c r="W258" s="152"/>
      <c r="X258" s="2124"/>
      <c r="Y258" s="152"/>
      <c r="Z258" s="645"/>
    </row>
    <row r="259" spans="1:26" ht="60">
      <c r="A259" s="3235" t="s">
        <v>694</v>
      </c>
      <c r="B259" s="2575" t="s">
        <v>6796</v>
      </c>
      <c r="C259" s="58" t="s">
        <v>6797</v>
      </c>
      <c r="D259" s="3396">
        <v>45352</v>
      </c>
      <c r="E259" s="3280">
        <v>45378</v>
      </c>
      <c r="F259" s="3275" t="s">
        <v>29</v>
      </c>
      <c r="G259" s="58" t="s">
        <v>57</v>
      </c>
      <c r="H259" s="3303" t="s">
        <v>6798</v>
      </c>
      <c r="I259" s="3303" t="s">
        <v>6799</v>
      </c>
      <c r="J259" s="913" t="s">
        <v>32</v>
      </c>
      <c r="K259" s="3275" t="s">
        <v>3249</v>
      </c>
      <c r="L259" s="4841" t="s">
        <v>542</v>
      </c>
      <c r="M259" s="3357" t="s">
        <v>6800</v>
      </c>
      <c r="N259" s="3300" t="s">
        <v>6801</v>
      </c>
      <c r="O259" s="3300" t="s">
        <v>6801</v>
      </c>
      <c r="P259" s="3590" t="s">
        <v>6802</v>
      </c>
      <c r="Q259" s="3300" t="s">
        <v>35</v>
      </c>
      <c r="R259" s="2093" t="s">
        <v>36</v>
      </c>
      <c r="S259" s="967" t="s">
        <v>664</v>
      </c>
      <c r="T259" s="152"/>
      <c r="U259" s="152">
        <v>2240</v>
      </c>
      <c r="V259" s="152"/>
      <c r="W259" s="152"/>
      <c r="X259" s="2124"/>
      <c r="Y259" s="152"/>
      <c r="Z259" s="645"/>
    </row>
    <row r="260" spans="1:26" s="117" customFormat="1">
      <c r="A260" s="3527" t="s">
        <v>1477</v>
      </c>
      <c r="B260" s="3639">
        <v>6376939540</v>
      </c>
      <c r="C260" s="709" t="s">
        <v>6803</v>
      </c>
      <c r="D260" s="3534">
        <v>45348</v>
      </c>
      <c r="E260" s="3534">
        <v>45382</v>
      </c>
      <c r="F260" s="3246" t="s">
        <v>45</v>
      </c>
      <c r="G260" s="3246" t="s">
        <v>46</v>
      </c>
      <c r="H260" s="3525">
        <v>45330</v>
      </c>
      <c r="I260" s="3434" t="s">
        <v>108</v>
      </c>
      <c r="J260" s="3246" t="s">
        <v>322</v>
      </c>
      <c r="K260" s="3246" t="s">
        <v>2124</v>
      </c>
      <c r="L260" s="3434" t="s">
        <v>542</v>
      </c>
      <c r="M260" s="3434" t="s">
        <v>6804</v>
      </c>
      <c r="N260" s="3526">
        <v>45329</v>
      </c>
      <c r="O260" s="3526">
        <v>45330</v>
      </c>
      <c r="P260" s="3640" t="s">
        <v>6805</v>
      </c>
      <c r="Q260" s="3275" t="s">
        <v>35</v>
      </c>
      <c r="R260" s="2093" t="s">
        <v>36</v>
      </c>
      <c r="S260" s="710" t="s">
        <v>6806</v>
      </c>
      <c r="T260" s="152">
        <v>1030</v>
      </c>
      <c r="U260" s="152">
        <v>856.25</v>
      </c>
      <c r="V260" s="152"/>
      <c r="W260" s="152"/>
      <c r="X260" s="2124"/>
      <c r="Y260" s="152"/>
      <c r="Z260" s="645"/>
    </row>
    <row r="261" spans="1:26" s="117" customFormat="1">
      <c r="A261" s="3527" t="s">
        <v>1477</v>
      </c>
      <c r="B261" s="3639">
        <v>6377295640</v>
      </c>
      <c r="C261" s="709" t="s">
        <v>28</v>
      </c>
      <c r="D261" s="3534">
        <v>45356</v>
      </c>
      <c r="E261" s="3534">
        <v>45382</v>
      </c>
      <c r="F261" s="3246" t="s">
        <v>45</v>
      </c>
      <c r="G261" s="3246" t="s">
        <v>669</v>
      </c>
      <c r="H261" s="3524">
        <v>45337</v>
      </c>
      <c r="I261" s="3523" t="s">
        <v>108</v>
      </c>
      <c r="J261" s="3523" t="s">
        <v>32</v>
      </c>
      <c r="K261" s="3246" t="s">
        <v>2124</v>
      </c>
      <c r="L261" s="3434" t="s">
        <v>542</v>
      </c>
      <c r="M261" s="3434" t="s">
        <v>6807</v>
      </c>
      <c r="N261" s="3526">
        <v>45336</v>
      </c>
      <c r="O261" s="3526">
        <v>45337</v>
      </c>
      <c r="P261" s="3283" t="s">
        <v>6808</v>
      </c>
      <c r="Q261" s="3275" t="s">
        <v>35</v>
      </c>
      <c r="R261" s="2093" t="s">
        <v>36</v>
      </c>
      <c r="S261" s="710" t="s">
        <v>6806</v>
      </c>
      <c r="T261" s="152">
        <v>1030</v>
      </c>
      <c r="U261" s="152">
        <v>980</v>
      </c>
      <c r="V261" s="152"/>
      <c r="W261" s="152"/>
      <c r="X261" s="2124"/>
      <c r="Y261" s="152"/>
      <c r="Z261" s="645"/>
    </row>
    <row r="262" spans="1:26" s="1442" customFormat="1">
      <c r="A262" s="3611" t="s">
        <v>6057</v>
      </c>
      <c r="B262" s="3641" t="s">
        <v>6809</v>
      </c>
      <c r="C262" s="3252" t="s">
        <v>28</v>
      </c>
      <c r="D262" s="3612">
        <v>45349</v>
      </c>
      <c r="E262" s="3391">
        <v>45355</v>
      </c>
      <c r="F262" s="3252" t="s">
        <v>770</v>
      </c>
      <c r="G262" s="1442" t="s">
        <v>46</v>
      </c>
      <c r="H262" s="3612"/>
      <c r="I262" s="3252"/>
      <c r="J262" s="1759" t="s">
        <v>32</v>
      </c>
      <c r="K262" s="2425" t="s">
        <v>47</v>
      </c>
      <c r="L262" s="3252" t="s">
        <v>6810</v>
      </c>
      <c r="M262" s="3598">
        <v>45357</v>
      </c>
      <c r="N262" s="3613">
        <v>45357</v>
      </c>
      <c r="O262" s="3613">
        <v>45358</v>
      </c>
      <c r="P262" s="3614" t="s">
        <v>6811</v>
      </c>
      <c r="Q262" s="3252" t="s">
        <v>50</v>
      </c>
      <c r="R262" s="2421" t="s">
        <v>51</v>
      </c>
      <c r="S262" s="1724"/>
      <c r="T262" s="1724"/>
      <c r="U262" s="1724"/>
      <c r="V262" s="1724"/>
      <c r="W262" s="1724"/>
      <c r="X262" s="2424"/>
      <c r="Y262" s="1724"/>
      <c r="Z262" s="2422"/>
    </row>
    <row r="263" spans="1:26" customFormat="1"/>
    <row r="264" spans="1:26" customFormat="1"/>
    <row r="265" spans="1:26">
      <c r="M265" s="2616"/>
    </row>
    <row r="266" spans="1:26">
      <c r="M266" s="2616"/>
    </row>
    <row r="270" spans="1:26">
      <c r="H270" s="106"/>
      <c r="V270" s="2617"/>
    </row>
    <row r="271" spans="1:26">
      <c r="J271" s="106"/>
      <c r="V271" s="2617"/>
    </row>
    <row r="272" spans="1:26">
      <c r="P272" s="147"/>
    </row>
  </sheetData>
  <phoneticPr fontId="27" type="noConversion"/>
  <conditionalFormatting sqref="B1">
    <cfRule type="duplicateValues" dxfId="280" priority="1"/>
  </conditionalFormatting>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543F5-80D7-4D4A-A339-A2B560B865C2}">
  <dimension ref="A1:AH181"/>
  <sheetViews>
    <sheetView zoomScaleNormal="100" workbookViewId="0">
      <pane xSplit="7" ySplit="1" topLeftCell="U148" activePane="bottomRight" state="frozen"/>
      <selection pane="bottomRight" activeCell="U148" sqref="U148"/>
      <selection pane="bottomLeft" activeCell="B2" sqref="B2:B98"/>
      <selection pane="topRight" activeCell="H1" sqref="H1"/>
    </sheetView>
  </sheetViews>
  <sheetFormatPr defaultColWidth="9" defaultRowHeight="15"/>
  <cols>
    <col min="1" max="1" width="16.25" style="106" bestFit="1" customWidth="1"/>
    <col min="2" max="2" width="20.25" style="2643" customWidth="1"/>
    <col min="3" max="3" width="9" style="2568"/>
    <col min="4" max="4" width="11.125" style="144" customWidth="1"/>
    <col min="5" max="5" width="11.125" style="126" customWidth="1"/>
    <col min="6" max="6" width="12.875" style="106" customWidth="1"/>
    <col min="7" max="7" width="21.25" style="106" customWidth="1"/>
    <col min="8" max="8" width="27.25" style="144" customWidth="1"/>
    <col min="9" max="9" width="13" style="106" customWidth="1"/>
    <col min="10" max="10" width="12.25" style="106" customWidth="1"/>
    <col min="11" max="11" width="23.875" style="106" customWidth="1"/>
    <col min="12" max="12" width="29.25" style="127" customWidth="1"/>
    <col min="13" max="13" width="15.25" style="144" customWidth="1"/>
    <col min="14" max="14" width="11.25" style="144" customWidth="1"/>
    <col min="15" max="15" width="14.875" style="144" customWidth="1"/>
    <col min="16" max="16" width="54.25" style="106" customWidth="1"/>
    <col min="17" max="17" width="9" style="106"/>
    <col min="18" max="18" width="19.25" style="106" customWidth="1"/>
    <col min="19" max="19" width="10" style="106" bestFit="1" customWidth="1"/>
    <col min="20" max="20" width="14" style="1754" bestFit="1" customWidth="1"/>
    <col min="21" max="21" width="16" style="1754" customWidth="1"/>
    <col min="22" max="22" width="15.25" style="106" bestFit="1" customWidth="1"/>
    <col min="23" max="23" width="9" style="1754"/>
    <col min="24" max="24" width="12.125" style="876" bestFit="1" customWidth="1"/>
    <col min="25" max="25" width="9" style="106"/>
    <col min="26" max="26" width="10.875" style="106" bestFit="1" customWidth="1"/>
    <col min="27" max="16384" width="9" style="106"/>
  </cols>
  <sheetData>
    <row r="1" spans="1:26" ht="13.5" customHeight="1">
      <c r="A1" s="2442" t="s">
        <v>0</v>
      </c>
      <c r="B1" s="2641" t="s">
        <v>1</v>
      </c>
      <c r="C1" s="2578" t="s">
        <v>2</v>
      </c>
      <c r="D1" s="2443" t="s">
        <v>3</v>
      </c>
      <c r="E1" s="2287" t="s">
        <v>4</v>
      </c>
      <c r="F1" s="2443" t="s">
        <v>5</v>
      </c>
      <c r="G1" s="2441" t="s">
        <v>6</v>
      </c>
      <c r="H1" s="2441" t="s">
        <v>7</v>
      </c>
      <c r="I1" s="2441" t="s">
        <v>8</v>
      </c>
      <c r="J1" s="2441" t="s">
        <v>9</v>
      </c>
      <c r="K1" s="2445" t="s">
        <v>10</v>
      </c>
      <c r="L1" s="2816" t="s">
        <v>11</v>
      </c>
      <c r="M1" s="2444" t="s">
        <v>12</v>
      </c>
      <c r="N1" s="2443" t="s">
        <v>13</v>
      </c>
      <c r="O1" s="2443" t="s">
        <v>14</v>
      </c>
      <c r="P1" s="2446" t="s">
        <v>15</v>
      </c>
      <c r="Q1" s="1567" t="s">
        <v>16</v>
      </c>
      <c r="R1" s="2447" t="s">
        <v>17</v>
      </c>
      <c r="S1" s="1008" t="s">
        <v>18</v>
      </c>
      <c r="T1" s="2448" t="s">
        <v>19</v>
      </c>
      <c r="U1" s="2460" t="s">
        <v>20</v>
      </c>
      <c r="V1" s="1008" t="s">
        <v>21</v>
      </c>
      <c r="W1" s="2448" t="s">
        <v>22</v>
      </c>
      <c r="X1" s="1009" t="s">
        <v>23</v>
      </c>
      <c r="Y1" s="1009" t="s">
        <v>24</v>
      </c>
      <c r="Z1" s="1009" t="s">
        <v>25</v>
      </c>
    </row>
    <row r="2" spans="1:26" customFormat="1">
      <c r="A2" s="58" t="s">
        <v>1945</v>
      </c>
      <c r="B2" s="4335" t="s">
        <v>6812</v>
      </c>
      <c r="C2" s="2566" t="s">
        <v>28</v>
      </c>
      <c r="D2" s="1139">
        <v>45336</v>
      </c>
      <c r="E2" s="1631">
        <v>45344</v>
      </c>
      <c r="F2" s="58" t="s">
        <v>98</v>
      </c>
      <c r="G2" s="58" t="s">
        <v>152</v>
      </c>
      <c r="H2" s="1414">
        <v>45348</v>
      </c>
      <c r="I2" s="1423">
        <v>0.35416666666666669</v>
      </c>
      <c r="J2" s="58" t="s">
        <v>297</v>
      </c>
      <c r="K2" s="58" t="s">
        <v>6813</v>
      </c>
      <c r="L2" s="915">
        <v>8184619</v>
      </c>
      <c r="M2" s="1414">
        <v>45345</v>
      </c>
      <c r="N2" s="1414">
        <v>45345</v>
      </c>
      <c r="O2" s="1139">
        <v>45348</v>
      </c>
      <c r="P2" s="650" t="s">
        <v>6814</v>
      </c>
      <c r="Q2" s="1" t="s">
        <v>35</v>
      </c>
      <c r="R2" s="1" t="s">
        <v>36</v>
      </c>
      <c r="S2" s="1" t="s">
        <v>67</v>
      </c>
      <c r="T2">
        <v>2572.5</v>
      </c>
      <c r="U2">
        <v>1998</v>
      </c>
      <c r="W2">
        <f>表12[[#This Row],[Sales Amount]]-表12[[#This Row],[Cost]]</f>
        <v>610</v>
      </c>
      <c r="X2" s="2433" t="str">
        <f>IFERROR(Table6[[#This Row],[Profit]]/Table6[[#This Row],[Cost]]," ")</f>
        <v xml:space="preserve"> </v>
      </c>
    </row>
    <row r="3" spans="1:26" customFormat="1">
      <c r="A3" s="650" t="s">
        <v>3343</v>
      </c>
      <c r="B3" s="4335" t="s">
        <v>6815</v>
      </c>
      <c r="C3" s="2569" t="s">
        <v>44</v>
      </c>
      <c r="D3" s="2412">
        <v>45332</v>
      </c>
      <c r="E3" s="1668">
        <v>45347</v>
      </c>
      <c r="F3" s="650" t="s">
        <v>86</v>
      </c>
      <c r="G3" s="650" t="s">
        <v>829</v>
      </c>
      <c r="H3" s="2451"/>
      <c r="I3" s="2451"/>
      <c r="J3" s="650" t="s">
        <v>168</v>
      </c>
      <c r="K3" s="650" t="s">
        <v>47</v>
      </c>
      <c r="L3" s="1" t="s">
        <v>6816</v>
      </c>
      <c r="M3" s="2412">
        <v>45349</v>
      </c>
      <c r="N3" s="2412">
        <v>45349</v>
      </c>
      <c r="O3" s="2412">
        <v>45360</v>
      </c>
      <c r="P3" s="650" t="s">
        <v>6817</v>
      </c>
      <c r="Q3" s="650" t="s">
        <v>50</v>
      </c>
      <c r="R3" s="650" t="s">
        <v>6818</v>
      </c>
      <c r="S3" s="650"/>
      <c r="T3" s="650"/>
      <c r="U3" s="650"/>
      <c r="V3" s="650"/>
      <c r="W3" s="650">
        <f>表12[[#This Row],[Sales Amount]]-表12[[#This Row],[Cost]]</f>
        <v>350</v>
      </c>
      <c r="X3" s="2457" t="str">
        <f>IFERROR(Table6[[#This Row],[Profit]]/Table6[[#This Row],[Cost]]," ")</f>
        <v xml:space="preserve"> </v>
      </c>
      <c r="Y3" s="650"/>
      <c r="Z3" s="650"/>
    </row>
    <row r="4" spans="1:26" s="2" customFormat="1">
      <c r="A4" s="709" t="s">
        <v>3343</v>
      </c>
      <c r="B4" s="4335" t="s">
        <v>6819</v>
      </c>
      <c r="C4" s="4336" t="s">
        <v>28</v>
      </c>
      <c r="D4" s="1194">
        <v>45342</v>
      </c>
      <c r="E4" s="1631">
        <v>45347</v>
      </c>
      <c r="F4" s="650" t="s">
        <v>86</v>
      </c>
      <c r="G4" s="58" t="s">
        <v>46</v>
      </c>
      <c r="H4" s="2452"/>
      <c r="I4" s="2452"/>
      <c r="J4" s="2419" t="s">
        <v>32</v>
      </c>
      <c r="K4" s="2419" t="s">
        <v>47</v>
      </c>
      <c r="L4" s="58" t="s">
        <v>6820</v>
      </c>
      <c r="M4" s="912">
        <v>45349</v>
      </c>
      <c r="N4" s="912">
        <v>45349</v>
      </c>
      <c r="O4" s="912">
        <v>45357</v>
      </c>
      <c r="P4" s="709" t="s">
        <v>6821</v>
      </c>
      <c r="Q4" s="709" t="s">
        <v>50</v>
      </c>
      <c r="R4" s="709" t="s">
        <v>6822</v>
      </c>
      <c r="S4" s="709"/>
      <c r="T4" s="709"/>
      <c r="U4" s="709"/>
      <c r="V4" s="709"/>
      <c r="W4" s="709">
        <f>表12[[#This Row],[Sales Amount]]-表12[[#This Row],[Cost]]</f>
        <v>278.75000000000023</v>
      </c>
      <c r="X4" s="2436">
        <f>IFERROR(Table6[[#This Row],[Profit]]/Table6[[#This Row],[Cost]]," ")</f>
        <v>0.19801980198019803</v>
      </c>
      <c r="Y4" s="709"/>
      <c r="Z4" s="709"/>
    </row>
    <row r="5" spans="1:26" customFormat="1">
      <c r="A5" s="650" t="s">
        <v>3343</v>
      </c>
      <c r="B5" s="4335" t="s">
        <v>6823</v>
      </c>
      <c r="C5" s="2569" t="s">
        <v>44</v>
      </c>
      <c r="D5" s="2412">
        <v>45339</v>
      </c>
      <c r="E5" s="1668">
        <v>45348</v>
      </c>
      <c r="F5" s="650" t="s">
        <v>86</v>
      </c>
      <c r="G5" s="650" t="s">
        <v>829</v>
      </c>
      <c r="H5" s="2451"/>
      <c r="I5" s="2451"/>
      <c r="J5" s="650" t="s">
        <v>168</v>
      </c>
      <c r="K5" s="650" t="s">
        <v>47</v>
      </c>
      <c r="L5" s="1" t="s">
        <v>6816</v>
      </c>
      <c r="M5" s="2412">
        <v>45350</v>
      </c>
      <c r="N5" s="2412">
        <v>45350</v>
      </c>
      <c r="O5" s="2412">
        <v>45360</v>
      </c>
      <c r="P5" s="4177" t="s">
        <v>6824</v>
      </c>
      <c r="Q5" s="650" t="s">
        <v>50</v>
      </c>
      <c r="R5" s="650" t="s">
        <v>6825</v>
      </c>
      <c r="S5" s="650"/>
      <c r="T5" s="650"/>
      <c r="U5" s="650"/>
      <c r="V5" s="650"/>
      <c r="W5" s="650">
        <f>表12[[#This Row],[Sales Amount]]-表12[[#This Row],[Cost]]</f>
        <v>295</v>
      </c>
      <c r="X5" s="2457">
        <f>IFERROR(Table6[[#This Row],[Profit]]/Table6[[#This Row],[Cost]]," ")</f>
        <v>0.19801980198019803</v>
      </c>
      <c r="Y5" s="650"/>
      <c r="Z5" s="650"/>
    </row>
    <row r="6" spans="1:26" customFormat="1">
      <c r="A6" s="650" t="s">
        <v>3343</v>
      </c>
      <c r="B6" s="2571" t="s">
        <v>6826</v>
      </c>
      <c r="C6" s="2569" t="s">
        <v>44</v>
      </c>
      <c r="D6" s="2412">
        <v>45339</v>
      </c>
      <c r="E6" s="1668">
        <v>45348</v>
      </c>
      <c r="F6" s="650" t="s">
        <v>86</v>
      </c>
      <c r="G6" s="650" t="s">
        <v>829</v>
      </c>
      <c r="H6" s="2452"/>
      <c r="I6" s="2452"/>
      <c r="J6" s="4913" t="s">
        <v>168</v>
      </c>
      <c r="K6" s="650" t="s">
        <v>47</v>
      </c>
      <c r="L6" s="1" t="s">
        <v>6816</v>
      </c>
      <c r="M6" s="2412">
        <v>45350</v>
      </c>
      <c r="N6" s="2412">
        <v>45350</v>
      </c>
      <c r="O6" s="2412">
        <v>45362</v>
      </c>
      <c r="P6" s="650" t="s">
        <v>6827</v>
      </c>
      <c r="Q6" s="650" t="s">
        <v>50</v>
      </c>
      <c r="R6" s="650" t="s">
        <v>6828</v>
      </c>
      <c r="S6" s="650"/>
      <c r="T6" s="650"/>
      <c r="U6" s="650"/>
      <c r="V6" s="650"/>
      <c r="W6" s="650">
        <f>表12[[#This Row],[Sales Amount]]-表12[[#This Row],[Cost]]</f>
        <v>553.5</v>
      </c>
      <c r="X6" s="2457">
        <f>IFERROR(Table6[[#This Row],[Profit]]/Table6[[#This Row],[Cost]]," ")</f>
        <v>0.77692307692307694</v>
      </c>
      <c r="Y6" s="650"/>
      <c r="Z6" s="650"/>
    </row>
    <row r="7" spans="1:26" customFormat="1">
      <c r="A7" s="709" t="s">
        <v>3343</v>
      </c>
      <c r="B7" s="4335" t="s">
        <v>6829</v>
      </c>
      <c r="C7" s="4336" t="s">
        <v>28</v>
      </c>
      <c r="D7" s="1194">
        <v>45342</v>
      </c>
      <c r="E7" s="1631">
        <v>45348</v>
      </c>
      <c r="F7" s="650" t="s">
        <v>86</v>
      </c>
      <c r="G7" s="58" t="s">
        <v>46</v>
      </c>
      <c r="H7" s="2452"/>
      <c r="I7" s="2452"/>
      <c r="J7" s="2419" t="s">
        <v>32</v>
      </c>
      <c r="K7" s="2419" t="s">
        <v>47</v>
      </c>
      <c r="L7" s="58" t="s">
        <v>6820</v>
      </c>
      <c r="M7" s="912">
        <v>45350</v>
      </c>
      <c r="N7" s="912">
        <v>45350</v>
      </c>
      <c r="O7" s="912">
        <v>45357</v>
      </c>
      <c r="P7" s="709" t="s">
        <v>6830</v>
      </c>
      <c r="Q7" s="709" t="s">
        <v>50</v>
      </c>
      <c r="R7" s="709" t="s">
        <v>6831</v>
      </c>
      <c r="S7" s="709"/>
      <c r="T7" s="709"/>
      <c r="U7" s="709"/>
      <c r="V7" s="709"/>
      <c r="W7" s="709">
        <f>表12[[#This Row],[Sales Amount]]-表12[[#This Row],[Cost]]</f>
        <v>3140</v>
      </c>
      <c r="X7" s="2436">
        <f>IFERROR(Table6[[#This Row],[Profit]]/Table6[[#This Row],[Cost]]," ")</f>
        <v>0.12901155327342748</v>
      </c>
      <c r="Y7" s="709"/>
      <c r="Z7" s="709"/>
    </row>
    <row r="8" spans="1:26" customFormat="1" ht="60">
      <c r="A8" s="117" t="s">
        <v>122</v>
      </c>
      <c r="B8" s="4337" t="s">
        <v>6832</v>
      </c>
      <c r="C8" s="2581" t="s">
        <v>44</v>
      </c>
      <c r="D8" s="822">
        <v>45352</v>
      </c>
      <c r="E8" s="889">
        <v>45354</v>
      </c>
      <c r="F8" s="117" t="s">
        <v>93</v>
      </c>
      <c r="G8" s="117" t="s">
        <v>6833</v>
      </c>
      <c r="H8" s="117" t="s">
        <v>6834</v>
      </c>
      <c r="I8" s="117" t="s">
        <v>6834</v>
      </c>
      <c r="J8" s="117" t="s">
        <v>2422</v>
      </c>
      <c r="K8" s="117" t="s">
        <v>6835</v>
      </c>
      <c r="L8" s="837" t="s">
        <v>6836</v>
      </c>
      <c r="M8" s="822">
        <v>45359</v>
      </c>
      <c r="N8" s="822">
        <v>45356</v>
      </c>
      <c r="O8" s="2453" t="s">
        <v>6837</v>
      </c>
      <c r="P8" s="806" t="s">
        <v>6838</v>
      </c>
      <c r="Q8" s="1617" t="s">
        <v>75</v>
      </c>
      <c r="R8" s="716" t="s">
        <v>6839</v>
      </c>
      <c r="S8" s="117"/>
      <c r="T8" s="117"/>
      <c r="U8" s="117"/>
      <c r="V8" s="117"/>
      <c r="W8" s="117">
        <f>表12[[#This Row],[Sales Amount]]-表12[[#This Row],[Cost]]</f>
        <v>2330</v>
      </c>
      <c r="X8" s="905">
        <f>IFERROR(Table6[[#This Row],[Profit]]/Table6[[#This Row],[Cost]]," ")</f>
        <v>0.12901155327342748</v>
      </c>
      <c r="Y8" s="117"/>
      <c r="Z8" s="117"/>
    </row>
    <row r="9" spans="1:26" s="709" customFormat="1">
      <c r="A9" s="3642" t="s">
        <v>4793</v>
      </c>
      <c r="B9" s="4333" t="s">
        <v>6840</v>
      </c>
      <c r="C9" s="3528" t="s">
        <v>28</v>
      </c>
      <c r="D9" s="3643">
        <v>45352</v>
      </c>
      <c r="E9" s="3644">
        <v>45356</v>
      </c>
      <c r="F9" s="3348" t="s">
        <v>86</v>
      </c>
      <c r="G9" s="3275" t="s">
        <v>46</v>
      </c>
      <c r="H9" s="3348"/>
      <c r="I9" s="3348"/>
      <c r="J9" s="2438" t="s">
        <v>32</v>
      </c>
      <c r="K9" s="3348" t="s">
        <v>47</v>
      </c>
      <c r="L9" s="3645" t="s">
        <v>6841</v>
      </c>
      <c r="M9" s="3646">
        <v>45358</v>
      </c>
      <c r="N9" s="3643">
        <v>45358</v>
      </c>
      <c r="O9" s="3643">
        <v>45362</v>
      </c>
      <c r="P9" s="3348" t="s">
        <v>6842</v>
      </c>
      <c r="Q9" s="3348" t="s">
        <v>50</v>
      </c>
      <c r="R9" s="2455" t="s">
        <v>6843</v>
      </c>
      <c r="S9" s="1168"/>
      <c r="T9" s="1168"/>
      <c r="U9" s="1168"/>
      <c r="V9" s="1168"/>
      <c r="W9" s="1168">
        <f>表12[[#This Row],[Sales Amount]]-表12[[#This Row],[Cost]]</f>
        <v>0</v>
      </c>
      <c r="X9" s="2479">
        <f>IFERROR(Table6[[#This Row],[Profit]]/Table6[[#This Row],[Cost]]," ")</f>
        <v>0.21212121212121213</v>
      </c>
      <c r="Y9" s="1168"/>
      <c r="Z9" s="2480"/>
    </row>
    <row r="10" spans="1:26" customFormat="1">
      <c r="A10" s="650" t="s">
        <v>4793</v>
      </c>
      <c r="B10" s="4335" t="s">
        <v>6844</v>
      </c>
      <c r="C10" s="2566" t="s">
        <v>28</v>
      </c>
      <c r="D10" s="2412">
        <v>45352</v>
      </c>
      <c r="E10" s="1668">
        <v>45356</v>
      </c>
      <c r="F10" s="650" t="s">
        <v>86</v>
      </c>
      <c r="G10" s="58" t="s">
        <v>46</v>
      </c>
      <c r="H10" s="650"/>
      <c r="I10" s="650"/>
      <c r="J10" s="2438" t="s">
        <v>32</v>
      </c>
      <c r="K10" s="650" t="s">
        <v>47</v>
      </c>
      <c r="L10" s="1346" t="s">
        <v>6845</v>
      </c>
      <c r="M10" s="2440">
        <v>45358</v>
      </c>
      <c r="N10" s="2412">
        <v>45357</v>
      </c>
      <c r="O10" s="2412">
        <v>45359</v>
      </c>
      <c r="P10" s="650" t="s">
        <v>6846</v>
      </c>
      <c r="Q10" s="650" t="s">
        <v>50</v>
      </c>
      <c r="R10" s="650" t="s">
        <v>6847</v>
      </c>
      <c r="S10" s="650"/>
      <c r="T10" s="650"/>
      <c r="U10" s="650"/>
      <c r="V10" s="650"/>
      <c r="W10" s="650">
        <f>表12[[#This Row],[Sales Amount]]-表12[[#This Row],[Cost]]</f>
        <v>647.5</v>
      </c>
      <c r="X10" s="2434">
        <f>IFERROR(Table6[[#This Row],[Profit]]/Table6[[#This Row],[Cost]]," ")</f>
        <v>0.22807017543859648</v>
      </c>
      <c r="Y10" s="650"/>
      <c r="Z10" s="650"/>
    </row>
    <row r="11" spans="1:26" customFormat="1">
      <c r="A11" s="709" t="s">
        <v>6848</v>
      </c>
      <c r="B11" s="2571" t="s">
        <v>6849</v>
      </c>
      <c r="C11" s="2566" t="s">
        <v>28</v>
      </c>
      <c r="D11" s="1194">
        <v>45347</v>
      </c>
      <c r="E11" s="1631">
        <v>45356</v>
      </c>
      <c r="F11" s="650" t="s">
        <v>86</v>
      </c>
      <c r="G11" s="58" t="s">
        <v>46</v>
      </c>
      <c r="H11" s="2451"/>
      <c r="I11" s="2451"/>
      <c r="J11" s="2406" t="s">
        <v>32</v>
      </c>
      <c r="K11" s="1" t="s">
        <v>47</v>
      </c>
      <c r="L11" s="1346" t="s">
        <v>6850</v>
      </c>
      <c r="M11" s="912">
        <v>45358</v>
      </c>
      <c r="N11" s="912">
        <v>45358</v>
      </c>
      <c r="O11" s="912">
        <v>45362</v>
      </c>
      <c r="P11" s="709" t="s">
        <v>6851</v>
      </c>
      <c r="Q11" s="709" t="s">
        <v>6852</v>
      </c>
      <c r="R11" s="709" t="s">
        <v>6532</v>
      </c>
      <c r="S11" s="709"/>
      <c r="T11" s="709"/>
      <c r="U11" s="709"/>
      <c r="V11" s="709"/>
      <c r="W11" s="709">
        <f>表12[[#This Row],[Sales Amount]]-表12[[#This Row],[Cost]]</f>
        <v>0</v>
      </c>
      <c r="X11" s="2436">
        <f>IFERROR(Table6[[#This Row],[Profit]]/Table6[[#This Row],[Cost]]," ")</f>
        <v>0.10995370370370371</v>
      </c>
      <c r="Y11" s="709"/>
      <c r="Z11" s="709"/>
    </row>
    <row r="12" spans="1:26" customFormat="1">
      <c r="A12" s="58" t="s">
        <v>2966</v>
      </c>
      <c r="B12" s="4335" t="s">
        <v>6853</v>
      </c>
      <c r="C12" s="2566" t="s">
        <v>28</v>
      </c>
      <c r="D12" s="1139">
        <v>45344</v>
      </c>
      <c r="E12" s="1631">
        <v>45357</v>
      </c>
      <c r="F12" s="58" t="s">
        <v>151</v>
      </c>
      <c r="G12" s="58" t="s">
        <v>152</v>
      </c>
      <c r="H12" s="2263" t="s">
        <v>1038</v>
      </c>
      <c r="I12" s="4177"/>
      <c r="J12" s="58" t="s">
        <v>382</v>
      </c>
      <c r="K12" s="58" t="s">
        <v>382</v>
      </c>
      <c r="L12" s="915">
        <v>3892</v>
      </c>
      <c r="M12" s="1414">
        <v>45358</v>
      </c>
      <c r="N12" s="1640">
        <v>45358</v>
      </c>
      <c r="O12" s="1607">
        <v>45364</v>
      </c>
      <c r="P12" s="650" t="s">
        <v>6854</v>
      </c>
      <c r="Q12" s="58" t="s">
        <v>35</v>
      </c>
      <c r="R12" s="58" t="s">
        <v>36</v>
      </c>
      <c r="S12" s="58" t="s">
        <v>3064</v>
      </c>
      <c r="W12">
        <f>表12[[#This Row],[Sales Amount]]-表12[[#This Row],[Cost]]</f>
        <v>172</v>
      </c>
      <c r="X12" s="2433">
        <f>IFERROR(Table6[[#This Row],[Profit]]/Table6[[#This Row],[Cost]]," ")</f>
        <v>0.11415696582801352</v>
      </c>
    </row>
    <row r="13" spans="1:26" customFormat="1" ht="75">
      <c r="A13" s="1617" t="s">
        <v>2489</v>
      </c>
      <c r="B13" s="4337" t="s">
        <v>6855</v>
      </c>
      <c r="C13" s="2581" t="s">
        <v>28</v>
      </c>
      <c r="D13" s="822">
        <v>45358</v>
      </c>
      <c r="E13" s="889">
        <v>45358</v>
      </c>
      <c r="F13" s="1617" t="s">
        <v>135</v>
      </c>
      <c r="G13" s="1617" t="s">
        <v>5082</v>
      </c>
      <c r="H13" s="807">
        <v>45366</v>
      </c>
      <c r="I13" s="4104" t="s">
        <v>6856</v>
      </c>
      <c r="J13" s="4104" t="s">
        <v>784</v>
      </c>
      <c r="K13" s="1617" t="s">
        <v>6857</v>
      </c>
      <c r="L13" s="25"/>
      <c r="M13" s="839">
        <v>45365</v>
      </c>
      <c r="N13" s="839">
        <v>45365</v>
      </c>
      <c r="O13" s="839">
        <v>45369</v>
      </c>
      <c r="P13" s="4104" t="s">
        <v>6858</v>
      </c>
      <c r="Q13" s="117" t="s">
        <v>75</v>
      </c>
      <c r="R13" s="4150" t="s">
        <v>6859</v>
      </c>
      <c r="S13" s="117"/>
      <c r="T13" s="117">
        <v>980</v>
      </c>
      <c r="U13" s="117">
        <v>785</v>
      </c>
      <c r="V13" s="117">
        <v>1</v>
      </c>
      <c r="W13" s="117">
        <f>表12[[#This Row],[Sales Amount]]-表12[[#This Row],[Cost]]</f>
        <v>172</v>
      </c>
      <c r="X13" s="905">
        <f>IFERROR(Table6[[#This Row],[Profit]]/Table6[[#This Row],[Cost]]," ")</f>
        <v>0.10158102766798419</v>
      </c>
      <c r="Y13" s="117"/>
      <c r="Z13" s="117"/>
    </row>
    <row r="14" spans="1:26" customFormat="1">
      <c r="A14" s="117" t="s">
        <v>165</v>
      </c>
      <c r="B14" s="4104" t="s">
        <v>6860</v>
      </c>
      <c r="C14" s="2581" t="s">
        <v>28</v>
      </c>
      <c r="D14" s="822">
        <v>45358</v>
      </c>
      <c r="E14" s="889">
        <v>45358</v>
      </c>
      <c r="F14" s="1617" t="s">
        <v>135</v>
      </c>
      <c r="G14" s="1617" t="s">
        <v>5082</v>
      </c>
      <c r="H14" s="4173">
        <v>45363</v>
      </c>
      <c r="I14" s="4104" t="s">
        <v>6861</v>
      </c>
      <c r="J14" s="1617" t="s">
        <v>322</v>
      </c>
      <c r="K14" s="1617" t="s">
        <v>4357</v>
      </c>
      <c r="L14" s="25"/>
      <c r="M14" s="839">
        <v>45365</v>
      </c>
      <c r="N14" s="822">
        <v>45363</v>
      </c>
      <c r="O14" s="925">
        <v>45372</v>
      </c>
      <c r="P14" s="716" t="s">
        <v>6862</v>
      </c>
      <c r="Q14" s="117" t="s">
        <v>75</v>
      </c>
      <c r="R14" s="4150" t="s">
        <v>6863</v>
      </c>
      <c r="S14" s="117"/>
      <c r="T14" s="117">
        <v>1230</v>
      </c>
      <c r="U14" s="4243">
        <v>772.8</v>
      </c>
      <c r="V14" s="117">
        <v>1</v>
      </c>
      <c r="W14" s="1437">
        <f>表14[[#This Row],[Sales Amount]]-表14[[#This Row],[Cost]]</f>
        <v>457.20000000000005</v>
      </c>
      <c r="X14" s="905">
        <f>IFERROR(Table6[[#This Row],[Profit]]/Table6[[#This Row],[Cost]]," ")</f>
        <v>0.22713414634146342</v>
      </c>
      <c r="Y14" s="117"/>
      <c r="Z14" s="117"/>
    </row>
    <row r="15" spans="1:26" s="650" customFormat="1" ht="90">
      <c r="A15" s="117" t="s">
        <v>2847</v>
      </c>
      <c r="B15" s="4150" t="s">
        <v>6864</v>
      </c>
      <c r="C15" s="2581" t="s">
        <v>28</v>
      </c>
      <c r="D15" s="822">
        <v>45354</v>
      </c>
      <c r="E15" s="889">
        <v>45360</v>
      </c>
      <c r="F15" s="117" t="s">
        <v>93</v>
      </c>
      <c r="G15" s="117" t="s">
        <v>5557</v>
      </c>
      <c r="H15" s="822">
        <v>45367</v>
      </c>
      <c r="I15" s="117" t="s">
        <v>108</v>
      </c>
      <c r="J15" s="117" t="s">
        <v>322</v>
      </c>
      <c r="K15" s="117" t="s">
        <v>6865</v>
      </c>
      <c r="L15" s="765">
        <v>3949278</v>
      </c>
      <c r="M15" s="822">
        <v>45362</v>
      </c>
      <c r="N15" s="822">
        <v>45362</v>
      </c>
      <c r="O15" s="839">
        <v>45369</v>
      </c>
      <c r="P15" s="4104" t="s">
        <v>6866</v>
      </c>
      <c r="Q15" s="117" t="s">
        <v>75</v>
      </c>
      <c r="R15" s="4150" t="s">
        <v>6867</v>
      </c>
      <c r="S15" s="117"/>
      <c r="T15" s="4243">
        <v>1807.5</v>
      </c>
      <c r="U15" s="117">
        <v>1369.3</v>
      </c>
      <c r="V15" s="117">
        <v>1</v>
      </c>
      <c r="W15" s="117">
        <f>表14[[#This Row],[Sales Amount]]-表14[[#This Row],[Cost]]</f>
        <v>438.20000000000005</v>
      </c>
      <c r="X15" s="1661">
        <f>表14[[#This Row],[Profit]]/表14[[#This Row],[Cost]]</f>
        <v>0.32001752720368076</v>
      </c>
      <c r="Y15" s="4150" t="s">
        <v>5640</v>
      </c>
      <c r="Z15" s="117"/>
    </row>
    <row r="16" spans="1:26" s="117" customFormat="1" ht="90">
      <c r="A16" s="117" t="s">
        <v>2847</v>
      </c>
      <c r="B16" s="4150" t="s">
        <v>6868</v>
      </c>
      <c r="C16" s="2581" t="s">
        <v>28</v>
      </c>
      <c r="D16" s="822">
        <v>45354</v>
      </c>
      <c r="E16" s="889">
        <v>45360</v>
      </c>
      <c r="F16" s="117" t="s">
        <v>93</v>
      </c>
      <c r="G16" s="117" t="s">
        <v>5557</v>
      </c>
      <c r="H16" s="822">
        <v>45367</v>
      </c>
      <c r="I16" s="117" t="s">
        <v>1677</v>
      </c>
      <c r="J16" s="117" t="s">
        <v>322</v>
      </c>
      <c r="K16" s="117" t="s">
        <v>6865</v>
      </c>
      <c r="L16" s="765">
        <v>3949272</v>
      </c>
      <c r="M16" s="822">
        <v>45362</v>
      </c>
      <c r="N16" s="822">
        <v>45362</v>
      </c>
      <c r="O16" s="839">
        <v>45369</v>
      </c>
      <c r="P16" s="4104" t="s">
        <v>6869</v>
      </c>
      <c r="Q16" s="117" t="s">
        <v>75</v>
      </c>
      <c r="R16" s="4150" t="s">
        <v>6870</v>
      </c>
      <c r="T16" s="1437">
        <v>2078.75</v>
      </c>
      <c r="U16" s="117">
        <v>1478.05</v>
      </c>
      <c r="V16" s="117">
        <v>1</v>
      </c>
      <c r="W16" s="117">
        <f>表14[[#This Row],[Sales Amount]]-表14[[#This Row],[Cost]]</f>
        <v>600.70000000000005</v>
      </c>
      <c r="X16" s="1661">
        <f>表14[[#This Row],[Profit]]/表14[[#This Row],[Cost]]</f>
        <v>0.40641385609417818</v>
      </c>
      <c r="Y16" s="4150" t="s">
        <v>5640</v>
      </c>
    </row>
    <row r="17" spans="1:26" s="117" customFormat="1">
      <c r="A17" s="4149" t="s">
        <v>1035</v>
      </c>
      <c r="B17" s="2571" t="s">
        <v>6871</v>
      </c>
      <c r="C17" s="4336" t="s">
        <v>28</v>
      </c>
      <c r="D17" s="4171">
        <v>45353</v>
      </c>
      <c r="E17" s="1668">
        <v>45360</v>
      </c>
      <c r="F17" s="4161" t="s">
        <v>151</v>
      </c>
      <c r="G17" s="4161" t="s">
        <v>46</v>
      </c>
      <c r="H17" s="4161" t="s">
        <v>1038</v>
      </c>
      <c r="I17" s="4161"/>
      <c r="J17" s="4161" t="s">
        <v>32</v>
      </c>
      <c r="K17" s="4161" t="s">
        <v>162</v>
      </c>
      <c r="L17" s="915" t="s">
        <v>6872</v>
      </c>
      <c r="M17" s="1414">
        <v>45362</v>
      </c>
      <c r="N17" s="1640">
        <v>45363</v>
      </c>
      <c r="O17" s="4171">
        <v>45364</v>
      </c>
      <c r="P17" s="4177" t="s">
        <v>6873</v>
      </c>
      <c r="Q17" s="58" t="s">
        <v>35</v>
      </c>
      <c r="R17" s="58" t="s">
        <v>36</v>
      </c>
      <c r="S17" s="58" t="s">
        <v>1320</v>
      </c>
      <c r="T17"/>
      <c r="U17"/>
      <c r="V17"/>
      <c r="W17">
        <f>表12[[#This Row],[Sales Amount]]-表12[[#This Row],[Cost]]</f>
        <v>0</v>
      </c>
      <c r="X17" s="2433">
        <f>IFERROR(Table6[[#This Row],[Profit]]/Table6[[#This Row],[Cost]]," ")</f>
        <v>0.22141997593261131</v>
      </c>
      <c r="Y17"/>
      <c r="Z17"/>
    </row>
    <row r="18" spans="1:26" s="117" customFormat="1">
      <c r="A18" s="58" t="s">
        <v>1035</v>
      </c>
      <c r="B18" s="2571" t="s">
        <v>6874</v>
      </c>
      <c r="C18" s="2569" t="s">
        <v>28</v>
      </c>
      <c r="D18" s="1607">
        <v>45353</v>
      </c>
      <c r="E18" s="2396">
        <v>45360</v>
      </c>
      <c r="F18" s="1" t="s">
        <v>151</v>
      </c>
      <c r="G18" s="1" t="s">
        <v>46</v>
      </c>
      <c r="H18" s="4161" t="s">
        <v>1038</v>
      </c>
      <c r="I18" s="4161"/>
      <c r="J18" s="4161" t="s">
        <v>32</v>
      </c>
      <c r="K18" s="4161" t="s">
        <v>162</v>
      </c>
      <c r="L18" s="915" t="s">
        <v>6875</v>
      </c>
      <c r="M18" s="1640">
        <v>45363</v>
      </c>
      <c r="N18" s="1640">
        <v>45363</v>
      </c>
      <c r="O18" s="1607">
        <v>45369</v>
      </c>
      <c r="P18" s="650" t="s">
        <v>6873</v>
      </c>
      <c r="Q18" s="58" t="s">
        <v>35</v>
      </c>
      <c r="R18" s="58" t="s">
        <v>36</v>
      </c>
      <c r="S18" s="58" t="s">
        <v>1320</v>
      </c>
      <c r="T18"/>
      <c r="U18"/>
      <c r="V18"/>
      <c r="W18">
        <f>表12[[#This Row],[Sales Amount]]-表12[[#This Row],[Cost]]</f>
        <v>187.20000000000005</v>
      </c>
      <c r="X18" s="2433">
        <f>IFERROR(Table6[[#This Row],[Profit]]/Table6[[#This Row],[Cost]]," ")</f>
        <v>0.3162118780096308</v>
      </c>
      <c r="Y18"/>
      <c r="Z18"/>
    </row>
    <row r="19" spans="1:26" s="709" customFormat="1">
      <c r="A19" s="4222" t="s">
        <v>409</v>
      </c>
      <c r="B19" s="4335" t="s">
        <v>6876</v>
      </c>
      <c r="C19" s="4335" t="s">
        <v>28</v>
      </c>
      <c r="D19" s="2382">
        <v>45347</v>
      </c>
      <c r="E19" s="1631">
        <v>45360</v>
      </c>
      <c r="F19" s="4222" t="s">
        <v>151</v>
      </c>
      <c r="G19" s="4222" t="s">
        <v>46</v>
      </c>
      <c r="H19" s="1416"/>
      <c r="I19" s="1350"/>
      <c r="J19" s="2473" t="s">
        <v>32</v>
      </c>
      <c r="K19" s="4222" t="s">
        <v>47</v>
      </c>
      <c r="L19" s="58" t="s">
        <v>6877</v>
      </c>
      <c r="M19" s="1416">
        <v>45363</v>
      </c>
      <c r="N19" s="1416">
        <v>45363</v>
      </c>
      <c r="O19" s="1416">
        <v>45365</v>
      </c>
      <c r="P19" s="4222" t="s">
        <v>6878</v>
      </c>
      <c r="Q19" s="4222" t="s">
        <v>6852</v>
      </c>
      <c r="R19" s="1350" t="s">
        <v>6879</v>
      </c>
      <c r="S19" s="1350"/>
      <c r="T19" s="1350"/>
      <c r="U19" s="1350"/>
      <c r="V19" s="1350"/>
      <c r="W19" s="1350">
        <f>表12[[#This Row],[Sales Amount]]-表12[[#This Row],[Cost]]</f>
        <v>140</v>
      </c>
      <c r="X19" s="2437">
        <f>IFERROR(Table6[[#This Row],[Profit]]/Table6[[#This Row],[Cost]]," ")</f>
        <v>0.23786407766990292</v>
      </c>
      <c r="Y19" s="1350"/>
      <c r="Z19" s="1350"/>
    </row>
    <row r="20" spans="1:26" s="650" customFormat="1">
      <c r="A20" s="58" t="s">
        <v>6848</v>
      </c>
      <c r="B20" s="2571" t="s">
        <v>6880</v>
      </c>
      <c r="C20" s="2566" t="s">
        <v>28</v>
      </c>
      <c r="D20" s="1139">
        <v>45347</v>
      </c>
      <c r="E20" s="1631">
        <v>45361</v>
      </c>
      <c r="F20" s="1" t="s">
        <v>86</v>
      </c>
      <c r="G20" s="58" t="s">
        <v>46</v>
      </c>
      <c r="H20" s="2451"/>
      <c r="I20" s="2451"/>
      <c r="J20" s="1714" t="s">
        <v>32</v>
      </c>
      <c r="K20" s="1" t="s">
        <v>47</v>
      </c>
      <c r="L20" s="1346" t="s">
        <v>6881</v>
      </c>
      <c r="M20" s="912">
        <v>45363</v>
      </c>
      <c r="N20" s="912">
        <v>45364</v>
      </c>
      <c r="O20" s="912">
        <v>45366</v>
      </c>
      <c r="P20" s="709" t="s">
        <v>6882</v>
      </c>
      <c r="Q20" s="709" t="s">
        <v>6852</v>
      </c>
      <c r="R20" s="709" t="s">
        <v>6532</v>
      </c>
      <c r="S20" s="709"/>
      <c r="T20" s="709"/>
      <c r="U20" s="709"/>
      <c r="V20" s="709"/>
      <c r="W20" s="709">
        <f>表12[[#This Row],[Sales Amount]]-表12[[#This Row],[Cost]]</f>
        <v>0</v>
      </c>
      <c r="X20" s="2436">
        <f>IFERROR(Table6[[#This Row],[Profit]]/Table6[[#This Row],[Cost]]," ")</f>
        <v>0.22713414634146342</v>
      </c>
      <c r="Y20" s="709"/>
      <c r="Z20" s="709"/>
    </row>
    <row r="21" spans="1:26" s="650" customFormat="1">
      <c r="A21" s="709" t="s">
        <v>3343</v>
      </c>
      <c r="B21" s="4335" t="s">
        <v>6883</v>
      </c>
      <c r="C21" s="2566" t="s">
        <v>28</v>
      </c>
      <c r="D21" s="1194">
        <v>45350</v>
      </c>
      <c r="E21" s="1631">
        <v>45362</v>
      </c>
      <c r="F21" s="709" t="s">
        <v>86</v>
      </c>
      <c r="G21" s="709" t="s">
        <v>46</v>
      </c>
      <c r="H21" s="1350"/>
      <c r="I21" s="1350"/>
      <c r="J21" s="2348" t="s">
        <v>32</v>
      </c>
      <c r="K21" s="709" t="s">
        <v>47</v>
      </c>
      <c r="L21" s="1346" t="s">
        <v>6884</v>
      </c>
      <c r="M21" s="2412">
        <v>45364</v>
      </c>
      <c r="N21" s="2412">
        <v>45364</v>
      </c>
      <c r="O21" s="2412">
        <v>45366</v>
      </c>
      <c r="P21" s="650" t="s">
        <v>6885</v>
      </c>
      <c r="Q21" s="650" t="s">
        <v>50</v>
      </c>
      <c r="R21" s="650" t="s">
        <v>6886</v>
      </c>
      <c r="W21" s="650">
        <f>表12[[#This Row],[Sales Amount]]-表12[[#This Row],[Cost]]</f>
        <v>0</v>
      </c>
      <c r="X21" s="2434">
        <f>IFERROR(Table6[[#This Row],[Profit]]/Table6[[#This Row],[Cost]]," ")</f>
        <v>0.22713414634146342</v>
      </c>
    </row>
    <row r="22" spans="1:26" s="650" customFormat="1">
      <c r="A22" s="709" t="s">
        <v>3343</v>
      </c>
      <c r="B22" s="4335" t="s">
        <v>6887</v>
      </c>
      <c r="C22" s="2566" t="s">
        <v>28</v>
      </c>
      <c r="D22" s="1194">
        <v>45353</v>
      </c>
      <c r="E22" s="1668">
        <v>45362</v>
      </c>
      <c r="F22" s="707" t="s">
        <v>86</v>
      </c>
      <c r="G22" s="709" t="s">
        <v>46</v>
      </c>
      <c r="J22" s="1651" t="s">
        <v>32</v>
      </c>
      <c r="K22" s="707" t="s">
        <v>47</v>
      </c>
      <c r="L22" s="1346" t="s">
        <v>6888</v>
      </c>
      <c r="M22" s="2412">
        <v>45365</v>
      </c>
      <c r="N22" s="2412">
        <v>45364</v>
      </c>
      <c r="O22" s="2412">
        <v>45366</v>
      </c>
      <c r="P22" s="650" t="s">
        <v>6889</v>
      </c>
      <c r="Q22" s="650" t="s">
        <v>50</v>
      </c>
      <c r="R22" s="650" t="s">
        <v>6890</v>
      </c>
      <c r="W22" s="650">
        <f>表12[[#This Row],[Sales Amount]]-表12[[#This Row],[Cost]]</f>
        <v>0</v>
      </c>
      <c r="X22" s="2434">
        <f>IFERROR(Table6[[#This Row],[Profit]]/Table6[[#This Row],[Cost]]," ")</f>
        <v>0.13005780346820808</v>
      </c>
    </row>
    <row r="23" spans="1:26" s="650" customFormat="1">
      <c r="A23" s="4149" t="s">
        <v>1035</v>
      </c>
      <c r="B23" s="2571" t="s">
        <v>6891</v>
      </c>
      <c r="C23" s="4336" t="s">
        <v>28</v>
      </c>
      <c r="D23" s="4171">
        <v>45353</v>
      </c>
      <c r="E23" s="1668">
        <v>45362</v>
      </c>
      <c r="F23" s="4161" t="s">
        <v>151</v>
      </c>
      <c r="G23" s="4161" t="s">
        <v>46</v>
      </c>
      <c r="H23" s="4161" t="s">
        <v>1038</v>
      </c>
      <c r="I23" s="4161"/>
      <c r="J23" s="4161" t="s">
        <v>32</v>
      </c>
      <c r="K23" s="4161" t="s">
        <v>162</v>
      </c>
      <c r="L23" s="1589" t="s">
        <v>6892</v>
      </c>
      <c r="M23" s="1603">
        <v>45364</v>
      </c>
      <c r="N23" s="1640">
        <v>45363</v>
      </c>
      <c r="O23" s="4171">
        <v>45364</v>
      </c>
      <c r="P23" s="4177" t="s">
        <v>6893</v>
      </c>
      <c r="Q23" s="58" t="s">
        <v>35</v>
      </c>
      <c r="R23" s="58" t="s">
        <v>36</v>
      </c>
      <c r="S23" s="58" t="s">
        <v>1320</v>
      </c>
      <c r="T23"/>
      <c r="U23"/>
      <c r="V23"/>
      <c r="W23">
        <f>表12[[#This Row],[Sales Amount]]-表12[[#This Row],[Cost]]</f>
        <v>3300</v>
      </c>
      <c r="X23" s="2433">
        <f>IFERROR(Table6[[#This Row],[Profit]]/Table6[[#This Row],[Cost]]," ")</f>
        <v>0.25338753387533874</v>
      </c>
      <c r="Y23"/>
      <c r="Z23"/>
    </row>
    <row r="24" spans="1:26" customFormat="1">
      <c r="A24" s="1350" t="s">
        <v>409</v>
      </c>
      <c r="B24" s="4335" t="s">
        <v>6894</v>
      </c>
      <c r="C24" s="2566" t="s">
        <v>28</v>
      </c>
      <c r="D24" s="1194">
        <v>45353</v>
      </c>
      <c r="E24" s="1668">
        <v>45362</v>
      </c>
      <c r="F24" s="707" t="s">
        <v>151</v>
      </c>
      <c r="G24" s="709" t="s">
        <v>46</v>
      </c>
      <c r="H24" s="650"/>
      <c r="I24" s="650"/>
      <c r="J24" s="1651" t="s">
        <v>32</v>
      </c>
      <c r="K24" s="707" t="s">
        <v>47</v>
      </c>
      <c r="L24" s="1346" t="s">
        <v>6895</v>
      </c>
      <c r="M24" s="2412">
        <v>45365</v>
      </c>
      <c r="N24" s="2412">
        <v>45364</v>
      </c>
      <c r="O24" s="2412">
        <v>45365</v>
      </c>
      <c r="P24" s="650" t="s">
        <v>6896</v>
      </c>
      <c r="Q24" s="650" t="s">
        <v>50</v>
      </c>
      <c r="R24" s="650" t="s">
        <v>6897</v>
      </c>
      <c r="S24" s="650"/>
      <c r="T24" s="650"/>
      <c r="U24" s="650"/>
      <c r="V24" s="650"/>
      <c r="W24" s="650"/>
      <c r="X24" s="2434">
        <f>IFERROR(Table6[[#This Row],[Profit]]/Table6[[#This Row],[Cost]]," ")</f>
        <v>0.28693994280266921</v>
      </c>
      <c r="Y24" s="650"/>
      <c r="Z24" s="650"/>
    </row>
    <row r="25" spans="1:26" customFormat="1">
      <c r="A25" s="1350" t="s">
        <v>409</v>
      </c>
      <c r="B25" s="2572" t="s">
        <v>6898</v>
      </c>
      <c r="C25" s="2566" t="s">
        <v>28</v>
      </c>
      <c r="D25" s="1194">
        <v>45353</v>
      </c>
      <c r="E25" s="1668">
        <v>45362</v>
      </c>
      <c r="F25" s="707" t="s">
        <v>151</v>
      </c>
      <c r="G25" s="709" t="s">
        <v>46</v>
      </c>
      <c r="H25" s="650"/>
      <c r="I25" s="650"/>
      <c r="J25" s="1651" t="s">
        <v>32</v>
      </c>
      <c r="K25" s="707" t="s">
        <v>47</v>
      </c>
      <c r="L25" s="1346" t="s">
        <v>6899</v>
      </c>
      <c r="M25" s="2412">
        <v>45365</v>
      </c>
      <c r="N25" s="2412">
        <v>45364</v>
      </c>
      <c r="O25" s="2412">
        <v>45366</v>
      </c>
      <c r="P25" s="650" t="s">
        <v>6900</v>
      </c>
      <c r="Q25" s="650" t="s">
        <v>50</v>
      </c>
      <c r="R25" s="650" t="s">
        <v>6901</v>
      </c>
      <c r="S25" s="650"/>
      <c r="T25" s="650"/>
      <c r="U25" s="650"/>
      <c r="V25" s="650"/>
      <c r="W25" s="650">
        <f>表12[[#This Row],[Sales Amount]]-表12[[#This Row],[Cost]]</f>
        <v>285</v>
      </c>
      <c r="X25" s="2434">
        <f>IFERROR(Table6[[#This Row],[Profit]]/Table6[[#This Row],[Cost]]," ")</f>
        <v>0.47124628798459595</v>
      </c>
      <c r="Y25" s="650"/>
      <c r="Z25" s="650"/>
    </row>
    <row r="26" spans="1:26" s="650" customFormat="1">
      <c r="A26" s="3527" t="s">
        <v>4277</v>
      </c>
      <c r="B26" s="4333" t="s">
        <v>6902</v>
      </c>
      <c r="C26" s="2566" t="s">
        <v>28</v>
      </c>
      <c r="D26" s="3526">
        <v>45360</v>
      </c>
      <c r="E26" s="1631">
        <v>45362</v>
      </c>
      <c r="F26" s="3246" t="s">
        <v>1788</v>
      </c>
      <c r="G26" s="3246" t="s">
        <v>46</v>
      </c>
      <c r="H26" s="3647"/>
      <c r="I26" s="3647"/>
      <c r="J26" s="3434" t="s">
        <v>4896</v>
      </c>
      <c r="K26" s="709" t="s">
        <v>47</v>
      </c>
      <c r="L26" s="1346" t="s">
        <v>6903</v>
      </c>
      <c r="M26" s="3648">
        <v>45364</v>
      </c>
      <c r="N26" s="3648">
        <v>45364</v>
      </c>
      <c r="O26" s="2465">
        <v>45367</v>
      </c>
      <c r="P26" s="3348" t="s">
        <v>6904</v>
      </c>
      <c r="Q26" s="3348" t="s">
        <v>6852</v>
      </c>
      <c r="R26" s="650" t="s">
        <v>6905</v>
      </c>
      <c r="W26" s="650">
        <f>表12[[#This Row],[Sales Amount]]-表12[[#This Row],[Cost]]</f>
        <v>258.5</v>
      </c>
      <c r="X26" s="2434">
        <f>IFERROR(Table6[[#This Row],[Profit]]/Table6[[#This Row],[Cost]]," ")</f>
        <v>0.72963400236127507</v>
      </c>
    </row>
    <row r="27" spans="1:26" s="650" customFormat="1">
      <c r="A27" s="58" t="s">
        <v>710</v>
      </c>
      <c r="B27" s="4335" t="s">
        <v>6906</v>
      </c>
      <c r="C27" s="2566" t="s">
        <v>28</v>
      </c>
      <c r="D27" s="1139">
        <v>45345</v>
      </c>
      <c r="E27" s="1631">
        <v>45363</v>
      </c>
      <c r="F27" s="58" t="s">
        <v>285</v>
      </c>
      <c r="G27" s="58" t="s">
        <v>30</v>
      </c>
      <c r="H27" s="1414">
        <v>45365</v>
      </c>
      <c r="I27" s="1589" t="s">
        <v>115</v>
      </c>
      <c r="J27" s="58" t="s">
        <v>1353</v>
      </c>
      <c r="K27" s="4839" t="s">
        <v>6907</v>
      </c>
      <c r="L27" s="915">
        <v>172325</v>
      </c>
      <c r="M27" s="1414">
        <v>45366</v>
      </c>
      <c r="N27" s="1414">
        <v>45365</v>
      </c>
      <c r="O27" s="1414">
        <v>45369</v>
      </c>
      <c r="P27" s="650" t="s">
        <v>6908</v>
      </c>
      <c r="Q27" s="58" t="s">
        <v>35</v>
      </c>
      <c r="R27" s="1" t="s">
        <v>36</v>
      </c>
      <c r="S27" s="58" t="s">
        <v>3398</v>
      </c>
      <c r="T27">
        <v>2740</v>
      </c>
      <c r="U27">
        <v>1432.8</v>
      </c>
      <c r="V27">
        <v>2</v>
      </c>
      <c r="W27">
        <f>表12[[#This Row],[Sales Amount]]-表12[[#This Row],[Cost]]</f>
        <v>3445</v>
      </c>
      <c r="X27" s="2433">
        <f>IFERROR(Table6[[#This Row],[Profit]]/Table6[[#This Row],[Cost]]," ")</f>
        <v>0.26168224299065418</v>
      </c>
      <c r="Y27"/>
      <c r="Z27"/>
    </row>
    <row r="28" spans="1:26" customFormat="1">
      <c r="A28" s="1350" t="s">
        <v>409</v>
      </c>
      <c r="B28" s="4335" t="s">
        <v>6909</v>
      </c>
      <c r="C28" s="4335" t="s">
        <v>28</v>
      </c>
      <c r="D28" s="1194">
        <v>45351</v>
      </c>
      <c r="E28" s="1668">
        <v>45363</v>
      </c>
      <c r="F28" s="4238" t="s">
        <v>2225</v>
      </c>
      <c r="G28" s="4238" t="s">
        <v>1350</v>
      </c>
      <c r="H28" s="650"/>
      <c r="I28" s="650"/>
      <c r="J28" s="2383" t="s">
        <v>32</v>
      </c>
      <c r="K28" s="4238" t="s">
        <v>47</v>
      </c>
      <c r="L28" s="1346">
        <v>3794245</v>
      </c>
      <c r="M28" s="2412">
        <v>45365</v>
      </c>
      <c r="N28" s="2412">
        <v>45365</v>
      </c>
      <c r="O28" s="2412">
        <v>45366</v>
      </c>
      <c r="P28" s="4177" t="s">
        <v>6910</v>
      </c>
      <c r="Q28" s="5265" t="s">
        <v>89</v>
      </c>
      <c r="R28" s="2429" t="s">
        <v>6911</v>
      </c>
      <c r="S28" s="1161"/>
      <c r="T28" s="650"/>
      <c r="U28" s="650"/>
      <c r="V28" s="650"/>
      <c r="W28" s="650">
        <f>表12[[#This Row],[Sales Amount]]-表12[[#This Row],[Cost]]</f>
        <v>171</v>
      </c>
      <c r="X28" s="2434">
        <f>IFERROR(Table6[[#This Row],[Profit]]/Table6[[#This Row],[Cost]]," ")</f>
        <v>0.25899280575539568</v>
      </c>
      <c r="Y28" s="650"/>
      <c r="Z28" s="650"/>
    </row>
    <row r="29" spans="1:26" customFormat="1">
      <c r="A29" s="1350" t="s">
        <v>409</v>
      </c>
      <c r="B29" s="4335" t="s">
        <v>6912</v>
      </c>
      <c r="C29" s="4335" t="s">
        <v>28</v>
      </c>
      <c r="D29" s="1194">
        <v>45351</v>
      </c>
      <c r="E29" s="1668">
        <v>45363</v>
      </c>
      <c r="F29" s="4238" t="s">
        <v>2225</v>
      </c>
      <c r="G29" s="4238" t="s">
        <v>1350</v>
      </c>
      <c r="H29" s="650"/>
      <c r="I29" s="650"/>
      <c r="J29" s="2383" t="s">
        <v>32</v>
      </c>
      <c r="K29" s="4238" t="s">
        <v>47</v>
      </c>
      <c r="L29" s="1346">
        <v>3794318</v>
      </c>
      <c r="M29" s="2412">
        <v>45365</v>
      </c>
      <c r="N29" s="2412">
        <v>45363</v>
      </c>
      <c r="O29" s="2412">
        <v>45364</v>
      </c>
      <c r="P29" s="4177" t="s">
        <v>6913</v>
      </c>
      <c r="Q29" s="5265" t="s">
        <v>89</v>
      </c>
      <c r="R29" s="2429" t="s">
        <v>6914</v>
      </c>
      <c r="S29" s="1161"/>
      <c r="T29" s="650"/>
      <c r="U29" s="650"/>
      <c r="V29" s="650"/>
      <c r="W29" s="650">
        <f>表12[[#This Row],[Sales Amount]]-表12[[#This Row],[Cost]]</f>
        <v>0</v>
      </c>
      <c r="X29" s="2434">
        <f>IFERROR(Table6[[#This Row],[Profit]]/Table6[[#This Row],[Cost]]," ")</f>
        <v>0.47747602870524847</v>
      </c>
      <c r="Y29" s="650"/>
      <c r="Z29" s="650"/>
    </row>
    <row r="30" spans="1:26" customFormat="1">
      <c r="A30" s="4599" t="s">
        <v>2966</v>
      </c>
      <c r="B30" s="4335" t="s">
        <v>6915</v>
      </c>
      <c r="C30" s="2566" t="s">
        <v>28</v>
      </c>
      <c r="D30" s="1139">
        <v>45350</v>
      </c>
      <c r="E30" s="1631">
        <v>45364</v>
      </c>
      <c r="F30" s="58" t="s">
        <v>151</v>
      </c>
      <c r="G30" s="58" t="s">
        <v>46</v>
      </c>
      <c r="H30" s="2263" t="s">
        <v>1038</v>
      </c>
      <c r="I30" s="58"/>
      <c r="J30" s="58" t="s">
        <v>382</v>
      </c>
      <c r="K30" s="58" t="s">
        <v>382</v>
      </c>
      <c r="L30" s="915" t="s">
        <v>6916</v>
      </c>
      <c r="M30" s="1414">
        <v>45366</v>
      </c>
      <c r="N30" s="1414">
        <v>45365</v>
      </c>
      <c r="O30" s="1139">
        <v>45367</v>
      </c>
      <c r="P30" s="650" t="s">
        <v>6917</v>
      </c>
      <c r="Q30" s="4839" t="s">
        <v>35</v>
      </c>
      <c r="R30" s="1432" t="s">
        <v>36</v>
      </c>
      <c r="S30" s="18" t="s">
        <v>3064</v>
      </c>
      <c r="W30">
        <f>表12[[#This Row],[Sales Amount]]-表12[[#This Row],[Cost]]</f>
        <v>0</v>
      </c>
      <c r="X30" s="2433">
        <f>IFERROR(Table6[[#This Row],[Profit]]/Table6[[#This Row],[Cost]]," ")</f>
        <v>0.16170150240605363</v>
      </c>
    </row>
    <row r="31" spans="1:26" customFormat="1">
      <c r="A31" s="4599" t="s">
        <v>329</v>
      </c>
      <c r="B31" s="2571" t="s">
        <v>6918</v>
      </c>
      <c r="C31" s="4336" t="s">
        <v>28</v>
      </c>
      <c r="D31" s="1607">
        <v>45343</v>
      </c>
      <c r="E31" s="1668">
        <v>45364</v>
      </c>
      <c r="F31" s="58" t="s">
        <v>285</v>
      </c>
      <c r="G31" s="1" t="s">
        <v>30</v>
      </c>
      <c r="H31" s="1414">
        <v>45366</v>
      </c>
      <c r="I31" s="915" t="s">
        <v>115</v>
      </c>
      <c r="J31" s="58" t="s">
        <v>1353</v>
      </c>
      <c r="K31" s="58" t="s">
        <v>331</v>
      </c>
      <c r="L31" s="915">
        <v>319205</v>
      </c>
      <c r="M31" s="1414">
        <v>45367</v>
      </c>
      <c r="N31" s="1603">
        <v>45366</v>
      </c>
      <c r="O31" s="1603">
        <v>45366</v>
      </c>
      <c r="P31" s="650" t="s">
        <v>6919</v>
      </c>
      <c r="Q31" s="4870" t="s">
        <v>35</v>
      </c>
      <c r="R31" s="2454" t="s">
        <v>36</v>
      </c>
      <c r="S31" s="1062" t="s">
        <v>37</v>
      </c>
      <c r="T31">
        <v>3655</v>
      </c>
      <c r="U31">
        <v>3030</v>
      </c>
      <c r="V31">
        <v>3</v>
      </c>
      <c r="W31">
        <f>表12[[#This Row],[Sales Amount]]-表12[[#This Row],[Cost]]</f>
        <v>0</v>
      </c>
      <c r="X31" s="2433">
        <f>IFERROR(Table6[[#This Row],[Profit]]/Table6[[#This Row],[Cost]]," ")</f>
        <v>0.24463519313304721</v>
      </c>
    </row>
    <row r="32" spans="1:26" s="650" customFormat="1">
      <c r="A32" s="4599" t="s">
        <v>2966</v>
      </c>
      <c r="B32" s="4335" t="s">
        <v>6920</v>
      </c>
      <c r="C32" s="2566" t="s">
        <v>28</v>
      </c>
      <c r="D32" s="1139">
        <v>45342</v>
      </c>
      <c r="E32" s="1631">
        <v>45365</v>
      </c>
      <c r="F32" s="58" t="s">
        <v>151</v>
      </c>
      <c r="G32" s="58" t="s">
        <v>152</v>
      </c>
      <c r="H32" s="4149" t="s">
        <v>1038</v>
      </c>
      <c r="J32" s="58" t="s">
        <v>382</v>
      </c>
      <c r="K32" s="58" t="s">
        <v>382</v>
      </c>
      <c r="L32" s="1589">
        <v>1861</v>
      </c>
      <c r="M32" s="1603">
        <v>45366</v>
      </c>
      <c r="N32" s="1603">
        <v>45366</v>
      </c>
      <c r="O32" s="1607">
        <v>45372</v>
      </c>
      <c r="P32" s="650" t="s">
        <v>6921</v>
      </c>
      <c r="Q32" s="4839" t="s">
        <v>35</v>
      </c>
      <c r="R32" s="2454" t="s">
        <v>36</v>
      </c>
      <c r="S32" s="18" t="s">
        <v>3064</v>
      </c>
      <c r="T32">
        <v>35</v>
      </c>
      <c r="U32"/>
      <c r="V32"/>
      <c r="W32">
        <f>表12[[#This Row],[Sales Amount]]-表12[[#This Row],[Cost]]</f>
        <v>184.52999999999997</v>
      </c>
      <c r="X32" s="2433">
        <f>IFERROR(Table6[[#This Row],[Profit]]/Table6[[#This Row],[Cost]]," ")</f>
        <v>0.25899280575539568</v>
      </c>
      <c r="Y32"/>
      <c r="Z32"/>
    </row>
    <row r="33" spans="1:26" s="650" customFormat="1">
      <c r="A33" s="4599" t="s">
        <v>2966</v>
      </c>
      <c r="B33" s="4335" t="s">
        <v>6922</v>
      </c>
      <c r="C33" s="2566" t="s">
        <v>28</v>
      </c>
      <c r="D33" s="1139">
        <v>45342</v>
      </c>
      <c r="E33" s="1631">
        <v>45365</v>
      </c>
      <c r="F33" s="58" t="s">
        <v>151</v>
      </c>
      <c r="G33" s="58" t="s">
        <v>152</v>
      </c>
      <c r="H33" s="4149" t="s">
        <v>1038</v>
      </c>
      <c r="J33" s="58" t="s">
        <v>382</v>
      </c>
      <c r="K33" s="58" t="s">
        <v>382</v>
      </c>
      <c r="L33" s="1589">
        <v>6833</v>
      </c>
      <c r="M33" s="1603">
        <v>45366</v>
      </c>
      <c r="N33" s="1603">
        <v>45366</v>
      </c>
      <c r="O33" s="1607">
        <v>45376</v>
      </c>
      <c r="P33" s="650" t="s">
        <v>6921</v>
      </c>
      <c r="Q33" s="4839" t="s">
        <v>35</v>
      </c>
      <c r="R33" s="2454" t="s">
        <v>36</v>
      </c>
      <c r="S33" s="18" t="s">
        <v>3064</v>
      </c>
      <c r="T33">
        <v>35</v>
      </c>
      <c r="U33"/>
      <c r="V33"/>
      <c r="W33">
        <f>表12[[#This Row],[Sales Amount]]-表12[[#This Row],[Cost]]</f>
        <v>0</v>
      </c>
      <c r="X33" s="2433">
        <f>IFERROR(Table6[[#This Row],[Profit]]/Table6[[#This Row],[Cost]]," ")</f>
        <v>0.6731517509727627</v>
      </c>
      <c r="Y33"/>
      <c r="Z33"/>
    </row>
    <row r="34" spans="1:26" s="650" customFormat="1">
      <c r="A34" s="1350" t="s">
        <v>409</v>
      </c>
      <c r="B34" s="4335" t="s">
        <v>6923</v>
      </c>
      <c r="C34" s="2566" t="s">
        <v>28</v>
      </c>
      <c r="D34" s="1194">
        <v>45352</v>
      </c>
      <c r="E34" s="2396">
        <v>45365</v>
      </c>
      <c r="F34" s="709" t="s">
        <v>93</v>
      </c>
      <c r="G34" s="709" t="s">
        <v>46</v>
      </c>
      <c r="H34" s="709"/>
      <c r="I34" s="709"/>
      <c r="J34" s="2348" t="s">
        <v>32</v>
      </c>
      <c r="K34" s="709" t="s">
        <v>47</v>
      </c>
      <c r="L34" s="1346" t="s">
        <v>6924</v>
      </c>
      <c r="M34" s="2394">
        <v>45367</v>
      </c>
      <c r="N34" s="1194">
        <v>45367</v>
      </c>
      <c r="O34" s="1194">
        <v>45370</v>
      </c>
      <c r="P34" s="1019" t="s">
        <v>6925</v>
      </c>
      <c r="Q34" s="4861" t="s">
        <v>89</v>
      </c>
      <c r="R34" s="2345" t="s">
        <v>6926</v>
      </c>
      <c r="S34" s="718"/>
      <c r="T34" s="709"/>
      <c r="U34" s="709"/>
      <c r="V34" s="709"/>
      <c r="W34" s="709">
        <f>表12[[#This Row],[Sales Amount]]-表12[[#This Row],[Cost]]</f>
        <v>0</v>
      </c>
      <c r="X34" s="1645">
        <f>IFERROR(Table6[[#This Row],[Profit]]/Table6[[#This Row],[Cost]]," ")</f>
        <v>0.6731517509727627</v>
      </c>
      <c r="Y34" s="709"/>
      <c r="Z34" s="709"/>
    </row>
    <row r="35" spans="1:26" s="650" customFormat="1">
      <c r="A35" s="709" t="s">
        <v>3343</v>
      </c>
      <c r="B35" s="4335" t="s">
        <v>6927</v>
      </c>
      <c r="C35" s="2566" t="s">
        <v>28</v>
      </c>
      <c r="D35" s="1194">
        <v>45354</v>
      </c>
      <c r="E35" s="1668">
        <v>45365</v>
      </c>
      <c r="F35" s="707" t="s">
        <v>86</v>
      </c>
      <c r="G35" s="709" t="s">
        <v>46</v>
      </c>
      <c r="J35" s="1651" t="s">
        <v>32</v>
      </c>
      <c r="K35" s="707" t="s">
        <v>47</v>
      </c>
      <c r="L35" s="1346" t="s">
        <v>6928</v>
      </c>
      <c r="M35" s="2412">
        <v>45367</v>
      </c>
      <c r="N35" s="2412">
        <v>45365</v>
      </c>
      <c r="O35" s="2412">
        <v>45368</v>
      </c>
      <c r="P35" s="650" t="s">
        <v>6929</v>
      </c>
      <c r="Q35" s="4913" t="s">
        <v>50</v>
      </c>
      <c r="R35" s="650" t="s">
        <v>6930</v>
      </c>
      <c r="W35" s="650">
        <f>表12[[#This Row],[Sales Amount]]-表12[[#This Row],[Cost]]</f>
        <v>452.20000000000005</v>
      </c>
      <c r="X35" s="2434" t="str">
        <f>IFERROR(Table6[[#This Row],[Profit]]/Table6[[#This Row],[Cost]]," ")</f>
        <v xml:space="preserve"> </v>
      </c>
    </row>
    <row r="36" spans="1:26" s="650" customFormat="1" ht="30">
      <c r="A36" s="4845" t="s">
        <v>263</v>
      </c>
      <c r="B36" s="4150" t="s">
        <v>6931</v>
      </c>
      <c r="C36" s="2581" t="s">
        <v>44</v>
      </c>
      <c r="D36" s="822">
        <v>45365</v>
      </c>
      <c r="E36" s="889">
        <v>45365</v>
      </c>
      <c r="F36" s="117" t="s">
        <v>135</v>
      </c>
      <c r="G36" s="117" t="s">
        <v>6295</v>
      </c>
      <c r="H36" s="839">
        <v>45371</v>
      </c>
      <c r="I36" s="4150" t="s">
        <v>108</v>
      </c>
      <c r="J36" s="117" t="s">
        <v>6296</v>
      </c>
      <c r="K36" s="117" t="s">
        <v>5799</v>
      </c>
      <c r="L36" s="25"/>
      <c r="M36" s="822">
        <v>45372</v>
      </c>
      <c r="N36" s="822">
        <v>45370</v>
      </c>
      <c r="O36" s="822">
        <v>45372</v>
      </c>
      <c r="P36" s="4104" t="s">
        <v>6932</v>
      </c>
      <c r="Q36" s="4908" t="s">
        <v>75</v>
      </c>
      <c r="R36" s="4150" t="s">
        <v>6933</v>
      </c>
      <c r="S36" s="117"/>
      <c r="T36" s="117">
        <v>2116.12</v>
      </c>
      <c r="U36" s="117">
        <f>1453.75+131.12</f>
        <v>1584.87</v>
      </c>
      <c r="V36" s="117">
        <v>1</v>
      </c>
      <c r="W36" s="117">
        <f>表14[[#This Row],[Sales Amount]]-表14[[#This Row],[Cost]]</f>
        <v>531.25</v>
      </c>
      <c r="X36" s="905">
        <f>表14[[#This Row],[Profit]]/表14[[#This Row],[Cost]]</f>
        <v>0.33520099440332646</v>
      </c>
      <c r="Y36" s="117"/>
      <c r="Z36" s="117"/>
    </row>
    <row r="37" spans="1:26" customFormat="1">
      <c r="A37" s="3357" t="s">
        <v>710</v>
      </c>
      <c r="B37" s="2571" t="s">
        <v>6934</v>
      </c>
      <c r="C37" s="2571" t="s">
        <v>28</v>
      </c>
      <c r="D37" s="1414">
        <v>45345</v>
      </c>
      <c r="E37" s="1631">
        <v>45366</v>
      </c>
      <c r="F37" s="915" t="s">
        <v>285</v>
      </c>
      <c r="G37" s="915" t="s">
        <v>30</v>
      </c>
      <c r="H37" s="1414">
        <v>45369</v>
      </c>
      <c r="I37" s="915" t="s">
        <v>178</v>
      </c>
      <c r="J37" s="915" t="s">
        <v>1353</v>
      </c>
      <c r="K37" s="915" t="s">
        <v>6907</v>
      </c>
      <c r="L37" s="915">
        <v>146449</v>
      </c>
      <c r="M37" s="1414">
        <v>45370</v>
      </c>
      <c r="N37" s="1414">
        <v>45369</v>
      </c>
      <c r="O37" s="1603">
        <v>45371</v>
      </c>
      <c r="P37" s="650" t="s">
        <v>6908</v>
      </c>
      <c r="Q37" s="4839" t="s">
        <v>35</v>
      </c>
      <c r="R37" s="1" t="s">
        <v>36</v>
      </c>
      <c r="S37" s="58" t="s">
        <v>3398</v>
      </c>
      <c r="T37">
        <v>2740</v>
      </c>
      <c r="U37">
        <v>1432.8</v>
      </c>
      <c r="V37">
        <v>2</v>
      </c>
      <c r="W37">
        <f>表12[[#This Row],[Sales Amount]]-表12[[#This Row],[Cost]]</f>
        <v>0</v>
      </c>
      <c r="X37" s="2433">
        <f>IFERROR(Table6[[#This Row],[Profit]]/Table6[[#This Row],[Cost]]," ")</f>
        <v>0.2087912087912088</v>
      </c>
    </row>
    <row r="38" spans="1:26" customFormat="1">
      <c r="A38" s="3527" t="s">
        <v>3343</v>
      </c>
      <c r="B38" s="4333" t="s">
        <v>6935</v>
      </c>
      <c r="C38" s="2566" t="s">
        <v>28</v>
      </c>
      <c r="D38" s="3526">
        <v>45354</v>
      </c>
      <c r="E38" s="1631">
        <v>45366</v>
      </c>
      <c r="F38" s="4861" t="s">
        <v>86</v>
      </c>
      <c r="G38" s="4861" t="s">
        <v>46</v>
      </c>
      <c r="H38" s="3246"/>
      <c r="I38" s="3246"/>
      <c r="J38" s="2348" t="s">
        <v>32</v>
      </c>
      <c r="K38" s="3246" t="s">
        <v>47</v>
      </c>
      <c r="L38" s="1346" t="s">
        <v>6936</v>
      </c>
      <c r="M38" s="3266">
        <v>45368</v>
      </c>
      <c r="N38" s="3266">
        <v>45367</v>
      </c>
      <c r="O38" s="3266">
        <v>45369</v>
      </c>
      <c r="P38" s="3258" t="s">
        <v>6937</v>
      </c>
      <c r="Q38" s="3258" t="s">
        <v>50</v>
      </c>
      <c r="R38" s="1644" t="s">
        <v>6938</v>
      </c>
      <c r="S38" s="713"/>
      <c r="T38" s="707"/>
      <c r="U38" s="707"/>
      <c r="V38" s="707"/>
      <c r="W38" s="707">
        <f>表12[[#This Row],[Sales Amount]]-表12[[#This Row],[Cost]]</f>
        <v>170</v>
      </c>
      <c r="X38" s="2435">
        <f>IFERROR(Table6[[#This Row],[Profit]]/Table6[[#This Row],[Cost]]," ")</f>
        <v>0.2087912087912088</v>
      </c>
      <c r="Y38" s="707"/>
      <c r="Z38" s="707"/>
    </row>
    <row r="39" spans="1:26" customFormat="1">
      <c r="A39" s="1350" t="s">
        <v>409</v>
      </c>
      <c r="B39" s="4333" t="s">
        <v>6939</v>
      </c>
      <c r="C39" s="2566" t="s">
        <v>28</v>
      </c>
      <c r="D39" s="3526">
        <v>45354</v>
      </c>
      <c r="E39" s="1631">
        <v>45366</v>
      </c>
      <c r="F39" s="4861" t="s">
        <v>2225</v>
      </c>
      <c r="G39" s="4861" t="s">
        <v>1350</v>
      </c>
      <c r="H39" s="3439"/>
      <c r="I39" s="3439"/>
      <c r="J39" s="2348" t="s">
        <v>32</v>
      </c>
      <c r="K39" s="1495" t="s">
        <v>47</v>
      </c>
      <c r="L39" s="1346">
        <v>4223236</v>
      </c>
      <c r="M39" s="3348"/>
      <c r="N39" s="3643">
        <v>45366</v>
      </c>
      <c r="O39" s="3643">
        <v>45369</v>
      </c>
      <c r="P39" s="3348" t="s">
        <v>6940</v>
      </c>
      <c r="Q39" s="3348" t="s">
        <v>50</v>
      </c>
      <c r="R39" s="2455" t="s">
        <v>6941</v>
      </c>
      <c r="S39" s="1168"/>
      <c r="T39" s="650"/>
      <c r="U39" s="650"/>
      <c r="V39" s="650"/>
      <c r="W39" s="650">
        <f>表12[[#This Row],[Sales Amount]]-表12[[#This Row],[Cost]]</f>
        <v>0</v>
      </c>
      <c r="X39" s="2434">
        <f>IFERROR(Table6[[#This Row],[Profit]]/Table6[[#This Row],[Cost]]," ")</f>
        <v>0.2087912087912088</v>
      </c>
      <c r="Y39" s="650"/>
      <c r="Z39" s="650"/>
    </row>
    <row r="40" spans="1:26" customFormat="1">
      <c r="A40" s="1350" t="s">
        <v>409</v>
      </c>
      <c r="B40" s="4333" t="s">
        <v>6942</v>
      </c>
      <c r="C40" s="2566" t="s">
        <v>28</v>
      </c>
      <c r="D40" s="3649">
        <v>45378</v>
      </c>
      <c r="E40" s="3383">
        <v>45366</v>
      </c>
      <c r="F40" s="5277" t="s">
        <v>45</v>
      </c>
      <c r="G40" s="4861" t="s">
        <v>46</v>
      </c>
      <c r="H40" s="1416"/>
      <c r="I40" s="3439"/>
      <c r="J40" s="1350" t="s">
        <v>2940</v>
      </c>
      <c r="K40" s="3246" t="s">
        <v>47</v>
      </c>
      <c r="L40" s="3275" t="s">
        <v>6943</v>
      </c>
      <c r="M40" s="3650" t="s">
        <v>738</v>
      </c>
      <c r="N40" s="1416">
        <v>45366</v>
      </c>
      <c r="O40" s="1416">
        <v>45372</v>
      </c>
      <c r="P40" s="3439" t="s">
        <v>6944</v>
      </c>
      <c r="Q40" s="3439" t="s">
        <v>50</v>
      </c>
      <c r="R40" s="2456" t="s">
        <v>6945</v>
      </c>
      <c r="S40" s="1372"/>
      <c r="T40" s="2427"/>
      <c r="U40" s="2427"/>
      <c r="V40" s="1350"/>
      <c r="W40" s="2428">
        <f>表12[[#This Row],[Sales Amount]]-表12[[#This Row],[Cost]]</f>
        <v>0</v>
      </c>
      <c r="X40" s="2437" t="str">
        <f>IFERROR(Table6[[#This Row],[Profit]]/Table6[[#This Row],[Cost]]," ")</f>
        <v xml:space="preserve"> </v>
      </c>
      <c r="Y40" s="1350"/>
      <c r="Z40" s="1350"/>
    </row>
    <row r="41" spans="1:26">
      <c r="A41" s="3417" t="s">
        <v>263</v>
      </c>
      <c r="B41" s="4338" t="s">
        <v>6946</v>
      </c>
      <c r="C41" s="2581" t="s">
        <v>44</v>
      </c>
      <c r="D41" s="822">
        <v>45367</v>
      </c>
      <c r="E41" s="889">
        <v>45367</v>
      </c>
      <c r="F41" s="4845" t="s">
        <v>63</v>
      </c>
      <c r="G41" s="117" t="s">
        <v>2194</v>
      </c>
      <c r="H41" s="839">
        <v>45373</v>
      </c>
      <c r="I41" s="4242" t="s">
        <v>6947</v>
      </c>
      <c r="J41" s="117" t="s">
        <v>859</v>
      </c>
      <c r="K41" s="117" t="s">
        <v>3825</v>
      </c>
      <c r="L41" s="3265"/>
      <c r="M41" s="822">
        <v>45372</v>
      </c>
      <c r="N41" s="822">
        <v>45372</v>
      </c>
      <c r="O41" s="925">
        <v>45373</v>
      </c>
      <c r="P41" s="4150" t="s">
        <v>6948</v>
      </c>
      <c r="Q41" s="4242" t="s">
        <v>75</v>
      </c>
      <c r="R41" s="4163" t="s">
        <v>6949</v>
      </c>
      <c r="S41" s="4908"/>
      <c r="T41" s="4243">
        <v>1625.41</v>
      </c>
      <c r="U41" s="117">
        <f>150.52+945+71.14+20</f>
        <v>1186.6600000000001</v>
      </c>
      <c r="V41" s="117">
        <v>1</v>
      </c>
      <c r="W41" s="1437">
        <f>表14[[#This Row],[Sales Amount]]-表14[[#This Row],[Cost]]</f>
        <v>438.75</v>
      </c>
      <c r="X41" s="905">
        <f>IFERROR(Table6[[#This Row],[Profit]]/Table6[[#This Row],[Cost]]," ")</f>
        <v>-1</v>
      </c>
      <c r="Y41" s="117"/>
      <c r="Z41" s="117"/>
    </row>
    <row r="42" spans="1:26" s="117" customFormat="1">
      <c r="A42" s="3417" t="s">
        <v>263</v>
      </c>
      <c r="B42" s="4337" t="s">
        <v>6950</v>
      </c>
      <c r="C42" s="2581" t="s">
        <v>44</v>
      </c>
      <c r="D42" s="822">
        <v>45367</v>
      </c>
      <c r="E42" s="889">
        <v>45367</v>
      </c>
      <c r="F42" s="4845" t="s">
        <v>63</v>
      </c>
      <c r="G42" s="117" t="s">
        <v>2194</v>
      </c>
      <c r="H42" s="839">
        <v>45373</v>
      </c>
      <c r="I42" s="4908" t="s">
        <v>104</v>
      </c>
      <c r="J42" s="117" t="s">
        <v>859</v>
      </c>
      <c r="K42" s="4150" t="s">
        <v>6951</v>
      </c>
      <c r="L42" s="3265"/>
      <c r="M42" s="822">
        <v>45372</v>
      </c>
      <c r="N42" s="822">
        <v>45371</v>
      </c>
      <c r="O42" s="925">
        <v>45373</v>
      </c>
      <c r="P42" s="4150" t="s">
        <v>6952</v>
      </c>
      <c r="Q42" s="4242" t="s">
        <v>75</v>
      </c>
      <c r="R42" s="4163" t="s">
        <v>6953</v>
      </c>
      <c r="S42" s="4845"/>
      <c r="T42" s="1437">
        <v>3949.9</v>
      </c>
      <c r="U42" s="4104">
        <f>1956.25+170.01</f>
        <v>2126.2600000000002</v>
      </c>
      <c r="V42" s="117">
        <v>1</v>
      </c>
      <c r="W42" s="1437">
        <f>表14[[#This Row],[Sales Amount]]-表14[[#This Row],[Cost]]</f>
        <v>1823.6399999999999</v>
      </c>
      <c r="X42" s="905">
        <f>表14[[#This Row],[Profit]]/表14[[#This Row],[Sales Amount]]</f>
        <v>0.46169270108103999</v>
      </c>
    </row>
    <row r="43" spans="1:26" s="117" customFormat="1" ht="60">
      <c r="A43" s="3417" t="s">
        <v>468</v>
      </c>
      <c r="B43" s="4104" t="s">
        <v>6954</v>
      </c>
      <c r="C43" s="2581" t="s">
        <v>28</v>
      </c>
      <c r="D43" s="822">
        <v>45368</v>
      </c>
      <c r="E43" s="872">
        <v>45368</v>
      </c>
      <c r="F43" s="117" t="s">
        <v>260</v>
      </c>
      <c r="G43" s="806" t="s">
        <v>4355</v>
      </c>
      <c r="H43" s="4918">
        <v>45376</v>
      </c>
      <c r="I43" s="3367" t="s">
        <v>672</v>
      </c>
      <c r="J43" s="117" t="s">
        <v>322</v>
      </c>
      <c r="K43" s="117" t="s">
        <v>6955</v>
      </c>
      <c r="L43" s="3379"/>
      <c r="M43" s="3366">
        <v>45373</v>
      </c>
      <c r="N43" s="839">
        <v>45372</v>
      </c>
      <c r="O43" s="856">
        <v>45376</v>
      </c>
      <c r="P43" s="4104" t="s">
        <v>6956</v>
      </c>
      <c r="Q43" s="3268" t="s">
        <v>75</v>
      </c>
      <c r="R43" s="4329" t="s">
        <v>6957</v>
      </c>
      <c r="S43" s="660"/>
      <c r="T43" s="1437">
        <v>1625</v>
      </c>
      <c r="U43" s="1437">
        <v>1200.5</v>
      </c>
      <c r="V43" s="117">
        <v>1</v>
      </c>
      <c r="W43" s="1437">
        <f>表14[[#This Row],[Sales Amount]]-表14[[#This Row],[Cost]]</f>
        <v>424.5</v>
      </c>
      <c r="X43" s="905" t="str">
        <f>IFERROR(Table6[[#This Row],[Profit]]/Table6[[#This Row],[Cost]]," ")</f>
        <v xml:space="preserve"> </v>
      </c>
      <c r="Y43" s="4150" t="s">
        <v>5640</v>
      </c>
    </row>
    <row r="44" spans="1:26" s="117" customFormat="1" ht="60">
      <c r="A44" s="4845" t="s">
        <v>468</v>
      </c>
      <c r="B44" s="3268" t="s">
        <v>6958</v>
      </c>
      <c r="C44" s="2581" t="s">
        <v>28</v>
      </c>
      <c r="D44" s="3262">
        <v>45368</v>
      </c>
      <c r="E44" s="3452">
        <v>45368</v>
      </c>
      <c r="F44" s="117" t="s">
        <v>260</v>
      </c>
      <c r="G44" s="806" t="s">
        <v>4355</v>
      </c>
      <c r="H44" s="839">
        <v>45373</v>
      </c>
      <c r="I44" s="4929" t="s">
        <v>6959</v>
      </c>
      <c r="J44" s="117" t="s">
        <v>322</v>
      </c>
      <c r="K44" s="3268" t="s">
        <v>6955</v>
      </c>
      <c r="L44" s="4848"/>
      <c r="M44" s="4844">
        <v>45373</v>
      </c>
      <c r="N44" s="839">
        <v>45372</v>
      </c>
      <c r="O44" s="856">
        <v>45373</v>
      </c>
      <c r="P44" s="4649" t="s">
        <v>6956</v>
      </c>
      <c r="Q44" s="4845" t="s">
        <v>75</v>
      </c>
      <c r="R44" s="4339" t="s">
        <v>6960</v>
      </c>
      <c r="S44" s="1420"/>
      <c r="T44" s="5190">
        <v>1225</v>
      </c>
      <c r="U44" s="4845">
        <v>970.5</v>
      </c>
      <c r="V44" s="4845">
        <v>1</v>
      </c>
      <c r="W44" s="5190">
        <f>表14[[#This Row],[Sales Amount]]-表14[[#This Row],[Cost]]</f>
        <v>254.5</v>
      </c>
      <c r="X44" s="905">
        <f>IFERROR(Table6[[#This Row],[Profit]]/Table6[[#This Row],[Cost]]," ")</f>
        <v>0.17366946778711484</v>
      </c>
      <c r="Y44" s="4908" t="s">
        <v>5640</v>
      </c>
      <c r="Z44" s="4845"/>
    </row>
    <row r="45" spans="1:26" s="117" customFormat="1" ht="30">
      <c r="A45" s="3417" t="s">
        <v>468</v>
      </c>
      <c r="B45" s="4338" t="s">
        <v>6961</v>
      </c>
      <c r="C45" s="2581" t="s">
        <v>200</v>
      </c>
      <c r="D45" s="3262">
        <v>45353</v>
      </c>
      <c r="E45" s="3452">
        <v>45368</v>
      </c>
      <c r="F45" s="3268" t="s">
        <v>245</v>
      </c>
      <c r="G45" s="3268" t="s">
        <v>57</v>
      </c>
      <c r="H45" s="1703">
        <v>45370</v>
      </c>
      <c r="I45" s="3651"/>
      <c r="J45" s="117" t="s">
        <v>297</v>
      </c>
      <c r="K45" s="3268" t="s">
        <v>6173</v>
      </c>
      <c r="L45" s="3379">
        <v>4010923</v>
      </c>
      <c r="M45" s="2018">
        <v>45369</v>
      </c>
      <c r="N45" s="2018">
        <v>45369</v>
      </c>
      <c r="O45" s="828">
        <v>45370</v>
      </c>
      <c r="P45" s="3293" t="s">
        <v>6962</v>
      </c>
      <c r="Q45" s="3268" t="s">
        <v>75</v>
      </c>
      <c r="R45" s="4329" t="s">
        <v>6963</v>
      </c>
      <c r="S45" s="660"/>
      <c r="T45" s="1438">
        <v>1505</v>
      </c>
      <c r="U45" s="4340">
        <v>1243.2</v>
      </c>
      <c r="V45" s="117">
        <v>1</v>
      </c>
      <c r="W45" s="1437">
        <f>表14[[#This Row],[Sales Amount]]-表14[[#This Row],[Cost]]</f>
        <v>261.79999999999995</v>
      </c>
      <c r="X45" s="905">
        <f>表14[[#This Row],[Profit]]/表14[[#This Row],[Cost]]</f>
        <v>0.21058558558558554</v>
      </c>
    </row>
    <row r="46" spans="1:26" ht="45">
      <c r="A46" s="4845" t="s">
        <v>468</v>
      </c>
      <c r="B46" s="4337" t="s">
        <v>6964</v>
      </c>
      <c r="C46" s="5328" t="s">
        <v>200</v>
      </c>
      <c r="D46" s="822">
        <v>45353</v>
      </c>
      <c r="E46" s="872">
        <v>45368</v>
      </c>
      <c r="F46" s="117" t="s">
        <v>245</v>
      </c>
      <c r="G46" s="117" t="s">
        <v>57</v>
      </c>
      <c r="H46" s="856">
        <v>45370</v>
      </c>
      <c r="I46" s="4917"/>
      <c r="J46" s="117" t="s">
        <v>297</v>
      </c>
      <c r="K46" s="117" t="s">
        <v>6173</v>
      </c>
      <c r="L46" s="4857">
        <v>4011231</v>
      </c>
      <c r="M46" s="839">
        <v>45369</v>
      </c>
      <c r="N46" s="3366">
        <v>45369</v>
      </c>
      <c r="O46" s="828">
        <v>45370</v>
      </c>
      <c r="P46" s="794" t="s">
        <v>6965</v>
      </c>
      <c r="Q46" s="4845" t="s">
        <v>75</v>
      </c>
      <c r="R46" s="4329" t="s">
        <v>6966</v>
      </c>
      <c r="S46" s="4845"/>
      <c r="T46" s="5135">
        <v>1745</v>
      </c>
      <c r="U46" s="5190">
        <v>1433.2</v>
      </c>
      <c r="V46" s="4845">
        <v>1</v>
      </c>
      <c r="W46" s="5190">
        <f>表14[[#This Row],[Sales Amount]]-表14[[#This Row],[Cost]]</f>
        <v>311.79999999999995</v>
      </c>
      <c r="X46" s="905">
        <f>表14[[#This Row],[Profit]]/表14[[#This Row],[Cost]]</f>
        <v>0.21755512140664243</v>
      </c>
      <c r="Y46" s="4845"/>
      <c r="Z46" s="4845"/>
    </row>
    <row r="47" spans="1:26" ht="30">
      <c r="A47" s="4845" t="s">
        <v>468</v>
      </c>
      <c r="B47" s="4337" t="s">
        <v>6967</v>
      </c>
      <c r="C47" s="5328" t="s">
        <v>200</v>
      </c>
      <c r="D47" s="4906">
        <v>45353</v>
      </c>
      <c r="E47" s="4945">
        <v>45368</v>
      </c>
      <c r="F47" s="117" t="s">
        <v>245</v>
      </c>
      <c r="G47" s="117" t="s">
        <v>57</v>
      </c>
      <c r="H47" s="1703">
        <v>45370</v>
      </c>
      <c r="I47" s="5376"/>
      <c r="J47" s="4845" t="s">
        <v>297</v>
      </c>
      <c r="K47" s="117" t="s">
        <v>6173</v>
      </c>
      <c r="L47" s="3379">
        <v>4011064</v>
      </c>
      <c r="M47" s="3366">
        <v>45369</v>
      </c>
      <c r="N47" s="4918">
        <v>45369</v>
      </c>
      <c r="O47" s="4844">
        <v>45370</v>
      </c>
      <c r="P47" s="794" t="s">
        <v>6968</v>
      </c>
      <c r="Q47" s="4845" t="s">
        <v>75</v>
      </c>
      <c r="R47" s="4339" t="s">
        <v>6969</v>
      </c>
      <c r="S47" s="4845"/>
      <c r="T47" s="5190">
        <v>1505</v>
      </c>
      <c r="U47" s="5190">
        <v>1243.2</v>
      </c>
      <c r="V47" s="4845">
        <v>1</v>
      </c>
      <c r="W47" s="5190">
        <f>表14[[#This Row],[Sales Amount]]-表14[[#This Row],[Cost]]</f>
        <v>261.79999999999995</v>
      </c>
      <c r="X47" s="5060">
        <f>表14[[#This Row],[Profit]]/表14[[#This Row],[Cost]]</f>
        <v>0.21058558558558554</v>
      </c>
      <c r="Y47" s="4845"/>
      <c r="Z47" s="4845"/>
    </row>
    <row r="48" spans="1:26" s="117" customFormat="1">
      <c r="A48" s="4861" t="s">
        <v>6970</v>
      </c>
      <c r="B48" s="5377" t="s">
        <v>6971</v>
      </c>
      <c r="C48" s="5323" t="s">
        <v>28</v>
      </c>
      <c r="D48" s="4863">
        <v>45349</v>
      </c>
      <c r="E48" s="5071">
        <v>45368</v>
      </c>
      <c r="F48" s="4861" t="s">
        <v>45</v>
      </c>
      <c r="G48" s="4861" t="s">
        <v>46</v>
      </c>
      <c r="H48" s="4953"/>
      <c r="I48" s="4861"/>
      <c r="J48" s="5352" t="s">
        <v>32</v>
      </c>
      <c r="K48" s="4861" t="s">
        <v>47</v>
      </c>
      <c r="L48" s="4839" t="s">
        <v>6972</v>
      </c>
      <c r="M48" s="4953">
        <v>45370</v>
      </c>
      <c r="N48" s="4953">
        <v>45369</v>
      </c>
      <c r="O48" s="4953">
        <v>45371</v>
      </c>
      <c r="P48" s="4861" t="s">
        <v>6973</v>
      </c>
      <c r="Q48" s="4861" t="s">
        <v>6852</v>
      </c>
      <c r="R48" s="4861" t="s">
        <v>6974</v>
      </c>
      <c r="S48" s="4861"/>
      <c r="T48" s="4861"/>
      <c r="U48" s="4861"/>
      <c r="V48" s="4861"/>
      <c r="W48" s="4861">
        <f>表12[[#This Row],[Sales Amount]]-表12[[#This Row],[Cost]]</f>
        <v>0</v>
      </c>
      <c r="X48" s="5378" t="str">
        <f>IFERROR(Table6[[#This Row],[Profit]]/Table6[[#This Row],[Cost]]," ")</f>
        <v xml:space="preserve"> </v>
      </c>
      <c r="Y48" s="4861"/>
      <c r="Z48" s="4861"/>
    </row>
    <row r="49" spans="1:26" customFormat="1">
      <c r="A49" s="1350" t="s">
        <v>409</v>
      </c>
      <c r="B49" s="5377" t="s">
        <v>6975</v>
      </c>
      <c r="C49" s="5323" t="s">
        <v>28</v>
      </c>
      <c r="D49" s="4863">
        <v>45352</v>
      </c>
      <c r="E49" s="5071">
        <v>45369</v>
      </c>
      <c r="F49" s="4861" t="s">
        <v>93</v>
      </c>
      <c r="G49" s="4861" t="s">
        <v>46</v>
      </c>
      <c r="H49" s="4861"/>
      <c r="I49" s="4861"/>
      <c r="J49" s="4902" t="s">
        <v>32</v>
      </c>
      <c r="K49" s="4861" t="s">
        <v>47</v>
      </c>
      <c r="L49" s="5206" t="s">
        <v>6976</v>
      </c>
      <c r="M49" s="5379">
        <v>45371</v>
      </c>
      <c r="N49" s="4863">
        <v>45370</v>
      </c>
      <c r="O49" s="4863">
        <v>45372</v>
      </c>
      <c r="P49" s="4882" t="s">
        <v>6977</v>
      </c>
      <c r="Q49" s="4861" t="s">
        <v>89</v>
      </c>
      <c r="R49" s="4861" t="s">
        <v>6978</v>
      </c>
      <c r="S49" s="4861"/>
      <c r="T49" s="4861"/>
      <c r="U49" s="4861"/>
      <c r="V49" s="4861"/>
      <c r="W49" s="4861">
        <f>表12[[#This Row],[Sales Amount]]-表12[[#This Row],[Cost]]</f>
        <v>476.79999999999995</v>
      </c>
      <c r="X49" s="5378">
        <f>IFERROR(Table6[[#This Row],[Profit]]/Table6[[#This Row],[Cost]]," ")</f>
        <v>0.17412140575079874</v>
      </c>
      <c r="Y49" s="4861"/>
      <c r="Z49" s="4861"/>
    </row>
    <row r="50" spans="1:26" customFormat="1">
      <c r="A50" s="4851" t="s">
        <v>3409</v>
      </c>
      <c r="B50" s="5377" t="s">
        <v>6979</v>
      </c>
      <c r="C50" s="5351" t="s">
        <v>28</v>
      </c>
      <c r="D50" s="4957">
        <v>45363</v>
      </c>
      <c r="E50" s="5071">
        <v>45370</v>
      </c>
      <c r="F50" s="4841" t="s">
        <v>167</v>
      </c>
      <c r="G50" s="4839" t="s">
        <v>6980</v>
      </c>
      <c r="H50" s="5380">
        <v>45376</v>
      </c>
      <c r="I50" s="4852" t="s">
        <v>104</v>
      </c>
      <c r="J50" s="4839" t="s">
        <v>859</v>
      </c>
      <c r="K50" s="4839" t="s">
        <v>6981</v>
      </c>
      <c r="L50" s="4841" t="s">
        <v>542</v>
      </c>
      <c r="M50" s="4990">
        <v>45378</v>
      </c>
      <c r="N50" s="4990">
        <v>45373</v>
      </c>
      <c r="O50" s="1139">
        <v>45376</v>
      </c>
      <c r="P50" s="4913" t="s">
        <v>6982</v>
      </c>
      <c r="Q50" s="4839" t="s">
        <v>35</v>
      </c>
      <c r="R50" s="4913" t="s">
        <v>36</v>
      </c>
      <c r="S50" s="4870" t="s">
        <v>67</v>
      </c>
      <c r="T50" s="4892">
        <v>930</v>
      </c>
      <c r="U50" s="4892">
        <v>955</v>
      </c>
      <c r="V50" s="4892"/>
      <c r="W50" s="4892">
        <f>表12[[#This Row],[Sales Amount]]-表12[[#This Row],[Cost]]</f>
        <v>476.79999999999995</v>
      </c>
      <c r="X50" s="5381">
        <f>IFERROR(Table6[[#This Row],[Profit]]/Table6[[#This Row],[Cost]]," ")</f>
        <v>2.6866914737846081E-4</v>
      </c>
      <c r="Y50" s="4892"/>
      <c r="Z50" s="4892"/>
    </row>
    <row r="51" spans="1:26">
      <c r="A51" s="4851" t="s">
        <v>3409</v>
      </c>
      <c r="B51" s="5377" t="s">
        <v>6983</v>
      </c>
      <c r="C51" s="5351" t="s">
        <v>28</v>
      </c>
      <c r="D51" s="4957">
        <v>45363</v>
      </c>
      <c r="E51" s="5071">
        <v>45370</v>
      </c>
      <c r="F51" s="4841" t="s">
        <v>167</v>
      </c>
      <c r="G51" s="4839" t="s">
        <v>6980</v>
      </c>
      <c r="H51" s="5380">
        <v>45376</v>
      </c>
      <c r="I51" s="4852" t="s">
        <v>108</v>
      </c>
      <c r="J51" s="4839" t="s">
        <v>859</v>
      </c>
      <c r="K51" s="4839" t="s">
        <v>6981</v>
      </c>
      <c r="L51" s="4841" t="s">
        <v>542</v>
      </c>
      <c r="M51" s="4990">
        <v>45378</v>
      </c>
      <c r="N51" s="4990">
        <v>45373</v>
      </c>
      <c r="O51" s="1139">
        <v>45376</v>
      </c>
      <c r="P51" s="4913" t="s">
        <v>6984</v>
      </c>
      <c r="Q51" s="4839" t="s">
        <v>35</v>
      </c>
      <c r="R51" s="4913" t="s">
        <v>36</v>
      </c>
      <c r="S51" s="4870" t="s">
        <v>67</v>
      </c>
      <c r="T51" s="4892">
        <v>930</v>
      </c>
      <c r="U51" s="4892">
        <v>955</v>
      </c>
      <c r="V51" s="4892"/>
      <c r="W51" s="4892">
        <f>表12[[#This Row],[Sales Amount]]-表12[[#This Row],[Cost]]</f>
        <v>0</v>
      </c>
      <c r="X51" s="5381">
        <f>IFERROR(Table6[[#This Row],[Profit]]/Table6[[#This Row],[Cost]]," ")</f>
        <v>0.31189213085764811</v>
      </c>
      <c r="Y51" s="4892"/>
      <c r="Z51" s="4892"/>
    </row>
    <row r="52" spans="1:26">
      <c r="A52" s="4845" t="s">
        <v>263</v>
      </c>
      <c r="B52" s="5354" t="s">
        <v>6985</v>
      </c>
      <c r="C52" s="5328" t="s">
        <v>28</v>
      </c>
      <c r="D52" s="4906">
        <v>45371</v>
      </c>
      <c r="E52" s="4853">
        <v>45371</v>
      </c>
      <c r="F52" s="4845" t="s">
        <v>135</v>
      </c>
      <c r="G52" s="4845" t="s">
        <v>6295</v>
      </c>
      <c r="H52" s="4844">
        <v>45376</v>
      </c>
      <c r="I52" s="4844" t="s">
        <v>445</v>
      </c>
      <c r="J52" s="4845" t="s">
        <v>2492</v>
      </c>
      <c r="K52" s="4908" t="s">
        <v>5799</v>
      </c>
      <c r="L52" s="4848"/>
      <c r="M52" s="4918">
        <v>45377</v>
      </c>
      <c r="N52" s="4918">
        <v>45373</v>
      </c>
      <c r="O52" s="4960">
        <v>45377</v>
      </c>
      <c r="P52" s="4909" t="s">
        <v>6986</v>
      </c>
      <c r="Q52" s="4938" t="s">
        <v>75</v>
      </c>
      <c r="R52" s="4909" t="s">
        <v>6987</v>
      </c>
      <c r="S52" s="4845"/>
      <c r="T52" s="4908">
        <v>2048.14</v>
      </c>
      <c r="U52" s="4845">
        <v>1605.64</v>
      </c>
      <c r="V52" s="4845">
        <v>1</v>
      </c>
      <c r="W52" s="117">
        <f>表14[[#This Row],[Sales Amount]]-表14[[#This Row],[Cost]]</f>
        <v>442.49999999999977</v>
      </c>
      <c r="X52" s="905">
        <f>表14[[#This Row],[Profit]]/表14[[#This Row],[Cost]]</f>
        <v>0.27559104157843584</v>
      </c>
      <c r="Y52" s="4845"/>
      <c r="Z52" s="4845"/>
    </row>
    <row r="53" spans="1:26" s="3" customFormat="1">
      <c r="A53" s="4839" t="s">
        <v>710</v>
      </c>
      <c r="B53" s="5377" t="s">
        <v>6988</v>
      </c>
      <c r="C53" s="5323" t="s">
        <v>200</v>
      </c>
      <c r="D53" s="4957">
        <v>45369</v>
      </c>
      <c r="E53" s="5071">
        <v>45370</v>
      </c>
      <c r="F53" s="4839" t="s">
        <v>245</v>
      </c>
      <c r="G53" s="4839" t="s">
        <v>6989</v>
      </c>
      <c r="H53" s="4876">
        <v>45377</v>
      </c>
      <c r="I53" s="4876" t="s">
        <v>1820</v>
      </c>
      <c r="J53" s="4839" t="s">
        <v>440</v>
      </c>
      <c r="K53" s="4839" t="s">
        <v>6990</v>
      </c>
      <c r="L53" s="4841" t="s">
        <v>542</v>
      </c>
      <c r="M53" s="4855">
        <v>45377</v>
      </c>
      <c r="N53" s="4855">
        <v>45376</v>
      </c>
      <c r="O53" s="4859">
        <v>45378</v>
      </c>
      <c r="P53" s="4861" t="s">
        <v>6991</v>
      </c>
      <c r="Q53" s="4839" t="s">
        <v>35</v>
      </c>
      <c r="R53" s="4870" t="s">
        <v>36</v>
      </c>
      <c r="S53" s="4839" t="s">
        <v>3398</v>
      </c>
      <c r="T53" s="4874">
        <v>2425</v>
      </c>
      <c r="U53" s="4874">
        <v>2010</v>
      </c>
      <c r="V53" s="4874"/>
      <c r="W53" s="4874">
        <f>表12[[#This Row],[Sales Amount]]-表12[[#This Row],[Cost]]</f>
        <v>0</v>
      </c>
      <c r="X53" s="5184" t="str">
        <f>IFERROR(Table6[[#This Row],[Profit]]/Table6[[#This Row],[Cost]]," ")</f>
        <v xml:space="preserve"> </v>
      </c>
      <c r="Y53" s="4874"/>
      <c r="Z53" s="4874"/>
    </row>
    <row r="54" spans="1:26" customFormat="1">
      <c r="A54" s="4845" t="s">
        <v>263</v>
      </c>
      <c r="B54" s="5354" t="s">
        <v>6992</v>
      </c>
      <c r="C54" s="5328" t="s">
        <v>28</v>
      </c>
      <c r="D54" s="4906">
        <v>45371</v>
      </c>
      <c r="E54" s="4853">
        <v>45371</v>
      </c>
      <c r="F54" s="4845" t="s">
        <v>135</v>
      </c>
      <c r="G54" s="4845" t="s">
        <v>6295</v>
      </c>
      <c r="H54" s="4844">
        <v>45377</v>
      </c>
      <c r="I54" s="4844" t="s">
        <v>445</v>
      </c>
      <c r="J54" s="4845" t="s">
        <v>2492</v>
      </c>
      <c r="K54" s="4845" t="s">
        <v>5799</v>
      </c>
      <c r="L54" s="4857"/>
      <c r="M54" s="4918">
        <v>45377</v>
      </c>
      <c r="N54" s="4918">
        <v>45376</v>
      </c>
      <c r="O54" s="4960">
        <v>45378</v>
      </c>
      <c r="P54" s="4909" t="s">
        <v>6986</v>
      </c>
      <c r="Q54" s="4938" t="s">
        <v>75</v>
      </c>
      <c r="R54" s="4909" t="s">
        <v>6987</v>
      </c>
      <c r="S54" s="4845"/>
      <c r="T54" s="4845">
        <v>2048.14</v>
      </c>
      <c r="U54" s="4845">
        <v>1605.64</v>
      </c>
      <c r="V54" s="4845">
        <v>1</v>
      </c>
      <c r="W54" s="117">
        <f>表14[[#This Row],[Sales Amount]]-表14[[#This Row],[Cost]]</f>
        <v>442.49999999999977</v>
      </c>
      <c r="X54" s="905">
        <f>表14[[#This Row],[Profit]]/表14[[#This Row],[Cost]]</f>
        <v>0.27559104157843584</v>
      </c>
      <c r="Y54" s="4845"/>
      <c r="Z54" s="4845"/>
    </row>
    <row r="55" spans="1:26" s="3" customFormat="1" ht="30">
      <c r="A55" s="4845" t="s">
        <v>468</v>
      </c>
      <c r="B55" s="5354" t="s">
        <v>6993</v>
      </c>
      <c r="C55" s="5328" t="s">
        <v>200</v>
      </c>
      <c r="D55" s="4906">
        <v>45360</v>
      </c>
      <c r="E55" s="4945">
        <v>45375</v>
      </c>
      <c r="F55" s="4845" t="s">
        <v>1357</v>
      </c>
      <c r="G55" s="4908" t="s">
        <v>4274</v>
      </c>
      <c r="H55" s="4844">
        <v>45378</v>
      </c>
      <c r="I55" s="4844" t="s">
        <v>926</v>
      </c>
      <c r="J55" s="4845" t="s">
        <v>695</v>
      </c>
      <c r="K55" s="4908" t="s">
        <v>3200</v>
      </c>
      <c r="L55" s="4848">
        <v>3916</v>
      </c>
      <c r="M55" s="4844">
        <v>45377</v>
      </c>
      <c r="N55" s="4844">
        <v>45377</v>
      </c>
      <c r="O55" s="4917">
        <v>45378</v>
      </c>
      <c r="P55" s="4909" t="s">
        <v>6994</v>
      </c>
      <c r="Q55" s="4845" t="s">
        <v>75</v>
      </c>
      <c r="R55" s="5045" t="s">
        <v>6995</v>
      </c>
      <c r="S55" s="4845"/>
      <c r="T55" s="5190">
        <v>1060</v>
      </c>
      <c r="U55" s="5190">
        <v>762.35</v>
      </c>
      <c r="V55" s="4845">
        <v>1</v>
      </c>
      <c r="W55" s="5190">
        <f>表14[[#This Row],[Sales Amount]]-表14[[#This Row],[Cost]]</f>
        <v>297.64999999999998</v>
      </c>
      <c r="X55" s="5060" t="str">
        <f>IFERROR(Table6[[#This Row],[Profit]]/Table6[[#This Row],[Cost]]," ")</f>
        <v xml:space="preserve"> </v>
      </c>
      <c r="Y55" s="4908" t="s">
        <v>5640</v>
      </c>
      <c r="Z55" s="4845"/>
    </row>
    <row r="56" spans="1:26" s="3" customFormat="1" ht="30">
      <c r="A56" s="4845" t="s">
        <v>263</v>
      </c>
      <c r="B56" s="5354" t="s">
        <v>6996</v>
      </c>
      <c r="C56" s="5328" t="s">
        <v>44</v>
      </c>
      <c r="D56" s="4906">
        <v>45370</v>
      </c>
      <c r="E56" s="5037">
        <v>45370</v>
      </c>
      <c r="F56" s="4845" t="s">
        <v>135</v>
      </c>
      <c r="G56" s="4845" t="s">
        <v>265</v>
      </c>
      <c r="H56" s="4844">
        <v>45378</v>
      </c>
      <c r="I56" s="4844" t="s">
        <v>495</v>
      </c>
      <c r="J56" s="4845" t="s">
        <v>377</v>
      </c>
      <c r="K56" s="4908" t="s">
        <v>6997</v>
      </c>
      <c r="L56" s="4835" t="s">
        <v>6998</v>
      </c>
      <c r="M56" s="4906">
        <v>45376</v>
      </c>
      <c r="N56" s="4906">
        <v>45377</v>
      </c>
      <c r="O56" s="4906">
        <v>45379</v>
      </c>
      <c r="P56" s="4909" t="s">
        <v>6999</v>
      </c>
      <c r="Q56" s="4908" t="s">
        <v>75</v>
      </c>
      <c r="R56" s="4909" t="s">
        <v>7000</v>
      </c>
      <c r="S56" s="4908"/>
      <c r="T56" s="5190">
        <v>4740.01</v>
      </c>
      <c r="U56" s="4845">
        <f>2984+170.16+165+550</f>
        <v>3869.16</v>
      </c>
      <c r="V56" s="4845">
        <v>1</v>
      </c>
      <c r="W56" s="5190">
        <f>表14[[#This Row],[Sales Amount]]-表14[[#This Row],[Cost]]</f>
        <v>870.85000000000036</v>
      </c>
      <c r="X56" s="5060">
        <f>表14[[#This Row],[Profit]]/表14[[#This Row],[Cost]]</f>
        <v>0.22507469321506487</v>
      </c>
      <c r="Y56" s="4845"/>
      <c r="Z56" s="4845"/>
    </row>
    <row r="57" spans="1:26" s="3" customFormat="1" ht="45">
      <c r="A57" s="4845" t="s">
        <v>2489</v>
      </c>
      <c r="B57" s="4928" t="s">
        <v>7001</v>
      </c>
      <c r="C57" s="5328" t="s">
        <v>28</v>
      </c>
      <c r="D57" s="4906">
        <v>45351</v>
      </c>
      <c r="E57" s="4907">
        <v>45372</v>
      </c>
      <c r="F57" s="4845" t="s">
        <v>167</v>
      </c>
      <c r="G57" s="4908" t="s">
        <v>7002</v>
      </c>
      <c r="H57" s="4918">
        <v>45373</v>
      </c>
      <c r="I57" s="4908" t="s">
        <v>618</v>
      </c>
      <c r="J57" s="4845" t="s">
        <v>322</v>
      </c>
      <c r="K57" s="4845" t="s">
        <v>7003</v>
      </c>
      <c r="L57" s="4857" t="s">
        <v>7004</v>
      </c>
      <c r="M57" s="4918">
        <v>45374</v>
      </c>
      <c r="N57" s="5070">
        <v>45373</v>
      </c>
      <c r="O57" s="5070">
        <v>45373</v>
      </c>
      <c r="P57" s="4909" t="s">
        <v>7005</v>
      </c>
      <c r="Q57" s="4845" t="s">
        <v>75</v>
      </c>
      <c r="R57" s="4909" t="s">
        <v>7006</v>
      </c>
      <c r="S57" s="4845"/>
      <c r="T57" s="4845">
        <v>1065</v>
      </c>
      <c r="U57" s="4845">
        <v>715.5</v>
      </c>
      <c r="V57" s="4845">
        <v>1</v>
      </c>
      <c r="W57" s="4845">
        <f>表14[[#This Row],[Sales Amount]]-表14[[#This Row],[Cost]]</f>
        <v>349.5</v>
      </c>
      <c r="X57" s="5060">
        <f>表14[[#This Row],[Profit]]/表14[[#This Row],[Cost]]</f>
        <v>0.48846960167714887</v>
      </c>
      <c r="Y57" s="4845"/>
      <c r="Z57" s="4845"/>
    </row>
    <row r="58" spans="1:26" customFormat="1">
      <c r="A58" s="1350" t="s">
        <v>409</v>
      </c>
      <c r="B58" s="2571" t="s">
        <v>7007</v>
      </c>
      <c r="C58" s="2566" t="s">
        <v>28</v>
      </c>
      <c r="D58" s="4863">
        <v>45366</v>
      </c>
      <c r="E58" s="1631">
        <v>45372</v>
      </c>
      <c r="F58" s="4861" t="s">
        <v>151</v>
      </c>
      <c r="G58" s="4861" t="s">
        <v>46</v>
      </c>
      <c r="H58" s="2452"/>
      <c r="I58" s="5382"/>
      <c r="J58" s="5383" t="s">
        <v>32</v>
      </c>
      <c r="K58" s="709" t="s">
        <v>47</v>
      </c>
      <c r="L58" s="1346" t="s">
        <v>7008</v>
      </c>
      <c r="M58" s="4953">
        <v>45374</v>
      </c>
      <c r="N58" s="4953">
        <v>45374</v>
      </c>
      <c r="O58" s="4953">
        <v>45374</v>
      </c>
      <c r="P58" s="709" t="s">
        <v>7009</v>
      </c>
      <c r="Q58" s="709" t="s">
        <v>6852</v>
      </c>
      <c r="R58" s="2346" t="s">
        <v>7010</v>
      </c>
      <c r="S58" s="709"/>
      <c r="T58" s="709"/>
      <c r="U58" s="709"/>
      <c r="V58" s="709"/>
      <c r="W58" s="709">
        <f>表12[[#This Row],[Sales Amount]]-表12[[#This Row],[Cost]]</f>
        <v>205</v>
      </c>
      <c r="X58" s="5378" t="str">
        <f>IFERROR(Table6[[#This Row],[Profit]]/Table6[[#This Row],[Cost]]," ")</f>
        <v xml:space="preserve"> </v>
      </c>
      <c r="Y58" s="709"/>
      <c r="Z58" s="709"/>
    </row>
    <row r="59" spans="1:26" s="709" customFormat="1">
      <c r="A59" s="4839" t="s">
        <v>329</v>
      </c>
      <c r="B59" s="5334" t="s">
        <v>7011</v>
      </c>
      <c r="C59" s="5351" t="s">
        <v>28</v>
      </c>
      <c r="D59" s="4897">
        <v>45343</v>
      </c>
      <c r="E59" s="5071">
        <v>45373</v>
      </c>
      <c r="F59" s="4839" t="s">
        <v>285</v>
      </c>
      <c r="G59" s="4870" t="s">
        <v>30</v>
      </c>
      <c r="H59" s="5380">
        <v>45376</v>
      </c>
      <c r="I59" s="4852" t="s">
        <v>115</v>
      </c>
      <c r="J59" s="4839" t="s">
        <v>1353</v>
      </c>
      <c r="K59" s="4839" t="s">
        <v>331</v>
      </c>
      <c r="L59" s="4852">
        <v>887375</v>
      </c>
      <c r="M59" s="5380">
        <v>45376</v>
      </c>
      <c r="N59" s="5380">
        <v>45376</v>
      </c>
      <c r="O59" s="4957">
        <v>45376</v>
      </c>
      <c r="P59" s="4913" t="s">
        <v>6919</v>
      </c>
      <c r="Q59" s="4870" t="s">
        <v>35</v>
      </c>
      <c r="R59" s="2454" t="s">
        <v>36</v>
      </c>
      <c r="S59" s="4870" t="s">
        <v>37</v>
      </c>
      <c r="T59" s="4892">
        <v>3655</v>
      </c>
      <c r="U59" s="4892">
        <v>3030</v>
      </c>
      <c r="V59" s="4892">
        <v>3</v>
      </c>
      <c r="W59" s="4892">
        <f>表12[[#This Row],[Sales Amount]]-表12[[#This Row],[Cost]]</f>
        <v>375</v>
      </c>
      <c r="X59" s="5381" t="str">
        <f>IFERROR(Table6[[#This Row],[Profit]]/Table6[[#This Row],[Cost]]," ")</f>
        <v xml:space="preserve"> </v>
      </c>
      <c r="Y59" s="4892"/>
      <c r="Z59" s="4892"/>
    </row>
    <row r="60" spans="1:26">
      <c r="A60" s="1350" t="s">
        <v>409</v>
      </c>
      <c r="B60" s="5377" t="s">
        <v>7012</v>
      </c>
      <c r="C60" s="5377" t="s">
        <v>28</v>
      </c>
      <c r="D60" s="4863">
        <v>45351</v>
      </c>
      <c r="E60" s="1631">
        <v>45374</v>
      </c>
      <c r="F60" s="4886" t="s">
        <v>2225</v>
      </c>
      <c r="G60" s="4886" t="s">
        <v>1350</v>
      </c>
      <c r="H60" s="4861"/>
      <c r="I60" s="4861"/>
      <c r="J60" s="5352" t="s">
        <v>32</v>
      </c>
      <c r="K60" s="4886" t="s">
        <v>47</v>
      </c>
      <c r="L60" s="5206">
        <v>5158600</v>
      </c>
      <c r="M60" s="4940">
        <v>45376</v>
      </c>
      <c r="N60" s="4940">
        <v>45374</v>
      </c>
      <c r="O60" s="4940">
        <v>45377</v>
      </c>
      <c r="P60" s="4238" t="s">
        <v>7013</v>
      </c>
      <c r="Q60" s="4962" t="s">
        <v>89</v>
      </c>
      <c r="R60" s="4882" t="s">
        <v>7014</v>
      </c>
      <c r="S60" s="4882"/>
      <c r="T60" s="4882"/>
      <c r="U60" s="4882"/>
      <c r="V60" s="4882"/>
      <c r="W60" s="4882">
        <f>表12[[#This Row],[Sales Amount]]-表12[[#This Row],[Cost]]</f>
        <v>0</v>
      </c>
      <c r="X60" s="5384" t="str">
        <f>IFERROR(Table6[[#This Row],[Profit]]/Table6[[#This Row],[Cost]]," ")</f>
        <v xml:space="preserve"> </v>
      </c>
      <c r="Y60" s="4882"/>
      <c r="Z60" s="4882"/>
    </row>
    <row r="61" spans="1:26" s="709" customFormat="1">
      <c r="A61" s="1350" t="s">
        <v>409</v>
      </c>
      <c r="B61" s="5377" t="s">
        <v>7015</v>
      </c>
      <c r="C61" s="5377" t="s">
        <v>28</v>
      </c>
      <c r="D61" s="4863">
        <v>45351</v>
      </c>
      <c r="E61" s="1631">
        <v>45374</v>
      </c>
      <c r="F61" s="4886" t="s">
        <v>2225</v>
      </c>
      <c r="G61" s="4886" t="s">
        <v>1350</v>
      </c>
      <c r="H61" s="4861"/>
      <c r="I61" s="4861"/>
      <c r="J61" s="4902" t="s">
        <v>32</v>
      </c>
      <c r="K61" s="4886" t="s">
        <v>47</v>
      </c>
      <c r="L61" s="5206">
        <v>4977826</v>
      </c>
      <c r="M61" s="4940">
        <v>45376</v>
      </c>
      <c r="N61" s="4940">
        <v>45375</v>
      </c>
      <c r="O61" s="4940">
        <v>45377</v>
      </c>
      <c r="P61" s="4962" t="s">
        <v>7016</v>
      </c>
      <c r="Q61" s="4962" t="s">
        <v>89</v>
      </c>
      <c r="R61" s="4882" t="s">
        <v>7017</v>
      </c>
      <c r="S61" s="4882"/>
      <c r="T61" s="4882"/>
      <c r="U61" s="4882"/>
      <c r="V61" s="4882"/>
      <c r="W61" s="4882">
        <f>表12[[#This Row],[Sales Amount]]-表12[[#This Row],[Cost]]</f>
        <v>0</v>
      </c>
      <c r="X61" s="5384">
        <f>IFERROR(Table6[[#This Row],[Profit]]/Table6[[#This Row],[Cost]]," ")</f>
        <v>0.41509433962264153</v>
      </c>
      <c r="Y61" s="4882"/>
      <c r="Z61" s="4882"/>
    </row>
    <row r="62" spans="1:26" s="709" customFormat="1">
      <c r="A62" s="4839" t="s">
        <v>2396</v>
      </c>
      <c r="B62" s="5377" t="s">
        <v>7018</v>
      </c>
      <c r="C62" s="5351" t="s">
        <v>28</v>
      </c>
      <c r="D62" s="4957">
        <v>45360</v>
      </c>
      <c r="E62" s="5071">
        <v>45374</v>
      </c>
      <c r="F62" s="4851" t="s">
        <v>135</v>
      </c>
      <c r="G62" s="4851" t="s">
        <v>5672</v>
      </c>
      <c r="H62" s="4990">
        <v>45377</v>
      </c>
      <c r="I62" s="5276"/>
      <c r="J62" s="4839" t="s">
        <v>7019</v>
      </c>
      <c r="K62" s="4854" t="s">
        <v>6129</v>
      </c>
      <c r="L62" s="4841" t="s">
        <v>542</v>
      </c>
      <c r="M62" s="5078">
        <v>45380</v>
      </c>
      <c r="N62" s="4957">
        <v>45377</v>
      </c>
      <c r="O62" s="5385">
        <v>45378</v>
      </c>
      <c r="P62" s="4891" t="s">
        <v>7020</v>
      </c>
      <c r="Q62" s="4839" t="s">
        <v>35</v>
      </c>
      <c r="R62" s="4839" t="s">
        <v>36</v>
      </c>
      <c r="S62" s="4839" t="s">
        <v>37</v>
      </c>
      <c r="T62" s="4892">
        <v>410</v>
      </c>
      <c r="U62" s="4892">
        <v>330</v>
      </c>
      <c r="V62" s="4892"/>
      <c r="W62" s="4892">
        <f>表12[[#This Row],[Sales Amount]]-表12[[#This Row],[Cost]]</f>
        <v>0</v>
      </c>
      <c r="X62" s="5381">
        <f>IFERROR(Table6[[#This Row],[Profit]]/Table6[[#This Row],[Cost]]," ")</f>
        <v>0.37823585810162991</v>
      </c>
      <c r="Y62" s="4892"/>
      <c r="Z62" s="4892"/>
    </row>
    <row r="63" spans="1:26">
      <c r="A63" s="4839" t="s">
        <v>2396</v>
      </c>
      <c r="B63" s="5377" t="s">
        <v>7021</v>
      </c>
      <c r="C63" s="5351" t="s">
        <v>28</v>
      </c>
      <c r="D63" s="4957">
        <v>45360</v>
      </c>
      <c r="E63" s="5071">
        <v>45374</v>
      </c>
      <c r="F63" s="4851" t="s">
        <v>135</v>
      </c>
      <c r="G63" s="4851" t="s">
        <v>5672</v>
      </c>
      <c r="H63" s="4990">
        <v>45377</v>
      </c>
      <c r="I63" s="5276"/>
      <c r="J63" s="4839" t="s">
        <v>7019</v>
      </c>
      <c r="K63" s="4854" t="s">
        <v>6129</v>
      </c>
      <c r="L63" s="4841" t="s">
        <v>542</v>
      </c>
      <c r="M63" s="5078">
        <v>45380</v>
      </c>
      <c r="N63" s="4957">
        <v>45377</v>
      </c>
      <c r="O63" s="5385">
        <v>45378</v>
      </c>
      <c r="P63" s="4891" t="s">
        <v>7020</v>
      </c>
      <c r="Q63" s="4839" t="s">
        <v>35</v>
      </c>
      <c r="R63" s="2093" t="s">
        <v>36</v>
      </c>
      <c r="S63" s="4839" t="s">
        <v>37</v>
      </c>
      <c r="T63" s="4892">
        <v>410</v>
      </c>
      <c r="U63" s="4892">
        <v>330</v>
      </c>
      <c r="V63" s="4892"/>
      <c r="W63" s="4892">
        <f>表12[[#This Row],[Sales Amount]]-表12[[#This Row],[Cost]]</f>
        <v>0</v>
      </c>
      <c r="X63" s="5381" t="str">
        <f>IFERROR(Table6[[#This Row],[Profit]]/Table6[[#This Row],[Cost]]," ")</f>
        <v xml:space="preserve"> </v>
      </c>
      <c r="Y63" s="4892"/>
      <c r="Z63" s="4892"/>
    </row>
    <row r="64" spans="1:26" ht="30">
      <c r="A64" s="4845" t="s">
        <v>122</v>
      </c>
      <c r="B64" s="5354" t="s">
        <v>7022</v>
      </c>
      <c r="C64" s="5328" t="s">
        <v>44</v>
      </c>
      <c r="D64" s="4906">
        <v>45357</v>
      </c>
      <c r="E64" s="4907">
        <v>45374</v>
      </c>
      <c r="F64" s="4938" t="s">
        <v>1828</v>
      </c>
      <c r="G64" s="3430" t="s">
        <v>302</v>
      </c>
      <c r="H64" s="5318" t="s">
        <v>162</v>
      </c>
      <c r="I64" s="4938" t="s">
        <v>162</v>
      </c>
      <c r="J64" s="4845" t="s">
        <v>0</v>
      </c>
      <c r="K64" s="5133" t="s">
        <v>6718</v>
      </c>
      <c r="L64" s="5386" t="s">
        <v>7023</v>
      </c>
      <c r="M64" s="4918">
        <v>45376</v>
      </c>
      <c r="N64" s="4918">
        <v>45376</v>
      </c>
      <c r="O64" s="4906">
        <v>45378</v>
      </c>
      <c r="P64" s="4909" t="s">
        <v>7024</v>
      </c>
      <c r="Q64" s="4938" t="s">
        <v>75</v>
      </c>
      <c r="R64" s="4947" t="s">
        <v>7025</v>
      </c>
      <c r="S64" s="4845"/>
      <c r="T64" s="4845"/>
      <c r="U64" s="4845"/>
      <c r="V64" s="4845"/>
      <c r="W64" s="4845">
        <f>表14[[#This Row],[Sales Amount]]-表14[[#This Row],[Cost]]</f>
        <v>0</v>
      </c>
      <c r="X64" s="5060" t="e">
        <f>表14[[#This Row],[Profit]]/表14[[#This Row],[Cost]]</f>
        <v>#DIV/0!</v>
      </c>
      <c r="Y64" s="4908" t="s">
        <v>5640</v>
      </c>
      <c r="Z64" s="4845"/>
    </row>
    <row r="65" spans="1:26" s="3" customFormat="1">
      <c r="A65" s="4839" t="s">
        <v>1945</v>
      </c>
      <c r="B65" s="5377" t="s">
        <v>7026</v>
      </c>
      <c r="C65" s="5323" t="s">
        <v>28</v>
      </c>
      <c r="D65" s="4957">
        <v>45358</v>
      </c>
      <c r="E65" s="5071">
        <v>45374</v>
      </c>
      <c r="F65" s="5387" t="s">
        <v>167</v>
      </c>
      <c r="G65" s="18" t="s">
        <v>669</v>
      </c>
      <c r="H65" s="5388"/>
      <c r="I65" s="5388"/>
      <c r="J65" s="4896" t="s">
        <v>596</v>
      </c>
      <c r="K65" s="4896" t="s">
        <v>3985</v>
      </c>
      <c r="L65" s="5389" t="s">
        <v>7027</v>
      </c>
      <c r="M65" s="4924"/>
      <c r="N65" s="4913"/>
      <c r="O65" s="4913"/>
      <c r="P65" s="4913" t="s">
        <v>7028</v>
      </c>
      <c r="Q65" s="4839" t="s">
        <v>35</v>
      </c>
      <c r="R65" s="4870" t="s">
        <v>3988</v>
      </c>
      <c r="S65" s="4870" t="s">
        <v>67</v>
      </c>
      <c r="T65" s="4892"/>
      <c r="U65" s="4892"/>
      <c r="V65" s="4892"/>
      <c r="W65" s="4892">
        <f>表12[[#This Row],[Sales Amount]]-表12[[#This Row],[Cost]]</f>
        <v>407.5</v>
      </c>
      <c r="X65" s="5381" t="str">
        <f>IFERROR(Table6[[#This Row],[Profit]]/Table6[[#This Row],[Cost]]," ")</f>
        <v xml:space="preserve"> </v>
      </c>
      <c r="Y65" s="4892"/>
      <c r="Z65" s="4892"/>
    </row>
    <row r="66" spans="1:26" customFormat="1">
      <c r="A66" s="4839" t="s">
        <v>1945</v>
      </c>
      <c r="B66" s="5377" t="s">
        <v>7029</v>
      </c>
      <c r="C66" s="5323" t="s">
        <v>28</v>
      </c>
      <c r="D66" s="4957">
        <v>45371</v>
      </c>
      <c r="E66" s="4957">
        <v>45374</v>
      </c>
      <c r="F66" s="4767" t="s">
        <v>56</v>
      </c>
      <c r="G66" s="18" t="s">
        <v>7030</v>
      </c>
      <c r="H66" s="5382"/>
      <c r="I66" s="5382"/>
      <c r="J66" s="4839"/>
      <c r="K66" s="4839" t="s">
        <v>7031</v>
      </c>
      <c r="L66" s="4870"/>
      <c r="M66" s="5390"/>
      <c r="N66" s="4913"/>
      <c r="O66" s="4913"/>
      <c r="P66" s="5391" t="s">
        <v>7032</v>
      </c>
      <c r="Q66" s="4839" t="s">
        <v>35</v>
      </c>
      <c r="R66" s="4839" t="s">
        <v>810</v>
      </c>
      <c r="S66" s="4839" t="s">
        <v>67</v>
      </c>
      <c r="T66" s="4892"/>
      <c r="U66" s="4892"/>
      <c r="V66" s="4892"/>
      <c r="W66" s="4892">
        <f>表12[[#This Row],[Sales Amount]]-表12[[#This Row],[Cost]]</f>
        <v>0</v>
      </c>
      <c r="X66" s="5381" t="str">
        <f>IFERROR(Table6[[#This Row],[Profit]]/Table6[[#This Row],[Cost]]," ")</f>
        <v xml:space="preserve"> </v>
      </c>
      <c r="Y66" s="4892"/>
      <c r="Z66" s="4892"/>
    </row>
    <row r="67" spans="1:26" customFormat="1">
      <c r="A67" s="4861" t="s">
        <v>3343</v>
      </c>
      <c r="B67" s="5334" t="s">
        <v>7033</v>
      </c>
      <c r="C67" s="5323" t="s">
        <v>28</v>
      </c>
      <c r="D67" s="4863">
        <v>45366</v>
      </c>
      <c r="E67" s="5071">
        <v>45374</v>
      </c>
      <c r="F67" s="4861" t="s">
        <v>86</v>
      </c>
      <c r="G67" s="4861" t="s">
        <v>46</v>
      </c>
      <c r="H67" s="5382"/>
      <c r="I67" s="5382"/>
      <c r="J67" s="5383" t="s">
        <v>32</v>
      </c>
      <c r="K67" s="4861" t="s">
        <v>47</v>
      </c>
      <c r="L67" s="5206" t="s">
        <v>7034</v>
      </c>
      <c r="M67" s="4953">
        <v>45374</v>
      </c>
      <c r="N67" s="4953">
        <v>45373</v>
      </c>
      <c r="O67" s="4953">
        <v>45374</v>
      </c>
      <c r="P67" s="4861" t="s">
        <v>7035</v>
      </c>
      <c r="Q67" s="4861" t="s">
        <v>6852</v>
      </c>
      <c r="R67" s="2346" t="s">
        <v>7036</v>
      </c>
      <c r="S67" s="4861"/>
      <c r="T67" s="4861"/>
      <c r="U67" s="4861"/>
      <c r="V67" s="4861"/>
      <c r="W67" s="4861">
        <f>表12[[#This Row],[Sales Amount]]-表12[[#This Row],[Cost]]</f>
        <v>0</v>
      </c>
      <c r="X67" s="5378">
        <f>IFERROR(Table6[[#This Row],[Profit]]/Table6[[#This Row],[Cost]]," ")</f>
        <v>0.34495705395257936</v>
      </c>
      <c r="Y67" s="4861"/>
      <c r="Z67" s="4861"/>
    </row>
    <row r="68" spans="1:26" s="709" customFormat="1">
      <c r="A68" s="4839" t="s">
        <v>1035</v>
      </c>
      <c r="B68" s="5334" t="s">
        <v>7037</v>
      </c>
      <c r="C68" s="5351" t="s">
        <v>28</v>
      </c>
      <c r="D68" s="4897">
        <v>45355</v>
      </c>
      <c r="E68" s="4912">
        <v>45375</v>
      </c>
      <c r="F68" s="4870" t="s">
        <v>151</v>
      </c>
      <c r="G68" s="4870" t="s">
        <v>46</v>
      </c>
      <c r="H68" s="4880" t="s">
        <v>1038</v>
      </c>
      <c r="I68" s="4880"/>
      <c r="J68" s="4880" t="s">
        <v>32</v>
      </c>
      <c r="K68" s="4880" t="s">
        <v>162</v>
      </c>
      <c r="L68" s="4869" t="s">
        <v>7038</v>
      </c>
      <c r="M68" s="5028">
        <v>45377</v>
      </c>
      <c r="N68" s="5028">
        <v>45377</v>
      </c>
      <c r="O68" s="5028">
        <v>45377</v>
      </c>
      <c r="P68" s="5392" t="s">
        <v>7039</v>
      </c>
      <c r="Q68" s="4839" t="s">
        <v>35</v>
      </c>
      <c r="R68" s="4839" t="s">
        <v>36</v>
      </c>
      <c r="S68" s="4839" t="s">
        <v>1320</v>
      </c>
      <c r="T68" s="4892"/>
      <c r="U68" s="4892"/>
      <c r="V68" s="4892"/>
      <c r="W68" s="4892">
        <f>表12[[#This Row],[Sales Amount]]-表12[[#This Row],[Cost]]</f>
        <v>0</v>
      </c>
      <c r="X68" s="5381" t="str">
        <f>IFERROR(Table6[[#This Row],[Profit]]/Table6[[#This Row],[Cost]]," ")</f>
        <v xml:space="preserve"> </v>
      </c>
      <c r="Y68" s="4892"/>
      <c r="Z68" s="4892"/>
    </row>
    <row r="69" spans="1:26">
      <c r="A69" s="4839" t="s">
        <v>1035</v>
      </c>
      <c r="B69" s="5334" t="s">
        <v>7040</v>
      </c>
      <c r="C69" s="5393" t="s">
        <v>28</v>
      </c>
      <c r="D69" s="5394">
        <v>45355</v>
      </c>
      <c r="E69" s="4912">
        <v>45375</v>
      </c>
      <c r="F69" s="4880" t="s">
        <v>151</v>
      </c>
      <c r="G69" s="4880" t="s">
        <v>46</v>
      </c>
      <c r="H69" s="4870" t="s">
        <v>1038</v>
      </c>
      <c r="I69" s="4870"/>
      <c r="J69" s="4870" t="s">
        <v>32</v>
      </c>
      <c r="K69" s="4870" t="s">
        <v>162</v>
      </c>
      <c r="L69" s="4869" t="s">
        <v>7041</v>
      </c>
      <c r="M69" s="5028">
        <v>45377</v>
      </c>
      <c r="N69" s="5028">
        <v>45377</v>
      </c>
      <c r="O69" s="5028">
        <v>45377</v>
      </c>
      <c r="P69" s="5395" t="s">
        <v>7039</v>
      </c>
      <c r="Q69" s="4839" t="s">
        <v>35</v>
      </c>
      <c r="R69" s="4839" t="s">
        <v>36</v>
      </c>
      <c r="S69" s="4839" t="s">
        <v>1320</v>
      </c>
      <c r="T69" s="4892"/>
      <c r="U69" s="4892"/>
      <c r="V69" s="4892"/>
      <c r="W69" s="4892">
        <f>表12[[#This Row],[Sales Amount]]-表12[[#This Row],[Cost]]</f>
        <v>0</v>
      </c>
      <c r="X69" s="5381" t="str">
        <f>IFERROR(Table6[[#This Row],[Profit]]/Table6[[#This Row],[Cost]]," ")</f>
        <v xml:space="preserve"> </v>
      </c>
      <c r="Y69" s="4892"/>
      <c r="Z69" s="4892"/>
    </row>
    <row r="70" spans="1:26" s="52" customFormat="1">
      <c r="A70" s="4839" t="s">
        <v>1035</v>
      </c>
      <c r="B70" s="5334" t="s">
        <v>7042</v>
      </c>
      <c r="C70" s="5393" t="s">
        <v>28</v>
      </c>
      <c r="D70" s="5394">
        <v>45355</v>
      </c>
      <c r="E70" s="4912">
        <v>45375</v>
      </c>
      <c r="F70" s="4880" t="s">
        <v>151</v>
      </c>
      <c r="G70" s="4880" t="s">
        <v>46</v>
      </c>
      <c r="H70" s="4870" t="s">
        <v>1038</v>
      </c>
      <c r="I70" s="4870"/>
      <c r="J70" s="4870" t="s">
        <v>32</v>
      </c>
      <c r="K70" s="4870" t="s">
        <v>162</v>
      </c>
      <c r="L70" s="4869" t="s">
        <v>7043</v>
      </c>
      <c r="M70" s="5028">
        <v>45378</v>
      </c>
      <c r="N70" s="5385">
        <v>45378</v>
      </c>
      <c r="O70" s="5385">
        <v>45378</v>
      </c>
      <c r="P70" s="5395" t="s">
        <v>7039</v>
      </c>
      <c r="Q70" s="4839" t="s">
        <v>35</v>
      </c>
      <c r="R70" s="4839" t="s">
        <v>36</v>
      </c>
      <c r="S70" s="4839" t="s">
        <v>1320</v>
      </c>
      <c r="T70" s="4892"/>
      <c r="U70" s="4892"/>
      <c r="V70" s="4892"/>
      <c r="W70" s="4892">
        <f>表12[[#This Row],[Sales Amount]]-表12[[#This Row],[Cost]]</f>
        <v>2970</v>
      </c>
      <c r="X70" s="5381" t="str">
        <f>IFERROR(Table6[[#This Row],[Profit]]/Table6[[#This Row],[Cost]]," ")</f>
        <v xml:space="preserve"> </v>
      </c>
      <c r="Y70" s="4892"/>
      <c r="Z70" s="4892"/>
    </row>
    <row r="71" spans="1:26" s="826" customFormat="1">
      <c r="A71" s="4839" t="s">
        <v>1035</v>
      </c>
      <c r="B71" s="5334" t="s">
        <v>7044</v>
      </c>
      <c r="C71" s="5393" t="s">
        <v>28</v>
      </c>
      <c r="D71" s="5394">
        <v>45355</v>
      </c>
      <c r="E71" s="4912">
        <v>45375</v>
      </c>
      <c r="F71" s="4880" t="s">
        <v>151</v>
      </c>
      <c r="G71" s="4880" t="s">
        <v>46</v>
      </c>
      <c r="H71" s="4870" t="s">
        <v>1038</v>
      </c>
      <c r="I71" s="4870"/>
      <c r="J71" s="4870" t="s">
        <v>32</v>
      </c>
      <c r="K71" s="4870" t="s">
        <v>162</v>
      </c>
      <c r="L71" s="4869" t="s">
        <v>7045</v>
      </c>
      <c r="M71" s="5028">
        <v>45378</v>
      </c>
      <c r="N71" s="5385">
        <v>45378</v>
      </c>
      <c r="O71" s="5385">
        <v>45378</v>
      </c>
      <c r="P71" s="5395" t="s">
        <v>7039</v>
      </c>
      <c r="Q71" s="4839" t="s">
        <v>35</v>
      </c>
      <c r="R71" s="4839" t="s">
        <v>36</v>
      </c>
      <c r="S71" s="4839" t="s">
        <v>1320</v>
      </c>
      <c r="T71" s="4892"/>
      <c r="U71" s="4892"/>
      <c r="V71" s="4892"/>
      <c r="W71" s="4892">
        <f>表12[[#This Row],[Sales Amount]]-表12[[#This Row],[Cost]]</f>
        <v>0</v>
      </c>
      <c r="X71" s="5381" t="str">
        <f>IFERROR(Table6[[#This Row],[Profit]]/Table6[[#This Row],[Cost]]," ")</f>
        <v xml:space="preserve"> </v>
      </c>
      <c r="Y71" s="4892"/>
      <c r="Z71" s="4892"/>
    </row>
    <row r="72" spans="1:26" s="52" customFormat="1">
      <c r="A72" s="4845" t="s">
        <v>263</v>
      </c>
      <c r="B72" s="5354" t="s">
        <v>7046</v>
      </c>
      <c r="C72" s="5328" t="s">
        <v>44</v>
      </c>
      <c r="D72" s="4906">
        <v>45371</v>
      </c>
      <c r="E72" s="4853">
        <v>45371</v>
      </c>
      <c r="F72" s="4845" t="s">
        <v>135</v>
      </c>
      <c r="G72" s="4845" t="s">
        <v>6295</v>
      </c>
      <c r="H72" s="4844">
        <v>45378</v>
      </c>
      <c r="I72" s="4844" t="s">
        <v>445</v>
      </c>
      <c r="J72" s="4845" t="s">
        <v>2492</v>
      </c>
      <c r="K72" s="4845" t="s">
        <v>5799</v>
      </c>
      <c r="L72" s="4848"/>
      <c r="M72" s="4918">
        <v>45377</v>
      </c>
      <c r="N72" s="4918">
        <v>45377</v>
      </c>
      <c r="O72" s="4918">
        <v>45379</v>
      </c>
      <c r="P72" s="4909" t="s">
        <v>7047</v>
      </c>
      <c r="Q72" s="4938" t="s">
        <v>75</v>
      </c>
      <c r="R72" s="4909" t="s">
        <v>7048</v>
      </c>
      <c r="S72" s="4845"/>
      <c r="T72" s="5135">
        <v>1891.12</v>
      </c>
      <c r="U72" s="4845">
        <f>131.12+1525</f>
        <v>1656.12</v>
      </c>
      <c r="V72" s="4845">
        <v>1</v>
      </c>
      <c r="W72" s="5190">
        <f>表14[[#This Row],[Sales Amount]]-表14[[#This Row],[Cost]]</f>
        <v>235</v>
      </c>
      <c r="X72" s="5060">
        <f>表14[[#This Row],[Profit]]/表14[[#This Row],[Cost]]</f>
        <v>0.14189793010168347</v>
      </c>
      <c r="Y72" s="4845"/>
      <c r="Z72" s="4845"/>
    </row>
    <row r="73" spans="1:26" s="36" customFormat="1" ht="45">
      <c r="A73" s="4845" t="s">
        <v>468</v>
      </c>
      <c r="B73" s="5354" t="s">
        <v>7049</v>
      </c>
      <c r="C73" s="5328" t="s">
        <v>200</v>
      </c>
      <c r="D73" s="4906">
        <v>45357</v>
      </c>
      <c r="E73" s="4945">
        <v>45375</v>
      </c>
      <c r="F73" s="4845" t="s">
        <v>93</v>
      </c>
      <c r="G73" s="4845" t="s">
        <v>4274</v>
      </c>
      <c r="H73" s="4844">
        <v>45379</v>
      </c>
      <c r="I73" s="4844" t="s">
        <v>926</v>
      </c>
      <c r="J73" s="4845" t="s">
        <v>695</v>
      </c>
      <c r="K73" s="4845" t="s">
        <v>3200</v>
      </c>
      <c r="L73" s="4848">
        <v>5700</v>
      </c>
      <c r="M73" s="4844">
        <v>45378</v>
      </c>
      <c r="N73" s="4844">
        <v>45378</v>
      </c>
      <c r="O73" s="4917">
        <v>45379</v>
      </c>
      <c r="P73" s="4909" t="s">
        <v>7050</v>
      </c>
      <c r="Q73" s="4845" t="s">
        <v>75</v>
      </c>
      <c r="R73" s="5045" t="s">
        <v>7051</v>
      </c>
      <c r="S73" s="4845"/>
      <c r="T73" s="5396">
        <v>1060</v>
      </c>
      <c r="U73" s="4845">
        <v>762.35</v>
      </c>
      <c r="V73" s="4845">
        <v>1</v>
      </c>
      <c r="W73" s="5396">
        <f>表14[[#This Row],[Sales Amount]]-表14[[#This Row],[Cost]]</f>
        <v>297.64999999999998</v>
      </c>
      <c r="X73" s="5060">
        <f>IFERROR(Table6[[#This Row],[Profit]]/Table6[[#This Row],[Cost]]," ")</f>
        <v>9.8089235694277646E-2</v>
      </c>
      <c r="Y73" s="4908" t="s">
        <v>5640</v>
      </c>
      <c r="Z73" s="4845"/>
    </row>
    <row r="74" spans="1:26" s="117" customFormat="1" ht="150">
      <c r="A74" s="4845" t="s">
        <v>5114</v>
      </c>
      <c r="B74" s="5397" t="s">
        <v>7052</v>
      </c>
      <c r="C74" s="5328" t="s">
        <v>200</v>
      </c>
      <c r="D74" s="5398" t="s">
        <v>7053</v>
      </c>
      <c r="E74" s="373"/>
      <c r="F74" s="4908" t="s">
        <v>29</v>
      </c>
      <c r="G74" s="4845" t="s">
        <v>7054</v>
      </c>
      <c r="H74" s="4918">
        <v>45378</v>
      </c>
      <c r="I74" s="4929" t="s">
        <v>445</v>
      </c>
      <c r="J74" s="4918" t="s">
        <v>377</v>
      </c>
      <c r="K74" s="4929" t="s">
        <v>7055</v>
      </c>
      <c r="L74" s="5139" t="s">
        <v>7056</v>
      </c>
      <c r="M74" s="4918" t="s">
        <v>7057</v>
      </c>
      <c r="N74" s="4906">
        <v>45377</v>
      </c>
      <c r="O74" s="4906">
        <v>45379</v>
      </c>
      <c r="P74" s="4909" t="s">
        <v>7058</v>
      </c>
      <c r="Q74" s="4845" t="s">
        <v>75</v>
      </c>
      <c r="R74" s="4339" t="s">
        <v>7059</v>
      </c>
      <c r="S74" s="4845"/>
      <c r="T74" s="5190">
        <v>2905</v>
      </c>
      <c r="U74" s="4845">
        <f>1595+565+475</f>
        <v>2635</v>
      </c>
      <c r="V74" s="4845">
        <v>1</v>
      </c>
      <c r="W74" s="5190">
        <f>表14[[#This Row],[Sales Amount]]-表14[[#This Row],[Cost]]</f>
        <v>270</v>
      </c>
      <c r="X74" s="5060">
        <f>表14[[#This Row],[Profit]]/表14[[#This Row],[Cost]]</f>
        <v>0.10246679316888045</v>
      </c>
      <c r="Y74" s="4845"/>
      <c r="Z74" s="4845"/>
    </row>
    <row r="75" spans="1:26" s="117" customFormat="1">
      <c r="A75" s="4854" t="s">
        <v>68</v>
      </c>
      <c r="B75" s="5377" t="s">
        <v>7060</v>
      </c>
      <c r="C75" s="5351" t="s">
        <v>28</v>
      </c>
      <c r="D75" s="1139">
        <v>45369</v>
      </c>
      <c r="E75" s="1668">
        <v>45375</v>
      </c>
      <c r="F75" s="4839" t="s">
        <v>151</v>
      </c>
      <c r="G75" s="4839" t="s">
        <v>46</v>
      </c>
      <c r="H75" s="4876">
        <v>45377</v>
      </c>
      <c r="I75" s="4876" t="s">
        <v>108</v>
      </c>
      <c r="J75" s="1166" t="s">
        <v>490</v>
      </c>
      <c r="K75" s="4854" t="s">
        <v>2671</v>
      </c>
      <c r="L75" s="4869" t="s">
        <v>7061</v>
      </c>
      <c r="M75" s="3652">
        <v>45377</v>
      </c>
      <c r="N75" s="3653">
        <v>45377</v>
      </c>
      <c r="O75" s="1139">
        <v>45377</v>
      </c>
      <c r="P75" t="s">
        <v>7062</v>
      </c>
      <c r="Q75" s="4839" t="s">
        <v>35</v>
      </c>
      <c r="R75" s="4870" t="s">
        <v>36</v>
      </c>
      <c r="S75" s="4870" t="s">
        <v>67</v>
      </c>
      <c r="T75" s="4892">
        <v>540</v>
      </c>
      <c r="U75" s="4892">
        <v>411.25</v>
      </c>
      <c r="V75" s="4892"/>
      <c r="W75" s="4892">
        <f>表12[[#This Row],[Sales Amount]]-表12[[#This Row],[Cost]]</f>
        <v>0</v>
      </c>
      <c r="X75" s="2458" t="str">
        <f>IFERROR(Table6[[#This Row],[Profit]]/Table6[[#This Row],[Cost]]," ")</f>
        <v xml:space="preserve"> </v>
      </c>
      <c r="Y75" s="4892"/>
      <c r="Z75" s="4892"/>
    </row>
    <row r="76" spans="1:26">
      <c r="A76" s="1350" t="s">
        <v>409</v>
      </c>
      <c r="B76" s="5334" t="s">
        <v>7063</v>
      </c>
      <c r="C76" s="5334" t="s">
        <v>28</v>
      </c>
      <c r="D76" s="4991">
        <v>45375</v>
      </c>
      <c r="E76" s="5071">
        <v>45375</v>
      </c>
      <c r="F76" s="4902" t="s">
        <v>86</v>
      </c>
      <c r="G76" s="4902" t="s">
        <v>46</v>
      </c>
      <c r="H76" s="5382"/>
      <c r="I76" s="5382"/>
      <c r="J76" s="5326" t="s">
        <v>32</v>
      </c>
      <c r="K76" s="4902" t="s">
        <v>47</v>
      </c>
      <c r="L76" s="5206" t="s">
        <v>7064</v>
      </c>
      <c r="M76" s="1190">
        <v>45377</v>
      </c>
      <c r="N76" s="1190">
        <v>45375</v>
      </c>
      <c r="O76" s="5035">
        <v>45377</v>
      </c>
      <c r="P76" s="4902" t="s">
        <v>7065</v>
      </c>
      <c r="Q76" s="4902" t="s">
        <v>6852</v>
      </c>
      <c r="R76" s="4902" t="s">
        <v>7066</v>
      </c>
      <c r="S76" s="4902"/>
      <c r="T76" s="4902"/>
      <c r="U76" s="4902"/>
      <c r="V76" s="4902"/>
      <c r="W76" s="4902">
        <f>表12[[#This Row],[Sales Amount]]-表12[[#This Row],[Cost]]</f>
        <v>0</v>
      </c>
      <c r="X76" s="5399">
        <f>IFERROR(Table6[[#This Row],[Profit]]/Table6[[#This Row],[Cost]]," ")</f>
        <v>5.0469483568075117E-2</v>
      </c>
      <c r="Y76" s="4902"/>
      <c r="Z76" s="4902"/>
    </row>
    <row r="77" spans="1:26" s="709" customFormat="1">
      <c r="A77" s="4913" t="s">
        <v>1088</v>
      </c>
      <c r="B77" s="5400" t="s">
        <v>7067</v>
      </c>
      <c r="C77" s="5323" t="s">
        <v>1508</v>
      </c>
      <c r="D77" s="4863"/>
      <c r="E77" s="5071">
        <v>45375</v>
      </c>
      <c r="F77" s="4913"/>
      <c r="G77" s="4839" t="s">
        <v>7068</v>
      </c>
      <c r="H77" s="5382"/>
      <c r="I77" s="5382"/>
      <c r="J77" s="5401" t="s">
        <v>738</v>
      </c>
      <c r="K77" s="4870" t="s">
        <v>47</v>
      </c>
      <c r="L77" s="4839" t="s">
        <v>738</v>
      </c>
      <c r="M77" s="912" t="s">
        <v>738</v>
      </c>
      <c r="N77" s="4953">
        <v>45376</v>
      </c>
      <c r="O77" s="4953">
        <v>45376</v>
      </c>
      <c r="P77" s="4861" t="s">
        <v>7069</v>
      </c>
      <c r="Q77" s="4861" t="s">
        <v>50</v>
      </c>
      <c r="R77" s="4861" t="s">
        <v>51</v>
      </c>
      <c r="S77" s="4861"/>
      <c r="T77" s="4861"/>
      <c r="U77" s="4861"/>
      <c r="V77" s="4861"/>
      <c r="W77" s="4861"/>
      <c r="X77" s="5378"/>
      <c r="Y77" s="4861"/>
      <c r="Z77" s="4861"/>
    </row>
    <row r="78" spans="1:26" s="52" customFormat="1">
      <c r="A78" s="4839" t="s">
        <v>639</v>
      </c>
      <c r="B78" s="4335" t="s">
        <v>7070</v>
      </c>
      <c r="C78" s="5323" t="s">
        <v>28</v>
      </c>
      <c r="D78" s="1139">
        <v>45350</v>
      </c>
      <c r="E78" s="1631">
        <v>45376</v>
      </c>
      <c r="F78" s="58" t="s">
        <v>151</v>
      </c>
      <c r="G78" s="58" t="s">
        <v>361</v>
      </c>
      <c r="H78" s="4990">
        <v>45378</v>
      </c>
      <c r="I78" s="5276"/>
      <c r="J78" s="58" t="s">
        <v>1353</v>
      </c>
      <c r="K78" s="58" t="s">
        <v>1486</v>
      </c>
      <c r="L78" s="4869">
        <v>176636</v>
      </c>
      <c r="M78" s="1603">
        <v>45378</v>
      </c>
      <c r="N78" s="1603">
        <v>45378</v>
      </c>
      <c r="O78" s="2430">
        <v>45378</v>
      </c>
      <c r="P78" s="650" t="s">
        <v>7071</v>
      </c>
      <c r="Q78" s="4839" t="s">
        <v>35</v>
      </c>
      <c r="R78" s="4839" t="s">
        <v>36</v>
      </c>
      <c r="S78" s="4839" t="s">
        <v>37</v>
      </c>
      <c r="T78" s="4892">
        <v>1240</v>
      </c>
      <c r="U78" s="4892">
        <v>974</v>
      </c>
      <c r="V78" s="4892"/>
      <c r="W78" s="4892">
        <f>表12[[#This Row],[Sales Amount]]-表12[[#This Row],[Cost]]</f>
        <v>0</v>
      </c>
      <c r="X78" s="2433">
        <f>IFERROR(Table6[[#This Row],[Profit]]/Table6[[#This Row],[Cost]]," ")</f>
        <v>8.1818181818181818E-2</v>
      </c>
      <c r="Y78" s="4892"/>
      <c r="Z78" s="4892"/>
    </row>
    <row r="79" spans="1:26">
      <c r="A79" s="4854" t="s">
        <v>6049</v>
      </c>
      <c r="B79" s="5377" t="s">
        <v>7072</v>
      </c>
      <c r="C79" s="5323" t="s">
        <v>28</v>
      </c>
      <c r="D79" s="1139">
        <v>45365</v>
      </c>
      <c r="E79" s="1631">
        <v>45376</v>
      </c>
      <c r="F79" s="4839" t="s">
        <v>285</v>
      </c>
      <c r="G79" s="4839" t="s">
        <v>7073</v>
      </c>
      <c r="H79" s="4876">
        <v>45380</v>
      </c>
      <c r="I79" s="4876" t="s">
        <v>650</v>
      </c>
      <c r="J79" s="4851" t="s">
        <v>6052</v>
      </c>
      <c r="K79" s="4854" t="s">
        <v>6053</v>
      </c>
      <c r="L79" s="4869" t="s">
        <v>542</v>
      </c>
      <c r="M79" s="1603">
        <v>45383</v>
      </c>
      <c r="N79" s="1607">
        <v>45380</v>
      </c>
      <c r="O79" s="1603">
        <v>45383</v>
      </c>
      <c r="P79" s="949" t="s">
        <v>7074</v>
      </c>
      <c r="Q79" s="4839" t="s">
        <v>35</v>
      </c>
      <c r="R79" s="4839" t="s">
        <v>36</v>
      </c>
      <c r="S79" s="4839" t="s">
        <v>37</v>
      </c>
      <c r="T79" s="4892">
        <v>1040</v>
      </c>
      <c r="U79" s="4892">
        <v>782.5</v>
      </c>
      <c r="V79" s="4892"/>
      <c r="W79" s="4892">
        <f>表12[[#This Row],[Sales Amount]]-表12[[#This Row],[Cost]]</f>
        <v>0</v>
      </c>
      <c r="X79" s="2458">
        <f>IFERROR(Table6[[#This Row],[Profit]]/Table6[[#This Row],[Cost]]," ")</f>
        <v>7.745726495726496E-2</v>
      </c>
      <c r="Y79" s="4892"/>
      <c r="Z79" s="4892"/>
    </row>
    <row r="80" spans="1:26" s="709" customFormat="1">
      <c r="A80" s="4854" t="s">
        <v>6049</v>
      </c>
      <c r="B80" s="5377" t="s">
        <v>7075</v>
      </c>
      <c r="C80" s="5323" t="s">
        <v>28</v>
      </c>
      <c r="D80" s="4957">
        <v>45365</v>
      </c>
      <c r="E80" s="5071">
        <v>45376</v>
      </c>
      <c r="F80" s="4839" t="s">
        <v>285</v>
      </c>
      <c r="G80" s="4839" t="s">
        <v>7073</v>
      </c>
      <c r="H80" s="4876">
        <v>45383</v>
      </c>
      <c r="I80" s="4876" t="s">
        <v>650</v>
      </c>
      <c r="J80" s="4851" t="s">
        <v>6052</v>
      </c>
      <c r="K80" s="4854" t="s">
        <v>6053</v>
      </c>
      <c r="L80" s="4869" t="s">
        <v>542</v>
      </c>
      <c r="M80" s="1414">
        <v>45384</v>
      </c>
      <c r="N80" s="4957">
        <v>45383</v>
      </c>
      <c r="O80" s="4990">
        <v>45384</v>
      </c>
      <c r="P80" s="4891" t="s">
        <v>7076</v>
      </c>
      <c r="Q80" s="4839" t="s">
        <v>35</v>
      </c>
      <c r="R80" s="2093" t="s">
        <v>36</v>
      </c>
      <c r="S80" s="4839" t="s">
        <v>37</v>
      </c>
      <c r="T80" s="4892">
        <v>870</v>
      </c>
      <c r="U80" s="4892">
        <v>605</v>
      </c>
      <c r="V80" s="4892"/>
      <c r="W80" s="4892">
        <f>表12[[#This Row],[Sales Amount]]-表12[[#This Row],[Cost]]</f>
        <v>0</v>
      </c>
      <c r="X80" s="5381">
        <f>IFERROR(Table6[[#This Row],[Profit]]/Table6[[#This Row],[Cost]]," ")</f>
        <v>7.745726495726496E-2</v>
      </c>
      <c r="Y80" s="4892"/>
      <c r="Z80" s="4892"/>
    </row>
    <row r="81" spans="1:26" ht="45">
      <c r="A81" s="4845" t="s">
        <v>468</v>
      </c>
      <c r="B81" s="5354" t="s">
        <v>7077</v>
      </c>
      <c r="C81" s="5328" t="s">
        <v>200</v>
      </c>
      <c r="D81" s="4906">
        <v>45360</v>
      </c>
      <c r="E81" s="4945">
        <v>45375</v>
      </c>
      <c r="F81" s="4845" t="s">
        <v>1357</v>
      </c>
      <c r="G81" s="4908" t="s">
        <v>4274</v>
      </c>
      <c r="H81" s="4844">
        <v>45380</v>
      </c>
      <c r="I81" s="4844" t="s">
        <v>926</v>
      </c>
      <c r="J81" s="4845" t="s">
        <v>695</v>
      </c>
      <c r="K81" s="4845" t="s">
        <v>3200</v>
      </c>
      <c r="L81" s="4848">
        <v>2355</v>
      </c>
      <c r="M81" s="828">
        <v>45378</v>
      </c>
      <c r="N81" s="4844">
        <v>45378</v>
      </c>
      <c r="O81" s="4917">
        <v>45380</v>
      </c>
      <c r="P81" s="4909" t="s">
        <v>7078</v>
      </c>
      <c r="Q81" s="4845" t="s">
        <v>75</v>
      </c>
      <c r="R81" s="5045" t="s">
        <v>7079</v>
      </c>
      <c r="S81" s="4845"/>
      <c r="T81" s="5190">
        <v>1165</v>
      </c>
      <c r="U81" s="4845">
        <v>802.35</v>
      </c>
      <c r="V81" s="4845">
        <v>1</v>
      </c>
      <c r="W81" s="5190">
        <f>表14[[#This Row],[Sales Amount]]-表14[[#This Row],[Cost]]</f>
        <v>362.65</v>
      </c>
      <c r="X81" s="5060">
        <f>IFERROR(Table6[[#This Row],[Profit]]/Table6[[#This Row],[Cost]]," ")</f>
        <v>5.0469483568075117E-2</v>
      </c>
      <c r="Y81" s="4908" t="s">
        <v>5640</v>
      </c>
      <c r="Z81" s="4845"/>
    </row>
    <row r="82" spans="1:26" s="36" customFormat="1">
      <c r="A82" s="5402" t="s">
        <v>3343</v>
      </c>
      <c r="B82" s="4335" t="s">
        <v>7080</v>
      </c>
      <c r="C82" s="5323" t="s">
        <v>1508</v>
      </c>
      <c r="D82" s="5403">
        <v>45373</v>
      </c>
      <c r="E82" s="5071">
        <v>45376</v>
      </c>
      <c r="F82" s="5404" t="s">
        <v>990</v>
      </c>
      <c r="G82" s="5405" t="s">
        <v>738</v>
      </c>
      <c r="H82" s="5406"/>
      <c r="I82" s="5277"/>
      <c r="J82" s="5277" t="s">
        <v>738</v>
      </c>
      <c r="K82" s="4886" t="s">
        <v>310</v>
      </c>
      <c r="L82" s="4839" t="s">
        <v>738</v>
      </c>
      <c r="M82" s="5406" t="s">
        <v>738</v>
      </c>
      <c r="N82" s="5406">
        <v>45376</v>
      </c>
      <c r="O82" s="5406"/>
      <c r="P82" s="5404" t="s">
        <v>7081</v>
      </c>
      <c r="Q82" s="5404" t="s">
        <v>50</v>
      </c>
      <c r="R82" s="5277" t="s">
        <v>7082</v>
      </c>
      <c r="S82" s="5277"/>
      <c r="T82" s="5407"/>
      <c r="U82" s="5407"/>
      <c r="V82" s="5277"/>
      <c r="W82" s="5408"/>
      <c r="X82" s="5409"/>
      <c r="Y82" s="5277"/>
      <c r="Z82" s="5277"/>
    </row>
    <row r="83" spans="1:26" s="709" customFormat="1" ht="45">
      <c r="A83" s="4845" t="s">
        <v>263</v>
      </c>
      <c r="B83" s="5410" t="s">
        <v>7083</v>
      </c>
      <c r="C83" s="5328" t="s">
        <v>44</v>
      </c>
      <c r="D83" s="4906">
        <v>45376</v>
      </c>
      <c r="E83" s="889">
        <v>45376</v>
      </c>
      <c r="F83" s="4845" t="s">
        <v>63</v>
      </c>
      <c r="G83" s="4845" t="s">
        <v>265</v>
      </c>
      <c r="H83" s="4844">
        <v>45380</v>
      </c>
      <c r="I83" s="4844" t="s">
        <v>7084</v>
      </c>
      <c r="J83" s="4845" t="s">
        <v>377</v>
      </c>
      <c r="K83" s="4908" t="s">
        <v>7085</v>
      </c>
      <c r="L83" s="4848"/>
      <c r="M83" s="822">
        <v>45383</v>
      </c>
      <c r="N83" s="1189">
        <v>45379</v>
      </c>
      <c r="O83" s="4917">
        <v>45383</v>
      </c>
      <c r="P83" s="4909" t="s">
        <v>7086</v>
      </c>
      <c r="Q83" s="4908" t="s">
        <v>75</v>
      </c>
      <c r="R83" s="4909" t="s">
        <v>7087</v>
      </c>
      <c r="S83" s="4908"/>
      <c r="T83" s="4845">
        <v>3780.16</v>
      </c>
      <c r="U83" s="4908">
        <f>1857.5+170.16</f>
        <v>2027.66</v>
      </c>
      <c r="V83" s="4845">
        <v>1</v>
      </c>
      <c r="W83" s="4845">
        <f>表14[[#This Row],[Sales Amount]]-表14[[#This Row],[Cost]]</f>
        <v>1752.4999999999998</v>
      </c>
      <c r="X83" s="5060">
        <f>IFERROR(Table6[[#This Row],[Profit]]/Table6[[#This Row],[Cost]]," ")</f>
        <v>8.1818181818181818E-2</v>
      </c>
      <c r="Y83" s="4845"/>
      <c r="Z83" s="4845"/>
    </row>
    <row r="84" spans="1:26" s="3" customFormat="1" ht="75">
      <c r="A84" s="4845" t="s">
        <v>468</v>
      </c>
      <c r="B84" s="5354" t="s">
        <v>7088</v>
      </c>
      <c r="C84" s="5328" t="s">
        <v>28</v>
      </c>
      <c r="D84" s="4906">
        <v>45360</v>
      </c>
      <c r="E84" s="4907">
        <v>45381</v>
      </c>
      <c r="F84" s="4845" t="s">
        <v>1357</v>
      </c>
      <c r="G84" s="4845" t="s">
        <v>3510</v>
      </c>
      <c r="H84" s="4844">
        <v>45383</v>
      </c>
      <c r="I84" s="4844" t="s">
        <v>7089</v>
      </c>
      <c r="J84" s="4845" t="s">
        <v>2306</v>
      </c>
      <c r="K84" s="4947" t="s">
        <v>2313</v>
      </c>
      <c r="L84" s="5411" t="s">
        <v>7090</v>
      </c>
      <c r="M84" s="4918">
        <v>45383</v>
      </c>
      <c r="N84" s="4918">
        <v>45383</v>
      </c>
      <c r="O84" s="4917">
        <v>45383</v>
      </c>
      <c r="P84" s="4909" t="s">
        <v>7091</v>
      </c>
      <c r="Q84" s="4845" t="s">
        <v>75</v>
      </c>
      <c r="R84" s="4909" t="s">
        <v>7092</v>
      </c>
      <c r="S84" s="4845"/>
      <c r="T84" s="4947">
        <v>942.5</v>
      </c>
      <c r="U84" s="4845">
        <v>620.6</v>
      </c>
      <c r="V84" s="4845">
        <v>1</v>
      </c>
      <c r="W84" s="4845">
        <f>表14[[#This Row],[Sales Amount]]-表14[[#This Row],[Cost]]</f>
        <v>321.89999999999998</v>
      </c>
      <c r="X84" s="5060">
        <f>表14[[#This Row],[Profit]]/表14[[#This Row],[Cost]]</f>
        <v>0.51869158878504662</v>
      </c>
      <c r="Y84" s="4908" t="s">
        <v>5640</v>
      </c>
      <c r="Z84" s="4845"/>
    </row>
    <row r="85" spans="1:26" customFormat="1" ht="15.75">
      <c r="A85" s="5277" t="s">
        <v>2743</v>
      </c>
      <c r="B85" s="4335" t="s">
        <v>7093</v>
      </c>
      <c r="C85" s="5323" t="s">
        <v>44</v>
      </c>
      <c r="D85" s="5403">
        <v>45370</v>
      </c>
      <c r="E85" s="5071">
        <v>45377</v>
      </c>
      <c r="F85" s="4861" t="s">
        <v>93</v>
      </c>
      <c r="G85" s="5277" t="s">
        <v>46</v>
      </c>
      <c r="H85" s="5406"/>
      <c r="I85" s="5277"/>
      <c r="J85" s="5383" t="s">
        <v>32</v>
      </c>
      <c r="K85" s="4861" t="s">
        <v>47</v>
      </c>
      <c r="L85" s="5412" t="s">
        <v>7094</v>
      </c>
      <c r="M85" s="5406">
        <v>45379</v>
      </c>
      <c r="N85" s="5406">
        <v>45378</v>
      </c>
      <c r="O85" s="5406">
        <v>45380</v>
      </c>
      <c r="P85" s="5277" t="s">
        <v>7095</v>
      </c>
      <c r="Q85" s="5277"/>
      <c r="R85" s="5277" t="s">
        <v>7096</v>
      </c>
      <c r="S85" s="5277"/>
      <c r="T85" s="5277"/>
      <c r="U85" s="5277"/>
      <c r="V85" s="5277"/>
      <c r="W85" s="5277">
        <f>表12[[#This Row],[Sales Amount]]-表12[[#This Row],[Cost]]</f>
        <v>277</v>
      </c>
      <c r="X85" s="5409">
        <f>IFERROR(Table6[[#This Row],[Profit]]/Table6[[#This Row],[Cost]]," ")</f>
        <v>7.745726495726496E-2</v>
      </c>
      <c r="Y85" s="5277"/>
      <c r="Z85" s="5277"/>
    </row>
    <row r="86" spans="1:26" s="650" customFormat="1" ht="45">
      <c r="A86" s="1350" t="s">
        <v>409</v>
      </c>
      <c r="B86" s="5410" t="s">
        <v>7097</v>
      </c>
      <c r="C86" s="5413" t="s">
        <v>28</v>
      </c>
      <c r="D86" s="5069">
        <v>45364</v>
      </c>
      <c r="E86" s="4907">
        <v>45378</v>
      </c>
      <c r="F86" s="4964" t="s">
        <v>167</v>
      </c>
      <c r="G86" s="4951" t="s">
        <v>3492</v>
      </c>
      <c r="H86" s="4918">
        <v>45379</v>
      </c>
      <c r="I86" s="4918" t="s">
        <v>7098</v>
      </c>
      <c r="J86" s="4951" t="s">
        <v>2306</v>
      </c>
      <c r="K86" s="4951" t="s">
        <v>7099</v>
      </c>
      <c r="L86" s="5414" t="s">
        <v>7100</v>
      </c>
      <c r="M86" s="4936">
        <v>45380</v>
      </c>
      <c r="N86" s="4936">
        <v>45379</v>
      </c>
      <c r="O86" s="5069">
        <v>45380</v>
      </c>
      <c r="P86" s="4909" t="s">
        <v>7101</v>
      </c>
      <c r="Q86" s="4947" t="s">
        <v>75</v>
      </c>
      <c r="R86" s="4909" t="s">
        <v>7102</v>
      </c>
      <c r="S86" s="4947"/>
      <c r="T86" s="4947">
        <v>757.5</v>
      </c>
      <c r="U86" s="4909">
        <v>618.6</v>
      </c>
      <c r="V86" s="4947">
        <v>1</v>
      </c>
      <c r="W86" s="4947">
        <f>表14[[#This Row],[Sales Amount]]-表14[[#This Row],[Cost]]</f>
        <v>138.89999999999998</v>
      </c>
      <c r="X86" s="5111">
        <f>表14[[#This Row],[Profit]]/表14[[#This Row],[Cost]]</f>
        <v>0.22453928225024244</v>
      </c>
      <c r="Y86" s="4947"/>
      <c r="Z86" s="4947"/>
    </row>
    <row r="87" spans="1:26" s="3" customFormat="1">
      <c r="A87" s="1350" t="s">
        <v>409</v>
      </c>
      <c r="B87" s="5377" t="s">
        <v>7103</v>
      </c>
      <c r="C87" s="5323" t="s">
        <v>44</v>
      </c>
      <c r="D87" s="4863">
        <v>45371</v>
      </c>
      <c r="E87" s="5071">
        <v>45391</v>
      </c>
      <c r="F87" s="4861" t="s">
        <v>135</v>
      </c>
      <c r="G87" s="4861" t="s">
        <v>57</v>
      </c>
      <c r="H87" s="5406"/>
      <c r="I87" s="5277"/>
      <c r="J87" s="5326" t="s">
        <v>32</v>
      </c>
      <c r="K87" s="4861" t="s">
        <v>47</v>
      </c>
      <c r="L87" s="913">
        <v>6290683</v>
      </c>
      <c r="M87" s="5406">
        <v>45392</v>
      </c>
      <c r="N87" s="5406">
        <v>45391</v>
      </c>
      <c r="O87" s="5406">
        <v>45394</v>
      </c>
      <c r="P87" s="5277" t="s">
        <v>7104</v>
      </c>
      <c r="Q87" s="4861" t="s">
        <v>6852</v>
      </c>
      <c r="R87" s="5277" t="s">
        <v>7105</v>
      </c>
      <c r="S87" s="5277"/>
      <c r="T87" s="5277"/>
      <c r="U87" s="5277"/>
      <c r="V87" s="5277"/>
      <c r="W87" s="5277">
        <f>表12[[#This Row],[Sales Amount]]-表12[[#This Row],[Cost]]</f>
        <v>0</v>
      </c>
      <c r="X87" s="5409">
        <f>IFERROR(Table6[[#This Row],[Profit]]/Table6[[#This Row],[Cost]]," ")</f>
        <v>8.9223344975604552E-2</v>
      </c>
      <c r="Y87" s="5277"/>
      <c r="Z87" s="5277"/>
    </row>
    <row r="88" spans="1:26" s="650" customFormat="1" ht="60">
      <c r="A88" s="4845" t="s">
        <v>468</v>
      </c>
      <c r="B88" s="5354" t="s">
        <v>7106</v>
      </c>
      <c r="C88" s="5328" t="s">
        <v>200</v>
      </c>
      <c r="D88" s="4906">
        <v>45357</v>
      </c>
      <c r="E88" s="872">
        <v>45377</v>
      </c>
      <c r="F88" s="4845" t="s">
        <v>93</v>
      </c>
      <c r="G88" s="4845" t="s">
        <v>4274</v>
      </c>
      <c r="H88" s="4844">
        <v>45384</v>
      </c>
      <c r="I88" s="4844" t="s">
        <v>926</v>
      </c>
      <c r="J88" s="4845" t="s">
        <v>695</v>
      </c>
      <c r="K88" s="4845" t="s">
        <v>3200</v>
      </c>
      <c r="L88" s="4848">
        <v>3814</v>
      </c>
      <c r="M88" s="4844">
        <v>45378</v>
      </c>
      <c r="N88" s="4844">
        <v>45378</v>
      </c>
      <c r="O88" s="4917">
        <v>45384</v>
      </c>
      <c r="P88" s="4909" t="s">
        <v>7107</v>
      </c>
      <c r="Q88" s="4845" t="s">
        <v>75</v>
      </c>
      <c r="R88" s="5045" t="s">
        <v>7108</v>
      </c>
      <c r="S88" s="4874"/>
      <c r="T88" s="5415">
        <v>1585</v>
      </c>
      <c r="U88" s="4874"/>
      <c r="V88" s="4874">
        <v>1</v>
      </c>
      <c r="W88" s="4874">
        <f>表12[[#This Row],[Sales Amount]]-表12[[#This Row],[Cost]]</f>
        <v>0</v>
      </c>
      <c r="X88" s="5184" t="str">
        <f>IFERROR(Table6[[#This Row],[Profit]]/Table6[[#This Row],[Cost]]," ")</f>
        <v xml:space="preserve"> </v>
      </c>
      <c r="Y88" s="4908" t="s">
        <v>5640</v>
      </c>
      <c r="Z88" s="4874"/>
    </row>
    <row r="89" spans="1:26" s="117" customFormat="1" ht="30">
      <c r="A89" s="4845" t="s">
        <v>122</v>
      </c>
      <c r="B89" s="5354" t="s">
        <v>7109</v>
      </c>
      <c r="C89" s="5328" t="s">
        <v>44</v>
      </c>
      <c r="D89" s="822">
        <v>45356</v>
      </c>
      <c r="E89" s="4907">
        <v>45379</v>
      </c>
      <c r="F89" s="4938" t="s">
        <v>1828</v>
      </c>
      <c r="G89" s="4938" t="s">
        <v>302</v>
      </c>
      <c r="H89" s="4906" t="s">
        <v>162</v>
      </c>
      <c r="I89" s="4845" t="s">
        <v>162</v>
      </c>
      <c r="J89" s="4845" t="s">
        <v>0</v>
      </c>
      <c r="K89" s="5133" t="s">
        <v>6718</v>
      </c>
      <c r="L89" s="5416" t="s">
        <v>7110</v>
      </c>
      <c r="M89" s="4906">
        <v>45383</v>
      </c>
      <c r="N89" s="4906">
        <v>45382</v>
      </c>
      <c r="O89" s="4906">
        <v>45383</v>
      </c>
      <c r="P89" s="4909" t="s">
        <v>7111</v>
      </c>
      <c r="Q89" s="4938" t="s">
        <v>75</v>
      </c>
      <c r="R89" s="4329" t="s">
        <v>7112</v>
      </c>
      <c r="S89" s="4845"/>
      <c r="T89" s="4845"/>
      <c r="U89" s="4845"/>
      <c r="V89" s="4845"/>
      <c r="W89" s="4845">
        <f>表12[[#This Row],[Sales Amount]]-表12[[#This Row],[Cost]]</f>
        <v>0</v>
      </c>
      <c r="X89" s="5060">
        <f>IFERROR(Table6[[#This Row],[Profit]]/Table6[[#This Row],[Cost]]," ")</f>
        <v>0.13790760869565216</v>
      </c>
      <c r="Y89" s="4908" t="s">
        <v>5640</v>
      </c>
      <c r="Z89" s="4845"/>
    </row>
    <row r="90" spans="1:26" s="117" customFormat="1" ht="30">
      <c r="A90" s="4845" t="s">
        <v>468</v>
      </c>
      <c r="B90" s="5354" t="s">
        <v>7113</v>
      </c>
      <c r="C90" s="5328" t="s">
        <v>200</v>
      </c>
      <c r="D90" s="4906">
        <v>45357</v>
      </c>
      <c r="E90" s="4945">
        <v>45377</v>
      </c>
      <c r="F90" s="4845" t="s">
        <v>93</v>
      </c>
      <c r="G90" s="4845" t="s">
        <v>4274</v>
      </c>
      <c r="H90" s="4844">
        <v>45383</v>
      </c>
      <c r="I90" s="4844" t="s">
        <v>926</v>
      </c>
      <c r="J90" s="4845" t="s">
        <v>695</v>
      </c>
      <c r="K90" s="4845" t="s">
        <v>3200</v>
      </c>
      <c r="L90" s="4848">
        <v>3468</v>
      </c>
      <c r="M90" s="4844">
        <v>45378</v>
      </c>
      <c r="N90" s="4844">
        <v>45378</v>
      </c>
      <c r="O90" s="4917">
        <v>45383</v>
      </c>
      <c r="P90" s="4909" t="s">
        <v>7114</v>
      </c>
      <c r="Q90" s="4845" t="s">
        <v>75</v>
      </c>
      <c r="R90" s="5045" t="s">
        <v>7115</v>
      </c>
      <c r="S90" s="4845"/>
      <c r="T90" s="5190">
        <v>1480</v>
      </c>
      <c r="U90" s="4909">
        <v>922.35</v>
      </c>
      <c r="V90" s="4845">
        <v>1</v>
      </c>
      <c r="W90" s="5417">
        <f>表14[[#This Row],[Sales Amount]]-表14[[#This Row],[Cost]]</f>
        <v>557.65</v>
      </c>
      <c r="X90" s="5060">
        <f>IFERROR(Table6[[#This Row],[Profit]]/Table6[[#This Row],[Cost]]," ")</f>
        <v>0.58367346938775511</v>
      </c>
      <c r="Y90" s="4908" t="s">
        <v>5640</v>
      </c>
      <c r="Z90" s="4845"/>
    </row>
    <row r="91" spans="1:26" s="3" customFormat="1" ht="30">
      <c r="A91" s="4845" t="s">
        <v>122</v>
      </c>
      <c r="B91" s="5354" t="s">
        <v>7116</v>
      </c>
      <c r="C91" s="5328" t="s">
        <v>44</v>
      </c>
      <c r="D91" s="4906">
        <v>45356</v>
      </c>
      <c r="E91" s="4907">
        <v>45379</v>
      </c>
      <c r="F91" s="4938" t="s">
        <v>1828</v>
      </c>
      <c r="G91" s="4938" t="s">
        <v>302</v>
      </c>
      <c r="H91" s="4906" t="s">
        <v>162</v>
      </c>
      <c r="I91" s="4845" t="s">
        <v>162</v>
      </c>
      <c r="J91" s="4845" t="s">
        <v>0</v>
      </c>
      <c r="K91" s="5133" t="s">
        <v>6718</v>
      </c>
      <c r="L91" s="5416" t="s">
        <v>7117</v>
      </c>
      <c r="M91" s="4906">
        <v>45383</v>
      </c>
      <c r="N91" s="4906">
        <v>45383</v>
      </c>
      <c r="O91" s="4961">
        <v>45384</v>
      </c>
      <c r="P91" s="4909" t="s">
        <v>7118</v>
      </c>
      <c r="Q91" s="4938" t="s">
        <v>75</v>
      </c>
      <c r="R91" s="4909" t="s">
        <v>7119</v>
      </c>
      <c r="S91" s="4845"/>
      <c r="T91" s="4845"/>
      <c r="U91" s="4845"/>
      <c r="V91" s="4845"/>
      <c r="W91" s="4845">
        <f>表12[[#This Row],[Sales Amount]]-表12[[#This Row],[Cost]]</f>
        <v>0</v>
      </c>
      <c r="X91" s="5060">
        <f>IFERROR(Table6[[#This Row],[Profit]]/Table6[[#This Row],[Cost]]," ")</f>
        <v>0.32183908045977011</v>
      </c>
      <c r="Y91" s="4845" t="s">
        <v>5640</v>
      </c>
      <c r="Z91" s="4845"/>
    </row>
    <row r="92" spans="1:26" s="117" customFormat="1">
      <c r="A92" s="4839" t="s">
        <v>6641</v>
      </c>
      <c r="B92" s="2572" t="s">
        <v>7120</v>
      </c>
      <c r="C92" s="5323" t="s">
        <v>28</v>
      </c>
      <c r="D92" s="4957">
        <v>45359</v>
      </c>
      <c r="E92" s="5071">
        <v>45380</v>
      </c>
      <c r="F92" s="4839" t="s">
        <v>245</v>
      </c>
      <c r="G92" s="4839" t="s">
        <v>3424</v>
      </c>
      <c r="H92" s="4839"/>
      <c r="I92" s="4839"/>
      <c r="J92" s="4901" t="s">
        <v>32</v>
      </c>
      <c r="K92" s="4839" t="s">
        <v>310</v>
      </c>
      <c r="L92" s="5206">
        <v>903729</v>
      </c>
      <c r="M92" s="4957">
        <v>45382</v>
      </c>
      <c r="N92" s="4957">
        <v>45381</v>
      </c>
      <c r="O92" s="4897">
        <v>45383</v>
      </c>
      <c r="P92" s="1132" t="s">
        <v>7121</v>
      </c>
      <c r="Q92" s="4839" t="s">
        <v>50</v>
      </c>
      <c r="R92" s="4870" t="s">
        <v>7122</v>
      </c>
      <c r="S92" s="4870"/>
      <c r="T92" s="4870"/>
      <c r="U92" s="4870"/>
      <c r="V92" s="4870"/>
      <c r="W92" s="4870">
        <f>表12[[#This Row],[Sales Amount]]-表12[[#This Row],[Cost]]</f>
        <v>4660</v>
      </c>
      <c r="X92" s="5418">
        <f>IFERROR(Table6[[#This Row],[Profit]]/Table6[[#This Row],[Cost]]," ")</f>
        <v>0.28912071535022354</v>
      </c>
      <c r="Y92" s="4870"/>
      <c r="Z92" s="4870"/>
    </row>
    <row r="93" spans="1:26" s="709" customFormat="1">
      <c r="A93" s="4839" t="s">
        <v>329</v>
      </c>
      <c r="B93" s="2571" t="s">
        <v>7123</v>
      </c>
      <c r="C93" s="5351" t="s">
        <v>28</v>
      </c>
      <c r="D93" s="4897">
        <v>45352</v>
      </c>
      <c r="E93" s="4912">
        <v>45380</v>
      </c>
      <c r="F93" s="4839" t="s">
        <v>285</v>
      </c>
      <c r="G93" s="4870" t="s">
        <v>30</v>
      </c>
      <c r="H93" s="5028">
        <v>45383</v>
      </c>
      <c r="I93" s="4869" t="s">
        <v>115</v>
      </c>
      <c r="J93" s="4839" t="s">
        <v>1353</v>
      </c>
      <c r="K93" s="4839" t="s">
        <v>331</v>
      </c>
      <c r="L93" s="4841">
        <v>157436</v>
      </c>
      <c r="M93" s="4990">
        <v>45382</v>
      </c>
      <c r="N93" s="4990">
        <v>45380</v>
      </c>
      <c r="O93" s="4897">
        <v>45383</v>
      </c>
      <c r="P93" s="4913" t="s">
        <v>6919</v>
      </c>
      <c r="Q93" s="4870" t="s">
        <v>35</v>
      </c>
      <c r="R93" s="2454" t="s">
        <v>36</v>
      </c>
      <c r="S93" s="4870" t="s">
        <v>37</v>
      </c>
      <c r="T93" s="4892">
        <v>3655</v>
      </c>
      <c r="U93" s="4892">
        <v>3030</v>
      </c>
      <c r="V93" s="4892">
        <v>3</v>
      </c>
      <c r="W93" s="4892">
        <f>表12[[#This Row],[Sales Amount]]-表12[[#This Row],[Cost]]</f>
        <v>0</v>
      </c>
      <c r="X93" s="5381">
        <f>IFERROR(Table6[[#This Row],[Profit]]/Table6[[#This Row],[Cost]]," ")</f>
        <v>0.39274279615795088</v>
      </c>
      <c r="Y93" s="4892"/>
      <c r="Z93" s="4892"/>
    </row>
    <row r="94" spans="1:26" s="709" customFormat="1">
      <c r="A94" s="4861" t="s">
        <v>3343</v>
      </c>
      <c r="B94" s="5334" t="s">
        <v>7124</v>
      </c>
      <c r="C94" s="5323" t="s">
        <v>1508</v>
      </c>
      <c r="D94" s="4863">
        <v>45373</v>
      </c>
      <c r="E94" s="1631">
        <v>45380</v>
      </c>
      <c r="F94" s="4861" t="s">
        <v>93</v>
      </c>
      <c r="G94" s="4861" t="s">
        <v>738</v>
      </c>
      <c r="H94" s="5406"/>
      <c r="I94" s="5277"/>
      <c r="J94" s="5326" t="s">
        <v>738</v>
      </c>
      <c r="K94" s="4861" t="s">
        <v>47</v>
      </c>
      <c r="L94" s="4839" t="s">
        <v>738</v>
      </c>
      <c r="M94" s="5406" t="s">
        <v>738</v>
      </c>
      <c r="N94" s="5406" t="s">
        <v>738</v>
      </c>
      <c r="O94" s="5419"/>
      <c r="P94" s="2144" t="s">
        <v>7125</v>
      </c>
      <c r="Q94" s="5003" t="s">
        <v>6852</v>
      </c>
      <c r="R94" s="5003" t="s">
        <v>51</v>
      </c>
      <c r="S94" s="5003"/>
      <c r="T94" s="5003"/>
      <c r="U94" s="5283"/>
      <c r="V94" s="5283"/>
      <c r="W94" s="5283">
        <f>表12[[#This Row],[Sales Amount]]-表12[[#This Row],[Cost]]</f>
        <v>0</v>
      </c>
      <c r="X94" s="5420">
        <f>IFERROR(Table6[[#This Row],[Profit]]/Table6[[#This Row],[Cost]]," ")</f>
        <v>0.28415300546448086</v>
      </c>
      <c r="Y94" s="5283"/>
      <c r="Z94" s="5283"/>
    </row>
    <row r="95" spans="1:26">
      <c r="A95" s="1350" t="s">
        <v>409</v>
      </c>
      <c r="B95" s="5377" t="s">
        <v>7126</v>
      </c>
      <c r="C95" s="5323" t="s">
        <v>44</v>
      </c>
      <c r="D95" s="5403">
        <v>45372</v>
      </c>
      <c r="E95" s="1631">
        <v>45380</v>
      </c>
      <c r="F95" s="4861" t="s">
        <v>45</v>
      </c>
      <c r="G95" s="4861" t="s">
        <v>46</v>
      </c>
      <c r="H95" s="5406"/>
      <c r="I95" s="5277"/>
      <c r="J95" s="5326" t="s">
        <v>32</v>
      </c>
      <c r="K95" s="4861" t="s">
        <v>47</v>
      </c>
      <c r="L95" s="5256" t="s">
        <v>7127</v>
      </c>
      <c r="M95" s="5406">
        <v>45383</v>
      </c>
      <c r="N95" s="5406">
        <v>45381</v>
      </c>
      <c r="O95" s="5406">
        <v>45383</v>
      </c>
      <c r="P95" s="5277" t="s">
        <v>7128</v>
      </c>
      <c r="Q95" s="5277" t="s">
        <v>6852</v>
      </c>
      <c r="R95" s="5277" t="s">
        <v>7129</v>
      </c>
      <c r="S95" s="5277"/>
      <c r="T95" s="5277"/>
      <c r="U95" s="5277"/>
      <c r="V95" s="5277"/>
      <c r="W95" s="5277">
        <f>表12[[#This Row],[Sales Amount]]-表12[[#This Row],[Cost]]</f>
        <v>0</v>
      </c>
      <c r="X95" s="5409">
        <f>IFERROR(Table6[[#This Row],[Profit]]/Table6[[#This Row],[Cost]]," ")</f>
        <v>0.18181818181818182</v>
      </c>
      <c r="Y95" s="5277"/>
      <c r="Z95" s="5277"/>
    </row>
    <row r="96" spans="1:26" s="709" customFormat="1" ht="30">
      <c r="A96" s="1617" t="s">
        <v>2505</v>
      </c>
      <c r="B96" s="4337" t="s">
        <v>7130</v>
      </c>
      <c r="C96" s="2570" t="s">
        <v>28</v>
      </c>
      <c r="D96" s="822">
        <v>45358</v>
      </c>
      <c r="E96" s="889">
        <v>45379</v>
      </c>
      <c r="F96" s="1617" t="s">
        <v>167</v>
      </c>
      <c r="G96" s="1617" t="s">
        <v>3015</v>
      </c>
      <c r="H96" s="4844">
        <v>45383</v>
      </c>
      <c r="I96" s="4844" t="s">
        <v>7131</v>
      </c>
      <c r="J96" s="1617" t="s">
        <v>7132</v>
      </c>
      <c r="K96" s="1617" t="s">
        <v>2508</v>
      </c>
      <c r="L96" s="4305" t="s">
        <v>7133</v>
      </c>
      <c r="M96" s="839">
        <v>45381</v>
      </c>
      <c r="N96" s="822">
        <v>45380</v>
      </c>
      <c r="O96" s="4906">
        <v>45383</v>
      </c>
      <c r="P96" s="4104" t="s">
        <v>7134</v>
      </c>
      <c r="Q96" s="117" t="s">
        <v>75</v>
      </c>
      <c r="R96" s="4150" t="s">
        <v>7135</v>
      </c>
      <c r="S96" s="117"/>
      <c r="T96" s="4243">
        <v>1548</v>
      </c>
      <c r="U96" s="1437">
        <f>1036.25+128</f>
        <v>1164.25</v>
      </c>
      <c r="V96" s="117"/>
      <c r="W96" s="1437">
        <f>表14[[#This Row],[Sales Amount]]-表14[[#This Row],[Cost]]</f>
        <v>383.75</v>
      </c>
      <c r="X96" s="905">
        <f>表14[[#This Row],[Profit]]/表14[[#This Row],[Cost]]</f>
        <v>0.32961133777109725</v>
      </c>
      <c r="Y96" s="117"/>
      <c r="Z96" s="117"/>
    </row>
    <row r="97" spans="1:26" s="1594" customFormat="1">
      <c r="A97" s="4209" t="s">
        <v>4793</v>
      </c>
      <c r="B97" s="2604" t="s">
        <v>7136</v>
      </c>
      <c r="C97" s="4341" t="s">
        <v>28</v>
      </c>
      <c r="D97" s="4342">
        <v>45372</v>
      </c>
      <c r="E97" s="2600">
        <v>45381</v>
      </c>
      <c r="F97" s="4209" t="s">
        <v>86</v>
      </c>
      <c r="G97" s="4209" t="s">
        <v>46</v>
      </c>
      <c r="H97" s="5421"/>
      <c r="I97" s="5421"/>
      <c r="J97" s="2605" t="s">
        <v>32</v>
      </c>
      <c r="K97" s="4209" t="s">
        <v>47</v>
      </c>
      <c r="L97" s="2817" t="s">
        <v>7137</v>
      </c>
      <c r="M97" s="4343">
        <v>45384</v>
      </c>
      <c r="N97" s="4343">
        <v>45383</v>
      </c>
      <c r="O97" s="4343">
        <v>45385</v>
      </c>
      <c r="P97" s="4209" t="s">
        <v>7138</v>
      </c>
      <c r="Q97" s="4209" t="s">
        <v>6852</v>
      </c>
      <c r="R97" s="4209" t="s">
        <v>51</v>
      </c>
      <c r="S97" s="4209"/>
      <c r="T97" s="4209"/>
      <c r="U97" s="4209"/>
      <c r="V97" s="4209"/>
      <c r="W97" s="4209">
        <f>表12[[#This Row],[Sales Amount]]-表12[[#This Row],[Cost]]</f>
        <v>0</v>
      </c>
      <c r="X97" s="4344">
        <f>IFERROR(Table6[[#This Row],[Profit]]/Table6[[#This Row],[Cost]]," ")</f>
        <v>0.22988505747126436</v>
      </c>
      <c r="Y97" s="4209"/>
      <c r="Z97" s="4209"/>
    </row>
    <row r="98" spans="1:26" customFormat="1">
      <c r="A98" s="1350" t="s">
        <v>409</v>
      </c>
      <c r="B98" s="4335" t="s">
        <v>7139</v>
      </c>
      <c r="C98" s="2566" t="s">
        <v>44</v>
      </c>
      <c r="D98" s="1194">
        <v>45372</v>
      </c>
      <c r="E98" s="1631">
        <v>45381</v>
      </c>
      <c r="F98" s="709" t="s">
        <v>45</v>
      </c>
      <c r="G98" s="709" t="s">
        <v>46</v>
      </c>
      <c r="H98" s="5406"/>
      <c r="I98" s="5277"/>
      <c r="J98" s="2348" t="s">
        <v>32</v>
      </c>
      <c r="K98" s="709" t="s">
        <v>47</v>
      </c>
      <c r="L98" s="2818" t="s">
        <v>7140</v>
      </c>
      <c r="M98" s="1416">
        <v>45384</v>
      </c>
      <c r="N98" s="1416">
        <v>45383</v>
      </c>
      <c r="O98" s="1416">
        <v>45384</v>
      </c>
      <c r="P98" s="1350" t="s">
        <v>7141</v>
      </c>
      <c r="Q98" s="1350" t="s">
        <v>6852</v>
      </c>
      <c r="R98" s="1350" t="s">
        <v>7142</v>
      </c>
      <c r="S98" s="1350"/>
      <c r="T98" s="1350"/>
      <c r="U98" s="1350"/>
      <c r="V98" s="1350"/>
      <c r="W98" s="1350">
        <f>表12[[#This Row],[Sales Amount]]-表12[[#This Row],[Cost]]</f>
        <v>0</v>
      </c>
      <c r="X98" s="2437">
        <f>IFERROR(Table6[[#This Row],[Profit]]/Table6[[#This Row],[Cost]]," ")</f>
        <v>0.22988505747126436</v>
      </c>
      <c r="Y98" s="1350"/>
      <c r="Z98" s="1350"/>
    </row>
    <row r="99" spans="1:26" s="650" customFormat="1">
      <c r="A99" s="3268" t="s">
        <v>263</v>
      </c>
      <c r="B99" s="4150" t="s">
        <v>7143</v>
      </c>
      <c r="C99" s="2581" t="s">
        <v>44</v>
      </c>
      <c r="D99" s="822">
        <v>45379</v>
      </c>
      <c r="E99" s="889">
        <v>45379</v>
      </c>
      <c r="F99" s="117" t="s">
        <v>135</v>
      </c>
      <c r="G99" s="117" t="s">
        <v>6295</v>
      </c>
      <c r="H99" s="4917">
        <v>45384</v>
      </c>
      <c r="I99" s="4917" t="s">
        <v>445</v>
      </c>
      <c r="J99" s="3268" t="s">
        <v>6296</v>
      </c>
      <c r="K99" s="117" t="s">
        <v>5799</v>
      </c>
      <c r="L99" s="25"/>
      <c r="M99" s="822">
        <v>45387</v>
      </c>
      <c r="N99" s="1189">
        <v>45383</v>
      </c>
      <c r="O99" s="1189">
        <v>45385</v>
      </c>
      <c r="P99" s="4150" t="s">
        <v>7144</v>
      </c>
      <c r="Q99" s="4908" t="s">
        <v>75</v>
      </c>
      <c r="R99" s="4909" t="s">
        <v>7145</v>
      </c>
      <c r="S99" s="4845"/>
      <c r="T99" s="1437">
        <v>2141.12</v>
      </c>
      <c r="U99" s="117">
        <v>1357.5</v>
      </c>
      <c r="V99" s="117">
        <v>1</v>
      </c>
      <c r="W99" s="117">
        <f>表12[[#This Row],[Sales Amount]]-表12[[#This Row],[Cost]]</f>
        <v>0</v>
      </c>
      <c r="X99" s="905">
        <f>IFERROR(Table6[[#This Row],[Profit]]/Table6[[#This Row],[Cost]]," ")</f>
        <v>0.24218907478330975</v>
      </c>
      <c r="Y99" s="117"/>
      <c r="Z99" s="117"/>
    </row>
    <row r="100" spans="1:26" s="3" customFormat="1" ht="30">
      <c r="A100" s="4845" t="s">
        <v>5114</v>
      </c>
      <c r="B100" s="4337" t="s">
        <v>7146</v>
      </c>
      <c r="C100" s="5328" t="s">
        <v>28</v>
      </c>
      <c r="D100" s="822">
        <v>45377</v>
      </c>
      <c r="E100" s="889">
        <v>45382</v>
      </c>
      <c r="F100" s="117" t="s">
        <v>260</v>
      </c>
      <c r="G100" s="766" t="s">
        <v>7147</v>
      </c>
      <c r="H100" s="4906">
        <v>45385</v>
      </c>
      <c r="I100" s="4908" t="s">
        <v>495</v>
      </c>
      <c r="J100" s="4947" t="s">
        <v>3114</v>
      </c>
      <c r="K100" s="4845" t="s">
        <v>7148</v>
      </c>
      <c r="L100" s="765">
        <v>51685100</v>
      </c>
      <c r="M100" s="839">
        <v>45384</v>
      </c>
      <c r="N100" s="839">
        <v>45384</v>
      </c>
      <c r="O100" s="822">
        <v>45385</v>
      </c>
      <c r="P100" s="4104" t="s">
        <v>7149</v>
      </c>
      <c r="Q100" s="4845" t="s">
        <v>75</v>
      </c>
      <c r="R100" s="4909" t="s">
        <v>7150</v>
      </c>
      <c r="S100" s="4845"/>
      <c r="T100" s="117">
        <v>890</v>
      </c>
      <c r="U100" s="117">
        <v>628.75</v>
      </c>
      <c r="V100" s="117">
        <v>1</v>
      </c>
      <c r="W100" s="117">
        <f>表14[[#This Row],[Sales Amount]]-表14[[#This Row],[Cost]]</f>
        <v>261.25</v>
      </c>
      <c r="X100" s="905">
        <f>表14[[#This Row],[Profit]]/表14[[#This Row],[Cost]]</f>
        <v>0.41550695825049699</v>
      </c>
      <c r="Y100" s="117"/>
      <c r="Z100" s="117"/>
    </row>
    <row r="101" spans="1:26" s="117" customFormat="1">
      <c r="A101" s="709" t="s">
        <v>3343</v>
      </c>
      <c r="B101" s="4335" t="s">
        <v>7151</v>
      </c>
      <c r="C101" s="2566" t="s">
        <v>44</v>
      </c>
      <c r="D101" s="1194">
        <v>45372</v>
      </c>
      <c r="E101" s="1631">
        <v>45382</v>
      </c>
      <c r="F101" s="709" t="s">
        <v>45</v>
      </c>
      <c r="G101" s="709" t="s">
        <v>46</v>
      </c>
      <c r="H101" s="5406"/>
      <c r="I101" s="5277"/>
      <c r="J101" s="2348" t="s">
        <v>32</v>
      </c>
      <c r="K101" s="709" t="s">
        <v>47</v>
      </c>
      <c r="L101" s="2819" t="s">
        <v>7152</v>
      </c>
      <c r="M101" s="1416">
        <v>45384</v>
      </c>
      <c r="N101" s="1416">
        <v>45383</v>
      </c>
      <c r="O101" s="1416">
        <v>45386</v>
      </c>
      <c r="P101" s="1350" t="s">
        <v>7153</v>
      </c>
      <c r="Q101" s="1350" t="s">
        <v>6852</v>
      </c>
      <c r="R101" s="1350" t="s">
        <v>7154</v>
      </c>
      <c r="S101" s="1350"/>
      <c r="T101" s="1350"/>
      <c r="U101" s="1350"/>
      <c r="V101" s="1350"/>
      <c r="W101" s="1350">
        <f>表12[[#This Row],[Sales Amount]]-表12[[#This Row],[Cost]]</f>
        <v>4200</v>
      </c>
      <c r="X101" s="2437">
        <f>IFERROR(Table6[[#This Row],[Profit]]/Table6[[#This Row],[Cost]]," ")</f>
        <v>0.22988505747126436</v>
      </c>
      <c r="Y101" s="1350"/>
      <c r="Z101" s="1350"/>
    </row>
    <row r="102" spans="1:26" s="709" customFormat="1">
      <c r="A102" s="58" t="s">
        <v>1431</v>
      </c>
      <c r="B102" s="4335" t="s">
        <v>7155</v>
      </c>
      <c r="C102" s="2566" t="s">
        <v>28</v>
      </c>
      <c r="D102" s="1139">
        <v>45360</v>
      </c>
      <c r="E102" s="1631">
        <v>45383</v>
      </c>
      <c r="F102" s="58" t="s">
        <v>285</v>
      </c>
      <c r="G102" s="58" t="s">
        <v>30</v>
      </c>
      <c r="H102" s="4876">
        <v>45384</v>
      </c>
      <c r="I102" s="4876" t="s">
        <v>115</v>
      </c>
      <c r="J102" s="913" t="s">
        <v>32</v>
      </c>
      <c r="K102" s="58" t="s">
        <v>1433</v>
      </c>
      <c r="L102" s="915">
        <v>389050</v>
      </c>
      <c r="M102" s="1115">
        <v>45385</v>
      </c>
      <c r="N102" s="844">
        <v>45384</v>
      </c>
      <c r="O102" s="844">
        <v>45384</v>
      </c>
      <c r="P102" s="709" t="s">
        <v>7156</v>
      </c>
      <c r="Q102" s="58" t="s">
        <v>35</v>
      </c>
      <c r="R102" s="2454" t="s">
        <v>36</v>
      </c>
      <c r="S102" s="58" t="s">
        <v>37</v>
      </c>
      <c r="T102" s="106">
        <v>1663.5</v>
      </c>
      <c r="U102" s="106">
        <v>1455</v>
      </c>
      <c r="V102" s="106"/>
      <c r="W102" s="106">
        <f>表12[[#This Row],[Sales Amount]]-表12[[#This Row],[Cost]]</f>
        <v>0</v>
      </c>
      <c r="X102" s="876">
        <f>IFERROR(Table6[[#This Row],[Profit]]/Table6[[#This Row],[Cost]]," ")</f>
        <v>4.3165467625899283E-2</v>
      </c>
      <c r="Y102" s="106"/>
      <c r="Z102" s="106"/>
    </row>
    <row r="103" spans="1:26" s="709" customFormat="1">
      <c r="A103" s="58" t="s">
        <v>1431</v>
      </c>
      <c r="B103" s="4335" t="s">
        <v>7157</v>
      </c>
      <c r="C103" s="5323" t="s">
        <v>28</v>
      </c>
      <c r="D103" s="1139">
        <v>45360</v>
      </c>
      <c r="E103" s="1631">
        <v>45383</v>
      </c>
      <c r="F103" s="58" t="s">
        <v>285</v>
      </c>
      <c r="G103" s="58" t="s">
        <v>30</v>
      </c>
      <c r="H103" s="4860"/>
      <c r="I103" s="4860"/>
      <c r="J103" s="3347" t="s">
        <v>32</v>
      </c>
      <c r="K103" s="58" t="s">
        <v>3445</v>
      </c>
      <c r="L103" s="915">
        <v>130361</v>
      </c>
      <c r="M103" s="1115">
        <v>45385</v>
      </c>
      <c r="N103" s="844">
        <v>45385</v>
      </c>
      <c r="O103" s="844">
        <v>45386</v>
      </c>
      <c r="P103" s="650" t="s">
        <v>7158</v>
      </c>
      <c r="Q103" s="4839" t="s">
        <v>35</v>
      </c>
      <c r="R103" s="4839" t="s">
        <v>36</v>
      </c>
      <c r="S103" s="4839" t="s">
        <v>7159</v>
      </c>
      <c r="T103" s="106"/>
      <c r="U103" s="106"/>
      <c r="V103" s="106"/>
      <c r="W103" s="106">
        <f>表12[[#This Row],[Sales Amount]]-表12[[#This Row],[Cost]]</f>
        <v>0</v>
      </c>
      <c r="X103" s="876" t="str">
        <f>IFERROR(Table6[[#This Row],[Profit]]/Table6[[#This Row],[Cost]]," ")</f>
        <v xml:space="preserve"> </v>
      </c>
      <c r="Y103" s="106"/>
      <c r="Z103" s="106"/>
    </row>
    <row r="104" spans="1:26">
      <c r="A104" s="58" t="s">
        <v>1431</v>
      </c>
      <c r="B104" s="4335" t="s">
        <v>7160</v>
      </c>
      <c r="C104" s="5323" t="s">
        <v>28</v>
      </c>
      <c r="D104" s="1139">
        <v>45360</v>
      </c>
      <c r="E104" s="1631">
        <v>45383</v>
      </c>
      <c r="F104" s="58" t="s">
        <v>285</v>
      </c>
      <c r="G104" s="58" t="s">
        <v>30</v>
      </c>
      <c r="H104" s="4876">
        <v>45385</v>
      </c>
      <c r="I104" s="4876" t="s">
        <v>115</v>
      </c>
      <c r="J104" s="3347" t="s">
        <v>32</v>
      </c>
      <c r="K104" s="58" t="s">
        <v>1433</v>
      </c>
      <c r="L104" s="915">
        <v>367488</v>
      </c>
      <c r="M104" s="1115">
        <v>45385</v>
      </c>
      <c r="N104" s="844">
        <v>45385</v>
      </c>
      <c r="O104" s="844">
        <v>45385</v>
      </c>
      <c r="P104" s="650" t="s">
        <v>7161</v>
      </c>
      <c r="Q104" s="4839" t="s">
        <v>35</v>
      </c>
      <c r="R104" s="2454" t="s">
        <v>36</v>
      </c>
      <c r="S104" s="4839" t="s">
        <v>37</v>
      </c>
      <c r="T104" s="106">
        <v>1663.5</v>
      </c>
      <c r="U104" s="106">
        <v>1455</v>
      </c>
      <c r="W104" s="106">
        <f>表12[[#This Row],[Sales Amount]]-表12[[#This Row],[Cost]]</f>
        <v>275</v>
      </c>
      <c r="X104" s="876">
        <f>IFERROR(Table6[[#This Row],[Profit]]/Table6[[#This Row],[Cost]]," ")</f>
        <v>0.15713031681430062</v>
      </c>
    </row>
    <row r="105" spans="1:26" ht="45">
      <c r="A105" s="1617" t="s">
        <v>2489</v>
      </c>
      <c r="B105" s="2642" t="s">
        <v>7162</v>
      </c>
      <c r="C105" s="5328" t="s">
        <v>28</v>
      </c>
      <c r="D105" s="822">
        <v>45358</v>
      </c>
      <c r="E105" s="889">
        <v>45384</v>
      </c>
      <c r="F105" s="117" t="s">
        <v>167</v>
      </c>
      <c r="G105" s="1617" t="s">
        <v>7002</v>
      </c>
      <c r="H105" s="4906">
        <v>45385</v>
      </c>
      <c r="I105" s="4908" t="s">
        <v>178</v>
      </c>
      <c r="J105" s="3430" t="s">
        <v>322</v>
      </c>
      <c r="K105" s="117" t="s">
        <v>1105</v>
      </c>
      <c r="L105" s="4154" t="s">
        <v>7163</v>
      </c>
      <c r="M105" s="822">
        <v>45386</v>
      </c>
      <c r="N105" s="4173">
        <v>45384</v>
      </c>
      <c r="O105" s="822">
        <v>45385</v>
      </c>
      <c r="P105" s="794" t="s">
        <v>7164</v>
      </c>
      <c r="Q105" s="4845" t="s">
        <v>75</v>
      </c>
      <c r="R105" s="4909" t="s">
        <v>7165</v>
      </c>
      <c r="S105" s="4845"/>
      <c r="T105" s="1437">
        <v>1435</v>
      </c>
      <c r="U105" s="1437">
        <v>955.5</v>
      </c>
      <c r="V105" s="117">
        <v>1</v>
      </c>
      <c r="W105" s="1437">
        <f>表14[[#This Row],[Sales Amount]]-表14[[#This Row],[Cost]]</f>
        <v>479.5</v>
      </c>
      <c r="X105" s="905">
        <f>表14[[#This Row],[Profit]]/表14[[#This Row],[Cost]]</f>
        <v>0.50183150183150182</v>
      </c>
      <c r="Y105" s="117"/>
      <c r="Z105" s="117"/>
    </row>
    <row r="106" spans="1:26" s="117" customFormat="1">
      <c r="A106" s="3246" t="s">
        <v>3343</v>
      </c>
      <c r="B106" s="4335" t="s">
        <v>7166</v>
      </c>
      <c r="C106" s="2566" t="s">
        <v>44</v>
      </c>
      <c r="D106" s="1194">
        <v>45372</v>
      </c>
      <c r="E106" s="1629">
        <v>45383</v>
      </c>
      <c r="F106" s="709" t="s">
        <v>45</v>
      </c>
      <c r="G106" s="709" t="s">
        <v>46</v>
      </c>
      <c r="H106" s="5406"/>
      <c r="I106" s="5277"/>
      <c r="J106" s="3523" t="s">
        <v>32</v>
      </c>
      <c r="K106" s="1188" t="s">
        <v>47</v>
      </c>
      <c r="L106" s="1346">
        <v>545611</v>
      </c>
      <c r="M106" s="1416">
        <v>45385</v>
      </c>
      <c r="N106" s="1416">
        <v>45383</v>
      </c>
      <c r="O106" s="1416">
        <v>45385</v>
      </c>
      <c r="P106" s="1350" t="s">
        <v>7167</v>
      </c>
      <c r="Q106" s="5277" t="s">
        <v>6852</v>
      </c>
      <c r="R106" s="5277" t="s">
        <v>7168</v>
      </c>
      <c r="S106" s="5277"/>
      <c r="T106" s="1350"/>
      <c r="U106" s="1350"/>
      <c r="V106" s="1350"/>
      <c r="W106" s="1350">
        <f>表12[[#This Row],[Sales Amount]]-表12[[#This Row],[Cost]]</f>
        <v>0</v>
      </c>
      <c r="X106" s="2437">
        <f>IFERROR(Table6[[#This Row],[Profit]]/Table6[[#This Row],[Cost]]," ")</f>
        <v>0.34623810092802815</v>
      </c>
      <c r="Y106" s="1350"/>
      <c r="Z106" s="1350"/>
    </row>
    <row r="107" spans="1:26" s="709" customFormat="1" ht="45">
      <c r="A107" s="117" t="s">
        <v>468</v>
      </c>
      <c r="B107" s="4337" t="s">
        <v>7169</v>
      </c>
      <c r="C107" s="2581" t="s">
        <v>200</v>
      </c>
      <c r="D107" s="822">
        <v>45357</v>
      </c>
      <c r="E107" s="872">
        <v>45382</v>
      </c>
      <c r="F107" s="117" t="s">
        <v>93</v>
      </c>
      <c r="G107" s="117" t="s">
        <v>4274</v>
      </c>
      <c r="H107" s="4961">
        <v>45385</v>
      </c>
      <c r="I107" s="4844" t="s">
        <v>926</v>
      </c>
      <c r="J107" s="4845" t="s">
        <v>695</v>
      </c>
      <c r="K107" s="117" t="s">
        <v>3200</v>
      </c>
      <c r="L107" s="765">
        <v>3492</v>
      </c>
      <c r="M107" s="839">
        <v>45385</v>
      </c>
      <c r="N107" s="839">
        <v>45385</v>
      </c>
      <c r="O107" s="839">
        <v>45385</v>
      </c>
      <c r="P107" s="4104" t="s">
        <v>7170</v>
      </c>
      <c r="Q107" s="117" t="s">
        <v>75</v>
      </c>
      <c r="R107" s="5045" t="s">
        <v>7171</v>
      </c>
      <c r="S107" s="106"/>
      <c r="T107" s="117">
        <v>830</v>
      </c>
      <c r="U107" s="117">
        <v>572.35</v>
      </c>
      <c r="V107" s="117">
        <v>1</v>
      </c>
      <c r="W107" s="5417">
        <f>表14[[#This Row],[Sales Amount]]-表14[[#This Row],[Cost]]</f>
        <v>257.64999999999998</v>
      </c>
      <c r="X107" s="905">
        <f>IFERROR(Table6[[#This Row],[Profit]]/Table6[[#This Row],[Cost]]," ")</f>
        <v>0.25965996908809891</v>
      </c>
      <c r="Y107" s="4908" t="s">
        <v>5640</v>
      </c>
      <c r="Z107" s="106"/>
    </row>
    <row r="108" spans="1:26">
      <c r="A108" s="1350" t="s">
        <v>409</v>
      </c>
      <c r="B108" s="4335" t="s">
        <v>7172</v>
      </c>
      <c r="C108" s="2566" t="s">
        <v>44</v>
      </c>
      <c r="D108" s="1139">
        <v>45377</v>
      </c>
      <c r="E108" s="1631">
        <v>45392</v>
      </c>
      <c r="F108" s="1350" t="s">
        <v>7173</v>
      </c>
      <c r="G108" s="4861" t="s">
        <v>1350</v>
      </c>
      <c r="H108" s="5406"/>
      <c r="I108" s="5277"/>
      <c r="J108" s="2348" t="s">
        <v>32</v>
      </c>
      <c r="K108" s="709" t="s">
        <v>47</v>
      </c>
      <c r="L108" s="4901">
        <v>5679081</v>
      </c>
      <c r="M108" s="1416">
        <v>45392</v>
      </c>
      <c r="N108" s="1416">
        <v>45392</v>
      </c>
      <c r="O108" s="1416">
        <v>45394</v>
      </c>
      <c r="P108" s="1350" t="s">
        <v>7174</v>
      </c>
      <c r="Q108" s="1350" t="s">
        <v>6852</v>
      </c>
      <c r="R108" s="1350" t="s">
        <v>7175</v>
      </c>
      <c r="S108" s="1350"/>
      <c r="T108" s="1350"/>
      <c r="U108" s="1350"/>
      <c r="V108" s="1350"/>
      <c r="W108" s="1350">
        <f>表12[[#This Row],[Sales Amount]]-表12[[#This Row],[Cost]]</f>
        <v>0</v>
      </c>
      <c r="X108" s="2437">
        <f>IFERROR(Table6[[#This Row],[Profit]]/Table6[[#This Row],[Cost]]," ")</f>
        <v>0.22988505747126436</v>
      </c>
      <c r="Y108" s="1350"/>
      <c r="Z108" s="1350"/>
    </row>
    <row r="109" spans="1:26" s="2485" customFormat="1">
      <c r="A109" s="650" t="s">
        <v>329</v>
      </c>
      <c r="B109" s="4335" t="s">
        <v>7176</v>
      </c>
      <c r="C109" s="2569" t="s">
        <v>451</v>
      </c>
      <c r="D109" s="1607">
        <v>45360</v>
      </c>
      <c r="E109" s="1668">
        <v>45386</v>
      </c>
      <c r="F109" s="1" t="s">
        <v>29</v>
      </c>
      <c r="G109" s="1" t="s">
        <v>30</v>
      </c>
      <c r="H109" s="4876">
        <v>45387</v>
      </c>
      <c r="I109" s="5382"/>
      <c r="J109" s="58" t="s">
        <v>1353</v>
      </c>
      <c r="K109" s="1" t="s">
        <v>331</v>
      </c>
      <c r="L109" s="1589">
        <v>304972</v>
      </c>
      <c r="M109" s="1115">
        <v>45388</v>
      </c>
      <c r="N109" s="1603">
        <v>45387</v>
      </c>
      <c r="O109" s="1603">
        <v>45387</v>
      </c>
      <c r="P109" s="650" t="s">
        <v>7177</v>
      </c>
      <c r="Q109" s="58" t="s">
        <v>35</v>
      </c>
      <c r="R109" s="1" t="s">
        <v>36</v>
      </c>
      <c r="S109" s="1" t="s">
        <v>37</v>
      </c>
      <c r="T109">
        <v>1100</v>
      </c>
      <c r="U109">
        <v>910</v>
      </c>
      <c r="V109"/>
      <c r="W109">
        <f>表12[[#This Row],[Sales Amount]]-表12[[#This Row],[Cost]]</f>
        <v>644.5</v>
      </c>
      <c r="X109" s="2458">
        <f>IFERROR(Table6[[#This Row],[Profit]]/Table6[[#This Row],[Cost]]," ")</f>
        <v>0.22988505747126436</v>
      </c>
      <c r="Y109"/>
      <c r="Z109"/>
    </row>
    <row r="110" spans="1:26" s="163" customFormat="1">
      <c r="A110" s="1" t="s">
        <v>694</v>
      </c>
      <c r="B110" s="2575" t="s">
        <v>7178</v>
      </c>
      <c r="C110" s="2566" t="s">
        <v>7179</v>
      </c>
      <c r="D110" s="1139">
        <v>45366</v>
      </c>
      <c r="E110" s="1139">
        <v>45386</v>
      </c>
      <c r="F110" s="58" t="s">
        <v>29</v>
      </c>
      <c r="G110" s="58" t="s">
        <v>57</v>
      </c>
      <c r="H110" s="5388">
        <v>45351</v>
      </c>
      <c r="I110" s="5388"/>
      <c r="J110" s="1" t="s">
        <v>32</v>
      </c>
      <c r="K110" s="1166" t="s">
        <v>3249</v>
      </c>
      <c r="L110" s="915" t="s">
        <v>542</v>
      </c>
      <c r="M110" s="1414" t="s">
        <v>7180</v>
      </c>
      <c r="N110" s="1603">
        <v>45351</v>
      </c>
      <c r="O110" s="1603">
        <v>45351</v>
      </c>
      <c r="P110" s="650" t="s">
        <v>7181</v>
      </c>
      <c r="Q110" s="58" t="s">
        <v>35</v>
      </c>
      <c r="R110" s="58" t="s">
        <v>36</v>
      </c>
      <c r="S110" s="1" t="s">
        <v>664</v>
      </c>
      <c r="T110"/>
      <c r="U110"/>
      <c r="V110"/>
      <c r="W110">
        <f>表12[[#This Row],[Sales Amount]]-表12[[#This Row],[Cost]]</f>
        <v>317.95000000000005</v>
      </c>
      <c r="X110" s="2458">
        <f>IFERROR(Table6[[#This Row],[Profit]]/Table6[[#This Row],[Cost]]," ")</f>
        <v>0.18181818181818182</v>
      </c>
      <c r="Y110"/>
      <c r="Z110"/>
    </row>
    <row r="111" spans="1:26" s="709" customFormat="1">
      <c r="A111" s="1350" t="s">
        <v>409</v>
      </c>
      <c r="B111" s="4335" t="s">
        <v>7182</v>
      </c>
      <c r="C111" s="2566" t="s">
        <v>28</v>
      </c>
      <c r="D111" s="2382">
        <v>45379</v>
      </c>
      <c r="E111" s="1631">
        <v>45395</v>
      </c>
      <c r="F111" s="1350" t="s">
        <v>45</v>
      </c>
      <c r="G111" s="709" t="s">
        <v>46</v>
      </c>
      <c r="H111" s="5406"/>
      <c r="I111" s="5277"/>
      <c r="J111" s="2493" t="s">
        <v>32</v>
      </c>
      <c r="K111" s="709" t="s">
        <v>47</v>
      </c>
      <c r="L111" s="2820" t="s">
        <v>7183</v>
      </c>
      <c r="M111" s="1416">
        <v>45398</v>
      </c>
      <c r="N111" s="1416">
        <v>45397</v>
      </c>
      <c r="O111" s="1416">
        <v>45400</v>
      </c>
      <c r="P111" s="1350" t="s">
        <v>7184</v>
      </c>
      <c r="Q111" s="1350" t="s">
        <v>6852</v>
      </c>
      <c r="R111" s="1350" t="s">
        <v>7185</v>
      </c>
      <c r="S111" s="1350"/>
      <c r="T111" s="2427"/>
      <c r="U111" s="2427"/>
      <c r="V111" s="1350"/>
      <c r="W111" s="2428">
        <f>表12[[#This Row],[Sales Amount]]-表12[[#This Row],[Cost]]</f>
        <v>0</v>
      </c>
      <c r="X111" s="2437">
        <f>IFERROR(Table6[[#This Row],[Profit]]/Table6[[#This Row],[Cost]]," ")</f>
        <v>0.16949152542372881</v>
      </c>
      <c r="Y111" s="1350"/>
      <c r="Z111" s="1350"/>
    </row>
    <row r="112" spans="1:26" s="709" customFormat="1">
      <c r="A112" s="709" t="s">
        <v>409</v>
      </c>
      <c r="B112" s="4335" t="s">
        <v>7186</v>
      </c>
      <c r="C112" s="2566" t="s">
        <v>28</v>
      </c>
      <c r="D112" s="2382">
        <v>45379</v>
      </c>
      <c r="E112" s="1631">
        <v>45396</v>
      </c>
      <c r="F112" s="1350" t="s">
        <v>151</v>
      </c>
      <c r="G112" s="709" t="s">
        <v>46</v>
      </c>
      <c r="H112" s="5406"/>
      <c r="I112" s="5277"/>
      <c r="J112" s="2493" t="s">
        <v>32</v>
      </c>
      <c r="K112" s="709" t="s">
        <v>47</v>
      </c>
      <c r="L112" s="2818" t="s">
        <v>7187</v>
      </c>
      <c r="M112" s="1416">
        <v>45399</v>
      </c>
      <c r="N112" s="1416">
        <v>45397</v>
      </c>
      <c r="O112" s="1416">
        <v>45399</v>
      </c>
      <c r="P112" s="1350" t="s">
        <v>7188</v>
      </c>
      <c r="Q112" s="1350" t="s">
        <v>6852</v>
      </c>
      <c r="R112" s="1350" t="s">
        <v>7189</v>
      </c>
      <c r="S112" s="1350"/>
      <c r="T112" s="2427"/>
      <c r="U112" s="2427"/>
      <c r="V112" s="1350"/>
      <c r="W112" s="2428">
        <f>表12[[#This Row],[Sales Amount]]-表12[[#This Row],[Cost]]</f>
        <v>0</v>
      </c>
      <c r="X112" s="2437">
        <f>IFERROR(Table6[[#This Row],[Profit]]/Table6[[#This Row],[Cost]]," ")</f>
        <v>0.15185229732980521</v>
      </c>
      <c r="Y112" s="1350"/>
      <c r="Z112" s="1350"/>
    </row>
    <row r="113" spans="1:26">
      <c r="A113" s="709" t="s">
        <v>409</v>
      </c>
      <c r="B113" s="4335" t="s">
        <v>7190</v>
      </c>
      <c r="C113" s="2566" t="s">
        <v>28</v>
      </c>
      <c r="D113" s="1139">
        <v>45369</v>
      </c>
      <c r="E113" s="1631">
        <v>45387</v>
      </c>
      <c r="F113" s="709" t="s">
        <v>7173</v>
      </c>
      <c r="G113" s="709" t="s">
        <v>1350</v>
      </c>
      <c r="H113" s="5382"/>
      <c r="I113" s="5382"/>
      <c r="J113" s="1188" t="s">
        <v>4896</v>
      </c>
      <c r="K113" s="709" t="s">
        <v>47</v>
      </c>
      <c r="L113" s="913">
        <v>5179009</v>
      </c>
      <c r="M113" s="2465">
        <v>45388</v>
      </c>
      <c r="N113" s="2465">
        <v>45387</v>
      </c>
      <c r="O113" s="2465">
        <v>45389</v>
      </c>
      <c r="P113" s="650" t="s">
        <v>7191</v>
      </c>
      <c r="Q113" s="650" t="s">
        <v>6852</v>
      </c>
      <c r="R113" s="650" t="s">
        <v>7192</v>
      </c>
      <c r="S113" s="650"/>
      <c r="T113" s="650"/>
      <c r="U113" s="650"/>
      <c r="V113" s="650"/>
      <c r="W113" s="650">
        <f>表12[[#This Row],[Sales Amount]]-表12[[#This Row],[Cost]]</f>
        <v>25</v>
      </c>
      <c r="X113" s="2434">
        <f>IFERROR(Table6[[#This Row],[Profit]]/Table6[[#This Row],[Cost]]," ")</f>
        <v>0.15185229732980521</v>
      </c>
      <c r="Y113" s="650"/>
      <c r="Z113" s="650"/>
    </row>
    <row r="114" spans="1:26" s="709" customFormat="1">
      <c r="A114" s="3527" t="s">
        <v>409</v>
      </c>
      <c r="B114" s="4333" t="s">
        <v>7193</v>
      </c>
      <c r="C114" s="5323" t="s">
        <v>28</v>
      </c>
      <c r="D114" s="4863">
        <v>45369</v>
      </c>
      <c r="E114" s="1631">
        <v>45387</v>
      </c>
      <c r="F114" s="709" t="s">
        <v>2225</v>
      </c>
      <c r="G114" s="3246" t="s">
        <v>1350</v>
      </c>
      <c r="H114" s="5382"/>
      <c r="I114" s="5382"/>
      <c r="J114" s="1188" t="s">
        <v>4896</v>
      </c>
      <c r="K114" s="3246" t="s">
        <v>47</v>
      </c>
      <c r="L114" s="913">
        <v>5179299</v>
      </c>
      <c r="M114" s="3648">
        <v>45388</v>
      </c>
      <c r="N114" s="3648">
        <v>45387</v>
      </c>
      <c r="O114" s="3648">
        <v>45389</v>
      </c>
      <c r="P114" s="3348" t="s">
        <v>7194</v>
      </c>
      <c r="Q114" s="3348" t="s">
        <v>6852</v>
      </c>
      <c r="R114" s="2455" t="s">
        <v>7195</v>
      </c>
      <c r="S114" s="1168"/>
      <c r="T114" s="1168"/>
      <c r="U114" s="1168"/>
      <c r="V114" s="1168"/>
      <c r="W114" s="1168">
        <f>表12[[#This Row],[Sales Amount]]-表12[[#This Row],[Cost]]</f>
        <v>750</v>
      </c>
      <c r="X114" s="2479">
        <f>IFERROR(Table6[[#This Row],[Profit]]/Table6[[#This Row],[Cost]]," ")</f>
        <v>0.10144927536231885</v>
      </c>
      <c r="Y114" s="1168"/>
      <c r="Z114" s="2480"/>
    </row>
    <row r="115" spans="1:26" s="709" customFormat="1">
      <c r="A115" s="3527" t="s">
        <v>409</v>
      </c>
      <c r="B115" s="4333" t="s">
        <v>7196</v>
      </c>
      <c r="C115" s="3528" t="s">
        <v>44</v>
      </c>
      <c r="D115" s="4863">
        <v>45371</v>
      </c>
      <c r="E115" s="5071">
        <v>45387</v>
      </c>
      <c r="F115" s="3246" t="s">
        <v>135</v>
      </c>
      <c r="G115" s="3246" t="s">
        <v>1350</v>
      </c>
      <c r="H115" s="5406"/>
      <c r="I115" s="5277"/>
      <c r="J115" s="3523" t="s">
        <v>32</v>
      </c>
      <c r="K115" s="3246" t="s">
        <v>47</v>
      </c>
      <c r="L115" s="913">
        <v>5515664</v>
      </c>
      <c r="M115" s="3650">
        <v>45388</v>
      </c>
      <c r="N115" s="3650">
        <v>45386</v>
      </c>
      <c r="O115" s="3650">
        <v>45388</v>
      </c>
      <c r="P115" s="3439" t="s">
        <v>7197</v>
      </c>
      <c r="Q115" s="3246" t="s">
        <v>6852</v>
      </c>
      <c r="R115" s="2456" t="s">
        <v>7198</v>
      </c>
      <c r="S115" s="1372"/>
      <c r="T115" s="1372"/>
      <c r="U115" s="1372"/>
      <c r="V115" s="1372"/>
      <c r="W115" s="1372">
        <f>表12[[#This Row],[Sales Amount]]-表12[[#This Row],[Cost]]</f>
        <v>750</v>
      </c>
      <c r="X115" s="2481">
        <f>IFERROR(Table6[[#This Row],[Profit]]/Table6[[#This Row],[Cost]]," ")</f>
        <v>0.2320675105485232</v>
      </c>
      <c r="Y115" s="1372"/>
      <c r="Z115" s="2261"/>
    </row>
    <row r="116" spans="1:26" s="709" customFormat="1">
      <c r="A116" s="3527" t="s">
        <v>3343</v>
      </c>
      <c r="B116" s="4335" t="s">
        <v>7199</v>
      </c>
      <c r="C116" s="3528" t="s">
        <v>44</v>
      </c>
      <c r="D116" s="4957">
        <v>45380</v>
      </c>
      <c r="E116" s="1629">
        <v>45390</v>
      </c>
      <c r="F116" s="3246" t="s">
        <v>45</v>
      </c>
      <c r="G116" s="3246" t="s">
        <v>46</v>
      </c>
      <c r="H116" s="5406"/>
      <c r="I116" s="5277"/>
      <c r="J116" s="3523" t="s">
        <v>32</v>
      </c>
      <c r="K116" s="3246" t="s">
        <v>47</v>
      </c>
      <c r="L116" s="913" t="s">
        <v>7200</v>
      </c>
      <c r="M116" s="5406">
        <v>45392</v>
      </c>
      <c r="N116" s="3650">
        <v>45391</v>
      </c>
      <c r="O116" s="3650">
        <v>45393</v>
      </c>
      <c r="P116" s="3439" t="s">
        <v>7201</v>
      </c>
      <c r="Q116" s="3439" t="s">
        <v>6852</v>
      </c>
      <c r="R116" s="2456" t="s">
        <v>7202</v>
      </c>
      <c r="S116" s="1372"/>
      <c r="T116" s="1372"/>
      <c r="U116" s="1372"/>
      <c r="V116" s="1372"/>
      <c r="W116" s="1372">
        <f>表12[[#This Row],[Sales Amount]]-表12[[#This Row],[Cost]]</f>
        <v>0</v>
      </c>
      <c r="X116" s="2481">
        <f>IFERROR(Table6[[#This Row],[Profit]]/Table6[[#This Row],[Cost]]," ")</f>
        <v>0.10147058823529412</v>
      </c>
      <c r="Y116" s="1372"/>
      <c r="Z116" s="2261"/>
    </row>
    <row r="117" spans="1:26" s="709" customFormat="1">
      <c r="A117" s="1442" t="s">
        <v>3343</v>
      </c>
      <c r="B117" s="4341" t="s">
        <v>7203</v>
      </c>
      <c r="C117" s="3641" t="s">
        <v>44</v>
      </c>
      <c r="D117" s="5422">
        <v>45380</v>
      </c>
      <c r="E117" s="5423">
        <v>45390</v>
      </c>
      <c r="F117" s="1442" t="s">
        <v>45</v>
      </c>
      <c r="G117" s="1442" t="s">
        <v>46</v>
      </c>
      <c r="H117" s="2507"/>
      <c r="I117" s="5003"/>
      <c r="J117" s="2508" t="s">
        <v>32</v>
      </c>
      <c r="K117" s="1442" t="s">
        <v>7204</v>
      </c>
      <c r="L117" s="2821" t="s">
        <v>7205</v>
      </c>
      <c r="M117" s="2507">
        <v>45392</v>
      </c>
      <c r="N117" s="2507">
        <v>45392</v>
      </c>
      <c r="O117" s="2507">
        <v>45393</v>
      </c>
      <c r="P117" s="2144" t="s">
        <v>7206</v>
      </c>
      <c r="Q117" s="3654" t="s">
        <v>6852</v>
      </c>
      <c r="R117" s="2144" t="s">
        <v>51</v>
      </c>
      <c r="S117" s="2144"/>
      <c r="T117" s="2144"/>
      <c r="U117" s="2144"/>
      <c r="V117" s="2144"/>
      <c r="W117" s="2144">
        <f>表12[[#This Row],[Sales Amount]]-表12[[#This Row],[Cost]]</f>
        <v>0</v>
      </c>
      <c r="X117" s="2509">
        <f>IFERROR(Table6[[#This Row],[Profit]]/Table6[[#This Row],[Cost]]," ")</f>
        <v>0.10147058823529412</v>
      </c>
      <c r="Y117" s="2144"/>
      <c r="Z117" s="2144"/>
    </row>
    <row r="118" spans="1:26" s="709" customFormat="1">
      <c r="A118" s="1350" t="s">
        <v>4793</v>
      </c>
      <c r="B118" s="4335" t="s">
        <v>7207</v>
      </c>
      <c r="C118" s="3528" t="s">
        <v>44</v>
      </c>
      <c r="D118" s="4957">
        <v>45380</v>
      </c>
      <c r="E118" s="5071">
        <v>45389</v>
      </c>
      <c r="F118" s="709" t="s">
        <v>45</v>
      </c>
      <c r="G118" s="709" t="s">
        <v>46</v>
      </c>
      <c r="H118" s="1416"/>
      <c r="I118" s="1350"/>
      <c r="J118" s="2348" t="s">
        <v>32</v>
      </c>
      <c r="K118" s="709" t="s">
        <v>47</v>
      </c>
      <c r="L118" s="2822" t="s">
        <v>7208</v>
      </c>
      <c r="M118" s="1416">
        <v>45391</v>
      </c>
      <c r="N118" s="1416">
        <v>45391</v>
      </c>
      <c r="O118" s="1416">
        <v>45393</v>
      </c>
      <c r="P118" s="1350" t="s">
        <v>7209</v>
      </c>
      <c r="Q118" s="3439" t="s">
        <v>6852</v>
      </c>
      <c r="R118" s="1350" t="s">
        <v>7210</v>
      </c>
      <c r="S118" s="1350"/>
      <c r="T118" s="1350"/>
      <c r="U118" s="1350"/>
      <c r="V118" s="1350"/>
      <c r="W118" s="1350">
        <f>表12[[#This Row],[Sales Amount]]-表12[[#This Row],[Cost]]</f>
        <v>0</v>
      </c>
      <c r="X118" s="2437">
        <f>IFERROR(Table6[[#This Row],[Profit]]/Table6[[#This Row],[Cost]]," ")</f>
        <v>0.35504885993485341</v>
      </c>
      <c r="Y118" s="1350"/>
      <c r="Z118" s="1350"/>
    </row>
    <row r="119" spans="1:26" s="1442" customFormat="1">
      <c r="A119" s="1442" t="s">
        <v>409</v>
      </c>
      <c r="B119" s="4341" t="s">
        <v>7211</v>
      </c>
      <c r="C119" s="3641" t="s">
        <v>44</v>
      </c>
      <c r="D119" s="5422">
        <v>45380</v>
      </c>
      <c r="E119" s="2599">
        <v>45390</v>
      </c>
      <c r="F119" s="1442" t="s">
        <v>45</v>
      </c>
      <c r="G119" s="1442" t="s">
        <v>46</v>
      </c>
      <c r="H119" s="2507"/>
      <c r="I119" s="2144"/>
      <c r="J119" s="2508" t="s">
        <v>32</v>
      </c>
      <c r="K119" s="1442" t="s">
        <v>47</v>
      </c>
      <c r="L119" s="2821" t="s">
        <v>7212</v>
      </c>
      <c r="M119" s="2507">
        <v>45393</v>
      </c>
      <c r="N119" s="2507">
        <v>45392</v>
      </c>
      <c r="O119" s="2507">
        <v>45394</v>
      </c>
      <c r="P119" s="2144" t="s">
        <v>7213</v>
      </c>
      <c r="Q119" s="3654" t="s">
        <v>6852</v>
      </c>
      <c r="R119" s="2144" t="s">
        <v>51</v>
      </c>
      <c r="S119" s="2144"/>
      <c r="T119" s="2144"/>
      <c r="U119" s="2144"/>
      <c r="V119" s="2144"/>
      <c r="W119" s="2144">
        <f>表12[[#This Row],[Sales Amount]]-表12[[#This Row],[Cost]]</f>
        <v>0</v>
      </c>
      <c r="X119" s="2509">
        <f>IFERROR(Table6[[#This Row],[Profit]]/Table6[[#This Row],[Cost]]," ")</f>
        <v>0.37424698795180711</v>
      </c>
      <c r="Y119" s="2144"/>
      <c r="Z119" s="2144"/>
    </row>
    <row r="120" spans="1:26" s="117" customFormat="1">
      <c r="A120" s="1350" t="s">
        <v>3343</v>
      </c>
      <c r="B120" s="4335" t="s">
        <v>7214</v>
      </c>
      <c r="C120" s="3528" t="s">
        <v>28</v>
      </c>
      <c r="D120" s="1139">
        <v>45380</v>
      </c>
      <c r="E120" s="1631">
        <v>45390</v>
      </c>
      <c r="F120" s="3439" t="s">
        <v>45</v>
      </c>
      <c r="G120" s="709" t="s">
        <v>46</v>
      </c>
      <c r="H120" s="1416"/>
      <c r="I120" s="1350"/>
      <c r="J120" s="2348" t="s">
        <v>32</v>
      </c>
      <c r="K120" s="709" t="s">
        <v>47</v>
      </c>
      <c r="L120" s="913">
        <v>794587</v>
      </c>
      <c r="M120" s="1416">
        <v>45392</v>
      </c>
      <c r="N120" s="1416">
        <v>45391</v>
      </c>
      <c r="O120" s="1416">
        <v>45393</v>
      </c>
      <c r="P120" s="1350" t="s">
        <v>7215</v>
      </c>
      <c r="Q120" s="1350" t="s">
        <v>6852</v>
      </c>
      <c r="R120" s="1350" t="s">
        <v>7216</v>
      </c>
      <c r="S120" s="1350"/>
      <c r="T120" s="2427"/>
      <c r="U120" s="2427"/>
      <c r="V120" s="1350"/>
      <c r="W120" s="2428">
        <f>表12[[#This Row],[Sales Amount]]-表12[[#This Row],[Cost]]</f>
        <v>0</v>
      </c>
      <c r="X120" s="2437">
        <f>IFERROR(Table6[[#This Row],[Profit]]/Table6[[#This Row],[Cost]]," ")</f>
        <v>28.45077777777778</v>
      </c>
      <c r="Y120" s="1350"/>
      <c r="Z120" s="1350"/>
    </row>
    <row r="121" spans="1:26" s="1350" customFormat="1">
      <c r="A121" s="58" t="s">
        <v>2396</v>
      </c>
      <c r="B121" s="4335" t="s">
        <v>7217</v>
      </c>
      <c r="C121" s="3522" t="s">
        <v>28</v>
      </c>
      <c r="D121" s="1139">
        <v>45360</v>
      </c>
      <c r="E121" s="1631">
        <v>45390</v>
      </c>
      <c r="F121" s="3284" t="s">
        <v>135</v>
      </c>
      <c r="G121" s="1166" t="s">
        <v>5672</v>
      </c>
      <c r="H121" s="1414">
        <v>45393</v>
      </c>
      <c r="I121" s="1631"/>
      <c r="J121" s="58" t="s">
        <v>7019</v>
      </c>
      <c r="K121" s="5424" t="s">
        <v>6129</v>
      </c>
      <c r="L121" s="1590" t="s">
        <v>542</v>
      </c>
      <c r="M121" s="2474">
        <v>45397</v>
      </c>
      <c r="N121" s="338">
        <v>45393</v>
      </c>
      <c r="O121" s="2474">
        <v>45397</v>
      </c>
      <c r="P121" s="543" t="s">
        <v>7218</v>
      </c>
      <c r="Q121" s="7" t="s">
        <v>6852</v>
      </c>
      <c r="R121" s="7" t="s">
        <v>7219</v>
      </c>
      <c r="S121" s="7" t="s">
        <v>37</v>
      </c>
      <c r="T121"/>
      <c r="U121"/>
      <c r="V121"/>
      <c r="W121">
        <f>表12[[#This Row],[Sales Amount]]-表12[[#This Row],[Cost]]</f>
        <v>0</v>
      </c>
      <c r="X121" s="2458">
        <f>IFERROR(Table6[[#This Row],[Profit]]/Table6[[#This Row],[Cost]]," ")</f>
        <v>0.38948078920041529</v>
      </c>
      <c r="Y121"/>
      <c r="Z121"/>
    </row>
    <row r="122" spans="1:26" s="52" customFormat="1">
      <c r="A122" s="58" t="s">
        <v>2396</v>
      </c>
      <c r="B122" s="4335" t="s">
        <v>7220</v>
      </c>
      <c r="C122" s="2569" t="s">
        <v>28</v>
      </c>
      <c r="D122" s="1139">
        <v>45360</v>
      </c>
      <c r="E122" s="1631">
        <v>45390</v>
      </c>
      <c r="F122" s="1166" t="s">
        <v>135</v>
      </c>
      <c r="G122" s="1166" t="s">
        <v>5672</v>
      </c>
      <c r="H122" s="1414">
        <v>45393</v>
      </c>
      <c r="I122" s="1631"/>
      <c r="J122" s="58" t="s">
        <v>7019</v>
      </c>
      <c r="K122" s="5424" t="s">
        <v>6129</v>
      </c>
      <c r="L122" s="751" t="s">
        <v>542</v>
      </c>
      <c r="M122" s="2474">
        <v>45397</v>
      </c>
      <c r="N122" s="338">
        <v>45393</v>
      </c>
      <c r="O122" s="2474">
        <v>45397</v>
      </c>
      <c r="P122" s="543" t="s">
        <v>7218</v>
      </c>
      <c r="Q122" s="7" t="s">
        <v>6852</v>
      </c>
      <c r="R122" s="7" t="s">
        <v>7219</v>
      </c>
      <c r="S122" s="7" t="s">
        <v>37</v>
      </c>
      <c r="T122"/>
      <c r="U122"/>
      <c r="V122"/>
      <c r="W122">
        <f>表12[[#This Row],[Sales Amount]]-表12[[#This Row],[Cost]]</f>
        <v>0</v>
      </c>
      <c r="X122" s="2458">
        <f>IFERROR(Table6[[#This Row],[Profit]]/Table6[[#This Row],[Cost]]," ")</f>
        <v>0.40440324449594439</v>
      </c>
      <c r="Y122"/>
      <c r="Z122"/>
    </row>
    <row r="123" spans="1:26" s="52" customFormat="1">
      <c r="A123" s="58" t="s">
        <v>2396</v>
      </c>
      <c r="B123" s="4335" t="s">
        <v>7221</v>
      </c>
      <c r="C123" s="3522" t="s">
        <v>28</v>
      </c>
      <c r="D123" s="1139">
        <v>45360</v>
      </c>
      <c r="E123" s="1631">
        <v>45390</v>
      </c>
      <c r="F123" s="1166" t="s">
        <v>135</v>
      </c>
      <c r="G123" s="1166" t="s">
        <v>5672</v>
      </c>
      <c r="H123" s="1414">
        <v>45394</v>
      </c>
      <c r="I123" s="1631"/>
      <c r="J123" s="58" t="s">
        <v>7019</v>
      </c>
      <c r="K123" s="5424" t="s">
        <v>6129</v>
      </c>
      <c r="L123" s="751" t="s">
        <v>542</v>
      </c>
      <c r="M123" s="2474">
        <v>45397</v>
      </c>
      <c r="N123" s="338">
        <v>45394</v>
      </c>
      <c r="O123" s="2474">
        <v>45397</v>
      </c>
      <c r="P123" s="543" t="s">
        <v>7222</v>
      </c>
      <c r="Q123" s="7" t="s">
        <v>6852</v>
      </c>
      <c r="R123" s="7" t="s">
        <v>7219</v>
      </c>
      <c r="S123" s="7" t="s">
        <v>37</v>
      </c>
      <c r="T123"/>
      <c r="U123"/>
      <c r="V123"/>
      <c r="W123">
        <f>表12[[#This Row],[Sales Amount]]-表12[[#This Row],[Cost]]</f>
        <v>0</v>
      </c>
      <c r="X123" s="2458" t="str">
        <f>IFERROR(Table6[[#This Row],[Profit]]/Table6[[#This Row],[Cost]]," ")</f>
        <v xml:space="preserve"> </v>
      </c>
      <c r="Y123"/>
      <c r="Z123"/>
    </row>
    <row r="124" spans="1:26" s="52" customFormat="1">
      <c r="A124" s="58" t="s">
        <v>2396</v>
      </c>
      <c r="B124" s="4335" t="s">
        <v>7223</v>
      </c>
      <c r="C124" s="3522" t="s">
        <v>28</v>
      </c>
      <c r="D124" s="1139">
        <v>45360</v>
      </c>
      <c r="E124" s="1631">
        <v>45390</v>
      </c>
      <c r="F124" s="1166" t="s">
        <v>135</v>
      </c>
      <c r="G124" s="1166" t="s">
        <v>5672</v>
      </c>
      <c r="H124" s="1414">
        <v>45394</v>
      </c>
      <c r="I124" s="1631"/>
      <c r="J124" s="58" t="s">
        <v>7019</v>
      </c>
      <c r="K124" s="5424" t="s">
        <v>6129</v>
      </c>
      <c r="L124" s="751" t="s">
        <v>542</v>
      </c>
      <c r="M124" s="2474">
        <v>45397</v>
      </c>
      <c r="N124" s="338">
        <v>45394</v>
      </c>
      <c r="O124" s="2474">
        <v>45398</v>
      </c>
      <c r="P124" s="543" t="s">
        <v>7222</v>
      </c>
      <c r="Q124" s="7" t="s">
        <v>6852</v>
      </c>
      <c r="R124" s="7" t="s">
        <v>7219</v>
      </c>
      <c r="S124" s="7" t="s">
        <v>37</v>
      </c>
      <c r="T124"/>
      <c r="U124"/>
      <c r="V124"/>
      <c r="W124">
        <f>表12[[#This Row],[Sales Amount]]-表12[[#This Row],[Cost]]</f>
        <v>0</v>
      </c>
      <c r="X124" s="2458" t="str">
        <f>IFERROR(Table6[[#This Row],[Profit]]/Table6[[#This Row],[Cost]]," ")</f>
        <v xml:space="preserve"> </v>
      </c>
      <c r="Y124"/>
      <c r="Z124"/>
    </row>
    <row r="125" spans="1:26" s="52" customFormat="1">
      <c r="A125" s="58" t="s">
        <v>2396</v>
      </c>
      <c r="B125" s="4335" t="s">
        <v>7224</v>
      </c>
      <c r="C125" s="3522" t="s">
        <v>28</v>
      </c>
      <c r="D125" s="1139">
        <v>45360</v>
      </c>
      <c r="E125" s="1631">
        <v>45390</v>
      </c>
      <c r="F125" s="1166" t="s">
        <v>135</v>
      </c>
      <c r="G125" s="1166" t="s">
        <v>5672</v>
      </c>
      <c r="H125" s="1414">
        <v>45392</v>
      </c>
      <c r="I125" s="1414"/>
      <c r="J125" s="58" t="s">
        <v>7019</v>
      </c>
      <c r="K125" s="5424" t="s">
        <v>6129</v>
      </c>
      <c r="L125" s="751" t="s">
        <v>542</v>
      </c>
      <c r="M125" s="2474">
        <v>45397</v>
      </c>
      <c r="N125" s="338">
        <v>45392</v>
      </c>
      <c r="O125" s="2475">
        <v>45394</v>
      </c>
      <c r="P125" s="543" t="s">
        <v>7225</v>
      </c>
      <c r="Q125" s="7" t="s">
        <v>6852</v>
      </c>
      <c r="R125" s="7" t="s">
        <v>7219</v>
      </c>
      <c r="S125" s="7" t="s">
        <v>37</v>
      </c>
      <c r="T125"/>
      <c r="U125"/>
      <c r="V125"/>
      <c r="W125">
        <f>表12[[#This Row],[Sales Amount]]-表12[[#This Row],[Cost]]</f>
        <v>0</v>
      </c>
      <c r="X125" s="2458">
        <f>IFERROR(Table6[[#This Row],[Profit]]/Table6[[#This Row],[Cost]]," ")</f>
        <v>0.36044176706827308</v>
      </c>
      <c r="Y125"/>
      <c r="Z125"/>
    </row>
    <row r="126" spans="1:26" s="52" customFormat="1">
      <c r="A126" s="58" t="s">
        <v>2396</v>
      </c>
      <c r="B126" s="2571" t="s">
        <v>7226</v>
      </c>
      <c r="C126" s="3522" t="s">
        <v>28</v>
      </c>
      <c r="D126" s="1139">
        <v>45360</v>
      </c>
      <c r="E126" s="1631">
        <v>45390</v>
      </c>
      <c r="F126" s="1166" t="s">
        <v>135</v>
      </c>
      <c r="G126" s="1166" t="s">
        <v>5672</v>
      </c>
      <c r="H126" s="1414">
        <v>45393</v>
      </c>
      <c r="I126" s="1631"/>
      <c r="J126" s="58" t="s">
        <v>7019</v>
      </c>
      <c r="K126" s="5424" t="s">
        <v>6129</v>
      </c>
      <c r="L126" s="751" t="s">
        <v>542</v>
      </c>
      <c r="M126" s="2474">
        <v>45397</v>
      </c>
      <c r="N126" s="338">
        <v>45393</v>
      </c>
      <c r="O126" s="2475">
        <v>45394</v>
      </c>
      <c r="P126" s="543" t="s">
        <v>7225</v>
      </c>
      <c r="Q126" s="7" t="s">
        <v>6852</v>
      </c>
      <c r="R126" s="7" t="s">
        <v>7219</v>
      </c>
      <c r="S126" s="7" t="s">
        <v>37</v>
      </c>
      <c r="T126"/>
      <c r="U126"/>
      <c r="V126"/>
      <c r="W126">
        <f>表12[[#This Row],[Sales Amount]]-表12[[#This Row],[Cost]]</f>
        <v>0</v>
      </c>
      <c r="X126" s="2458">
        <f>IFERROR(Table6[[#This Row],[Profit]]/Table6[[#This Row],[Cost]]," ")</f>
        <v>0.18268026480586866</v>
      </c>
      <c r="Y126"/>
      <c r="Z126"/>
    </row>
    <row r="127" spans="1:26" s="52" customFormat="1">
      <c r="A127" s="58" t="s">
        <v>329</v>
      </c>
      <c r="B127" s="2575" t="s">
        <v>7227</v>
      </c>
      <c r="C127" s="3528" t="s">
        <v>28</v>
      </c>
      <c r="D127" s="1139">
        <v>45370</v>
      </c>
      <c r="E127" s="1139">
        <v>45389</v>
      </c>
      <c r="F127" s="58" t="s">
        <v>29</v>
      </c>
      <c r="G127" s="58" t="s">
        <v>57</v>
      </c>
      <c r="H127" s="2451">
        <v>45356</v>
      </c>
      <c r="I127" s="2451" t="s">
        <v>1266</v>
      </c>
      <c r="J127" s="1" t="s">
        <v>32</v>
      </c>
      <c r="K127" s="58" t="s">
        <v>661</v>
      </c>
      <c r="L127" s="915" t="s">
        <v>542</v>
      </c>
      <c r="M127" s="915" t="s">
        <v>7228</v>
      </c>
      <c r="N127" s="1139">
        <v>45355</v>
      </c>
      <c r="O127" s="1139">
        <v>45356</v>
      </c>
      <c r="P127" s="949" t="s">
        <v>7229</v>
      </c>
      <c r="Q127" s="58" t="s">
        <v>35</v>
      </c>
      <c r="R127" s="650" t="s">
        <v>36</v>
      </c>
      <c r="S127" s="1" t="s">
        <v>664</v>
      </c>
      <c r="T127">
        <v>810</v>
      </c>
      <c r="U127">
        <v>650</v>
      </c>
      <c r="V127"/>
      <c r="W127">
        <f>表12[[#This Row],[Sales Amount]]-表12[[#This Row],[Cost]]</f>
        <v>0</v>
      </c>
      <c r="X127" s="2458" t="str">
        <f>IFERROR(Table6[[#This Row],[Profit]]/Table6[[#This Row],[Cost]]," ")</f>
        <v xml:space="preserve"> </v>
      </c>
      <c r="Y127"/>
      <c r="Z127"/>
    </row>
    <row r="128" spans="1:26" s="36" customFormat="1" ht="45">
      <c r="A128" s="13" t="s">
        <v>622</v>
      </c>
      <c r="B128" s="4337" t="s">
        <v>7230</v>
      </c>
      <c r="C128" s="3655" t="s">
        <v>28</v>
      </c>
      <c r="D128" s="373">
        <v>45390</v>
      </c>
      <c r="E128" s="889">
        <v>45401</v>
      </c>
      <c r="F128" s="13" t="s">
        <v>167</v>
      </c>
      <c r="G128" s="13" t="s">
        <v>361</v>
      </c>
      <c r="H128" s="832">
        <v>45405</v>
      </c>
      <c r="I128" s="872"/>
      <c r="J128" s="2486" t="s">
        <v>32</v>
      </c>
      <c r="K128" s="2487" t="s">
        <v>1445</v>
      </c>
      <c r="L128" s="22">
        <v>521197</v>
      </c>
      <c r="M128" s="839">
        <v>45404</v>
      </c>
      <c r="N128" s="839">
        <v>45404</v>
      </c>
      <c r="O128" s="822">
        <v>45405</v>
      </c>
      <c r="P128" s="4165" t="s">
        <v>7231</v>
      </c>
      <c r="Q128" s="3265" t="s">
        <v>75</v>
      </c>
      <c r="R128" s="4345" t="s">
        <v>7232</v>
      </c>
      <c r="S128" s="13" t="s">
        <v>67</v>
      </c>
      <c r="T128" s="3">
        <v>7112.5</v>
      </c>
      <c r="U128" s="3">
        <f>6250+75/2+550</f>
        <v>6837.5</v>
      </c>
      <c r="V128" s="3"/>
      <c r="W128" s="3">
        <f>表14[[#This Row],[Sales Amount]]-表14[[#This Row],[Cost]]</f>
        <v>275</v>
      </c>
      <c r="X128" s="2626">
        <f>表14[[#This Row],[Profit]]/表14[[#This Row],[Cost]]</f>
        <v>4.0219378427787937E-2</v>
      </c>
      <c r="Y128" s="3"/>
      <c r="Z128" s="3"/>
    </row>
    <row r="129" spans="1:26" s="52" customFormat="1">
      <c r="A129" s="709" t="s">
        <v>409</v>
      </c>
      <c r="B129" s="4335" t="s">
        <v>7233</v>
      </c>
      <c r="C129" s="3528" t="s">
        <v>44</v>
      </c>
      <c r="D129" s="1139">
        <v>45382</v>
      </c>
      <c r="E129" s="5071">
        <v>45393</v>
      </c>
      <c r="F129" s="1350" t="s">
        <v>151</v>
      </c>
      <c r="G129" s="1350" t="s">
        <v>7234</v>
      </c>
      <c r="H129" s="1416"/>
      <c r="I129" s="1350"/>
      <c r="J129" s="2348" t="s">
        <v>32</v>
      </c>
      <c r="K129" s="709" t="s">
        <v>47</v>
      </c>
      <c r="L129" s="58">
        <v>760392</v>
      </c>
      <c r="M129" s="1416">
        <v>45395</v>
      </c>
      <c r="N129" s="1416">
        <v>45394</v>
      </c>
      <c r="O129" s="1416">
        <v>45397</v>
      </c>
      <c r="P129" s="1350" t="s">
        <v>7235</v>
      </c>
      <c r="Q129" s="1350" t="s">
        <v>6852</v>
      </c>
      <c r="R129" s="1350" t="s">
        <v>7236</v>
      </c>
      <c r="S129" s="1350"/>
      <c r="T129" s="1350"/>
      <c r="U129" s="1350"/>
      <c r="V129" s="1350"/>
      <c r="W129" s="1350">
        <f>表12[[#This Row],[Sales Amount]]-表12[[#This Row],[Cost]]</f>
        <v>0</v>
      </c>
      <c r="X129" s="2437" t="str">
        <f>IFERROR(Table6[[#This Row],[Profit]]/Table6[[#This Row],[Cost]]," ")</f>
        <v xml:space="preserve"> </v>
      </c>
      <c r="Y129" s="1350"/>
      <c r="Z129" s="1350"/>
    </row>
    <row r="130" spans="1:26" s="1350" customFormat="1">
      <c r="A130" s="1350" t="s">
        <v>4793</v>
      </c>
      <c r="B130" s="4335" t="s">
        <v>7237</v>
      </c>
      <c r="C130" s="3528" t="s">
        <v>44</v>
      </c>
      <c r="D130" s="1139">
        <v>45380</v>
      </c>
      <c r="E130" s="5071">
        <v>45389</v>
      </c>
      <c r="F130" s="709" t="s">
        <v>45</v>
      </c>
      <c r="G130" s="709" t="s">
        <v>46</v>
      </c>
      <c r="H130" s="1416"/>
      <c r="J130" s="2348" t="s">
        <v>32</v>
      </c>
      <c r="K130" s="709" t="s">
        <v>47</v>
      </c>
      <c r="L130" s="2818" t="s">
        <v>7238</v>
      </c>
      <c r="M130" s="1416"/>
      <c r="N130" s="1416">
        <v>45388</v>
      </c>
      <c r="O130" s="1416">
        <v>45390</v>
      </c>
      <c r="P130" s="1350" t="s">
        <v>7239</v>
      </c>
      <c r="Q130" s="1350" t="s">
        <v>6852</v>
      </c>
      <c r="R130" s="1350" t="s">
        <v>7240</v>
      </c>
      <c r="W130" s="1350">
        <f>表12[[#This Row],[Sales Amount]]-表12[[#This Row],[Cost]]</f>
        <v>0</v>
      </c>
      <c r="X130" s="2477" t="str">
        <f>IFERROR(Table6[[#This Row],[Profit]]/Table6[[#This Row],[Cost]]," ")</f>
        <v xml:space="preserve"> </v>
      </c>
    </row>
    <row r="131" spans="1:26" s="52" customFormat="1">
      <c r="A131" s="709" t="s">
        <v>409</v>
      </c>
      <c r="B131" s="4335" t="s">
        <v>7241</v>
      </c>
      <c r="C131" s="3528" t="s">
        <v>44</v>
      </c>
      <c r="D131" s="1139">
        <v>45380</v>
      </c>
      <c r="E131" s="1631">
        <v>45389</v>
      </c>
      <c r="F131" s="709" t="s">
        <v>45</v>
      </c>
      <c r="G131" s="709" t="s">
        <v>46</v>
      </c>
      <c r="H131" s="1416"/>
      <c r="I131" s="1350"/>
      <c r="J131" s="2348" t="s">
        <v>32</v>
      </c>
      <c r="K131" s="1188" t="s">
        <v>47</v>
      </c>
      <c r="L131" s="913" t="s">
        <v>7242</v>
      </c>
      <c r="M131" s="1416"/>
      <c r="N131" s="1416">
        <v>45389</v>
      </c>
      <c r="O131" s="1416">
        <v>45391</v>
      </c>
      <c r="P131" s="1350" t="s">
        <v>7243</v>
      </c>
      <c r="Q131" s="1350" t="s">
        <v>6852</v>
      </c>
      <c r="R131" s="1350" t="s">
        <v>7244</v>
      </c>
      <c r="S131" s="1350"/>
      <c r="T131" s="1350"/>
      <c r="U131" s="1350"/>
      <c r="V131" s="1350"/>
      <c r="W131" s="1350">
        <f>表12[[#This Row],[Sales Amount]]-表12[[#This Row],[Cost]]</f>
        <v>0</v>
      </c>
      <c r="X131" s="2477" t="str">
        <f>IFERROR(Table6[[#This Row],[Profit]]/Table6[[#This Row],[Cost]]," ")</f>
        <v xml:space="preserve"> </v>
      </c>
      <c r="Y131" s="1350"/>
      <c r="Z131" s="1350"/>
    </row>
    <row r="132" spans="1:26" s="1350" customFormat="1">
      <c r="A132" s="4861" t="s">
        <v>3343</v>
      </c>
      <c r="B132" s="4335" t="s">
        <v>7245</v>
      </c>
      <c r="C132" s="2566" t="s">
        <v>28</v>
      </c>
      <c r="D132" s="1139">
        <v>45380</v>
      </c>
      <c r="E132" s="1631">
        <v>45389</v>
      </c>
      <c r="F132" s="1350" t="s">
        <v>45</v>
      </c>
      <c r="G132" s="709" t="s">
        <v>46</v>
      </c>
      <c r="H132" s="1416"/>
      <c r="J132" s="2348" t="s">
        <v>32</v>
      </c>
      <c r="K132" s="1188" t="s">
        <v>47</v>
      </c>
      <c r="L132" s="913" t="s">
        <v>7246</v>
      </c>
      <c r="M132" s="1416"/>
      <c r="N132" s="1416">
        <v>45389</v>
      </c>
      <c r="O132" s="1416">
        <v>45391</v>
      </c>
      <c r="P132" s="5277" t="s">
        <v>7247</v>
      </c>
      <c r="Q132" s="5277" t="s">
        <v>6852</v>
      </c>
      <c r="R132" s="1350" t="s">
        <v>7248</v>
      </c>
      <c r="T132" s="2488"/>
      <c r="U132" s="2488"/>
      <c r="W132" s="2489">
        <f>表12[[#This Row],[Sales Amount]]-表12[[#This Row],[Cost]]</f>
        <v>0</v>
      </c>
      <c r="X132" s="2477" t="str">
        <f>IFERROR(Table6[[#This Row],[Profit]]/Table6[[#This Row],[Cost]]," ")</f>
        <v xml:space="preserve"> </v>
      </c>
    </row>
    <row r="133" spans="1:26" s="709" customFormat="1">
      <c r="A133" s="709" t="s">
        <v>409</v>
      </c>
      <c r="B133" s="4335" t="s">
        <v>7249</v>
      </c>
      <c r="C133" s="3528" t="s">
        <v>28</v>
      </c>
      <c r="D133" s="1139">
        <v>45379</v>
      </c>
      <c r="E133" s="1631">
        <v>45389</v>
      </c>
      <c r="F133" s="1350" t="s">
        <v>45</v>
      </c>
      <c r="G133" s="709" t="s">
        <v>46</v>
      </c>
      <c r="H133" s="1416"/>
      <c r="I133" s="1350"/>
      <c r="J133" s="2348" t="s">
        <v>32</v>
      </c>
      <c r="K133" s="1188" t="s">
        <v>47</v>
      </c>
      <c r="L133" s="913" t="s">
        <v>7250</v>
      </c>
      <c r="M133" s="1416">
        <v>45391</v>
      </c>
      <c r="N133" s="1416">
        <v>45390</v>
      </c>
      <c r="O133" s="1416">
        <v>45393</v>
      </c>
      <c r="P133" s="1350" t="s">
        <v>7251</v>
      </c>
      <c r="Q133" s="1350" t="s">
        <v>6852</v>
      </c>
      <c r="R133" s="1350" t="s">
        <v>7252</v>
      </c>
      <c r="S133" s="1350"/>
      <c r="T133" s="2427"/>
      <c r="U133" s="2427"/>
      <c r="V133" s="1350"/>
      <c r="W133" s="2428">
        <f>表12[[#This Row],[Sales Amount]]-表12[[#This Row],[Cost]]</f>
        <v>525.1</v>
      </c>
      <c r="X133" s="2437" t="str">
        <f>IFERROR(Table6[[#This Row],[Profit]]/Table6[[#This Row],[Cost]]," ")</f>
        <v xml:space="preserve"> </v>
      </c>
      <c r="Y133" s="1350"/>
      <c r="Z133" s="1350"/>
    </row>
    <row r="134" spans="1:26" s="2144" customFormat="1">
      <c r="A134" s="2144" t="s">
        <v>3343</v>
      </c>
      <c r="B134" s="4341" t="s">
        <v>7253</v>
      </c>
      <c r="C134" s="3641" t="s">
        <v>28</v>
      </c>
      <c r="D134" s="1474">
        <v>45380</v>
      </c>
      <c r="E134" s="2600">
        <v>45389</v>
      </c>
      <c r="F134" s="2144" t="s">
        <v>45</v>
      </c>
      <c r="G134" s="1442" t="s">
        <v>46</v>
      </c>
      <c r="H134" s="2507"/>
      <c r="I134" s="2507"/>
      <c r="J134" s="2508" t="s">
        <v>32</v>
      </c>
      <c r="K134" s="2601" t="s">
        <v>47</v>
      </c>
      <c r="L134" s="2821">
        <v>761791</v>
      </c>
      <c r="M134" s="2507"/>
      <c r="N134" s="2507">
        <v>45388</v>
      </c>
      <c r="O134" s="2507">
        <v>45389</v>
      </c>
      <c r="P134" s="2144" t="s">
        <v>7254</v>
      </c>
      <c r="Q134" s="2144" t="s">
        <v>6852</v>
      </c>
      <c r="R134" s="2144" t="s">
        <v>51</v>
      </c>
      <c r="T134" s="2602"/>
      <c r="U134" s="2602"/>
      <c r="W134" s="2603">
        <f>表12[[#This Row],[Sales Amount]]-表12[[#This Row],[Cost]]</f>
        <v>316</v>
      </c>
      <c r="X134" s="2509" t="str">
        <f>IFERROR(Table6[[#This Row],[Profit]]/Table6[[#This Row],[Cost]]," ")</f>
        <v xml:space="preserve"> </v>
      </c>
    </row>
    <row r="135" spans="1:26" s="2144" customFormat="1">
      <c r="A135" s="5003" t="s">
        <v>3343</v>
      </c>
      <c r="B135" s="4341" t="s">
        <v>7255</v>
      </c>
      <c r="C135" s="2574" t="s">
        <v>28</v>
      </c>
      <c r="D135" s="1474">
        <v>45380</v>
      </c>
      <c r="E135" s="2600">
        <v>45389</v>
      </c>
      <c r="F135" s="2144" t="s">
        <v>45</v>
      </c>
      <c r="G135" s="1442" t="s">
        <v>46</v>
      </c>
      <c r="H135" s="2507"/>
      <c r="J135" s="2508" t="s">
        <v>32</v>
      </c>
      <c r="K135" s="2601" t="s">
        <v>47</v>
      </c>
      <c r="L135" s="2821" t="s">
        <v>7256</v>
      </c>
      <c r="M135" s="2507"/>
      <c r="N135" s="2507">
        <v>45388</v>
      </c>
      <c r="O135" s="2507">
        <v>45390</v>
      </c>
      <c r="P135" s="2144" t="s">
        <v>7257</v>
      </c>
      <c r="Q135" s="5003" t="s">
        <v>6852</v>
      </c>
      <c r="R135" s="2144" t="s">
        <v>51</v>
      </c>
      <c r="T135" s="2602"/>
      <c r="U135" s="2602"/>
      <c r="W135" s="2603">
        <f>表12[[#This Row],[Sales Amount]]-表12[[#This Row],[Cost]]</f>
        <v>0</v>
      </c>
      <c r="X135" s="2509" t="str">
        <f>IFERROR(Table6[[#This Row],[Profit]]/Table6[[#This Row],[Cost]]," ")</f>
        <v xml:space="preserve"> </v>
      </c>
    </row>
    <row r="136" spans="1:26" s="117" customFormat="1" ht="15.75">
      <c r="A136" s="5277" t="s">
        <v>3343</v>
      </c>
      <c r="B136" s="4335" t="s">
        <v>7258</v>
      </c>
      <c r="C136" s="5323" t="s">
        <v>28</v>
      </c>
      <c r="D136" s="4957">
        <v>45380</v>
      </c>
      <c r="E136" s="5071">
        <v>45389</v>
      </c>
      <c r="F136" s="1350" t="s">
        <v>45</v>
      </c>
      <c r="G136" s="709" t="s">
        <v>46</v>
      </c>
      <c r="H136" s="1416"/>
      <c r="I136" s="1350"/>
      <c r="J136" s="2348" t="s">
        <v>32</v>
      </c>
      <c r="K136" s="709" t="s">
        <v>47</v>
      </c>
      <c r="L136" s="2796" t="s">
        <v>7259</v>
      </c>
      <c r="M136" s="1416"/>
      <c r="N136" s="1416">
        <v>45389</v>
      </c>
      <c r="O136" s="5406">
        <v>45391</v>
      </c>
      <c r="P136" s="1350" t="s">
        <v>7260</v>
      </c>
      <c r="Q136" s="5277" t="s">
        <v>6852</v>
      </c>
      <c r="R136" s="1350" t="s">
        <v>7261</v>
      </c>
      <c r="S136" s="1350"/>
      <c r="T136" s="2427"/>
      <c r="U136" s="2427"/>
      <c r="V136" s="1350"/>
      <c r="W136" s="2428">
        <f>表12[[#This Row],[Sales Amount]]-表12[[#This Row],[Cost]]</f>
        <v>0</v>
      </c>
      <c r="X136" s="2437" t="str">
        <f>IFERROR(Table6[[#This Row],[Profit]]/Table6[[#This Row],[Cost]]," ")</f>
        <v xml:space="preserve"> </v>
      </c>
      <c r="Y136" s="1350"/>
      <c r="Z136" s="1350"/>
    </row>
    <row r="137" spans="1:26" s="709" customFormat="1">
      <c r="A137" s="1350" t="s">
        <v>3343</v>
      </c>
      <c r="B137" s="4335" t="s">
        <v>7262</v>
      </c>
      <c r="C137" s="3528" t="s">
        <v>28</v>
      </c>
      <c r="D137" s="1139">
        <v>45382</v>
      </c>
      <c r="E137" s="1631">
        <v>45388</v>
      </c>
      <c r="F137" s="1350" t="s">
        <v>7263</v>
      </c>
      <c r="G137" s="709" t="s">
        <v>46</v>
      </c>
      <c r="H137" s="1416"/>
      <c r="I137" s="1350"/>
      <c r="J137" s="2348" t="s">
        <v>32</v>
      </c>
      <c r="K137" s="709" t="s">
        <v>47</v>
      </c>
      <c r="L137" s="913" t="s">
        <v>7264</v>
      </c>
      <c r="M137" s="1416"/>
      <c r="N137" s="1416">
        <v>45389</v>
      </c>
      <c r="O137" s="1416">
        <v>45391</v>
      </c>
      <c r="P137" s="1350" t="s">
        <v>7265</v>
      </c>
      <c r="Q137" s="1350" t="s">
        <v>6852</v>
      </c>
      <c r="R137" s="1350" t="s">
        <v>7266</v>
      </c>
      <c r="S137" s="1350"/>
      <c r="T137" s="2427"/>
      <c r="U137" s="2427"/>
      <c r="V137" s="1350"/>
      <c r="W137" s="2428">
        <f>表12[[#This Row],[Sales Amount]]-表12[[#This Row],[Cost]]</f>
        <v>0</v>
      </c>
      <c r="X137" s="2437" t="str">
        <f>IFERROR(Table6[[#This Row],[Profit]]/Table6[[#This Row],[Cost]]," ")</f>
        <v xml:space="preserve"> </v>
      </c>
      <c r="Y137" s="1350"/>
      <c r="Z137" s="1350"/>
    </row>
    <row r="138" spans="1:26" s="1350" customFormat="1">
      <c r="A138" s="709" t="s">
        <v>409</v>
      </c>
      <c r="B138" s="4335" t="s">
        <v>7267</v>
      </c>
      <c r="C138" s="3528" t="s">
        <v>28</v>
      </c>
      <c r="D138" s="1139">
        <v>45380</v>
      </c>
      <c r="E138" s="1631">
        <v>45389</v>
      </c>
      <c r="F138" s="1350" t="s">
        <v>45</v>
      </c>
      <c r="G138" s="709" t="s">
        <v>46</v>
      </c>
      <c r="H138" s="1416"/>
      <c r="J138" s="2348" t="s">
        <v>32</v>
      </c>
      <c r="K138" s="1188" t="s">
        <v>47</v>
      </c>
      <c r="L138" s="913" t="s">
        <v>7268</v>
      </c>
      <c r="M138" s="1416">
        <v>45390</v>
      </c>
      <c r="N138" s="1416">
        <v>45390</v>
      </c>
      <c r="O138" s="1416">
        <v>45393</v>
      </c>
      <c r="P138" s="1350" t="s">
        <v>7269</v>
      </c>
      <c r="Q138" s="1350" t="s">
        <v>6852</v>
      </c>
      <c r="R138" s="1350" t="s">
        <v>7270</v>
      </c>
      <c r="T138" s="2427"/>
      <c r="U138" s="2427"/>
      <c r="W138" s="2428">
        <f>表12[[#This Row],[Sales Amount]]-表12[[#This Row],[Cost]]</f>
        <v>0</v>
      </c>
      <c r="X138" s="2437" t="str">
        <f>IFERROR(Table6[[#This Row],[Profit]]/Table6[[#This Row],[Cost]]," ")</f>
        <v xml:space="preserve"> </v>
      </c>
    </row>
    <row r="139" spans="1:26" s="1350" customFormat="1">
      <c r="A139" s="58" t="s">
        <v>2396</v>
      </c>
      <c r="B139" s="4335" t="s">
        <v>7271</v>
      </c>
      <c r="C139" s="3522" t="s">
        <v>28</v>
      </c>
      <c r="D139" s="1139">
        <v>45365</v>
      </c>
      <c r="E139" s="1631">
        <v>45393</v>
      </c>
      <c r="F139" s="1166" t="s">
        <v>135</v>
      </c>
      <c r="G139" s="1166" t="s">
        <v>5672</v>
      </c>
      <c r="H139" s="1119">
        <v>45400</v>
      </c>
      <c r="I139" s="2452"/>
      <c r="J139" s="58" t="s">
        <v>1478</v>
      </c>
      <c r="K139" s="4851" t="s">
        <v>6129</v>
      </c>
      <c r="L139" s="913" t="s">
        <v>542</v>
      </c>
      <c r="M139" s="1640">
        <v>45400</v>
      </c>
      <c r="N139" s="1640">
        <v>45400</v>
      </c>
      <c r="O139" s="1414">
        <v>45404</v>
      </c>
      <c r="P139" s="949" t="s">
        <v>7272</v>
      </c>
      <c r="Q139" s="58" t="s">
        <v>6852</v>
      </c>
      <c r="R139" s="58" t="s">
        <v>7273</v>
      </c>
      <c r="S139" s="58" t="s">
        <v>37</v>
      </c>
      <c r="T139" s="650"/>
      <c r="U139" s="650"/>
      <c r="V139" s="650"/>
      <c r="W139" s="650">
        <f>表12[[#This Row],[Sales Amount]]-表12[[#This Row],[Cost]]</f>
        <v>0</v>
      </c>
      <c r="X139" s="2457" t="str">
        <f>IFERROR(Table6[[#This Row],[Profit]]/Table6[[#This Row],[Cost]]," ")</f>
        <v xml:space="preserve"> </v>
      </c>
      <c r="Y139" s="650"/>
      <c r="Z139" s="650"/>
    </row>
    <row r="140" spans="1:26" s="1350" customFormat="1">
      <c r="A140" s="4839" t="s">
        <v>2396</v>
      </c>
      <c r="B140" s="4335" t="s">
        <v>7274</v>
      </c>
      <c r="C140" s="5351" t="s">
        <v>28</v>
      </c>
      <c r="D140" s="4957">
        <v>45365</v>
      </c>
      <c r="E140" s="5071">
        <v>45393</v>
      </c>
      <c r="F140" s="1166" t="s">
        <v>135</v>
      </c>
      <c r="G140" s="1166" t="s">
        <v>5672</v>
      </c>
      <c r="H140" s="1119">
        <v>45400</v>
      </c>
      <c r="I140" s="2452"/>
      <c r="J140" s="58" t="s">
        <v>1478</v>
      </c>
      <c r="K140" s="4851" t="s">
        <v>6129</v>
      </c>
      <c r="L140" s="913" t="s">
        <v>542</v>
      </c>
      <c r="M140" s="1640">
        <v>45400</v>
      </c>
      <c r="N140" s="1640">
        <v>45400</v>
      </c>
      <c r="O140" s="1414">
        <v>45404</v>
      </c>
      <c r="P140" s="949" t="s">
        <v>7272</v>
      </c>
      <c r="Q140" s="58" t="s">
        <v>6852</v>
      </c>
      <c r="R140" s="58" t="s">
        <v>7273</v>
      </c>
      <c r="S140" s="58" t="s">
        <v>37</v>
      </c>
      <c r="T140" s="650"/>
      <c r="U140" s="650"/>
      <c r="V140" s="650"/>
      <c r="W140" s="650">
        <f>表12[[#This Row],[Sales Amount]]-表12[[#This Row],[Cost]]</f>
        <v>0</v>
      </c>
      <c r="X140" s="2457" t="str">
        <f>IFERROR(Table6[[#This Row],[Profit]]/Table6[[#This Row],[Cost]]," ")</f>
        <v xml:space="preserve"> </v>
      </c>
      <c r="Y140" s="650"/>
      <c r="Z140" s="650"/>
    </row>
    <row r="141" spans="1:26">
      <c r="A141" s="58" t="s">
        <v>2396</v>
      </c>
      <c r="B141" s="4335" t="s">
        <v>7275</v>
      </c>
      <c r="C141" s="2569" t="s">
        <v>28</v>
      </c>
      <c r="D141" s="1139">
        <v>45365</v>
      </c>
      <c r="E141" s="1631">
        <v>45393</v>
      </c>
      <c r="F141" s="1166" t="s">
        <v>135</v>
      </c>
      <c r="G141" s="1166" t="s">
        <v>5672</v>
      </c>
      <c r="H141" s="1119">
        <v>45401</v>
      </c>
      <c r="I141" s="2452"/>
      <c r="J141" s="58" t="s">
        <v>1478</v>
      </c>
      <c r="K141" s="5424" t="s">
        <v>6129</v>
      </c>
      <c r="L141" s="751" t="s">
        <v>542</v>
      </c>
      <c r="M141" s="2474">
        <v>45400</v>
      </c>
      <c r="N141" s="2474">
        <v>45400</v>
      </c>
      <c r="O141" s="2496">
        <v>45405</v>
      </c>
      <c r="P141" s="543" t="s">
        <v>7276</v>
      </c>
      <c r="Q141" s="7" t="s">
        <v>6852</v>
      </c>
      <c r="R141" s="909"/>
      <c r="S141" s="7" t="s">
        <v>37</v>
      </c>
      <c r="T141"/>
      <c r="U141"/>
      <c r="V141"/>
      <c r="W141">
        <f>表12[[#This Row],[Sales Amount]]-表12[[#This Row],[Cost]]</f>
        <v>0</v>
      </c>
      <c r="X141" s="2458" t="str">
        <f>IFERROR(Table6[[#This Row],[Profit]]/Table6[[#This Row],[Cost]]," ")</f>
        <v xml:space="preserve"> </v>
      </c>
      <c r="Y141"/>
      <c r="Z141"/>
    </row>
    <row r="142" spans="1:26" s="1350" customFormat="1">
      <c r="A142" s="3235" t="s">
        <v>2396</v>
      </c>
      <c r="B142" s="4335" t="s">
        <v>7277</v>
      </c>
      <c r="C142" s="2569" t="s">
        <v>28</v>
      </c>
      <c r="D142" s="1139">
        <v>45365</v>
      </c>
      <c r="E142" s="1631">
        <v>45393</v>
      </c>
      <c r="F142" s="1166" t="s">
        <v>135</v>
      </c>
      <c r="G142" s="1166" t="s">
        <v>5672</v>
      </c>
      <c r="H142" s="1119">
        <v>45401</v>
      </c>
      <c r="I142" s="2452"/>
      <c r="J142" s="58" t="s">
        <v>1478</v>
      </c>
      <c r="K142" s="5424" t="s">
        <v>6129</v>
      </c>
      <c r="L142" s="751" t="s">
        <v>542</v>
      </c>
      <c r="M142" s="2474">
        <v>45400</v>
      </c>
      <c r="N142" s="2474">
        <v>45400</v>
      </c>
      <c r="O142" s="2496">
        <v>45405</v>
      </c>
      <c r="P142" s="543" t="s">
        <v>7276</v>
      </c>
      <c r="Q142" s="7" t="s">
        <v>6852</v>
      </c>
      <c r="R142" s="909"/>
      <c r="S142" s="7" t="s">
        <v>37</v>
      </c>
      <c r="T142"/>
      <c r="U142"/>
      <c r="V142"/>
      <c r="W142">
        <f>表12[[#This Row],[Sales Amount]]-表12[[#This Row],[Cost]]</f>
        <v>0</v>
      </c>
      <c r="X142" s="2458" t="str">
        <f>IFERROR(Table6[[#This Row],[Profit]]/Table6[[#This Row],[Cost]]," ")</f>
        <v xml:space="preserve"> </v>
      </c>
      <c r="Y142"/>
      <c r="Z142"/>
    </row>
    <row r="143" spans="1:26" s="117" customFormat="1" ht="45">
      <c r="A143" s="4944" t="s">
        <v>622</v>
      </c>
      <c r="B143" s="4337" t="s">
        <v>7278</v>
      </c>
      <c r="C143" s="3655" t="s">
        <v>28</v>
      </c>
      <c r="D143" s="373">
        <v>45390</v>
      </c>
      <c r="E143" s="889">
        <v>45401</v>
      </c>
      <c r="F143" s="3518" t="s">
        <v>167</v>
      </c>
      <c r="G143" s="13" t="s">
        <v>361</v>
      </c>
      <c r="H143" s="872">
        <v>45405</v>
      </c>
      <c r="I143" s="872"/>
      <c r="J143" s="2486" t="s">
        <v>32</v>
      </c>
      <c r="K143" s="2487" t="s">
        <v>1445</v>
      </c>
      <c r="L143" s="22">
        <v>268658</v>
      </c>
      <c r="M143" s="839">
        <v>45404</v>
      </c>
      <c r="N143" s="839">
        <v>45404</v>
      </c>
      <c r="O143" s="822">
        <v>45405</v>
      </c>
      <c r="P143" s="3" t="s">
        <v>7231</v>
      </c>
      <c r="Q143" s="3265" t="s">
        <v>75</v>
      </c>
      <c r="R143" s="4345" t="s">
        <v>7232</v>
      </c>
      <c r="S143" s="13" t="s">
        <v>67</v>
      </c>
      <c r="T143" s="3">
        <v>7112.5</v>
      </c>
      <c r="U143" s="3">
        <f>6250+75/2+550</f>
        <v>6837.5</v>
      </c>
      <c r="V143" s="3"/>
      <c r="W143" s="3">
        <f>表14[[#This Row],[Sales Amount]]-表14[[#This Row],[Cost]]</f>
        <v>275</v>
      </c>
      <c r="X143" s="2626">
        <f>表14[[#This Row],[Profit]]/表14[[#This Row],[Cost]]</f>
        <v>4.0219378427787937E-2</v>
      </c>
      <c r="Y143" s="3"/>
      <c r="Z143" s="3"/>
    </row>
    <row r="144" spans="1:26" s="117" customFormat="1" ht="45">
      <c r="A144" s="3268" t="s">
        <v>468</v>
      </c>
      <c r="B144" s="4150" t="s">
        <v>7279</v>
      </c>
      <c r="C144" s="3538" t="s">
        <v>200</v>
      </c>
      <c r="D144" s="822">
        <v>45366</v>
      </c>
      <c r="E144" s="889">
        <v>45404</v>
      </c>
      <c r="F144" s="3268" t="s">
        <v>245</v>
      </c>
      <c r="G144" s="117" t="s">
        <v>5557</v>
      </c>
      <c r="H144" s="4173">
        <v>45407</v>
      </c>
      <c r="I144" s="4150" t="s">
        <v>7280</v>
      </c>
      <c r="J144" s="117" t="s">
        <v>322</v>
      </c>
      <c r="K144" s="4150" t="s">
        <v>7281</v>
      </c>
      <c r="L144" s="765">
        <v>7504538</v>
      </c>
      <c r="M144" s="822">
        <v>45406</v>
      </c>
      <c r="N144" s="822">
        <v>45406</v>
      </c>
      <c r="O144" s="822">
        <v>45408</v>
      </c>
      <c r="P144" s="4104" t="s">
        <v>7282</v>
      </c>
      <c r="Q144" s="3265" t="s">
        <v>75</v>
      </c>
      <c r="R144" s="4104" t="s">
        <v>7283</v>
      </c>
      <c r="T144" s="117">
        <v>725</v>
      </c>
      <c r="U144" s="117">
        <v>592.20000000000005</v>
      </c>
      <c r="V144" s="117">
        <v>1</v>
      </c>
      <c r="W144" s="117">
        <f>表14[[#This Row],[Sales Amount]]-表14[[#This Row],[Cost]]</f>
        <v>132.79999999999995</v>
      </c>
      <c r="X144" s="905">
        <f>表14[[#This Row],[Profit]]/表14[[#This Row],[Cost]]</f>
        <v>0.22424856467409648</v>
      </c>
      <c r="Y144" s="4150" t="s">
        <v>5640</v>
      </c>
    </row>
    <row r="145" spans="1:26">
      <c r="A145" s="58" t="s">
        <v>329</v>
      </c>
      <c r="B145" s="2575" t="s">
        <v>7284</v>
      </c>
      <c r="C145" s="3528" t="s">
        <v>28</v>
      </c>
      <c r="D145" s="4957">
        <v>45383</v>
      </c>
      <c r="E145" s="4957">
        <v>45406</v>
      </c>
      <c r="F145" s="58" t="s">
        <v>29</v>
      </c>
      <c r="G145" s="58" t="s">
        <v>57</v>
      </c>
      <c r="H145" s="2451">
        <v>45364</v>
      </c>
      <c r="I145" s="2451" t="s">
        <v>7285</v>
      </c>
      <c r="J145" s="58" t="s">
        <v>1353</v>
      </c>
      <c r="K145" s="58" t="s">
        <v>661</v>
      </c>
      <c r="L145" s="915" t="s">
        <v>542</v>
      </c>
      <c r="M145" s="1115" t="s">
        <v>7286</v>
      </c>
      <c r="N145" s="1115">
        <v>45364</v>
      </c>
      <c r="O145" s="1115">
        <v>45365</v>
      </c>
      <c r="P145" s="709" t="s">
        <v>7287</v>
      </c>
      <c r="Q145" s="4839" t="s">
        <v>35</v>
      </c>
      <c r="R145" s="1" t="s">
        <v>36</v>
      </c>
      <c r="S145" s="58" t="s">
        <v>664</v>
      </c>
      <c r="T145" s="106">
        <v>960</v>
      </c>
      <c r="U145" s="106">
        <v>747.4</v>
      </c>
      <c r="W145" s="106">
        <f>表12[[#This Row],[Sales Amount]]-表12[[#This Row],[Cost]]</f>
        <v>590</v>
      </c>
      <c r="X145" s="876" t="str">
        <f>IFERROR(Table6[[#This Row],[Profit]]/Table6[[#This Row],[Cost]]," ")</f>
        <v xml:space="preserve"> </v>
      </c>
    </row>
    <row r="146" spans="1:26" ht="45">
      <c r="A146" s="58" t="s">
        <v>694</v>
      </c>
      <c r="B146" s="2575">
        <v>6379075600</v>
      </c>
      <c r="C146" s="2566" t="s">
        <v>7288</v>
      </c>
      <c r="D146" s="1139">
        <v>45383</v>
      </c>
      <c r="E146" s="1139">
        <v>45406</v>
      </c>
      <c r="F146" s="58" t="s">
        <v>45</v>
      </c>
      <c r="G146" s="58" t="s">
        <v>669</v>
      </c>
      <c r="H146" s="1308" t="s">
        <v>7289</v>
      </c>
      <c r="I146" s="1308" t="s">
        <v>7290</v>
      </c>
      <c r="J146" s="913" t="s">
        <v>32</v>
      </c>
      <c r="K146" s="58" t="s">
        <v>3249</v>
      </c>
      <c r="L146" s="915" t="s">
        <v>542</v>
      </c>
      <c r="M146" s="1115" t="s">
        <v>7291</v>
      </c>
      <c r="N146" s="946" t="s">
        <v>7292</v>
      </c>
      <c r="O146" s="946" t="s">
        <v>7290</v>
      </c>
      <c r="P146" s="2414" t="s">
        <v>7293</v>
      </c>
      <c r="Q146" s="3275" t="s">
        <v>35</v>
      </c>
      <c r="R146" s="58" t="s">
        <v>36</v>
      </c>
      <c r="S146" s="58" t="s">
        <v>664</v>
      </c>
      <c r="T146" s="106"/>
      <c r="U146" s="106"/>
      <c r="W146" s="106">
        <f>表12[[#This Row],[Sales Amount]]-表12[[#This Row],[Cost]]</f>
        <v>0</v>
      </c>
      <c r="X146" s="876" t="str">
        <f>IFERROR(Table6[[#This Row],[Profit]]/Table6[[#This Row],[Cost]]," ")</f>
        <v xml:space="preserve"> </v>
      </c>
    </row>
    <row r="147" spans="1:26" s="52" customFormat="1">
      <c r="A147" s="1" t="s">
        <v>694</v>
      </c>
      <c r="B147" s="2575">
        <v>6378483460</v>
      </c>
      <c r="C147" s="5323" t="s">
        <v>7179</v>
      </c>
      <c r="D147" s="1139">
        <v>45366</v>
      </c>
      <c r="E147" s="1139">
        <v>45407</v>
      </c>
      <c r="F147" s="58" t="s">
        <v>45</v>
      </c>
      <c r="G147" s="1" t="s">
        <v>152</v>
      </c>
      <c r="H147" s="1119">
        <v>45355</v>
      </c>
      <c r="I147" s="1119" t="s">
        <v>40</v>
      </c>
      <c r="J147" s="58" t="s">
        <v>695</v>
      </c>
      <c r="K147" s="58" t="s">
        <v>3263</v>
      </c>
      <c r="L147" s="915" t="s">
        <v>542</v>
      </c>
      <c r="M147" s="1115" t="s">
        <v>7294</v>
      </c>
      <c r="N147" s="1115">
        <v>45355</v>
      </c>
      <c r="O147" s="844">
        <v>45355</v>
      </c>
      <c r="P147" s="650" t="s">
        <v>7295</v>
      </c>
      <c r="Q147" s="3275" t="s">
        <v>35</v>
      </c>
      <c r="R147" s="58" t="s">
        <v>36</v>
      </c>
      <c r="S147" s="58" t="s">
        <v>664</v>
      </c>
      <c r="T147"/>
      <c r="U147">
        <v>341</v>
      </c>
      <c r="V147"/>
      <c r="W147">
        <f>表12[[#This Row],[Sales Amount]]-表12[[#This Row],[Cost]]</f>
        <v>0</v>
      </c>
      <c r="X147" s="2458" t="str">
        <f>IFERROR(Table6[[#This Row],[Profit]]/Table6[[#This Row],[Cost]]," ")</f>
        <v xml:space="preserve"> </v>
      </c>
      <c r="Y147"/>
      <c r="Z147"/>
    </row>
    <row r="148" spans="1:26" s="52" customFormat="1" ht="30">
      <c r="A148" s="58" t="s">
        <v>694</v>
      </c>
      <c r="B148" s="2576" t="s">
        <v>7296</v>
      </c>
      <c r="C148" s="5323" t="s">
        <v>7297</v>
      </c>
      <c r="D148" s="1139">
        <v>45375</v>
      </c>
      <c r="E148" s="1139">
        <v>45407</v>
      </c>
      <c r="F148" s="58" t="s">
        <v>29</v>
      </c>
      <c r="G148" s="58" t="s">
        <v>57</v>
      </c>
      <c r="H148" s="1308" t="s">
        <v>7298</v>
      </c>
      <c r="I148" s="1308" t="s">
        <v>7299</v>
      </c>
      <c r="J148" s="913" t="s">
        <v>32</v>
      </c>
      <c r="K148" s="7" t="s">
        <v>3249</v>
      </c>
      <c r="L148" s="1590" t="s">
        <v>542</v>
      </c>
      <c r="M148" s="2374" t="s">
        <v>7300</v>
      </c>
      <c r="N148" s="262">
        <v>45357</v>
      </c>
      <c r="O148" s="262">
        <v>45357</v>
      </c>
      <c r="P148" s="2245" t="s">
        <v>7301</v>
      </c>
      <c r="Q148" s="3241" t="s">
        <v>35</v>
      </c>
      <c r="R148" s="7" t="s">
        <v>7302</v>
      </c>
      <c r="S148" s="7" t="s">
        <v>664</v>
      </c>
      <c r="T148"/>
      <c r="U148"/>
      <c r="V148"/>
      <c r="W148">
        <f>表12[[#This Row],[Sales Amount]]-表12[[#This Row],[Cost]]</f>
        <v>0</v>
      </c>
      <c r="X148" s="2433" t="str">
        <f>IFERROR(Table6[[#This Row],[Profit]]/Table6[[#This Row],[Cost]]," ")</f>
        <v xml:space="preserve"> </v>
      </c>
      <c r="Y148"/>
      <c r="Z148"/>
    </row>
    <row r="149" spans="1:26" s="52" customFormat="1" ht="105">
      <c r="A149" s="4150" t="s">
        <v>1501</v>
      </c>
      <c r="B149" s="2577" t="s">
        <v>7303</v>
      </c>
      <c r="C149" s="4337" t="s">
        <v>28</v>
      </c>
      <c r="D149" s="822">
        <v>45389</v>
      </c>
      <c r="E149" s="353">
        <v>45419</v>
      </c>
      <c r="F149" s="4150" t="s">
        <v>93</v>
      </c>
      <c r="G149" s="4150" t="s">
        <v>7304</v>
      </c>
      <c r="H149" s="825" t="s">
        <v>7305</v>
      </c>
      <c r="I149" s="117"/>
      <c r="J149" s="4150" t="s">
        <v>297</v>
      </c>
      <c r="K149" s="4150" t="s">
        <v>7306</v>
      </c>
      <c r="L149" s="4154" t="s">
        <v>7307</v>
      </c>
      <c r="M149" s="4173" t="s">
        <v>7308</v>
      </c>
      <c r="N149" s="4233">
        <v>45363</v>
      </c>
      <c r="O149" s="807">
        <v>45363</v>
      </c>
      <c r="P149" s="4104" t="s">
        <v>7309</v>
      </c>
      <c r="Q149" s="1617" t="s">
        <v>75</v>
      </c>
      <c r="R149" s="4104" t="s">
        <v>7310</v>
      </c>
      <c r="S149" s="117"/>
      <c r="T149" s="1756">
        <v>1333.75</v>
      </c>
      <c r="U149" s="1756">
        <v>1041</v>
      </c>
      <c r="V149" s="117">
        <v>1</v>
      </c>
      <c r="W149" s="1756">
        <f>表14[[#This Row],[Sales Amount]]-表14[[#This Row],[Cost]]</f>
        <v>292.75</v>
      </c>
      <c r="X149" s="1661">
        <f>表14[[#This Row],[Profit]]/表14[[#This Row],[Cost]]</f>
        <v>0.2812199807877041</v>
      </c>
      <c r="Y149" s="117"/>
      <c r="Z149" s="117"/>
    </row>
    <row r="150" spans="1:26" s="1350" customFormat="1" ht="105">
      <c r="A150" s="4150" t="s">
        <v>1501</v>
      </c>
      <c r="B150" s="2577" t="s">
        <v>7311</v>
      </c>
      <c r="C150" s="5354" t="s">
        <v>28</v>
      </c>
      <c r="D150" s="4906">
        <v>45389</v>
      </c>
      <c r="E150" s="4853">
        <v>45419</v>
      </c>
      <c r="F150" s="4150" t="s">
        <v>93</v>
      </c>
      <c r="G150" s="4150" t="s">
        <v>7304</v>
      </c>
      <c r="H150" s="825" t="s">
        <v>7312</v>
      </c>
      <c r="I150" s="117"/>
      <c r="J150" s="4150" t="s">
        <v>297</v>
      </c>
      <c r="K150" s="4150" t="s">
        <v>7306</v>
      </c>
      <c r="L150" s="4154" t="s">
        <v>7307</v>
      </c>
      <c r="M150" s="4173" t="s">
        <v>7308</v>
      </c>
      <c r="N150" s="4233">
        <v>45363</v>
      </c>
      <c r="O150" s="807">
        <v>45363</v>
      </c>
      <c r="P150" s="4104" t="s">
        <v>7313</v>
      </c>
      <c r="Q150" s="1617" t="s">
        <v>75</v>
      </c>
      <c r="R150" s="4104" t="s">
        <v>7314</v>
      </c>
      <c r="S150" s="117"/>
      <c r="T150" s="1756">
        <v>1381.25</v>
      </c>
      <c r="U150" s="1756">
        <v>1041</v>
      </c>
      <c r="V150" s="117">
        <v>1</v>
      </c>
      <c r="W150" s="1756">
        <f>表14[[#This Row],[Sales Amount]]-表14[[#This Row],[Cost]]</f>
        <v>340.25</v>
      </c>
      <c r="X150" s="1661">
        <f>表14[[#This Row],[Profit]]/表14[[#This Row],[Cost]]</f>
        <v>0.32684918347742553</v>
      </c>
      <c r="Y150" s="117"/>
      <c r="Z150" s="117"/>
    </row>
    <row r="151" spans="1:26" s="52" customFormat="1" ht="75">
      <c r="A151" s="4319" t="s">
        <v>1501</v>
      </c>
      <c r="B151" s="2577" t="s">
        <v>7315</v>
      </c>
      <c r="C151" s="4337" t="s">
        <v>28</v>
      </c>
      <c r="D151" s="4906">
        <v>45389</v>
      </c>
      <c r="E151" s="4853">
        <v>45419</v>
      </c>
      <c r="F151" s="4150" t="s">
        <v>93</v>
      </c>
      <c r="G151" s="4150" t="s">
        <v>7304</v>
      </c>
      <c r="H151" s="825" t="s">
        <v>7316</v>
      </c>
      <c r="I151" s="117"/>
      <c r="J151" s="4150" t="s">
        <v>297</v>
      </c>
      <c r="K151" s="4150" t="s">
        <v>7306</v>
      </c>
      <c r="L151" s="4154" t="s">
        <v>7307</v>
      </c>
      <c r="M151" s="4173" t="s">
        <v>7308</v>
      </c>
      <c r="N151" s="4233">
        <v>45364</v>
      </c>
      <c r="O151" s="822">
        <v>45364</v>
      </c>
      <c r="P151" s="4104" t="s">
        <v>7317</v>
      </c>
      <c r="Q151" s="3430" t="s">
        <v>75</v>
      </c>
      <c r="R151" s="4104" t="s">
        <v>7318</v>
      </c>
      <c r="S151" s="117"/>
      <c r="T151" s="1756">
        <v>1310</v>
      </c>
      <c r="U151" s="1756">
        <v>1041</v>
      </c>
      <c r="V151" s="117">
        <v>1</v>
      </c>
      <c r="W151" s="1756">
        <f>表14[[#This Row],[Sales Amount]]-表14[[#This Row],[Cost]]</f>
        <v>269</v>
      </c>
      <c r="X151" s="1661">
        <f>表14[[#This Row],[Profit]]/表14[[#This Row],[Cost]]</f>
        <v>0.25840537944284342</v>
      </c>
      <c r="Y151" s="117"/>
      <c r="Z151" s="117"/>
    </row>
    <row r="152" spans="1:26" ht="45">
      <c r="A152" s="3417" t="s">
        <v>468</v>
      </c>
      <c r="B152" s="4346" t="s">
        <v>7319</v>
      </c>
      <c r="C152" s="4337" t="s">
        <v>200</v>
      </c>
      <c r="D152" s="4906">
        <v>45379</v>
      </c>
      <c r="E152" s="4907">
        <v>45397</v>
      </c>
      <c r="F152" s="4150" t="s">
        <v>29</v>
      </c>
      <c r="G152" s="4150" t="s">
        <v>1350</v>
      </c>
      <c r="H152" s="822">
        <v>45398</v>
      </c>
      <c r="I152" s="822"/>
      <c r="J152" s="117" t="s">
        <v>297</v>
      </c>
      <c r="K152" s="4150" t="s">
        <v>6173</v>
      </c>
      <c r="L152" s="25">
        <v>5778471</v>
      </c>
      <c r="M152" s="822">
        <v>45399</v>
      </c>
      <c r="N152" s="822">
        <v>45397</v>
      </c>
      <c r="O152" s="1703">
        <v>45398</v>
      </c>
      <c r="P152" s="4141" t="s">
        <v>7320</v>
      </c>
      <c r="Q152" s="3075" t="s">
        <v>75</v>
      </c>
      <c r="R152" s="4205" t="s">
        <v>7321</v>
      </c>
      <c r="T152" s="2478">
        <v>2095</v>
      </c>
      <c r="U152" s="2478">
        <v>1283.2</v>
      </c>
      <c r="V152" s="106">
        <v>1</v>
      </c>
      <c r="W152" s="2449">
        <f>表14[[#This Row],[Sales Amount]]-表14[[#This Row],[Cost]]</f>
        <v>811.8</v>
      </c>
      <c r="X152" s="886">
        <f>表14[[#This Row],[Profit]]/表14[[#This Row],[Cost]]</f>
        <v>0.6326371571072319</v>
      </c>
      <c r="Y152" s="4874"/>
    </row>
    <row r="153" spans="1:26">
      <c r="A153"/>
      <c r="B153" s="26"/>
      <c r="C153"/>
      <c r="D153"/>
      <c r="E153" s="2"/>
      <c r="F153"/>
      <c r="G153"/>
      <c r="H153"/>
      <c r="I153"/>
      <c r="J153"/>
      <c r="K153"/>
      <c r="L153" s="2"/>
      <c r="M153"/>
      <c r="N153"/>
      <c r="O153"/>
      <c r="P153"/>
      <c r="Q153"/>
      <c r="R153"/>
      <c r="S153"/>
      <c r="T153"/>
      <c r="U153"/>
      <c r="V153"/>
      <c r="W153"/>
      <c r="X153"/>
      <c r="Y153"/>
      <c r="Z153"/>
    </row>
    <row r="154" spans="1:26" customFormat="1">
      <c r="E154" s="2"/>
      <c r="L154" s="2"/>
    </row>
    <row r="155" spans="1:26" customFormat="1">
      <c r="E155" s="2"/>
      <c r="L155" s="2"/>
    </row>
    <row r="156" spans="1:26" customFormat="1">
      <c r="E156" s="2"/>
      <c r="L156" s="2"/>
    </row>
    <row r="157" spans="1:26" customFormat="1">
      <c r="E157" s="2"/>
      <c r="L157" s="2"/>
    </row>
    <row r="158" spans="1:26" customFormat="1">
      <c r="E158" s="2"/>
      <c r="L158" s="2"/>
    </row>
    <row r="159" spans="1:26" customFormat="1">
      <c r="E159" s="2"/>
      <c r="L159" s="2"/>
    </row>
    <row r="160" spans="1:26" customFormat="1">
      <c r="E160" s="2"/>
      <c r="L160" s="2"/>
    </row>
    <row r="161" spans="1:26" customFormat="1">
      <c r="E161" s="2"/>
      <c r="L161" s="2"/>
    </row>
    <row r="162" spans="1:26" customFormat="1">
      <c r="E162" s="2"/>
      <c r="L162" s="2"/>
    </row>
    <row r="163" spans="1:26" customFormat="1">
      <c r="E163" s="2"/>
      <c r="L163" s="2"/>
    </row>
    <row r="164" spans="1:26" customFormat="1">
      <c r="E164" s="2"/>
      <c r="L164" s="2"/>
    </row>
    <row r="165" spans="1:26" customFormat="1">
      <c r="E165" s="2"/>
      <c r="L165" s="2"/>
    </row>
    <row r="166" spans="1:26" customFormat="1">
      <c r="E166" s="2"/>
      <c r="L166" s="2"/>
    </row>
    <row r="167" spans="1:26" customFormat="1">
      <c r="E167" s="2"/>
      <c r="L167" s="2"/>
    </row>
    <row r="168" spans="1:26" customFormat="1">
      <c r="A168" s="106"/>
      <c r="B168" s="4347"/>
      <c r="C168" s="2568"/>
      <c r="D168" s="144"/>
      <c r="E168" s="126"/>
      <c r="F168" s="106"/>
      <c r="G168" s="106"/>
      <c r="H168" s="144"/>
      <c r="I168" s="106"/>
      <c r="J168" s="106"/>
      <c r="K168" s="106"/>
      <c r="L168" s="127"/>
      <c r="M168" s="144"/>
      <c r="N168" s="144"/>
      <c r="O168" s="144"/>
      <c r="P168" s="106"/>
      <c r="Q168" s="106"/>
      <c r="R168" s="106"/>
      <c r="S168" s="106"/>
      <c r="T168" s="1754"/>
      <c r="U168" s="1754"/>
      <c r="V168" s="106"/>
      <c r="W168" s="1754"/>
      <c r="X168" s="876"/>
      <c r="Y168" s="106"/>
      <c r="Z168" s="106"/>
    </row>
    <row r="169" spans="1:26">
      <c r="B169" s="4152"/>
      <c r="G169" s="144"/>
    </row>
    <row r="170" spans="1:26">
      <c r="B170" s="4152"/>
      <c r="H170" s="106"/>
      <c r="K170" s="144"/>
    </row>
    <row r="171" spans="1:26">
      <c r="B171" s="4152"/>
      <c r="H171" s="106"/>
      <c r="K171" s="144"/>
    </row>
    <row r="172" spans="1:26">
      <c r="B172" s="4152"/>
      <c r="E172" s="127"/>
      <c r="H172" s="106"/>
    </row>
    <row r="173" spans="1:26">
      <c r="B173" s="4152"/>
    </row>
    <row r="175" spans="1:26">
      <c r="B175" s="4152"/>
      <c r="C175" s="2598"/>
      <c r="Y175" s="2450"/>
    </row>
    <row r="176" spans="1:26">
      <c r="B176" s="4152"/>
      <c r="F176" s="144"/>
    </row>
    <row r="177" spans="2:34">
      <c r="B177" s="4152"/>
    </row>
    <row r="178" spans="2:34">
      <c r="B178" s="4152"/>
      <c r="H178" s="1754"/>
      <c r="T178" s="106"/>
      <c r="U178" s="106"/>
      <c r="W178" s="144"/>
      <c r="X178" s="144"/>
      <c r="Y178" s="144"/>
    </row>
    <row r="179" spans="2:34">
      <c r="B179" s="4152"/>
      <c r="T179" s="106"/>
      <c r="U179" s="106"/>
      <c r="W179" s="144"/>
      <c r="X179" s="144"/>
      <c r="Y179" s="144"/>
      <c r="AA179" s="144"/>
      <c r="AE179" s="2450"/>
      <c r="AF179" s="144"/>
      <c r="AG179" s="144"/>
      <c r="AH179" s="144"/>
    </row>
    <row r="180" spans="2:34">
      <c r="B180" s="4152"/>
      <c r="Y180" s="1754"/>
      <c r="AA180" s="144"/>
      <c r="AE180" s="2450"/>
      <c r="AF180" s="144"/>
      <c r="AG180" s="144"/>
      <c r="AH180" s="144"/>
    </row>
    <row r="181" spans="2:34">
      <c r="B181" s="4152"/>
    </row>
  </sheetData>
  <conditionalFormatting sqref="B1">
    <cfRule type="duplicateValues" dxfId="250" priority="1"/>
  </conditionalFormatting>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93BBC-4D4C-4163-B79A-43962617860C}">
  <dimension ref="A1:Z200"/>
  <sheetViews>
    <sheetView zoomScale="80" zoomScaleNormal="80" workbookViewId="0">
      <pane xSplit="7" ySplit="1" topLeftCell="P180" activePane="bottomRight" state="frozen"/>
      <selection pane="bottomRight" activeCell="R188" sqref="R188"/>
      <selection pane="bottomLeft"/>
      <selection pane="topRight"/>
    </sheetView>
  </sheetViews>
  <sheetFormatPr defaultColWidth="9.125" defaultRowHeight="15"/>
  <cols>
    <col min="1" max="1" width="20.25" style="106" customWidth="1"/>
    <col min="2" max="2" width="20" style="106" customWidth="1"/>
    <col min="3" max="3" width="9.25" style="106" customWidth="1"/>
    <col min="4" max="4" width="10.875" style="144" customWidth="1"/>
    <col min="5" max="5" width="9.125" style="144" customWidth="1"/>
    <col min="6" max="6" width="15" style="106" customWidth="1"/>
    <col min="7" max="7" width="22.125" style="106" customWidth="1"/>
    <col min="8" max="8" width="25.25" style="144" bestFit="1" customWidth="1"/>
    <col min="9" max="9" width="16.25" style="106" customWidth="1"/>
    <col min="10" max="10" width="16.25" style="106" bestFit="1" customWidth="1"/>
    <col min="11" max="11" width="29.25" style="106" bestFit="1" customWidth="1"/>
    <col min="12" max="12" width="10.875" style="106" bestFit="1" customWidth="1"/>
    <col min="13" max="14" width="13.25" style="144" customWidth="1"/>
    <col min="15" max="15" width="6.875" style="144" bestFit="1" customWidth="1"/>
    <col min="16" max="16" width="80.25" style="147" customWidth="1"/>
    <col min="17" max="17" width="8.125" style="106" customWidth="1"/>
    <col min="18" max="18" width="31.25" style="106" bestFit="1" customWidth="1"/>
    <col min="19" max="19" width="10" style="106" bestFit="1" customWidth="1"/>
    <col min="20" max="20" width="14" style="106" bestFit="1" customWidth="1"/>
    <col min="21" max="21" width="9.875" style="106" bestFit="1" customWidth="1"/>
    <col min="22" max="22" width="15.25" style="106" bestFit="1" customWidth="1"/>
    <col min="23" max="23" width="11.25" style="106" customWidth="1"/>
    <col min="24" max="24" width="12.125" style="876" bestFit="1" customWidth="1"/>
    <col min="25" max="25" width="9.125" style="106"/>
    <col min="26" max="26" width="10.875" style="106" bestFit="1" customWidth="1"/>
    <col min="27" max="16384" width="9.125" style="26"/>
  </cols>
  <sheetData>
    <row r="1" spans="1:26" ht="14.25" customHeight="1">
      <c r="A1" s="2443" t="s">
        <v>0</v>
      </c>
      <c r="B1" s="2443" t="s">
        <v>1</v>
      </c>
      <c r="C1" s="2443" t="s">
        <v>2</v>
      </c>
      <c r="D1" s="2443" t="s">
        <v>3</v>
      </c>
      <c r="E1" s="2444" t="s">
        <v>4</v>
      </c>
      <c r="F1" s="2443" t="s">
        <v>5</v>
      </c>
      <c r="G1" s="2441" t="s">
        <v>6</v>
      </c>
      <c r="H1" s="2441" t="s">
        <v>7</v>
      </c>
      <c r="I1" s="2441" t="s">
        <v>8</v>
      </c>
      <c r="J1" s="2441" t="s">
        <v>9</v>
      </c>
      <c r="K1" s="2445" t="s">
        <v>10</v>
      </c>
      <c r="L1" s="2613" t="s">
        <v>11</v>
      </c>
      <c r="M1" s="2444" t="s">
        <v>12</v>
      </c>
      <c r="N1" s="2443" t="s">
        <v>13</v>
      </c>
      <c r="O1" s="2443" t="s">
        <v>14</v>
      </c>
      <c r="P1" s="2446" t="s">
        <v>15</v>
      </c>
      <c r="Q1" s="1567" t="s">
        <v>16</v>
      </c>
      <c r="R1" s="1567" t="s">
        <v>17</v>
      </c>
      <c r="S1" s="1567" t="s">
        <v>18</v>
      </c>
      <c r="T1" s="2761" t="s">
        <v>19</v>
      </c>
      <c r="U1" s="1567" t="s">
        <v>20</v>
      </c>
      <c r="V1" s="1567" t="s">
        <v>21</v>
      </c>
      <c r="W1" s="1567" t="s">
        <v>22</v>
      </c>
      <c r="X1" s="2762" t="s">
        <v>23</v>
      </c>
      <c r="Y1" s="2762" t="s">
        <v>24</v>
      </c>
      <c r="Z1" s="2762" t="s">
        <v>25</v>
      </c>
    </row>
    <row r="2" spans="1:26" s="507" customFormat="1">
      <c r="A2" s="2644" t="s">
        <v>7322</v>
      </c>
      <c r="B2" s="1495" t="s">
        <v>7323</v>
      </c>
      <c r="C2" s="1495" t="s">
        <v>28</v>
      </c>
      <c r="D2" s="2645">
        <v>45405</v>
      </c>
      <c r="E2" s="2646">
        <v>45405</v>
      </c>
      <c r="F2" s="1495" t="s">
        <v>151</v>
      </c>
      <c r="G2" s="1495" t="s">
        <v>7324</v>
      </c>
      <c r="H2" s="2645">
        <v>45411</v>
      </c>
      <c r="I2" s="1495"/>
      <c r="J2" s="2647" t="s">
        <v>6052</v>
      </c>
      <c r="K2" s="2647" t="s">
        <v>6053</v>
      </c>
      <c r="L2" s="2648" t="s">
        <v>542</v>
      </c>
      <c r="M2" s="2645">
        <v>45411</v>
      </c>
      <c r="N2" s="2645">
        <v>45411</v>
      </c>
      <c r="O2" s="2645">
        <v>45412</v>
      </c>
      <c r="P2" s="1495" t="s">
        <v>7325</v>
      </c>
      <c r="Q2" s="1495" t="s">
        <v>6852</v>
      </c>
      <c r="R2" s="1495" t="s">
        <v>7326</v>
      </c>
      <c r="S2" s="1495" t="s">
        <v>37</v>
      </c>
      <c r="T2" s="1495"/>
      <c r="U2" s="1495"/>
      <c r="V2" s="1495"/>
      <c r="W2" s="1495"/>
      <c r="X2" s="1495"/>
      <c r="Y2" s="1495"/>
      <c r="Z2" s="1495"/>
    </row>
    <row r="3" spans="1:26" s="117" customFormat="1">
      <c r="A3" s="4861" t="s">
        <v>7322</v>
      </c>
      <c r="B3" s="709" t="s">
        <v>7327</v>
      </c>
      <c r="C3" s="4861" t="s">
        <v>28</v>
      </c>
      <c r="D3" s="4953">
        <v>45391</v>
      </c>
      <c r="E3" s="4885">
        <v>45392</v>
      </c>
      <c r="F3" s="4861" t="s">
        <v>151</v>
      </c>
      <c r="G3" s="4861" t="s">
        <v>7324</v>
      </c>
      <c r="H3" s="5035">
        <v>45398</v>
      </c>
      <c r="I3" s="4861"/>
      <c r="J3" s="5325" t="s">
        <v>6052</v>
      </c>
      <c r="K3" s="5425" t="s">
        <v>6053</v>
      </c>
      <c r="L3" s="4902" t="s">
        <v>542</v>
      </c>
      <c r="M3" s="5035">
        <v>45398</v>
      </c>
      <c r="N3" s="4953">
        <v>45398</v>
      </c>
      <c r="O3" s="5035">
        <v>45399</v>
      </c>
      <c r="P3" s="4882" t="s">
        <v>7328</v>
      </c>
      <c r="Q3" s="4861" t="s">
        <v>35</v>
      </c>
      <c r="R3" s="4861" t="s">
        <v>36</v>
      </c>
      <c r="S3" s="4861" t="s">
        <v>37</v>
      </c>
      <c r="T3" s="4873">
        <v>870</v>
      </c>
      <c r="U3" s="4873">
        <v>605</v>
      </c>
      <c r="V3" s="4873"/>
      <c r="W3" s="4873"/>
      <c r="X3" s="4873"/>
      <c r="Y3" s="4873"/>
      <c r="Z3" s="4873"/>
    </row>
    <row r="4" spans="1:26" s="707" customFormat="1">
      <c r="A4" s="5077" t="s">
        <v>7322</v>
      </c>
      <c r="B4" s="4861" t="s">
        <v>7329</v>
      </c>
      <c r="C4" s="4861" t="s">
        <v>28</v>
      </c>
      <c r="D4" s="4953">
        <v>45405</v>
      </c>
      <c r="E4" s="5035">
        <v>45405</v>
      </c>
      <c r="F4" s="4861" t="s">
        <v>151</v>
      </c>
      <c r="G4" s="4861" t="s">
        <v>7324</v>
      </c>
      <c r="H4" s="4953"/>
      <c r="I4" s="4861"/>
      <c r="J4" s="5325" t="s">
        <v>6052</v>
      </c>
      <c r="K4" s="5325" t="s">
        <v>6053</v>
      </c>
      <c r="L4" s="4902" t="s">
        <v>542</v>
      </c>
      <c r="M4" s="4953">
        <v>45412</v>
      </c>
      <c r="N4" s="4953">
        <v>45412</v>
      </c>
      <c r="O4" s="4953">
        <v>45413</v>
      </c>
      <c r="P4" s="4861" t="s">
        <v>7330</v>
      </c>
      <c r="Q4" s="4861" t="s">
        <v>862</v>
      </c>
      <c r="R4" s="4861" t="s">
        <v>7331</v>
      </c>
      <c r="S4" s="4861" t="s">
        <v>37</v>
      </c>
      <c r="T4" s="4861"/>
      <c r="U4" s="4861"/>
      <c r="V4" s="4861"/>
      <c r="W4" s="4861"/>
      <c r="X4" s="4861"/>
      <c r="Y4" s="4861"/>
      <c r="Z4" s="4861"/>
    </row>
    <row r="5" spans="1:26" s="707" customFormat="1">
      <c r="A5" s="4861" t="s">
        <v>1431</v>
      </c>
      <c r="B5" s="4861" t="s">
        <v>7332</v>
      </c>
      <c r="C5" s="4861" t="s">
        <v>28</v>
      </c>
      <c r="D5" s="4953">
        <v>45399</v>
      </c>
      <c r="E5" s="4885">
        <v>45411</v>
      </c>
      <c r="F5" s="4861" t="s">
        <v>285</v>
      </c>
      <c r="G5" s="4861" t="s">
        <v>46</v>
      </c>
      <c r="H5" s="4953"/>
      <c r="I5" s="4861"/>
      <c r="J5" s="5325" t="s">
        <v>32</v>
      </c>
      <c r="K5" s="4861" t="s">
        <v>1433</v>
      </c>
      <c r="L5" s="4861" t="s">
        <v>7333</v>
      </c>
      <c r="M5" s="4953">
        <v>45413</v>
      </c>
      <c r="N5" s="4953">
        <v>45413</v>
      </c>
      <c r="O5" s="4953">
        <v>45413</v>
      </c>
      <c r="P5" s="4861" t="s">
        <v>7334</v>
      </c>
      <c r="Q5" s="4861" t="s">
        <v>862</v>
      </c>
      <c r="R5" s="4861" t="s">
        <v>36</v>
      </c>
      <c r="S5" s="4861" t="s">
        <v>37</v>
      </c>
      <c r="T5" s="4861"/>
      <c r="U5" s="4861"/>
      <c r="V5" s="4861"/>
      <c r="W5" s="4861"/>
      <c r="X5" s="4861"/>
      <c r="Y5" s="4861"/>
      <c r="Z5" s="4861"/>
    </row>
    <row r="6" spans="1:26" s="507" customFormat="1" ht="30">
      <c r="A6" s="4845" t="s">
        <v>468</v>
      </c>
      <c r="B6" s="4908" t="s">
        <v>7335</v>
      </c>
      <c r="C6" s="4845" t="s">
        <v>28</v>
      </c>
      <c r="D6" s="4906">
        <v>45386</v>
      </c>
      <c r="E6" s="5070">
        <v>45397</v>
      </c>
      <c r="F6" s="4908" t="s">
        <v>45</v>
      </c>
      <c r="G6" s="4908" t="s">
        <v>302</v>
      </c>
      <c r="H6" s="4906">
        <v>45399</v>
      </c>
      <c r="I6" s="4845" t="s">
        <v>7336</v>
      </c>
      <c r="J6" s="4908" t="s">
        <v>322</v>
      </c>
      <c r="K6" s="4908" t="s">
        <v>7337</v>
      </c>
      <c r="L6" s="4947" t="s">
        <v>7338</v>
      </c>
      <c r="M6" s="4936">
        <v>45400</v>
      </c>
      <c r="N6" s="4906">
        <v>45399</v>
      </c>
      <c r="O6" s="4906">
        <v>45399</v>
      </c>
      <c r="P6" s="4104" t="s">
        <v>7339</v>
      </c>
      <c r="Q6" s="4845" t="s">
        <v>75</v>
      </c>
      <c r="R6" s="4909" t="s">
        <v>7340</v>
      </c>
      <c r="S6" s="4845"/>
      <c r="T6" s="4845">
        <v>1357.5</v>
      </c>
      <c r="U6" s="4845">
        <v>1060</v>
      </c>
      <c r="V6" s="4845">
        <v>1</v>
      </c>
      <c r="W6" s="4845">
        <f>T6-U6</f>
        <v>297.5</v>
      </c>
      <c r="X6" s="5060">
        <f>W6/U6</f>
        <v>0.28066037735849059</v>
      </c>
      <c r="Y6" s="4845"/>
      <c r="Z6" s="4845"/>
    </row>
    <row r="7" spans="1:26" s="507" customFormat="1" ht="30">
      <c r="A7" s="4845" t="s">
        <v>7341</v>
      </c>
      <c r="B7" s="4845" t="s">
        <v>7342</v>
      </c>
      <c r="C7" s="4845" t="s">
        <v>85</v>
      </c>
      <c r="D7" s="4906">
        <v>45382</v>
      </c>
      <c r="E7" s="4916">
        <v>45391</v>
      </c>
      <c r="F7" s="4845" t="s">
        <v>56</v>
      </c>
      <c r="G7" s="4845" t="s">
        <v>46</v>
      </c>
      <c r="H7" s="4906">
        <v>45397</v>
      </c>
      <c r="I7" s="4845" t="s">
        <v>650</v>
      </c>
      <c r="J7" s="4915" t="s">
        <v>32</v>
      </c>
      <c r="K7" s="4947" t="s">
        <v>7343</v>
      </c>
      <c r="L7" s="5243">
        <v>493457</v>
      </c>
      <c r="M7" s="5236">
        <v>45394</v>
      </c>
      <c r="N7" s="4906">
        <v>45393</v>
      </c>
      <c r="O7" s="4906">
        <v>45396</v>
      </c>
      <c r="P7" s="4845" t="s">
        <v>7344</v>
      </c>
      <c r="Q7" s="4845" t="s">
        <v>75</v>
      </c>
      <c r="R7" s="4845" t="s">
        <v>7345</v>
      </c>
      <c r="S7" s="4845" t="s">
        <v>7159</v>
      </c>
      <c r="T7" s="5190">
        <v>2200</v>
      </c>
      <c r="U7" s="4845"/>
      <c r="V7" s="660">
        <v>1</v>
      </c>
      <c r="W7" s="2749">
        <f>表17[[#This Row],[Sales Amount]]-表17[[#This Row],[Cost]]</f>
        <v>2200</v>
      </c>
      <c r="X7" s="885" t="e">
        <f>表17[[#This Row],[Profit]]/表17[[#This Row],[Cost]]</f>
        <v>#DIV/0!</v>
      </c>
      <c r="Y7" s="4845"/>
      <c r="Z7" s="4845"/>
    </row>
    <row r="8" spans="1:26" s="507" customFormat="1" ht="30">
      <c r="A8" s="4845" t="s">
        <v>7341</v>
      </c>
      <c r="B8" s="4845" t="s">
        <v>7346</v>
      </c>
      <c r="C8" s="4845" t="s">
        <v>85</v>
      </c>
      <c r="D8" s="4906">
        <v>45382</v>
      </c>
      <c r="E8" s="879">
        <v>45393</v>
      </c>
      <c r="F8" s="4845" t="s">
        <v>56</v>
      </c>
      <c r="G8" s="4845" t="s">
        <v>46</v>
      </c>
      <c r="H8" s="5236">
        <v>45398</v>
      </c>
      <c r="I8" s="5243" t="s">
        <v>31</v>
      </c>
      <c r="J8" s="4915" t="s">
        <v>32</v>
      </c>
      <c r="K8" s="4845" t="s">
        <v>7343</v>
      </c>
      <c r="L8" s="1061" t="s">
        <v>7347</v>
      </c>
      <c r="M8" s="5236">
        <v>45395</v>
      </c>
      <c r="N8" s="5236">
        <v>45394</v>
      </c>
      <c r="O8" s="4906">
        <v>45397</v>
      </c>
      <c r="P8" s="4947" t="s">
        <v>7348</v>
      </c>
      <c r="Q8" s="4845" t="s">
        <v>75</v>
      </c>
      <c r="R8" s="4845" t="s">
        <v>7349</v>
      </c>
      <c r="S8" s="4845" t="s">
        <v>7159</v>
      </c>
      <c r="T8" s="5190">
        <v>2355</v>
      </c>
      <c r="U8" s="4845"/>
      <c r="V8" s="660">
        <v>1</v>
      </c>
      <c r="W8" s="2749">
        <f>表17[[#This Row],[Sales Amount]]-表17[[#This Row],[Cost]]</f>
        <v>2355</v>
      </c>
      <c r="X8" s="885" t="e">
        <f>表17[[#This Row],[Profit]]/表17[[#This Row],[Cost]]</f>
        <v>#DIV/0!</v>
      </c>
      <c r="Y8" s="4845"/>
      <c r="Z8" s="4845"/>
    </row>
    <row r="9" spans="1:26" s="507" customFormat="1" ht="30">
      <c r="A9" s="4128" t="s">
        <v>1501</v>
      </c>
      <c r="B9" s="4128" t="s">
        <v>7350</v>
      </c>
      <c r="C9" s="120" t="s">
        <v>28</v>
      </c>
      <c r="D9" s="654" t="s">
        <v>7351</v>
      </c>
      <c r="E9" s="653">
        <v>45433</v>
      </c>
      <c r="F9" s="4193" t="s">
        <v>45</v>
      </c>
      <c r="G9" s="4128" t="s">
        <v>3915</v>
      </c>
      <c r="H9" s="4193" t="s">
        <v>7352</v>
      </c>
      <c r="I9" s="4193" t="s">
        <v>7352</v>
      </c>
      <c r="J9" s="4193" t="s">
        <v>7352</v>
      </c>
      <c r="K9" s="4193" t="s">
        <v>7352</v>
      </c>
      <c r="L9" s="808" t="s">
        <v>7353</v>
      </c>
      <c r="M9" s="842" t="s">
        <v>7354</v>
      </c>
      <c r="N9" s="653">
        <v>45399</v>
      </c>
      <c r="O9" s="653">
        <v>45400</v>
      </c>
      <c r="P9" s="4128" t="s">
        <v>7355</v>
      </c>
      <c r="Q9" s="120" t="s">
        <v>75</v>
      </c>
      <c r="R9" s="4128" t="s">
        <v>7356</v>
      </c>
      <c r="S9" s="120"/>
      <c r="T9" s="120"/>
      <c r="U9" s="120"/>
      <c r="V9" s="120"/>
      <c r="W9" s="120"/>
      <c r="X9" s="120"/>
      <c r="Y9" s="120"/>
      <c r="Z9" s="120"/>
    </row>
    <row r="10" spans="1:26" s="117" customFormat="1" ht="75">
      <c r="A10" s="694" t="s">
        <v>122</v>
      </c>
      <c r="B10" s="4104" t="s">
        <v>7357</v>
      </c>
      <c r="C10" s="715" t="s">
        <v>44</v>
      </c>
      <c r="D10" s="3292">
        <v>45394</v>
      </c>
      <c r="E10" s="3314">
        <v>45394</v>
      </c>
      <c r="F10" s="715" t="s">
        <v>93</v>
      </c>
      <c r="G10" s="715" t="s">
        <v>7358</v>
      </c>
      <c r="H10" s="1007">
        <v>45399</v>
      </c>
      <c r="I10" s="715" t="s">
        <v>5702</v>
      </c>
      <c r="J10" s="1002" t="s">
        <v>859</v>
      </c>
      <c r="K10" s="1002" t="s">
        <v>7359</v>
      </c>
      <c r="L10" s="660"/>
      <c r="M10" s="4231">
        <v>45400</v>
      </c>
      <c r="N10" s="679">
        <v>45399</v>
      </c>
      <c r="O10" s="4231">
        <v>45401</v>
      </c>
      <c r="P10" s="4128" t="s">
        <v>7360</v>
      </c>
      <c r="Q10" s="694" t="s">
        <v>75</v>
      </c>
      <c r="R10" s="4348" t="s">
        <v>7361</v>
      </c>
      <c r="S10" s="694"/>
      <c r="T10" s="2197">
        <v>1286.1400000000001</v>
      </c>
      <c r="U10" s="694">
        <f>95+71.14+20+640</f>
        <v>826.14</v>
      </c>
      <c r="V10" s="694"/>
      <c r="W10" s="2197">
        <f t="shared" ref="W10:W15" si="0">T10-U10</f>
        <v>460.00000000000011</v>
      </c>
      <c r="X10" s="1811">
        <f t="shared" ref="X10:X15" si="1">W10/U10</f>
        <v>0.55680635243421228</v>
      </c>
      <c r="Y10" s="694"/>
      <c r="Z10" s="694"/>
    </row>
    <row r="11" spans="1:26" s="117" customFormat="1" ht="75">
      <c r="A11" s="4947" t="s">
        <v>7362</v>
      </c>
      <c r="B11" s="4909" t="s">
        <v>7363</v>
      </c>
      <c r="C11" s="4947" t="s">
        <v>28</v>
      </c>
      <c r="D11" s="5069">
        <v>45386</v>
      </c>
      <c r="E11" s="5070">
        <v>45399</v>
      </c>
      <c r="F11" s="4947" t="s">
        <v>93</v>
      </c>
      <c r="G11" s="4909" t="s">
        <v>302</v>
      </c>
      <c r="H11" s="5069">
        <v>45404</v>
      </c>
      <c r="I11" s="4845" t="s">
        <v>618</v>
      </c>
      <c r="J11" s="5133" t="s">
        <v>1028</v>
      </c>
      <c r="K11" s="4909" t="s">
        <v>7364</v>
      </c>
      <c r="L11" s="5426" t="s">
        <v>7365</v>
      </c>
      <c r="M11" s="5069">
        <v>45403</v>
      </c>
      <c r="N11" s="5069">
        <v>45402</v>
      </c>
      <c r="O11" s="4918">
        <v>45404</v>
      </c>
      <c r="P11" s="4951" t="s">
        <v>7366</v>
      </c>
      <c r="Q11" s="4947" t="s">
        <v>75</v>
      </c>
      <c r="R11" s="4909" t="s">
        <v>7367</v>
      </c>
      <c r="S11" s="4947"/>
      <c r="T11" s="5427">
        <v>1755</v>
      </c>
      <c r="U11" s="5135">
        <v>1207.6300000000001</v>
      </c>
      <c r="V11" s="4947">
        <v>1</v>
      </c>
      <c r="W11" s="5110">
        <f t="shared" si="0"/>
        <v>547.36999999999989</v>
      </c>
      <c r="X11" s="5111">
        <f t="shared" si="1"/>
        <v>0.45325969046810682</v>
      </c>
      <c r="Y11" s="4909" t="s">
        <v>5640</v>
      </c>
      <c r="Z11" s="4947"/>
    </row>
    <row r="12" spans="1:26" ht="75">
      <c r="A12" s="3273" t="s">
        <v>7362</v>
      </c>
      <c r="B12" s="4909" t="s">
        <v>7368</v>
      </c>
      <c r="C12" s="4947" t="s">
        <v>28</v>
      </c>
      <c r="D12" s="5069">
        <v>45386</v>
      </c>
      <c r="E12" s="5070">
        <v>45399</v>
      </c>
      <c r="F12" s="4947" t="s">
        <v>93</v>
      </c>
      <c r="G12" s="4947" t="s">
        <v>302</v>
      </c>
      <c r="H12" s="5069">
        <v>45404</v>
      </c>
      <c r="I12" s="4845" t="s">
        <v>790</v>
      </c>
      <c r="J12" s="5133" t="s">
        <v>1028</v>
      </c>
      <c r="K12" s="4947" t="s">
        <v>7364</v>
      </c>
      <c r="L12" s="4947" t="s">
        <v>7369</v>
      </c>
      <c r="M12" s="3292">
        <v>45403</v>
      </c>
      <c r="N12" s="3292">
        <v>45403</v>
      </c>
      <c r="O12" s="3366">
        <v>45405</v>
      </c>
      <c r="P12" s="3656" t="s">
        <v>7370</v>
      </c>
      <c r="Q12" s="3273" t="s">
        <v>75</v>
      </c>
      <c r="R12" s="4246" t="s">
        <v>7371</v>
      </c>
      <c r="S12" s="3273"/>
      <c r="T12" s="3273">
        <v>1640</v>
      </c>
      <c r="U12" s="4247">
        <v>1207.6300000000001</v>
      </c>
      <c r="V12" s="3273">
        <v>1</v>
      </c>
      <c r="W12" s="3393">
        <f t="shared" si="0"/>
        <v>432.36999999999989</v>
      </c>
      <c r="X12" s="3294">
        <f t="shared" si="1"/>
        <v>0.35803184750296024</v>
      </c>
      <c r="Y12" s="4246" t="s">
        <v>5640</v>
      </c>
      <c r="Z12" s="3273"/>
    </row>
    <row r="13" spans="1:26" s="806" customFormat="1" ht="75">
      <c r="A13" s="4947" t="s">
        <v>7362</v>
      </c>
      <c r="B13" s="4908" t="s">
        <v>7372</v>
      </c>
      <c r="C13" s="4947" t="s">
        <v>28</v>
      </c>
      <c r="D13" s="5069">
        <v>45386</v>
      </c>
      <c r="E13" s="5070">
        <v>45399</v>
      </c>
      <c r="F13" s="4947" t="s">
        <v>93</v>
      </c>
      <c r="G13" s="4947" t="s">
        <v>302</v>
      </c>
      <c r="H13" s="5069">
        <v>45405</v>
      </c>
      <c r="I13" s="4845" t="s">
        <v>618</v>
      </c>
      <c r="J13" s="5133" t="s">
        <v>1028</v>
      </c>
      <c r="K13" s="4947" t="s">
        <v>7364</v>
      </c>
      <c r="L13" s="4947" t="s">
        <v>7373</v>
      </c>
      <c r="M13" s="5069">
        <v>45403</v>
      </c>
      <c r="N13" s="5069">
        <v>45402</v>
      </c>
      <c r="O13" s="4918">
        <v>45405</v>
      </c>
      <c r="P13" s="5428" t="s">
        <v>7374</v>
      </c>
      <c r="Q13" s="4947" t="s">
        <v>75</v>
      </c>
      <c r="R13" s="4909" t="s">
        <v>7375</v>
      </c>
      <c r="S13" s="4947"/>
      <c r="T13" s="4947">
        <v>1720</v>
      </c>
      <c r="U13" s="5135">
        <v>1247.6300000000001</v>
      </c>
      <c r="V13" s="4947">
        <v>1</v>
      </c>
      <c r="W13" s="5110">
        <f t="shared" si="0"/>
        <v>472.36999999999989</v>
      </c>
      <c r="X13" s="5111">
        <f t="shared" si="1"/>
        <v>0.3786138518631324</v>
      </c>
      <c r="Y13" s="4909" t="s">
        <v>5640</v>
      </c>
      <c r="Z13" s="4947"/>
    </row>
    <row r="14" spans="1:26" s="806" customFormat="1" ht="30">
      <c r="A14" s="4845" t="s">
        <v>468</v>
      </c>
      <c r="B14" s="4908" t="s">
        <v>7376</v>
      </c>
      <c r="C14" s="4908" t="s">
        <v>200</v>
      </c>
      <c r="D14" s="4906">
        <v>45389</v>
      </c>
      <c r="E14" s="4916">
        <v>45403</v>
      </c>
      <c r="F14" s="4908" t="s">
        <v>93</v>
      </c>
      <c r="G14" s="4951" t="s">
        <v>5557</v>
      </c>
      <c r="H14" s="4918">
        <v>45405</v>
      </c>
      <c r="I14" s="2810">
        <v>0.3125</v>
      </c>
      <c r="J14" s="4908" t="s">
        <v>322</v>
      </c>
      <c r="K14" s="4908" t="s">
        <v>7281</v>
      </c>
      <c r="L14" s="4845">
        <v>6683010</v>
      </c>
      <c r="M14" s="4906">
        <v>45404</v>
      </c>
      <c r="N14" s="4906">
        <v>45404</v>
      </c>
      <c r="O14" s="4844">
        <v>45405</v>
      </c>
      <c r="P14" s="4909" t="s">
        <v>7377</v>
      </c>
      <c r="Q14" s="4845" t="s">
        <v>75</v>
      </c>
      <c r="R14" s="4909" t="s">
        <v>7378</v>
      </c>
      <c r="S14" s="4845"/>
      <c r="T14" s="4845">
        <v>675</v>
      </c>
      <c r="U14" s="4845">
        <v>422.2</v>
      </c>
      <c r="V14" s="4845">
        <v>1</v>
      </c>
      <c r="W14" s="4845">
        <f t="shared" si="0"/>
        <v>252.8</v>
      </c>
      <c r="X14" s="5060">
        <f t="shared" si="1"/>
        <v>0.59876835622927527</v>
      </c>
      <c r="Y14" s="4908" t="s">
        <v>5640</v>
      </c>
      <c r="Z14" s="4845"/>
    </row>
    <row r="15" spans="1:26" s="806" customFormat="1" ht="60">
      <c r="A15" s="4845" t="s">
        <v>409</v>
      </c>
      <c r="B15" s="4908" t="s">
        <v>7379</v>
      </c>
      <c r="C15" s="4947" t="s">
        <v>28</v>
      </c>
      <c r="D15" s="4906">
        <v>45396</v>
      </c>
      <c r="E15" s="4916">
        <v>45403</v>
      </c>
      <c r="F15" s="4845" t="s">
        <v>151</v>
      </c>
      <c r="G15" s="4908" t="s">
        <v>3015</v>
      </c>
      <c r="H15" s="4936">
        <v>45406</v>
      </c>
      <c r="I15" s="4929" t="s">
        <v>115</v>
      </c>
      <c r="J15" s="4908" t="s">
        <v>435</v>
      </c>
      <c r="K15" s="4908" t="s">
        <v>7380</v>
      </c>
      <c r="L15" s="4845" t="s">
        <v>7381</v>
      </c>
      <c r="M15" s="4906">
        <v>45405</v>
      </c>
      <c r="N15" s="4906">
        <v>45405</v>
      </c>
      <c r="O15" s="4906">
        <v>45406</v>
      </c>
      <c r="P15" s="4951" t="s">
        <v>7382</v>
      </c>
      <c r="Q15" s="4845" t="s">
        <v>75</v>
      </c>
      <c r="R15" s="4909" t="s">
        <v>7383</v>
      </c>
      <c r="S15" s="4845"/>
      <c r="T15" s="4845">
        <v>905</v>
      </c>
      <c r="U15" s="4845">
        <v>701.25</v>
      </c>
      <c r="V15" s="4845">
        <v>1</v>
      </c>
      <c r="W15" s="4845">
        <f t="shared" si="0"/>
        <v>203.75</v>
      </c>
      <c r="X15" s="5060">
        <f t="shared" si="1"/>
        <v>0.29055258467023171</v>
      </c>
      <c r="Y15" s="4845"/>
      <c r="Z15" s="4845"/>
    </row>
    <row r="16" spans="1:26" s="806" customFormat="1">
      <c r="A16" s="4861" t="s">
        <v>329</v>
      </c>
      <c r="B16" s="5429" t="s">
        <v>7384</v>
      </c>
      <c r="C16" s="4861" t="s">
        <v>28</v>
      </c>
      <c r="D16" s="5430">
        <v>45394</v>
      </c>
      <c r="E16" s="5430">
        <v>45414</v>
      </c>
      <c r="F16" s="4861" t="s">
        <v>29</v>
      </c>
      <c r="G16" s="4861" t="s">
        <v>57</v>
      </c>
      <c r="H16" s="4991">
        <v>45379</v>
      </c>
      <c r="I16" s="4902" t="s">
        <v>7385</v>
      </c>
      <c r="J16" s="5326" t="s">
        <v>32</v>
      </c>
      <c r="K16" s="4861" t="s">
        <v>7386</v>
      </c>
      <c r="L16" s="4902" t="s">
        <v>542</v>
      </c>
      <c r="M16" s="4902" t="s">
        <v>7387</v>
      </c>
      <c r="N16" s="4863">
        <v>45379</v>
      </c>
      <c r="O16" s="4863">
        <v>45379</v>
      </c>
      <c r="P16" s="4882" t="s">
        <v>7388</v>
      </c>
      <c r="Q16" s="4861" t="s">
        <v>35</v>
      </c>
      <c r="R16" s="4861" t="s">
        <v>36</v>
      </c>
      <c r="S16" s="4861" t="s">
        <v>664</v>
      </c>
      <c r="T16" s="4873">
        <v>705</v>
      </c>
      <c r="U16" s="4873">
        <v>530</v>
      </c>
      <c r="V16" s="4873"/>
      <c r="W16" s="4873"/>
      <c r="X16" s="4873"/>
      <c r="Y16" s="4873"/>
      <c r="Z16" s="4873"/>
    </row>
    <row r="17" spans="1:26" s="147" customFormat="1">
      <c r="A17" s="4861" t="s">
        <v>329</v>
      </c>
      <c r="B17" s="4861" t="s">
        <v>7389</v>
      </c>
      <c r="C17" s="4861" t="s">
        <v>451</v>
      </c>
      <c r="D17" s="4884">
        <v>45369</v>
      </c>
      <c r="E17" s="4884">
        <v>45376</v>
      </c>
      <c r="F17" s="4861" t="s">
        <v>135</v>
      </c>
      <c r="G17" s="4861" t="s">
        <v>57</v>
      </c>
      <c r="H17" s="5329">
        <v>45383</v>
      </c>
      <c r="I17" s="5326" t="s">
        <v>2213</v>
      </c>
      <c r="J17" s="5325" t="s">
        <v>1353</v>
      </c>
      <c r="K17" s="4861" t="s">
        <v>7390</v>
      </c>
      <c r="L17" s="5326">
        <v>5515896</v>
      </c>
      <c r="M17" s="5329">
        <v>45380</v>
      </c>
      <c r="N17" s="4953">
        <v>45383</v>
      </c>
      <c r="O17" s="4953">
        <v>45383</v>
      </c>
      <c r="P17" s="4861" t="s">
        <v>7391</v>
      </c>
      <c r="Q17" s="4861" t="s">
        <v>35</v>
      </c>
      <c r="R17" s="4861" t="s">
        <v>36</v>
      </c>
      <c r="S17" s="4861" t="s">
        <v>37</v>
      </c>
      <c r="T17" s="4874">
        <v>1170</v>
      </c>
      <c r="U17" s="4874">
        <v>975.6</v>
      </c>
      <c r="V17" s="4874"/>
      <c r="W17" s="4874"/>
      <c r="X17" s="4874"/>
      <c r="Y17" s="4874"/>
      <c r="Z17" s="4874"/>
    </row>
    <row r="18" spans="1:26" s="507" customFormat="1" ht="30">
      <c r="A18" s="663" t="s">
        <v>468</v>
      </c>
      <c r="B18" s="4166" t="s">
        <v>7392</v>
      </c>
      <c r="C18" s="4166" t="s">
        <v>200</v>
      </c>
      <c r="D18" s="1074">
        <v>45389</v>
      </c>
      <c r="E18" s="1825">
        <v>45403</v>
      </c>
      <c r="F18" s="4166" t="s">
        <v>29</v>
      </c>
      <c r="G18" s="4166" t="s">
        <v>7393</v>
      </c>
      <c r="H18" s="4303">
        <v>45407</v>
      </c>
      <c r="I18" s="4266" t="s">
        <v>115</v>
      </c>
      <c r="J18" s="663" t="s">
        <v>695</v>
      </c>
      <c r="K18" s="4166" t="s">
        <v>3200</v>
      </c>
      <c r="L18" s="794">
        <v>1105</v>
      </c>
      <c r="M18" s="1841">
        <v>45406</v>
      </c>
      <c r="N18" s="1841">
        <v>45406</v>
      </c>
      <c r="O18" s="4844">
        <v>45407</v>
      </c>
      <c r="P18" s="4266" t="s">
        <v>7394</v>
      </c>
      <c r="Q18" s="663" t="s">
        <v>75</v>
      </c>
      <c r="R18" s="4266" t="s">
        <v>7395</v>
      </c>
      <c r="S18" s="663"/>
      <c r="T18" s="2649">
        <v>1060</v>
      </c>
      <c r="U18" s="2649">
        <v>769.8</v>
      </c>
      <c r="V18" s="663">
        <v>1</v>
      </c>
      <c r="W18" s="2650">
        <f>表12[[#This Row],[Sales Amount]]-表12[[#This Row],[Cost]]</f>
        <v>187.20000000000005</v>
      </c>
      <c r="X18" s="2079">
        <f>IFERROR(Table6[[#This Row],[Profit]]/Table6[[#This Row],[Cost]]," ")</f>
        <v>0.3162118780096308</v>
      </c>
      <c r="Y18" s="1913" t="s">
        <v>5640</v>
      </c>
      <c r="Z18" s="663"/>
    </row>
    <row r="19" spans="1:26" ht="60">
      <c r="A19" s="4861" t="s">
        <v>694</v>
      </c>
      <c r="B19" s="5431">
        <v>6380246230</v>
      </c>
      <c r="C19" s="4861" t="s">
        <v>7396</v>
      </c>
      <c r="D19" s="4863">
        <v>45389</v>
      </c>
      <c r="E19" s="4863">
        <v>45422</v>
      </c>
      <c r="F19" s="4861" t="s">
        <v>45</v>
      </c>
      <c r="G19" s="4861" t="s">
        <v>46</v>
      </c>
      <c r="H19" s="5432" t="s">
        <v>7397</v>
      </c>
      <c r="I19" s="5432" t="s">
        <v>7398</v>
      </c>
      <c r="J19" s="5326" t="s">
        <v>32</v>
      </c>
      <c r="K19" s="5433" t="s">
        <v>3249</v>
      </c>
      <c r="L19" s="4152" t="s">
        <v>542</v>
      </c>
      <c r="M19" s="4971" t="s">
        <v>7399</v>
      </c>
      <c r="N19" s="5120" t="s">
        <v>7400</v>
      </c>
      <c r="O19" s="5434" t="s">
        <v>7398</v>
      </c>
      <c r="P19" s="5435" t="s">
        <v>7401</v>
      </c>
      <c r="Q19" s="5433" t="s">
        <v>35</v>
      </c>
      <c r="R19" s="5433" t="s">
        <v>7302</v>
      </c>
      <c r="S19" s="5433" t="s">
        <v>664</v>
      </c>
      <c r="T19" s="4873"/>
      <c r="U19" s="4873"/>
      <c r="V19" s="4873"/>
      <c r="W19" s="4873"/>
      <c r="X19" s="4873"/>
      <c r="Y19" s="4873"/>
      <c r="Z19" s="4873"/>
    </row>
    <row r="20" spans="1:26" ht="45">
      <c r="A20" s="4861" t="s">
        <v>694</v>
      </c>
      <c r="B20" s="5436">
        <v>6381538120</v>
      </c>
      <c r="C20" s="4861" t="s">
        <v>7402</v>
      </c>
      <c r="D20" s="4953">
        <v>45406</v>
      </c>
      <c r="E20" s="4953">
        <v>45419</v>
      </c>
      <c r="F20" s="4861" t="s">
        <v>45</v>
      </c>
      <c r="G20" s="4861" t="s">
        <v>46</v>
      </c>
      <c r="H20" s="5437" t="s">
        <v>7403</v>
      </c>
      <c r="I20" s="5438" t="s">
        <v>7404</v>
      </c>
      <c r="J20" s="5325" t="s">
        <v>32</v>
      </c>
      <c r="K20" s="5433" t="s">
        <v>3249</v>
      </c>
      <c r="L20" s="5370" t="s">
        <v>542</v>
      </c>
      <c r="M20" s="5439" t="s">
        <v>7405</v>
      </c>
      <c r="N20" s="5440" t="s">
        <v>7406</v>
      </c>
      <c r="O20" s="5430" t="s">
        <v>7404</v>
      </c>
      <c r="P20" s="5435" t="s">
        <v>7407</v>
      </c>
      <c r="Q20" s="5433" t="s">
        <v>35</v>
      </c>
      <c r="R20" s="5433" t="s">
        <v>7302</v>
      </c>
      <c r="S20" s="5433" t="s">
        <v>664</v>
      </c>
      <c r="T20" s="4873"/>
      <c r="U20" s="4873"/>
      <c r="V20" s="4873"/>
      <c r="W20" s="4873"/>
      <c r="X20" s="4873"/>
      <c r="Y20" s="4873"/>
      <c r="Z20" s="4873"/>
    </row>
    <row r="21" spans="1:26" ht="30">
      <c r="A21" s="4861" t="s">
        <v>694</v>
      </c>
      <c r="B21" s="5436" t="s">
        <v>7408</v>
      </c>
      <c r="C21" s="4861" t="s">
        <v>7409</v>
      </c>
      <c r="D21" s="4953">
        <v>45414</v>
      </c>
      <c r="E21" s="4953">
        <v>45435</v>
      </c>
      <c r="F21" s="4861" t="s">
        <v>29</v>
      </c>
      <c r="G21" s="4861" t="s">
        <v>57</v>
      </c>
      <c r="H21" s="5437" t="s">
        <v>7410</v>
      </c>
      <c r="I21" s="5438" t="s">
        <v>7411</v>
      </c>
      <c r="J21" s="5325" t="s">
        <v>32</v>
      </c>
      <c r="K21" s="5433" t="s">
        <v>3249</v>
      </c>
      <c r="L21" s="5370" t="s">
        <v>542</v>
      </c>
      <c r="M21" s="5439" t="s">
        <v>7412</v>
      </c>
      <c r="N21" s="5430" t="s">
        <v>7411</v>
      </c>
      <c r="O21" s="5430" t="s">
        <v>7411</v>
      </c>
      <c r="P21" s="5435" t="s">
        <v>7413</v>
      </c>
      <c r="Q21" s="5433" t="s">
        <v>35</v>
      </c>
      <c r="R21" s="4874" t="s">
        <v>51</v>
      </c>
      <c r="S21" s="4874" t="s">
        <v>664</v>
      </c>
      <c r="T21" s="4874"/>
      <c r="U21" s="4874"/>
      <c r="V21" s="4874"/>
      <c r="W21" s="4874"/>
      <c r="X21" s="4874"/>
      <c r="Y21" s="4874"/>
      <c r="Z21" s="4874"/>
    </row>
    <row r="22" spans="1:26">
      <c r="A22" s="4874" t="s">
        <v>694</v>
      </c>
      <c r="B22" s="5429">
        <v>6383044610</v>
      </c>
      <c r="C22" s="4874" t="s">
        <v>6764</v>
      </c>
      <c r="D22" s="4975">
        <v>45423</v>
      </c>
      <c r="E22" s="4975">
        <v>45441</v>
      </c>
      <c r="F22" s="4874" t="s">
        <v>45</v>
      </c>
      <c r="G22" s="4874" t="s">
        <v>46</v>
      </c>
      <c r="H22" s="5441">
        <v>892403</v>
      </c>
      <c r="I22" s="5442">
        <v>45404</v>
      </c>
      <c r="J22" s="5433" t="s">
        <v>32</v>
      </c>
      <c r="K22" s="5433" t="s">
        <v>3249</v>
      </c>
      <c r="L22" s="5039" t="s">
        <v>542</v>
      </c>
      <c r="M22" s="5443" t="s">
        <v>7414</v>
      </c>
      <c r="N22" s="4975" t="s">
        <v>7415</v>
      </c>
      <c r="O22" s="4975"/>
      <c r="P22" s="4874" t="s">
        <v>7416</v>
      </c>
      <c r="Q22" s="5433" t="s">
        <v>35</v>
      </c>
      <c r="R22" s="4874" t="s">
        <v>51</v>
      </c>
      <c r="S22" s="4874" t="s">
        <v>664</v>
      </c>
      <c r="T22" s="4874"/>
      <c r="U22" s="4874"/>
      <c r="V22" s="4874"/>
      <c r="W22" s="4874"/>
      <c r="X22" s="4874"/>
      <c r="Y22" s="4874"/>
      <c r="Z22" s="4874"/>
    </row>
    <row r="23" spans="1:26" s="507" customFormat="1" ht="30">
      <c r="A23" s="120" t="s">
        <v>468</v>
      </c>
      <c r="B23" s="4193" t="s">
        <v>7417</v>
      </c>
      <c r="C23" s="4193" t="s">
        <v>200</v>
      </c>
      <c r="D23" s="653">
        <v>45389</v>
      </c>
      <c r="E23" s="654">
        <v>45403</v>
      </c>
      <c r="F23" s="4193" t="s">
        <v>29</v>
      </c>
      <c r="G23" s="4193" t="s">
        <v>7393</v>
      </c>
      <c r="H23" s="4231">
        <v>45407</v>
      </c>
      <c r="I23" s="4128" t="s">
        <v>650</v>
      </c>
      <c r="J23" s="120" t="s">
        <v>695</v>
      </c>
      <c r="K23" s="4193" t="s">
        <v>3200</v>
      </c>
      <c r="L23" s="900">
        <v>1098</v>
      </c>
      <c r="M23" s="842">
        <v>45406</v>
      </c>
      <c r="N23" s="842">
        <v>45406</v>
      </c>
      <c r="O23" s="838">
        <v>45407</v>
      </c>
      <c r="P23" s="900" t="s">
        <v>7418</v>
      </c>
      <c r="Q23" s="4845" t="s">
        <v>75</v>
      </c>
      <c r="R23" s="4266" t="s">
        <v>7419</v>
      </c>
      <c r="S23" s="120"/>
      <c r="T23" s="2651">
        <v>1060</v>
      </c>
      <c r="U23" s="4349">
        <v>748.55</v>
      </c>
      <c r="V23" s="120">
        <v>1</v>
      </c>
      <c r="W23" s="2651">
        <f>T23-U23</f>
        <v>311.45000000000005</v>
      </c>
      <c r="X23" s="1041">
        <f>W23/U23</f>
        <v>0.41607107073675781</v>
      </c>
      <c r="Y23" s="120" t="s">
        <v>5640</v>
      </c>
      <c r="Z23" s="120"/>
    </row>
    <row r="24" spans="1:26" s="507" customFormat="1" ht="60">
      <c r="A24" s="120" t="s">
        <v>409</v>
      </c>
      <c r="B24" s="4193" t="s">
        <v>7420</v>
      </c>
      <c r="C24" s="694" t="s">
        <v>28</v>
      </c>
      <c r="D24" s="653">
        <v>45396</v>
      </c>
      <c r="E24" s="654">
        <v>45403</v>
      </c>
      <c r="F24" s="120" t="s">
        <v>151</v>
      </c>
      <c r="G24" s="4193" t="s">
        <v>3015</v>
      </c>
      <c r="H24" s="842">
        <v>45406</v>
      </c>
      <c r="I24" s="808" t="s">
        <v>6230</v>
      </c>
      <c r="J24" s="4193" t="s">
        <v>435</v>
      </c>
      <c r="K24" s="4193" t="s">
        <v>7380</v>
      </c>
      <c r="L24" s="120" t="s">
        <v>7421</v>
      </c>
      <c r="M24" s="653">
        <v>45405</v>
      </c>
      <c r="N24" s="653">
        <v>45405</v>
      </c>
      <c r="O24" s="653">
        <v>45407</v>
      </c>
      <c r="P24" s="4128" t="s">
        <v>7422</v>
      </c>
      <c r="Q24" s="4845" t="s">
        <v>75</v>
      </c>
      <c r="R24" s="4128" t="s">
        <v>7423</v>
      </c>
      <c r="S24" s="120"/>
      <c r="T24" s="2128">
        <v>1050</v>
      </c>
      <c r="U24" s="120">
        <v>701.25</v>
      </c>
      <c r="V24" s="120">
        <v>1</v>
      </c>
      <c r="W24" s="2128">
        <f>T24-U24</f>
        <v>348.75</v>
      </c>
      <c r="X24" s="5060">
        <f>W24/U24</f>
        <v>0.49732620320855614</v>
      </c>
      <c r="Y24" s="120"/>
      <c r="Z24" s="120"/>
    </row>
    <row r="25" spans="1:26" s="707" customFormat="1">
      <c r="A25" s="718" t="s">
        <v>7424</v>
      </c>
      <c r="B25" s="718" t="s">
        <v>7425</v>
      </c>
      <c r="C25" s="718" t="s">
        <v>28</v>
      </c>
      <c r="D25" s="1016">
        <v>45387</v>
      </c>
      <c r="E25" s="1014">
        <v>45410</v>
      </c>
      <c r="F25" s="718" t="s">
        <v>245</v>
      </c>
      <c r="G25" s="718" t="s">
        <v>152</v>
      </c>
      <c r="H25" s="4228" t="s">
        <v>7426</v>
      </c>
      <c r="I25" s="718"/>
      <c r="J25" s="2358" t="s">
        <v>1478</v>
      </c>
      <c r="K25" s="718" t="s">
        <v>7427</v>
      </c>
      <c r="L25" s="718">
        <v>4445</v>
      </c>
      <c r="M25" s="1016">
        <v>45412</v>
      </c>
      <c r="N25" s="1016">
        <v>45411</v>
      </c>
      <c r="O25" s="1016">
        <v>45418</v>
      </c>
      <c r="P25" s="718" t="s">
        <v>7428</v>
      </c>
      <c r="Q25" s="4861" t="s">
        <v>6852</v>
      </c>
      <c r="R25" s="718" t="s">
        <v>7429</v>
      </c>
      <c r="S25" s="718" t="s">
        <v>37</v>
      </c>
      <c r="T25" s="718"/>
      <c r="U25" s="718"/>
      <c r="V25" s="718"/>
      <c r="W25" s="718"/>
      <c r="X25" s="718"/>
      <c r="Y25" s="718"/>
      <c r="Z25" s="718"/>
    </row>
    <row r="26" spans="1:26" s="707" customFormat="1">
      <c r="A26" s="5325" t="s">
        <v>7430</v>
      </c>
      <c r="B26" s="4861" t="s">
        <v>7431</v>
      </c>
      <c r="C26" s="4861" t="s">
        <v>28</v>
      </c>
      <c r="D26" s="4953">
        <v>45402</v>
      </c>
      <c r="E26" s="877">
        <v>45408</v>
      </c>
      <c r="F26" s="4861" t="s">
        <v>56</v>
      </c>
      <c r="G26" s="4882" t="s">
        <v>7432</v>
      </c>
      <c r="H26" s="4953"/>
      <c r="I26" s="4861"/>
      <c r="J26" s="5325" t="s">
        <v>859</v>
      </c>
      <c r="K26" s="4861" t="s">
        <v>7433</v>
      </c>
      <c r="L26" s="5326" t="s">
        <v>542</v>
      </c>
      <c r="M26" s="4903"/>
      <c r="N26" s="4903">
        <v>45411</v>
      </c>
      <c r="O26" s="4903">
        <v>45414</v>
      </c>
      <c r="P26" s="4882" t="s">
        <v>7434</v>
      </c>
      <c r="Q26" s="4861" t="s">
        <v>6852</v>
      </c>
      <c r="R26" s="4861" t="s">
        <v>7435</v>
      </c>
      <c r="S26" s="4861" t="s">
        <v>37</v>
      </c>
      <c r="T26" s="4882"/>
      <c r="U26" s="4882"/>
      <c r="V26" s="4882"/>
      <c r="W26" s="4882"/>
      <c r="X26" s="4882"/>
      <c r="Y26" s="4882"/>
      <c r="Z26" s="4882"/>
    </row>
    <row r="27" spans="1:26" s="707" customFormat="1">
      <c r="A27" s="4886" t="s">
        <v>7430</v>
      </c>
      <c r="B27" s="4886" t="s">
        <v>7436</v>
      </c>
      <c r="C27" s="4861" t="s">
        <v>28</v>
      </c>
      <c r="D27" s="5444">
        <v>45400</v>
      </c>
      <c r="E27" s="2798">
        <v>45418</v>
      </c>
      <c r="F27" s="4646" t="s">
        <v>56</v>
      </c>
      <c r="G27" s="4861" t="s">
        <v>7437</v>
      </c>
      <c r="H27" s="4953"/>
      <c r="I27" s="4861"/>
      <c r="J27" s="5325" t="s">
        <v>1478</v>
      </c>
      <c r="K27" s="4861" t="s">
        <v>7438</v>
      </c>
      <c r="L27" s="4902" t="s">
        <v>542</v>
      </c>
      <c r="M27" s="4953">
        <v>45422</v>
      </c>
      <c r="N27" s="4953">
        <v>45420</v>
      </c>
      <c r="O27" s="4953">
        <v>45423</v>
      </c>
      <c r="P27" s="5445" t="s">
        <v>7439</v>
      </c>
      <c r="Q27" s="4861" t="s">
        <v>6852</v>
      </c>
      <c r="R27" s="4861" t="s">
        <v>51</v>
      </c>
      <c r="S27" s="4861" t="s">
        <v>37</v>
      </c>
      <c r="T27" s="4861"/>
      <c r="U27" s="4861"/>
      <c r="V27" s="4861"/>
      <c r="W27" s="4861"/>
      <c r="X27" s="4861"/>
      <c r="Y27" s="4861"/>
      <c r="Z27" s="4861"/>
    </row>
    <row r="28" spans="1:26" s="707" customFormat="1">
      <c r="A28" s="4861" t="s">
        <v>7440</v>
      </c>
      <c r="B28" s="4861" t="s">
        <v>7441</v>
      </c>
      <c r="C28" s="4861" t="s">
        <v>28</v>
      </c>
      <c r="D28" s="4953">
        <v>45386</v>
      </c>
      <c r="E28" s="2652">
        <v>45404</v>
      </c>
      <c r="F28" s="4861" t="s">
        <v>98</v>
      </c>
      <c r="G28" s="4861" t="s">
        <v>46</v>
      </c>
      <c r="H28" s="4953"/>
      <c r="I28" s="4861"/>
      <c r="J28" s="5325" t="s">
        <v>1353</v>
      </c>
      <c r="K28" s="4861" t="s">
        <v>5412</v>
      </c>
      <c r="L28" s="4861" t="s">
        <v>7442</v>
      </c>
      <c r="M28" s="4953">
        <v>45407</v>
      </c>
      <c r="N28" s="4953">
        <v>45407</v>
      </c>
      <c r="O28" s="4953">
        <v>45407</v>
      </c>
      <c r="P28" s="4861" t="s">
        <v>7443</v>
      </c>
      <c r="Q28" s="4861" t="s">
        <v>6852</v>
      </c>
      <c r="R28" s="4861" t="s">
        <v>7444</v>
      </c>
      <c r="S28" s="4861" t="s">
        <v>37</v>
      </c>
      <c r="T28" s="4861"/>
      <c r="U28" s="4861"/>
      <c r="V28" s="4861"/>
      <c r="W28" s="4861"/>
      <c r="X28" s="4861"/>
      <c r="Y28" s="4861"/>
      <c r="Z28" s="4861"/>
    </row>
    <row r="29" spans="1:26" s="707" customFormat="1" ht="45">
      <c r="A29" s="4845" t="s">
        <v>799</v>
      </c>
      <c r="B29" s="4908" t="s">
        <v>7445</v>
      </c>
      <c r="C29" s="4845" t="s">
        <v>28</v>
      </c>
      <c r="D29" s="5069">
        <v>45383</v>
      </c>
      <c r="E29" s="5070">
        <v>45393</v>
      </c>
      <c r="F29" s="4947" t="s">
        <v>151</v>
      </c>
      <c r="G29" s="4845" t="s">
        <v>3424</v>
      </c>
      <c r="H29" s="4961">
        <v>45395</v>
      </c>
      <c r="I29" s="4908" t="s">
        <v>445</v>
      </c>
      <c r="J29" s="5059" t="s">
        <v>32</v>
      </c>
      <c r="K29" s="4845" t="s">
        <v>7446</v>
      </c>
      <c r="L29" s="4845">
        <v>740116</v>
      </c>
      <c r="M29" s="4906">
        <v>45396</v>
      </c>
      <c r="N29" s="4906">
        <v>45395</v>
      </c>
      <c r="O29" s="4906">
        <v>45395</v>
      </c>
      <c r="P29" s="4909" t="s">
        <v>7447</v>
      </c>
      <c r="Q29" s="4845" t="s">
        <v>75</v>
      </c>
      <c r="R29" s="4908" t="s">
        <v>7448</v>
      </c>
      <c r="S29" s="4845"/>
      <c r="T29" s="5190">
        <v>1407.5</v>
      </c>
      <c r="U29" s="5190">
        <v>1080</v>
      </c>
      <c r="V29" s="4845">
        <v>1</v>
      </c>
      <c r="W29" s="5190">
        <f>T29-U29</f>
        <v>327.5</v>
      </c>
      <c r="X29" s="4919">
        <f>W29/U29</f>
        <v>0.30324074074074076</v>
      </c>
      <c r="Y29" s="4845"/>
      <c r="Z29" s="4845"/>
    </row>
    <row r="30" spans="1:26" s="1569" customFormat="1">
      <c r="A30" s="5007" t="s">
        <v>4321</v>
      </c>
      <c r="B30" s="4911" t="s">
        <v>7449</v>
      </c>
      <c r="C30" s="4911" t="s">
        <v>28</v>
      </c>
      <c r="D30" s="5012">
        <v>45404</v>
      </c>
      <c r="E30" s="2769">
        <v>45419</v>
      </c>
      <c r="F30" s="4911" t="s">
        <v>45</v>
      </c>
      <c r="G30" s="5007" t="s">
        <v>46</v>
      </c>
      <c r="H30" s="5024"/>
      <c r="I30" s="4873"/>
      <c r="J30" s="5446" t="s">
        <v>32</v>
      </c>
      <c r="K30" s="4911" t="s">
        <v>47</v>
      </c>
      <c r="L30" s="1569" t="s">
        <v>7450</v>
      </c>
      <c r="M30" s="5012">
        <v>45421</v>
      </c>
      <c r="N30" s="5012">
        <v>45420</v>
      </c>
      <c r="O30" s="5012">
        <v>45421</v>
      </c>
      <c r="P30" s="5007" t="s">
        <v>7451</v>
      </c>
      <c r="Q30" s="5007" t="s">
        <v>6852</v>
      </c>
      <c r="R30" s="5007" t="s">
        <v>36</v>
      </c>
      <c r="S30" s="5007"/>
      <c r="T30" s="5007"/>
      <c r="U30" s="5007"/>
      <c r="V30" s="5007"/>
      <c r="W30" s="5007"/>
      <c r="X30" s="5007"/>
      <c r="Y30" s="5007"/>
      <c r="Z30" s="5007"/>
    </row>
    <row r="31" spans="1:26" s="1569" customFormat="1" ht="17.25">
      <c r="A31" s="4934" t="s">
        <v>6354</v>
      </c>
      <c r="B31" s="4845" t="s">
        <v>7452</v>
      </c>
      <c r="C31" s="4845" t="s">
        <v>28</v>
      </c>
      <c r="D31" s="4985">
        <v>45385</v>
      </c>
      <c r="E31" s="5279">
        <v>45397</v>
      </c>
      <c r="F31" s="4934" t="s">
        <v>7173</v>
      </c>
      <c r="G31" s="4934" t="s">
        <v>7453</v>
      </c>
      <c r="H31" s="4934"/>
      <c r="I31" s="4934"/>
      <c r="J31" s="5375" t="s">
        <v>32</v>
      </c>
      <c r="K31" s="4845" t="s">
        <v>47</v>
      </c>
      <c r="L31" s="5365">
        <v>842071</v>
      </c>
      <c r="M31" s="4985">
        <v>45399</v>
      </c>
      <c r="N31" s="4985">
        <v>45399</v>
      </c>
      <c r="O31" s="4985">
        <v>45401</v>
      </c>
      <c r="P31" s="4934" t="s">
        <v>7454</v>
      </c>
      <c r="Q31" s="4934" t="s">
        <v>6852</v>
      </c>
      <c r="R31" s="4934" t="s">
        <v>51</v>
      </c>
      <c r="S31" s="4934"/>
      <c r="T31" s="4934"/>
      <c r="U31" s="4934"/>
      <c r="V31" s="4934"/>
      <c r="W31" s="4934"/>
      <c r="X31" s="4934"/>
      <c r="Y31" s="4934"/>
      <c r="Z31" s="4934"/>
    </row>
    <row r="32" spans="1:26" s="1569" customFormat="1">
      <c r="A32" s="5007" t="s">
        <v>6148</v>
      </c>
      <c r="B32" s="4911" t="s">
        <v>7455</v>
      </c>
      <c r="C32" s="4911" t="s">
        <v>28</v>
      </c>
      <c r="D32" s="5004">
        <v>45392</v>
      </c>
      <c r="E32" s="5447">
        <v>45406</v>
      </c>
      <c r="F32" s="4911" t="s">
        <v>273</v>
      </c>
      <c r="G32" s="4911" t="s">
        <v>46</v>
      </c>
      <c r="H32" s="5012"/>
      <c r="I32" s="5007"/>
      <c r="J32" s="5446" t="s">
        <v>32</v>
      </c>
      <c r="K32" s="4911" t="s">
        <v>47</v>
      </c>
      <c r="L32" s="5007" t="s">
        <v>7456</v>
      </c>
      <c r="M32" s="5012">
        <v>45408</v>
      </c>
      <c r="N32" s="5012">
        <v>45406</v>
      </c>
      <c r="O32" s="5012">
        <v>45407</v>
      </c>
      <c r="P32" s="5007" t="s">
        <v>7457</v>
      </c>
      <c r="Q32" s="4911" t="s">
        <v>6852</v>
      </c>
      <c r="R32" s="5007" t="s">
        <v>51</v>
      </c>
      <c r="S32" s="5007"/>
      <c r="T32" s="5007"/>
      <c r="U32" s="5007"/>
      <c r="V32" s="5007"/>
      <c r="W32" s="5007"/>
      <c r="X32" s="5007"/>
      <c r="Y32" s="5007"/>
      <c r="Z32" s="5007"/>
    </row>
    <row r="33" spans="1:26" s="707" customFormat="1">
      <c r="A33" s="3258" t="s">
        <v>6354</v>
      </c>
      <c r="B33" s="3246" t="s">
        <v>7458</v>
      </c>
      <c r="C33" s="3246" t="s">
        <v>28</v>
      </c>
      <c r="D33" s="3526">
        <v>45398</v>
      </c>
      <c r="E33" s="2654">
        <v>45408</v>
      </c>
      <c r="F33" s="3246" t="s">
        <v>56</v>
      </c>
      <c r="G33" s="3258" t="s">
        <v>46</v>
      </c>
      <c r="H33" s="3267"/>
      <c r="I33" s="3258"/>
      <c r="J33" s="3657" t="s">
        <v>32</v>
      </c>
      <c r="K33" s="3246" t="s">
        <v>47</v>
      </c>
      <c r="L33" s="3569" t="s">
        <v>7459</v>
      </c>
      <c r="M33" s="3267">
        <v>45410</v>
      </c>
      <c r="N33" s="3267">
        <v>45408</v>
      </c>
      <c r="O33" s="3267">
        <v>45413</v>
      </c>
      <c r="P33" s="3258" t="s">
        <v>7460</v>
      </c>
      <c r="Q33" s="3258" t="s">
        <v>6852</v>
      </c>
      <c r="R33" s="3258" t="s">
        <v>51</v>
      </c>
      <c r="S33" s="3258"/>
      <c r="T33" s="3258"/>
      <c r="U33" s="3258"/>
      <c r="V33" s="3258"/>
      <c r="W33" s="3258"/>
      <c r="X33" s="3258"/>
      <c r="Y33" s="3258"/>
      <c r="Z33" s="3258"/>
    </row>
    <row r="34" spans="1:26" s="1442" customFormat="1" ht="15.75">
      <c r="A34" s="4845" t="s">
        <v>409</v>
      </c>
      <c r="B34" s="4861" t="s">
        <v>7461</v>
      </c>
      <c r="C34" s="4947" t="s">
        <v>44</v>
      </c>
      <c r="D34" s="5069">
        <v>45385</v>
      </c>
      <c r="E34" s="5070">
        <v>45395</v>
      </c>
      <c r="F34" s="4947" t="s">
        <v>45</v>
      </c>
      <c r="G34" s="4845" t="s">
        <v>46</v>
      </c>
      <c r="H34" s="4934"/>
      <c r="I34" s="4934"/>
      <c r="J34" s="5375" t="s">
        <v>32</v>
      </c>
      <c r="K34" s="5243" t="s">
        <v>47</v>
      </c>
      <c r="L34" s="5448" t="s">
        <v>7462</v>
      </c>
      <c r="M34" s="4934"/>
      <c r="N34" s="4985">
        <v>45397</v>
      </c>
      <c r="O34" s="4985">
        <v>45398</v>
      </c>
      <c r="P34" s="4934" t="s">
        <v>7463</v>
      </c>
      <c r="Q34" s="4845" t="s">
        <v>6852</v>
      </c>
      <c r="R34" s="507" t="s">
        <v>51</v>
      </c>
      <c r="S34" s="4934"/>
      <c r="T34" s="4934"/>
      <c r="U34" s="4934"/>
      <c r="V34" s="4934"/>
      <c r="W34" s="4934"/>
      <c r="X34" s="4934"/>
      <c r="Y34" s="4934"/>
      <c r="Z34" s="4934"/>
    </row>
    <row r="35" spans="1:26" s="707" customFormat="1">
      <c r="A35" s="709" t="s">
        <v>409</v>
      </c>
      <c r="B35" s="1495" t="s">
        <v>7464</v>
      </c>
      <c r="C35" s="2097" t="s">
        <v>44</v>
      </c>
      <c r="D35" s="2655">
        <v>45387</v>
      </c>
      <c r="E35" s="947">
        <v>45407</v>
      </c>
      <c r="F35" s="2104" t="s">
        <v>151</v>
      </c>
      <c r="G35" s="1495" t="s">
        <v>46</v>
      </c>
      <c r="H35" s="2104"/>
      <c r="I35" s="2104"/>
      <c r="J35" s="2656" t="s">
        <v>32</v>
      </c>
      <c r="K35" s="1495" t="s">
        <v>47</v>
      </c>
      <c r="L35" s="707" t="s">
        <v>7465</v>
      </c>
      <c r="M35" s="2104"/>
      <c r="N35" s="2606">
        <v>45407</v>
      </c>
      <c r="O35" s="2606">
        <v>45408</v>
      </c>
      <c r="P35" s="2104" t="s">
        <v>7466</v>
      </c>
      <c r="Q35" s="1495" t="s">
        <v>6852</v>
      </c>
      <c r="R35" s="2104" t="s">
        <v>7467</v>
      </c>
      <c r="S35" s="2104"/>
      <c r="T35" s="2104"/>
      <c r="U35" s="2104"/>
      <c r="V35" s="2104"/>
      <c r="W35" s="2104"/>
      <c r="X35" s="2104"/>
      <c r="Y35" s="2104"/>
      <c r="Z35" s="2104"/>
    </row>
    <row r="36" spans="1:26" s="1569" customFormat="1">
      <c r="A36" s="117" t="s">
        <v>409</v>
      </c>
      <c r="B36" s="4861" t="s">
        <v>7468</v>
      </c>
      <c r="C36" s="4947" t="s">
        <v>44</v>
      </c>
      <c r="D36" s="5069">
        <v>45386</v>
      </c>
      <c r="E36" s="925">
        <v>45397</v>
      </c>
      <c r="F36" s="4934" t="s">
        <v>151</v>
      </c>
      <c r="G36" s="4845" t="s">
        <v>46</v>
      </c>
      <c r="H36" s="4934"/>
      <c r="I36" s="4934"/>
      <c r="J36" s="5375" t="s">
        <v>32</v>
      </c>
      <c r="K36" s="5243" t="s">
        <v>47</v>
      </c>
      <c r="L36" s="2377" t="s">
        <v>7469</v>
      </c>
      <c r="M36" s="4985">
        <v>45400</v>
      </c>
      <c r="N36" s="4985">
        <v>45399</v>
      </c>
      <c r="O36" s="4985">
        <v>45401</v>
      </c>
      <c r="P36" s="4934" t="s">
        <v>7470</v>
      </c>
      <c r="Q36" s="4845" t="s">
        <v>6852</v>
      </c>
      <c r="R36" s="4934" t="s">
        <v>51</v>
      </c>
      <c r="S36" s="4934"/>
      <c r="T36" s="4934"/>
      <c r="U36" s="4934"/>
      <c r="V36" s="4934"/>
      <c r="W36" s="4934"/>
      <c r="X36" s="4934"/>
      <c r="Y36" s="4934"/>
      <c r="Z36" s="4934"/>
    </row>
    <row r="37" spans="1:26" s="707" customFormat="1">
      <c r="A37" s="709" t="s">
        <v>409</v>
      </c>
      <c r="B37" s="4861" t="s">
        <v>7471</v>
      </c>
      <c r="C37" s="4861" t="s">
        <v>28</v>
      </c>
      <c r="D37" s="4884">
        <v>45386</v>
      </c>
      <c r="E37" s="2657">
        <v>45397</v>
      </c>
      <c r="F37" s="4882" t="s">
        <v>151</v>
      </c>
      <c r="G37" s="4861" t="s">
        <v>46</v>
      </c>
      <c r="H37" s="4903"/>
      <c r="I37" s="4882"/>
      <c r="J37" s="5326" t="s">
        <v>32</v>
      </c>
      <c r="K37" s="4902" t="s">
        <v>47</v>
      </c>
      <c r="L37" s="5367" t="s">
        <v>7472</v>
      </c>
      <c r="M37" s="4903">
        <v>45399</v>
      </c>
      <c r="N37" s="4903">
        <v>45399</v>
      </c>
      <c r="O37" s="4903">
        <v>45400</v>
      </c>
      <c r="P37" s="4882" t="s">
        <v>7473</v>
      </c>
      <c r="Q37" s="4861" t="s">
        <v>6852</v>
      </c>
      <c r="R37" s="4882" t="s">
        <v>7474</v>
      </c>
      <c r="S37" s="4882"/>
      <c r="T37" s="4882"/>
      <c r="U37" s="4882"/>
      <c r="V37" s="4882"/>
      <c r="W37" s="4882"/>
      <c r="X37" s="4882"/>
      <c r="Y37" s="4882"/>
      <c r="Z37" s="4882"/>
    </row>
    <row r="38" spans="1:26" s="707" customFormat="1">
      <c r="A38" s="4861" t="s">
        <v>409</v>
      </c>
      <c r="B38" s="4861" t="s">
        <v>7475</v>
      </c>
      <c r="C38" s="4861" t="s">
        <v>28</v>
      </c>
      <c r="D38" s="4884">
        <v>45386</v>
      </c>
      <c r="E38" s="2657">
        <v>45397</v>
      </c>
      <c r="F38" s="4882" t="s">
        <v>151</v>
      </c>
      <c r="G38" s="4861" t="s">
        <v>46</v>
      </c>
      <c r="H38" s="4903"/>
      <c r="I38" s="4882"/>
      <c r="J38" s="5326" t="s">
        <v>32</v>
      </c>
      <c r="K38" s="4902" t="s">
        <v>47</v>
      </c>
      <c r="L38" s="5367" t="s">
        <v>7476</v>
      </c>
      <c r="M38" s="4903">
        <v>45401</v>
      </c>
      <c r="N38" s="4903">
        <v>45400</v>
      </c>
      <c r="O38" s="4903">
        <v>45402</v>
      </c>
      <c r="P38" s="4882" t="s">
        <v>7477</v>
      </c>
      <c r="Q38" s="4861" t="s">
        <v>6852</v>
      </c>
      <c r="R38" s="4882" t="s">
        <v>7478</v>
      </c>
      <c r="S38" s="4882"/>
      <c r="T38" s="4882"/>
      <c r="U38" s="4882"/>
      <c r="V38" s="4882"/>
      <c r="W38" s="4882"/>
      <c r="X38" s="4882"/>
      <c r="Y38" s="4882"/>
      <c r="Z38" s="4882"/>
    </row>
    <row r="39" spans="1:26">
      <c r="A39" s="4861" t="s">
        <v>409</v>
      </c>
      <c r="B39" s="4861" t="s">
        <v>7479</v>
      </c>
      <c r="C39" s="4861" t="s">
        <v>28</v>
      </c>
      <c r="D39" s="4884">
        <v>45385</v>
      </c>
      <c r="E39" s="2658">
        <v>45392</v>
      </c>
      <c r="F39" s="4864" t="s">
        <v>45</v>
      </c>
      <c r="G39" s="4861" t="s">
        <v>46</v>
      </c>
      <c r="H39" s="4903"/>
      <c r="I39" s="4882"/>
      <c r="J39" s="5326" t="s">
        <v>32</v>
      </c>
      <c r="K39" s="4861" t="s">
        <v>47</v>
      </c>
      <c r="L39" s="707" t="s">
        <v>7480</v>
      </c>
      <c r="M39" s="4903">
        <v>45394</v>
      </c>
      <c r="N39" s="4903">
        <v>45393</v>
      </c>
      <c r="O39" s="4903">
        <v>45394</v>
      </c>
      <c r="P39" s="4882" t="s">
        <v>7481</v>
      </c>
      <c r="Q39" s="4861" t="s">
        <v>6852</v>
      </c>
      <c r="R39" s="4882" t="s">
        <v>7482</v>
      </c>
      <c r="S39" s="4882"/>
      <c r="T39" s="4882"/>
      <c r="U39" s="4882"/>
      <c r="V39" s="4882"/>
      <c r="W39" s="4882"/>
      <c r="X39" s="4882"/>
      <c r="Y39" s="4882"/>
      <c r="Z39" s="4882"/>
    </row>
    <row r="40" spans="1:26" s="707" customFormat="1">
      <c r="A40" s="709" t="s">
        <v>409</v>
      </c>
      <c r="B40" s="4861" t="s">
        <v>7483</v>
      </c>
      <c r="C40" s="4861" t="s">
        <v>28</v>
      </c>
      <c r="D40" s="4884">
        <v>45385</v>
      </c>
      <c r="E40" s="2658">
        <v>45402</v>
      </c>
      <c r="F40" s="4882" t="s">
        <v>151</v>
      </c>
      <c r="G40" s="4861" t="s">
        <v>46</v>
      </c>
      <c r="H40" s="4903"/>
      <c r="I40" s="4882"/>
      <c r="J40" s="5326" t="s">
        <v>32</v>
      </c>
      <c r="K40" s="4861" t="s">
        <v>47</v>
      </c>
      <c r="L40" s="5077" t="s">
        <v>7484</v>
      </c>
      <c r="M40" s="4903">
        <v>45404</v>
      </c>
      <c r="N40" s="4903">
        <v>45404</v>
      </c>
      <c r="O40" s="4903">
        <v>45405</v>
      </c>
      <c r="P40" s="4882" t="s">
        <v>7485</v>
      </c>
      <c r="Q40" s="4861" t="s">
        <v>6852</v>
      </c>
      <c r="R40" s="4882" t="s">
        <v>7486</v>
      </c>
      <c r="S40" s="4882"/>
      <c r="T40" s="4882"/>
      <c r="U40" s="4882"/>
      <c r="V40" s="4882"/>
      <c r="W40" s="4882"/>
      <c r="X40" s="4882"/>
      <c r="Y40" s="4882"/>
      <c r="Z40" s="4882"/>
    </row>
    <row r="41" spans="1:26">
      <c r="A41" s="4861" t="s">
        <v>409</v>
      </c>
      <c r="B41" s="4861" t="s">
        <v>7487</v>
      </c>
      <c r="C41" s="4861" t="s">
        <v>28</v>
      </c>
      <c r="D41" s="4884">
        <v>45385</v>
      </c>
      <c r="E41" s="5449">
        <v>45393</v>
      </c>
      <c r="F41" s="4882" t="s">
        <v>151</v>
      </c>
      <c r="G41" s="4861" t="s">
        <v>46</v>
      </c>
      <c r="H41" s="4903"/>
      <c r="I41" s="4882"/>
      <c r="J41" s="5326" t="s">
        <v>32</v>
      </c>
      <c r="K41" s="4902" t="s">
        <v>47</v>
      </c>
      <c r="L41" s="5367" t="s">
        <v>7488</v>
      </c>
      <c r="M41" s="4903">
        <v>45395</v>
      </c>
      <c r="N41" s="4903">
        <v>45393</v>
      </c>
      <c r="O41" s="4903">
        <v>45396</v>
      </c>
      <c r="P41" s="4882" t="s">
        <v>7489</v>
      </c>
      <c r="Q41" s="4861" t="s">
        <v>6852</v>
      </c>
      <c r="R41" s="4882" t="s">
        <v>7490</v>
      </c>
      <c r="S41" s="4882"/>
      <c r="T41" s="4882"/>
      <c r="U41" s="4882"/>
      <c r="V41" s="4882"/>
      <c r="W41" s="4882"/>
      <c r="X41" s="4882"/>
      <c r="Y41" s="4882"/>
      <c r="Z41" s="4882"/>
    </row>
    <row r="42" spans="1:26" s="707" customFormat="1">
      <c r="A42" s="709" t="s">
        <v>409</v>
      </c>
      <c r="B42" s="718" t="s">
        <v>7491</v>
      </c>
      <c r="C42" s="718" t="s">
        <v>28</v>
      </c>
      <c r="D42" s="2037">
        <v>45385</v>
      </c>
      <c r="E42" s="2659">
        <v>45393</v>
      </c>
      <c r="F42" s="724" t="s">
        <v>45</v>
      </c>
      <c r="G42" s="718" t="s">
        <v>46</v>
      </c>
      <c r="H42" s="1665"/>
      <c r="I42" s="656"/>
      <c r="J42" s="2349" t="s">
        <v>32</v>
      </c>
      <c r="K42" s="2160" t="s">
        <v>47</v>
      </c>
      <c r="L42" s="1674" t="s">
        <v>7492</v>
      </c>
      <c r="M42" s="1665">
        <v>45395</v>
      </c>
      <c r="N42" s="1665">
        <v>45393</v>
      </c>
      <c r="O42" s="1665">
        <v>45395</v>
      </c>
      <c r="P42" s="656" t="s">
        <v>7493</v>
      </c>
      <c r="Q42" s="718" t="s">
        <v>6852</v>
      </c>
      <c r="R42" s="656" t="s">
        <v>7494</v>
      </c>
      <c r="S42" s="656"/>
      <c r="T42" s="656"/>
      <c r="U42" s="656"/>
      <c r="V42" s="656"/>
      <c r="W42" s="656"/>
      <c r="X42" s="656"/>
      <c r="Y42" s="656"/>
      <c r="Z42" s="656"/>
    </row>
    <row r="43" spans="1:26" s="707" customFormat="1">
      <c r="A43" s="709" t="s">
        <v>409</v>
      </c>
      <c r="B43" s="4861" t="s">
        <v>7495</v>
      </c>
      <c r="C43" s="4861" t="s">
        <v>28</v>
      </c>
      <c r="D43" s="4884">
        <v>45385</v>
      </c>
      <c r="E43" s="5450">
        <v>45396</v>
      </c>
      <c r="F43" s="4864" t="s">
        <v>45</v>
      </c>
      <c r="G43" s="4861" t="s">
        <v>46</v>
      </c>
      <c r="H43" s="4903"/>
      <c r="I43" s="4882"/>
      <c r="J43" s="5326" t="s">
        <v>32</v>
      </c>
      <c r="K43" s="4861" t="s">
        <v>47</v>
      </c>
      <c r="L43" s="4882" t="s">
        <v>7496</v>
      </c>
      <c r="M43" s="4903">
        <v>45398</v>
      </c>
      <c r="N43" s="4903">
        <v>45398</v>
      </c>
      <c r="O43" s="4903">
        <v>45399</v>
      </c>
      <c r="P43" s="4882" t="s">
        <v>7497</v>
      </c>
      <c r="Q43" s="4861" t="s">
        <v>6852</v>
      </c>
      <c r="R43" s="4882" t="s">
        <v>7498</v>
      </c>
      <c r="S43" s="4882"/>
      <c r="T43" s="4882"/>
      <c r="U43" s="4882"/>
      <c r="V43" s="4882"/>
      <c r="W43" s="4882"/>
      <c r="X43" s="4882"/>
      <c r="Y43" s="4882"/>
      <c r="Z43" s="4882"/>
    </row>
    <row r="44" spans="1:26" s="707" customFormat="1">
      <c r="A44" s="709" t="s">
        <v>409</v>
      </c>
      <c r="B44" s="727" t="s">
        <v>7499</v>
      </c>
      <c r="C44" s="727" t="s">
        <v>28</v>
      </c>
      <c r="D44" s="1017">
        <v>45392</v>
      </c>
      <c r="E44" s="2660">
        <v>45402</v>
      </c>
      <c r="F44" s="1102" t="s">
        <v>45</v>
      </c>
      <c r="G44" s="727" t="s">
        <v>46</v>
      </c>
      <c r="H44" s="1581"/>
      <c r="I44" s="713"/>
      <c r="J44" s="2661" t="s">
        <v>32</v>
      </c>
      <c r="K44" s="2385" t="s">
        <v>47</v>
      </c>
      <c r="L44" s="2505" t="s">
        <v>7500</v>
      </c>
      <c r="M44" s="1581"/>
      <c r="N44" s="1581">
        <v>45401</v>
      </c>
      <c r="O44" s="1581">
        <v>45405</v>
      </c>
      <c r="P44" s="713" t="s">
        <v>7501</v>
      </c>
      <c r="Q44" s="727" t="s">
        <v>6852</v>
      </c>
      <c r="R44" s="713" t="s">
        <v>7502</v>
      </c>
      <c r="S44" s="713"/>
      <c r="T44" s="713"/>
      <c r="U44" s="713"/>
      <c r="V44" s="713"/>
      <c r="W44" s="713"/>
      <c r="X44" s="713"/>
      <c r="Y44" s="713"/>
      <c r="Z44" s="713"/>
    </row>
    <row r="45" spans="1:26" s="507" customFormat="1" ht="30">
      <c r="A45" s="4908" t="s">
        <v>165</v>
      </c>
      <c r="B45" s="5451" t="s">
        <v>7503</v>
      </c>
      <c r="C45" s="4908" t="s">
        <v>200</v>
      </c>
      <c r="D45" s="4906">
        <v>45398</v>
      </c>
      <c r="E45" s="4916">
        <v>45405</v>
      </c>
      <c r="F45" s="4908" t="s">
        <v>167</v>
      </c>
      <c r="G45" s="4908" t="s">
        <v>302</v>
      </c>
      <c r="H45" s="4906">
        <v>45407</v>
      </c>
      <c r="I45" s="4909" t="s">
        <v>672</v>
      </c>
      <c r="J45" s="4908" t="s">
        <v>32</v>
      </c>
      <c r="K45" s="4908" t="s">
        <v>2013</v>
      </c>
      <c r="L45" s="4908" t="s">
        <v>7504</v>
      </c>
      <c r="M45" s="4918">
        <v>45407</v>
      </c>
      <c r="N45" s="4918">
        <v>45407</v>
      </c>
      <c r="O45" s="4918">
        <v>45407</v>
      </c>
      <c r="P45" s="5049" t="s">
        <v>7505</v>
      </c>
      <c r="Q45" s="4845" t="s">
        <v>75</v>
      </c>
      <c r="R45" s="4908" t="s">
        <v>7506</v>
      </c>
      <c r="S45" s="4845"/>
      <c r="T45" s="4845">
        <v>1070</v>
      </c>
      <c r="U45" s="4845">
        <v>870</v>
      </c>
      <c r="V45" s="4845">
        <v>1</v>
      </c>
      <c r="W45" s="4845">
        <f>T45-U45</f>
        <v>200</v>
      </c>
      <c r="X45" s="5060">
        <f>W45/U45</f>
        <v>0.22988505747126436</v>
      </c>
      <c r="Y45" s="4845"/>
      <c r="Z45" s="4845"/>
    </row>
    <row r="46" spans="1:26">
      <c r="A46" s="726" t="s">
        <v>409</v>
      </c>
      <c r="B46" s="1992" t="s">
        <v>7507</v>
      </c>
      <c r="C46" s="1968" t="s">
        <v>28</v>
      </c>
      <c r="D46" s="2662">
        <v>45394</v>
      </c>
      <c r="E46" s="2654">
        <v>45401</v>
      </c>
      <c r="F46" s="2156" t="s">
        <v>151</v>
      </c>
      <c r="G46" s="2156" t="s">
        <v>46</v>
      </c>
      <c r="H46" s="2593"/>
      <c r="I46" s="2156"/>
      <c r="J46" s="2663" t="s">
        <v>32</v>
      </c>
      <c r="K46" s="2663" t="s">
        <v>47</v>
      </c>
      <c r="L46" s="1651" t="s">
        <v>7508</v>
      </c>
      <c r="M46" s="2593">
        <v>45403</v>
      </c>
      <c r="N46" s="2593">
        <v>45401</v>
      </c>
      <c r="O46" s="2593">
        <v>45402</v>
      </c>
      <c r="P46" s="2156" t="s">
        <v>7509</v>
      </c>
      <c r="Q46" s="1992" t="s">
        <v>6852</v>
      </c>
      <c r="R46" s="2156" t="s">
        <v>7510</v>
      </c>
      <c r="S46" s="2156"/>
      <c r="T46" s="2156"/>
      <c r="U46" s="2156"/>
      <c r="V46" s="2156"/>
      <c r="W46" s="2156"/>
      <c r="X46" s="2156"/>
      <c r="Y46" s="2156"/>
      <c r="Z46" s="2156"/>
    </row>
    <row r="47" spans="1:26" s="507" customFormat="1" ht="30">
      <c r="A47" s="4908" t="s">
        <v>165</v>
      </c>
      <c r="B47" s="5451" t="s">
        <v>7511</v>
      </c>
      <c r="C47" s="4908" t="s">
        <v>451</v>
      </c>
      <c r="D47" s="4906">
        <v>45398</v>
      </c>
      <c r="E47" s="4916">
        <v>45405</v>
      </c>
      <c r="F47" s="4908" t="s">
        <v>167</v>
      </c>
      <c r="G47" s="4908" t="s">
        <v>302</v>
      </c>
      <c r="H47" s="4906">
        <v>45407</v>
      </c>
      <c r="I47" s="4909" t="s">
        <v>672</v>
      </c>
      <c r="J47" s="4908" t="s">
        <v>32</v>
      </c>
      <c r="K47" s="4908" t="s">
        <v>2013</v>
      </c>
      <c r="L47" s="4908" t="s">
        <v>7512</v>
      </c>
      <c r="M47" s="4918">
        <v>45408</v>
      </c>
      <c r="N47" s="4918">
        <v>45407</v>
      </c>
      <c r="O47" s="4918">
        <v>45407</v>
      </c>
      <c r="P47" s="5049" t="s">
        <v>7513</v>
      </c>
      <c r="Q47" s="4845" t="s">
        <v>75</v>
      </c>
      <c r="R47" s="4908" t="s">
        <v>7514</v>
      </c>
      <c r="S47" s="4845"/>
      <c r="T47" s="4845">
        <v>1070</v>
      </c>
      <c r="U47" s="4845">
        <v>870</v>
      </c>
      <c r="V47" s="4845">
        <v>1</v>
      </c>
      <c r="W47" s="4845">
        <f>T47-U47</f>
        <v>200</v>
      </c>
      <c r="X47" s="5060">
        <f>W47/U47</f>
        <v>0.22988505747126436</v>
      </c>
      <c r="Y47" s="4845"/>
      <c r="Z47" s="4845"/>
    </row>
    <row r="48" spans="1:26" s="117" customFormat="1">
      <c r="A48" s="709" t="s">
        <v>409</v>
      </c>
      <c r="B48" s="1748" t="s">
        <v>7515</v>
      </c>
      <c r="C48" s="1798" t="s">
        <v>28</v>
      </c>
      <c r="D48" s="2664">
        <v>45394</v>
      </c>
      <c r="E48" s="2665">
        <f>7+D48</f>
        <v>45401</v>
      </c>
      <c r="F48" s="2595" t="s">
        <v>151</v>
      </c>
      <c r="G48" s="2595" t="s">
        <v>46</v>
      </c>
      <c r="H48" s="2594"/>
      <c r="I48" s="2595"/>
      <c r="J48" s="2666" t="s">
        <v>32</v>
      </c>
      <c r="K48" s="2666" t="s">
        <v>47</v>
      </c>
      <c r="L48" s="2667" t="s">
        <v>7516</v>
      </c>
      <c r="M48" s="2594">
        <v>45403</v>
      </c>
      <c r="N48" s="2594">
        <v>45402</v>
      </c>
      <c r="O48" s="2594">
        <v>45404</v>
      </c>
      <c r="P48" s="2595" t="s">
        <v>7517</v>
      </c>
      <c r="Q48" s="726" t="s">
        <v>6852</v>
      </c>
      <c r="R48" s="2595" t="s">
        <v>7518</v>
      </c>
      <c r="S48" s="2595"/>
      <c r="T48" s="2595"/>
      <c r="U48" s="2595"/>
      <c r="V48" s="2595"/>
      <c r="W48" s="2595"/>
      <c r="X48" s="2595"/>
      <c r="Y48" s="2595"/>
      <c r="Z48" s="2595"/>
    </row>
    <row r="49" spans="1:26" s="117" customFormat="1">
      <c r="A49" s="718" t="s">
        <v>409</v>
      </c>
      <c r="B49" s="2385" t="s">
        <v>7519</v>
      </c>
      <c r="C49" s="1310" t="s">
        <v>28</v>
      </c>
      <c r="D49" s="2668">
        <v>45394</v>
      </c>
      <c r="E49" s="2669">
        <f>7+D49</f>
        <v>45401</v>
      </c>
      <c r="F49" s="2505" t="s">
        <v>151</v>
      </c>
      <c r="G49" s="2505" t="s">
        <v>46</v>
      </c>
      <c r="H49" s="2503"/>
      <c r="I49" s="2505"/>
      <c r="J49" s="2385" t="s">
        <v>32</v>
      </c>
      <c r="K49" s="2385" t="s">
        <v>47</v>
      </c>
      <c r="L49" s="1584" t="s">
        <v>7520</v>
      </c>
      <c r="M49" s="2503">
        <v>45404</v>
      </c>
      <c r="N49" s="2503">
        <v>45402</v>
      </c>
      <c r="O49" s="2503">
        <v>45404</v>
      </c>
      <c r="P49" s="2505" t="s">
        <v>7521</v>
      </c>
      <c r="Q49" s="2385" t="s">
        <v>6852</v>
      </c>
      <c r="R49" s="2383" t="s">
        <v>7522</v>
      </c>
      <c r="S49" s="2505"/>
      <c r="T49" s="2505"/>
      <c r="U49" s="2505"/>
      <c r="V49" s="2505"/>
      <c r="W49" s="2505"/>
      <c r="X49" s="2505"/>
      <c r="Y49" s="2505"/>
      <c r="Z49" s="2505"/>
    </row>
    <row r="50" spans="1:26" s="1442" customFormat="1">
      <c r="A50" s="120" t="s">
        <v>409</v>
      </c>
      <c r="B50" s="4845" t="s">
        <v>7523</v>
      </c>
      <c r="C50" s="4947" t="s">
        <v>28</v>
      </c>
      <c r="D50" s="4960">
        <v>45394</v>
      </c>
      <c r="E50" s="5279">
        <v>45401</v>
      </c>
      <c r="F50" s="4934" t="s">
        <v>151</v>
      </c>
      <c r="G50" s="4934" t="s">
        <v>46</v>
      </c>
      <c r="H50" s="4982"/>
      <c r="I50" s="4934"/>
      <c r="J50" s="5243" t="s">
        <v>32</v>
      </c>
      <c r="K50" s="5243" t="s">
        <v>47</v>
      </c>
      <c r="L50" s="5452" t="s">
        <v>7524</v>
      </c>
      <c r="M50" s="4982">
        <v>45403</v>
      </c>
      <c r="N50" s="4982">
        <v>45402</v>
      </c>
      <c r="O50" s="4982">
        <v>45404</v>
      </c>
      <c r="P50" s="4934" t="s">
        <v>7525</v>
      </c>
      <c r="Q50" s="4845" t="s">
        <v>6852</v>
      </c>
      <c r="R50" s="4934" t="s">
        <v>51</v>
      </c>
      <c r="S50" s="4934"/>
      <c r="T50" s="4934"/>
      <c r="U50" s="4934"/>
      <c r="V50" s="4934"/>
      <c r="W50" s="4934"/>
      <c r="X50" s="4934"/>
      <c r="Y50" s="4934"/>
      <c r="Z50" s="4934"/>
    </row>
    <row r="51" spans="1:26" s="117" customFormat="1">
      <c r="A51" s="718" t="s">
        <v>409</v>
      </c>
      <c r="B51" s="4861" t="s">
        <v>7526</v>
      </c>
      <c r="C51" s="4864" t="s">
        <v>28</v>
      </c>
      <c r="D51" s="4863">
        <v>45394</v>
      </c>
      <c r="E51" s="5450">
        <v>45401</v>
      </c>
      <c r="F51" s="4864" t="s">
        <v>45</v>
      </c>
      <c r="G51" s="4882" t="s">
        <v>46</v>
      </c>
      <c r="H51" s="4903"/>
      <c r="I51" s="4882"/>
      <c r="J51" s="4902" t="s">
        <v>32</v>
      </c>
      <c r="K51" s="4861" t="s">
        <v>47</v>
      </c>
      <c r="L51" s="5077" t="s">
        <v>7527</v>
      </c>
      <c r="M51" s="4940">
        <v>45403</v>
      </c>
      <c r="N51" s="4903">
        <v>45401</v>
      </c>
      <c r="O51" s="4903">
        <v>45405</v>
      </c>
      <c r="P51" s="4882" t="s">
        <v>7528</v>
      </c>
      <c r="Q51" s="4861" t="s">
        <v>6852</v>
      </c>
      <c r="R51" s="4882" t="s">
        <v>7529</v>
      </c>
      <c r="S51" s="4882"/>
      <c r="T51" s="4882"/>
      <c r="U51" s="4882"/>
      <c r="V51" s="4882"/>
      <c r="W51" s="4882"/>
      <c r="X51" s="4882"/>
      <c r="Y51" s="4882"/>
      <c r="Z51" s="4882"/>
    </row>
    <row r="52" spans="1:26" s="709" customFormat="1">
      <c r="A52" s="718" t="s">
        <v>409</v>
      </c>
      <c r="B52" s="4861" t="s">
        <v>7530</v>
      </c>
      <c r="C52" s="4864" t="s">
        <v>28</v>
      </c>
      <c r="D52" s="4863">
        <v>45394</v>
      </c>
      <c r="E52" s="5450">
        <v>45401</v>
      </c>
      <c r="F52" s="4864" t="s">
        <v>45</v>
      </c>
      <c r="G52" s="4882" t="s">
        <v>46</v>
      </c>
      <c r="H52" s="4903"/>
      <c r="I52" s="4882"/>
      <c r="J52" s="4902" t="s">
        <v>32</v>
      </c>
      <c r="K52" s="4902" t="s">
        <v>47</v>
      </c>
      <c r="L52" s="5077" t="s">
        <v>7531</v>
      </c>
      <c r="M52" s="4903">
        <v>45403</v>
      </c>
      <c r="N52" s="4903">
        <v>45405</v>
      </c>
      <c r="O52" s="4903">
        <v>45407</v>
      </c>
      <c r="P52" s="4882" t="s">
        <v>7532</v>
      </c>
      <c r="Q52" s="4861" t="s">
        <v>6852</v>
      </c>
      <c r="R52" s="4882" t="s">
        <v>7533</v>
      </c>
      <c r="S52" s="4882"/>
      <c r="T52" s="4882"/>
      <c r="U52" s="4882"/>
      <c r="V52" s="4882"/>
      <c r="W52" s="4882"/>
      <c r="X52" s="4882"/>
      <c r="Y52" s="4882"/>
      <c r="Z52" s="4882"/>
    </row>
    <row r="53" spans="1:26" s="709" customFormat="1">
      <c r="A53" s="718" t="s">
        <v>409</v>
      </c>
      <c r="B53" s="4861" t="s">
        <v>7534</v>
      </c>
      <c r="C53" s="4864" t="s">
        <v>28</v>
      </c>
      <c r="D53" s="4863">
        <v>45394</v>
      </c>
      <c r="E53" s="5450">
        <v>45401</v>
      </c>
      <c r="F53" s="4864" t="s">
        <v>45</v>
      </c>
      <c r="G53" s="4882" t="s">
        <v>46</v>
      </c>
      <c r="H53" s="4903"/>
      <c r="I53" s="4882"/>
      <c r="J53" s="5326" t="s">
        <v>32</v>
      </c>
      <c r="K53" s="4902" t="s">
        <v>47</v>
      </c>
      <c r="L53" s="5367" t="s">
        <v>7535</v>
      </c>
      <c r="M53" s="4903">
        <v>45403</v>
      </c>
      <c r="N53" s="4903">
        <v>45402</v>
      </c>
      <c r="O53" s="4903">
        <v>45405</v>
      </c>
      <c r="P53" s="4882" t="s">
        <v>7536</v>
      </c>
      <c r="Q53" s="4861" t="s">
        <v>6852</v>
      </c>
      <c r="R53" s="4882" t="s">
        <v>7537</v>
      </c>
      <c r="S53" s="4882"/>
      <c r="T53" s="4882"/>
      <c r="U53" s="4882"/>
      <c r="V53" s="4882"/>
      <c r="W53" s="4882"/>
      <c r="X53" s="4882"/>
      <c r="Y53" s="4882"/>
      <c r="Z53" s="4882"/>
    </row>
    <row r="54" spans="1:26" s="707" customFormat="1">
      <c r="A54" s="718" t="s">
        <v>409</v>
      </c>
      <c r="B54" s="726" t="s">
        <v>7538</v>
      </c>
      <c r="C54" s="1662" t="s">
        <v>28</v>
      </c>
      <c r="D54" s="2670">
        <v>45397</v>
      </c>
      <c r="E54" s="2671">
        <v>45404</v>
      </c>
      <c r="F54" s="1662" t="s">
        <v>260</v>
      </c>
      <c r="G54" s="1662" t="s">
        <v>46</v>
      </c>
      <c r="H54" s="1666"/>
      <c r="I54" s="1662"/>
      <c r="J54" s="2672" t="s">
        <v>32</v>
      </c>
      <c r="K54" s="726" t="s">
        <v>47</v>
      </c>
      <c r="L54" s="2673" t="s">
        <v>7539</v>
      </c>
      <c r="M54" s="1666">
        <v>45406</v>
      </c>
      <c r="N54" s="1666">
        <v>45404</v>
      </c>
      <c r="O54" s="1666">
        <v>45405</v>
      </c>
      <c r="P54" s="1662" t="s">
        <v>7540</v>
      </c>
      <c r="Q54" s="1495" t="s">
        <v>6852</v>
      </c>
      <c r="R54" s="1662" t="s">
        <v>7541</v>
      </c>
      <c r="S54" s="1662"/>
      <c r="T54" s="1662"/>
      <c r="U54" s="1662"/>
      <c r="V54" s="1662"/>
      <c r="W54" s="1662"/>
      <c r="X54" s="1662"/>
      <c r="Y54" s="1662"/>
      <c r="Z54" s="1662"/>
    </row>
    <row r="55" spans="1:26" s="709" customFormat="1">
      <c r="A55" s="718" t="s">
        <v>409</v>
      </c>
      <c r="B55" s="4861" t="s">
        <v>7542</v>
      </c>
      <c r="C55" s="4882" t="s">
        <v>28</v>
      </c>
      <c r="D55" s="4863">
        <v>45397</v>
      </c>
      <c r="E55" s="5449">
        <v>45404</v>
      </c>
      <c r="F55" s="4882" t="s">
        <v>260</v>
      </c>
      <c r="G55" s="4882" t="s">
        <v>46</v>
      </c>
      <c r="H55" s="4903"/>
      <c r="I55" s="4882"/>
      <c r="J55" s="5326" t="s">
        <v>32</v>
      </c>
      <c r="K55" s="4902" t="s">
        <v>47</v>
      </c>
      <c r="L55" s="5077" t="s">
        <v>7543</v>
      </c>
      <c r="M55" s="4903">
        <v>45406</v>
      </c>
      <c r="N55" s="4903">
        <v>45405</v>
      </c>
      <c r="O55" s="4903">
        <v>45407</v>
      </c>
      <c r="P55" s="4882" t="s">
        <v>7544</v>
      </c>
      <c r="Q55" s="4861" t="s">
        <v>6852</v>
      </c>
      <c r="R55" s="4882" t="s">
        <v>7545</v>
      </c>
      <c r="S55" s="4882"/>
      <c r="T55" s="4882"/>
      <c r="U55" s="4882"/>
      <c r="V55" s="4882"/>
      <c r="W55" s="4882"/>
      <c r="X55" s="4882"/>
      <c r="Y55" s="4882"/>
      <c r="Z55" s="4882"/>
    </row>
    <row r="56" spans="1:26" s="1442" customFormat="1">
      <c r="A56" s="120" t="s">
        <v>409</v>
      </c>
      <c r="B56" s="3268" t="s">
        <v>7546</v>
      </c>
      <c r="C56" s="3274" t="s">
        <v>28</v>
      </c>
      <c r="D56" s="3541">
        <v>45397</v>
      </c>
      <c r="E56" s="3314">
        <v>45402</v>
      </c>
      <c r="F56" s="3274" t="s">
        <v>260</v>
      </c>
      <c r="G56" s="3274" t="s">
        <v>46</v>
      </c>
      <c r="H56" s="3658"/>
      <c r="I56" s="3274"/>
      <c r="J56" s="3513" t="s">
        <v>32</v>
      </c>
      <c r="K56" s="3268" t="s">
        <v>47</v>
      </c>
      <c r="L56" s="3539" t="s">
        <v>7547</v>
      </c>
      <c r="M56" s="3659"/>
      <c r="N56" s="3658">
        <v>45405</v>
      </c>
      <c r="O56" s="3658">
        <v>45407</v>
      </c>
      <c r="P56" s="3274" t="s">
        <v>7548</v>
      </c>
      <c r="Q56" s="3268" t="s">
        <v>6852</v>
      </c>
      <c r="R56" s="507" t="s">
        <v>51</v>
      </c>
      <c r="S56" s="3274"/>
      <c r="T56" s="3274"/>
      <c r="U56" s="3274"/>
      <c r="V56" s="3274"/>
      <c r="W56" s="693"/>
      <c r="X56" s="693"/>
      <c r="Y56" s="3274"/>
      <c r="Z56" s="3274"/>
    </row>
    <row r="57" spans="1:26" s="106" customFormat="1">
      <c r="A57" s="718" t="s">
        <v>409</v>
      </c>
      <c r="B57" s="4861" t="s">
        <v>7549</v>
      </c>
      <c r="C57" s="4882" t="s">
        <v>28</v>
      </c>
      <c r="D57" s="4863">
        <v>45397</v>
      </c>
      <c r="E57" s="5449">
        <v>45404</v>
      </c>
      <c r="F57" s="4882" t="s">
        <v>260</v>
      </c>
      <c r="G57" s="4882" t="s">
        <v>46</v>
      </c>
      <c r="H57" s="4903"/>
      <c r="I57" s="4882"/>
      <c r="J57" s="5326" t="s">
        <v>32</v>
      </c>
      <c r="K57" s="4861" t="s">
        <v>47</v>
      </c>
      <c r="L57" s="5077" t="s">
        <v>7550</v>
      </c>
      <c r="M57" s="4903">
        <v>45406</v>
      </c>
      <c r="N57" s="4903">
        <v>45405</v>
      </c>
      <c r="O57" s="4903">
        <v>45406</v>
      </c>
      <c r="P57" s="4882" t="s">
        <v>7551</v>
      </c>
      <c r="Q57" s="4861" t="s">
        <v>6852</v>
      </c>
      <c r="R57" s="4882" t="s">
        <v>7552</v>
      </c>
      <c r="S57" s="4882"/>
      <c r="T57" s="4882"/>
      <c r="U57" s="4882"/>
      <c r="V57" s="4882"/>
      <c r="W57" s="4882"/>
      <c r="X57" s="4882"/>
      <c r="Y57" s="4882"/>
      <c r="Z57" s="4882"/>
    </row>
    <row r="58" spans="1:26" s="709" customFormat="1">
      <c r="A58" s="718" t="s">
        <v>409</v>
      </c>
      <c r="B58" s="1992" t="s">
        <v>7553</v>
      </c>
      <c r="C58" s="2156" t="s">
        <v>28</v>
      </c>
      <c r="D58" s="2662">
        <v>45397</v>
      </c>
      <c r="E58" s="2674">
        <v>45408</v>
      </c>
      <c r="F58" s="2156" t="s">
        <v>45</v>
      </c>
      <c r="G58" s="2675" t="s">
        <v>46</v>
      </c>
      <c r="H58" s="2593"/>
      <c r="I58" s="2156"/>
      <c r="J58" s="2676" t="s">
        <v>32</v>
      </c>
      <c r="K58" s="2663" t="s">
        <v>47</v>
      </c>
      <c r="L58" s="2675" t="s">
        <v>7554</v>
      </c>
      <c r="M58" s="2593">
        <v>45410</v>
      </c>
      <c r="N58" s="2593">
        <v>45409</v>
      </c>
      <c r="O58" s="2593">
        <v>45411</v>
      </c>
      <c r="P58" s="2156" t="s">
        <v>7555</v>
      </c>
      <c r="Q58" s="1992" t="s">
        <v>6852</v>
      </c>
      <c r="R58" s="2156" t="s">
        <v>7556</v>
      </c>
      <c r="S58" s="2156"/>
      <c r="T58" s="2156"/>
      <c r="U58" s="2156"/>
      <c r="V58" s="2677"/>
      <c r="W58" s="4882"/>
      <c r="X58" s="4882"/>
      <c r="Y58" s="3258"/>
      <c r="Z58" s="2156"/>
    </row>
    <row r="59" spans="1:26" s="709" customFormat="1">
      <c r="A59" s="718" t="s">
        <v>409</v>
      </c>
      <c r="B59" s="4861" t="s">
        <v>7557</v>
      </c>
      <c r="C59" s="4882" t="s">
        <v>28</v>
      </c>
      <c r="D59" s="4863">
        <v>45397</v>
      </c>
      <c r="E59" s="4941">
        <v>45411</v>
      </c>
      <c r="F59" s="4882" t="s">
        <v>151</v>
      </c>
      <c r="G59" s="5367" t="s">
        <v>46</v>
      </c>
      <c r="H59" s="4903"/>
      <c r="I59" s="4882"/>
      <c r="J59" s="5326" t="s">
        <v>32</v>
      </c>
      <c r="K59" s="4902" t="s">
        <v>47</v>
      </c>
      <c r="L59" s="5367" t="s">
        <v>7558</v>
      </c>
      <c r="M59" s="4903">
        <v>45411</v>
      </c>
      <c r="N59" s="4903">
        <v>45410</v>
      </c>
      <c r="O59" s="4903">
        <v>45411</v>
      </c>
      <c r="P59" s="4882" t="s">
        <v>7559</v>
      </c>
      <c r="Q59" s="4861" t="s">
        <v>6852</v>
      </c>
      <c r="R59" s="4882" t="s">
        <v>7560</v>
      </c>
      <c r="S59" s="4882"/>
      <c r="T59" s="4882"/>
      <c r="U59" s="4882"/>
      <c r="V59" s="4882"/>
      <c r="W59" s="2678"/>
      <c r="X59" s="2678"/>
      <c r="Y59" s="4882"/>
      <c r="Z59" s="4882"/>
    </row>
    <row r="60" spans="1:26" s="709" customFormat="1">
      <c r="A60" s="718" t="s">
        <v>409</v>
      </c>
      <c r="B60" s="1495" t="s">
        <v>7561</v>
      </c>
      <c r="C60" s="1495" t="s">
        <v>28</v>
      </c>
      <c r="D60" s="2679">
        <v>45397</v>
      </c>
      <c r="E60" s="2657">
        <v>45408</v>
      </c>
      <c r="F60" s="1495" t="s">
        <v>56</v>
      </c>
      <c r="G60" s="2607" t="s">
        <v>46</v>
      </c>
      <c r="H60" s="2608"/>
      <c r="I60" s="2104"/>
      <c r="J60" s="2680" t="s">
        <v>32</v>
      </c>
      <c r="K60" s="2648" t="s">
        <v>47</v>
      </c>
      <c r="L60" s="2607" t="s">
        <v>7562</v>
      </c>
      <c r="M60" s="2608">
        <v>45410</v>
      </c>
      <c r="N60" s="2608">
        <v>45408</v>
      </c>
      <c r="O60" s="2608">
        <v>45409</v>
      </c>
      <c r="P60" s="2104" t="s">
        <v>7563</v>
      </c>
      <c r="Q60" s="1495" t="s">
        <v>6852</v>
      </c>
      <c r="R60" s="2104" t="s">
        <v>7564</v>
      </c>
      <c r="S60" s="2104"/>
      <c r="T60" s="2104"/>
      <c r="U60" s="2104"/>
      <c r="V60" s="2104"/>
      <c r="W60" s="707"/>
      <c r="X60" s="707"/>
      <c r="Y60" s="2104"/>
      <c r="Z60" s="2104"/>
    </row>
    <row r="61" spans="1:26" s="709" customFormat="1">
      <c r="A61" s="718" t="s">
        <v>409</v>
      </c>
      <c r="B61" s="3246" t="s">
        <v>7565</v>
      </c>
      <c r="C61" s="3246" t="s">
        <v>28</v>
      </c>
      <c r="D61" s="3526">
        <v>45397</v>
      </c>
      <c r="E61" s="3660">
        <v>45409</v>
      </c>
      <c r="F61" s="3258" t="s">
        <v>151</v>
      </c>
      <c r="G61" s="3258" t="s">
        <v>46</v>
      </c>
      <c r="H61" s="3267"/>
      <c r="I61" s="707"/>
      <c r="J61" s="3523" t="s">
        <v>32</v>
      </c>
      <c r="K61" s="3246" t="s">
        <v>47</v>
      </c>
      <c r="L61" s="3258">
        <v>983723</v>
      </c>
      <c r="M61" s="3267">
        <v>45409</v>
      </c>
      <c r="N61" s="3267">
        <v>45407</v>
      </c>
      <c r="O61" s="3267">
        <v>45408</v>
      </c>
      <c r="P61" s="3258" t="s">
        <v>7566</v>
      </c>
      <c r="Q61" s="3246" t="s">
        <v>6852</v>
      </c>
      <c r="R61" s="707" t="s">
        <v>51</v>
      </c>
      <c r="S61" s="3258"/>
      <c r="T61" s="3258"/>
      <c r="U61" s="3258"/>
      <c r="V61" s="3258"/>
      <c r="W61" s="3258"/>
      <c r="X61" s="3258"/>
      <c r="Y61" s="707"/>
      <c r="Z61" s="3258"/>
    </row>
    <row r="62" spans="1:26" s="709" customFormat="1">
      <c r="A62" s="718" t="s">
        <v>409</v>
      </c>
      <c r="B62" s="4861" t="s">
        <v>7567</v>
      </c>
      <c r="C62" s="4861" t="s">
        <v>28</v>
      </c>
      <c r="D62" s="4863">
        <v>45397</v>
      </c>
      <c r="E62" s="5450">
        <v>45409</v>
      </c>
      <c r="F62" s="4882" t="s">
        <v>151</v>
      </c>
      <c r="G62" s="5367" t="s">
        <v>46</v>
      </c>
      <c r="H62" s="4903"/>
      <c r="I62" s="4882"/>
      <c r="J62" s="5326" t="s">
        <v>32</v>
      </c>
      <c r="K62" s="4902" t="s">
        <v>47</v>
      </c>
      <c r="L62" s="5367" t="s">
        <v>7568</v>
      </c>
      <c r="M62" s="4903"/>
      <c r="N62" s="4903">
        <v>45410</v>
      </c>
      <c r="O62" s="4903">
        <v>45411</v>
      </c>
      <c r="P62" s="4882" t="s">
        <v>7569</v>
      </c>
      <c r="Q62" s="4861" t="s">
        <v>6852</v>
      </c>
      <c r="R62" s="4882" t="s">
        <v>51</v>
      </c>
      <c r="S62" s="4882"/>
      <c r="T62" s="4882"/>
      <c r="U62" s="4882"/>
      <c r="V62" s="4882"/>
      <c r="W62" s="4882"/>
      <c r="X62" s="4882"/>
      <c r="Y62" s="4882"/>
      <c r="Z62" s="4882"/>
    </row>
    <row r="63" spans="1:26" s="709" customFormat="1">
      <c r="A63" s="718" t="s">
        <v>409</v>
      </c>
      <c r="B63" s="2648" t="s">
        <v>7570</v>
      </c>
      <c r="C63" s="1495" t="s">
        <v>28</v>
      </c>
      <c r="D63" s="2679">
        <v>45397</v>
      </c>
      <c r="E63" s="2657">
        <v>45415</v>
      </c>
      <c r="F63" s="2104" t="s">
        <v>151</v>
      </c>
      <c r="G63" s="2607" t="s">
        <v>46</v>
      </c>
      <c r="H63" s="2608"/>
      <c r="I63" s="2104"/>
      <c r="J63" s="2680" t="s">
        <v>32</v>
      </c>
      <c r="K63" s="2648" t="s">
        <v>47</v>
      </c>
      <c r="L63" s="2383" t="s">
        <v>7571</v>
      </c>
      <c r="M63" s="2608">
        <v>45417</v>
      </c>
      <c r="N63" s="2608">
        <v>45415</v>
      </c>
      <c r="O63" s="2608">
        <v>45418</v>
      </c>
      <c r="P63" s="2104" t="s">
        <v>7572</v>
      </c>
      <c r="Q63" s="1495" t="s">
        <v>6852</v>
      </c>
      <c r="R63" s="2104" t="s">
        <v>7573</v>
      </c>
      <c r="S63" s="2104"/>
      <c r="T63" s="2104"/>
      <c r="U63" s="2104"/>
      <c r="V63" s="2104"/>
      <c r="W63" s="2104"/>
      <c r="X63" s="2104"/>
      <c r="Y63" s="2104"/>
      <c r="Z63" s="2104"/>
    </row>
    <row r="64" spans="1:26" s="1442" customFormat="1">
      <c r="A64" s="1911" t="s">
        <v>409</v>
      </c>
      <c r="B64" s="2074" t="s">
        <v>7574</v>
      </c>
      <c r="C64" s="2074" t="s">
        <v>28</v>
      </c>
      <c r="D64" s="2627">
        <v>45399</v>
      </c>
      <c r="E64" s="2628">
        <v>45409</v>
      </c>
      <c r="F64" s="2622" t="s">
        <v>151</v>
      </c>
      <c r="G64" s="2629" t="s">
        <v>46</v>
      </c>
      <c r="H64" s="2621"/>
      <c r="I64" s="2622"/>
      <c r="J64" s="2630" t="s">
        <v>32</v>
      </c>
      <c r="K64" s="2631" t="s">
        <v>47</v>
      </c>
      <c r="L64" s="2629" t="s">
        <v>7575</v>
      </c>
      <c r="M64" s="2621">
        <v>45411</v>
      </c>
      <c r="N64" s="2621">
        <v>45411</v>
      </c>
      <c r="O64" s="2621">
        <v>45413</v>
      </c>
      <c r="P64" s="2622" t="s">
        <v>7576</v>
      </c>
      <c r="Q64" s="2074" t="s">
        <v>6852</v>
      </c>
      <c r="R64" s="2622" t="s">
        <v>51</v>
      </c>
      <c r="S64" s="2622"/>
      <c r="T64" s="2622"/>
      <c r="U64" s="2622"/>
      <c r="V64" s="2622"/>
      <c r="W64" s="2622"/>
      <c r="X64" s="2622"/>
      <c r="Y64" s="2622"/>
      <c r="Z64" s="2622"/>
    </row>
    <row r="65" spans="1:26" s="707" customFormat="1">
      <c r="A65" s="718" t="s">
        <v>409</v>
      </c>
      <c r="B65" s="3246" t="s">
        <v>7577</v>
      </c>
      <c r="C65" s="3246" t="s">
        <v>28</v>
      </c>
      <c r="D65" s="3526">
        <v>45399</v>
      </c>
      <c r="E65" s="3661">
        <v>45410</v>
      </c>
      <c r="F65" s="3258" t="s">
        <v>151</v>
      </c>
      <c r="G65" s="3569" t="s">
        <v>46</v>
      </c>
      <c r="H65" s="3267"/>
      <c r="I65" s="3258"/>
      <c r="J65" s="3523" t="s">
        <v>32</v>
      </c>
      <c r="K65" s="3434" t="s">
        <v>47</v>
      </c>
      <c r="L65" s="3569" t="s">
        <v>7578</v>
      </c>
      <c r="M65" s="3267">
        <v>45412</v>
      </c>
      <c r="N65" s="3267">
        <v>45411</v>
      </c>
      <c r="O65" s="3267">
        <v>45414</v>
      </c>
      <c r="P65" s="3258" t="s">
        <v>7579</v>
      </c>
      <c r="Q65" s="3246" t="s">
        <v>6852</v>
      </c>
      <c r="R65" s="3258" t="s">
        <v>7580</v>
      </c>
      <c r="S65" s="3258"/>
      <c r="T65" s="3258"/>
      <c r="U65" s="3258"/>
      <c r="V65" s="3258"/>
      <c r="W65" s="3258"/>
      <c r="X65" s="3258"/>
      <c r="Y65" s="3258"/>
      <c r="Z65" s="3258"/>
    </row>
    <row r="66" spans="1:26" s="709" customFormat="1">
      <c r="A66" s="718" t="s">
        <v>409</v>
      </c>
      <c r="B66" s="4861" t="s">
        <v>7581</v>
      </c>
      <c r="C66" s="4861" t="s">
        <v>28</v>
      </c>
      <c r="D66" s="4863">
        <v>45402</v>
      </c>
      <c r="E66" s="4941">
        <v>45418</v>
      </c>
      <c r="F66" s="4882" t="s">
        <v>151</v>
      </c>
      <c r="G66" s="4882" t="s">
        <v>46</v>
      </c>
      <c r="H66" s="4903"/>
      <c r="I66" s="4882"/>
      <c r="J66" s="5326" t="s">
        <v>32</v>
      </c>
      <c r="K66" s="4902" t="s">
        <v>47</v>
      </c>
      <c r="L66" s="1651" t="s">
        <v>7582</v>
      </c>
      <c r="M66" s="4903">
        <v>45420</v>
      </c>
      <c r="N66" s="4903">
        <v>45419</v>
      </c>
      <c r="O66" s="4903">
        <v>45420</v>
      </c>
      <c r="P66" s="4882" t="s">
        <v>7583</v>
      </c>
      <c r="Q66" s="4882" t="s">
        <v>7584</v>
      </c>
      <c r="R66" s="4882" t="s">
        <v>7585</v>
      </c>
      <c r="S66" s="4882"/>
      <c r="T66" s="4882"/>
      <c r="U66" s="4882"/>
      <c r="V66" s="4882"/>
      <c r="W66" s="4882"/>
      <c r="X66" s="4882"/>
      <c r="Y66" s="4882"/>
      <c r="Z66" s="4882"/>
    </row>
    <row r="67" spans="1:26" s="707" customFormat="1">
      <c r="A67" s="718" t="s">
        <v>409</v>
      </c>
      <c r="B67" s="1495" t="s">
        <v>7586</v>
      </c>
      <c r="C67" s="1495" t="s">
        <v>28</v>
      </c>
      <c r="D67" s="2679">
        <v>45402</v>
      </c>
      <c r="E67" s="2681">
        <v>45410</v>
      </c>
      <c r="F67" s="2104" t="s">
        <v>151</v>
      </c>
      <c r="G67" s="2607" t="s">
        <v>46</v>
      </c>
      <c r="H67" s="2608"/>
      <c r="I67" s="2104"/>
      <c r="J67" s="2680" t="s">
        <v>32</v>
      </c>
      <c r="K67" s="2648" t="s">
        <v>47</v>
      </c>
      <c r="L67" s="2383" t="s">
        <v>7587</v>
      </c>
      <c r="M67" s="2608">
        <v>45414</v>
      </c>
      <c r="N67" s="2608">
        <v>45414</v>
      </c>
      <c r="O67" s="2608">
        <v>45415</v>
      </c>
      <c r="P67" s="2104" t="s">
        <v>7588</v>
      </c>
      <c r="Q67" s="2104" t="s">
        <v>7584</v>
      </c>
      <c r="R67" s="2104" t="s">
        <v>7589</v>
      </c>
      <c r="S67" s="2104"/>
      <c r="T67" s="2104"/>
      <c r="U67" s="2104"/>
      <c r="V67" s="2104"/>
      <c r="W67" s="2104"/>
      <c r="X67" s="2104"/>
      <c r="Y67" s="2104"/>
      <c r="Z67" s="2104"/>
    </row>
    <row r="68" spans="1:26" s="2682" customFormat="1">
      <c r="A68" s="718" t="s">
        <v>409</v>
      </c>
      <c r="B68" s="4861" t="s">
        <v>7590</v>
      </c>
      <c r="C68" s="4861" t="s">
        <v>28</v>
      </c>
      <c r="D68" s="4863">
        <v>45399</v>
      </c>
      <c r="E68" s="4941">
        <v>45410</v>
      </c>
      <c r="F68" s="4882" t="s">
        <v>151</v>
      </c>
      <c r="G68" s="5367" t="s">
        <v>46</v>
      </c>
      <c r="H68" s="4903"/>
      <c r="I68" s="4882"/>
      <c r="J68" s="5326" t="s">
        <v>32</v>
      </c>
      <c r="K68" s="4902" t="s">
        <v>47</v>
      </c>
      <c r="L68" s="5367" t="s">
        <v>7591</v>
      </c>
      <c r="M68" s="4903">
        <v>45412</v>
      </c>
      <c r="N68" s="4903">
        <v>45412</v>
      </c>
      <c r="O68" s="4903">
        <v>45414</v>
      </c>
      <c r="P68" s="4882" t="s">
        <v>7592</v>
      </c>
      <c r="Q68" s="4882" t="s">
        <v>7584</v>
      </c>
      <c r="R68" s="4882" t="s">
        <v>7593</v>
      </c>
      <c r="S68" s="4882"/>
      <c r="T68" s="4882"/>
      <c r="U68" s="4882"/>
      <c r="V68" s="4882"/>
      <c r="W68" s="4882"/>
      <c r="X68" s="4882"/>
      <c r="Y68" s="4882"/>
      <c r="Z68" s="4882"/>
    </row>
    <row r="69" spans="1:26" s="1569" customFormat="1">
      <c r="A69" s="1911" t="s">
        <v>409</v>
      </c>
      <c r="B69" s="5453" t="s">
        <v>7594</v>
      </c>
      <c r="C69" s="4911" t="s">
        <v>28</v>
      </c>
      <c r="D69" s="5004">
        <v>45402</v>
      </c>
      <c r="E69" s="2769">
        <v>45415</v>
      </c>
      <c r="F69" s="5007" t="s">
        <v>151</v>
      </c>
      <c r="G69" s="5454" t="s">
        <v>46</v>
      </c>
      <c r="H69" s="5012"/>
      <c r="I69" s="5007"/>
      <c r="J69" s="5455" t="s">
        <v>32</v>
      </c>
      <c r="K69" s="5453" t="s">
        <v>47</v>
      </c>
      <c r="L69" s="5454" t="s">
        <v>7595</v>
      </c>
      <c r="M69" s="5012">
        <v>45418</v>
      </c>
      <c r="N69" s="5012">
        <v>45416</v>
      </c>
      <c r="O69" s="5012">
        <v>45418</v>
      </c>
      <c r="P69" s="5007" t="s">
        <v>7596</v>
      </c>
      <c r="Q69" s="5007" t="s">
        <v>6852</v>
      </c>
      <c r="R69" s="5007" t="s">
        <v>51</v>
      </c>
      <c r="S69" s="5007"/>
      <c r="T69" s="5007"/>
      <c r="U69" s="5007"/>
      <c r="V69" s="5007"/>
      <c r="W69" s="5007"/>
      <c r="X69" s="5007"/>
      <c r="Y69" s="5007"/>
      <c r="Z69" s="5007"/>
    </row>
    <row r="70" spans="1:26" s="707" customFormat="1">
      <c r="A70" s="718" t="s">
        <v>409</v>
      </c>
      <c r="B70" s="4861" t="s">
        <v>7597</v>
      </c>
      <c r="C70" s="4861" t="s">
        <v>28</v>
      </c>
      <c r="D70" s="4863">
        <v>45402</v>
      </c>
      <c r="E70" s="2681">
        <v>45411</v>
      </c>
      <c r="F70" s="4882" t="s">
        <v>151</v>
      </c>
      <c r="G70" s="5367" t="s">
        <v>46</v>
      </c>
      <c r="H70" s="4903"/>
      <c r="I70" s="4882"/>
      <c r="J70" s="5326" t="s">
        <v>32</v>
      </c>
      <c r="K70" s="4902" t="s">
        <v>47</v>
      </c>
      <c r="L70" s="2383" t="s">
        <v>7598</v>
      </c>
      <c r="M70" s="1635">
        <v>45413</v>
      </c>
      <c r="N70" s="4903">
        <v>45413</v>
      </c>
      <c r="O70" s="4903">
        <v>45415</v>
      </c>
      <c r="P70" s="4882" t="s">
        <v>7599</v>
      </c>
      <c r="Q70" s="4882" t="s">
        <v>6852</v>
      </c>
      <c r="R70" s="4882" t="s">
        <v>7600</v>
      </c>
      <c r="S70" s="4882"/>
      <c r="T70" s="4882"/>
      <c r="U70" s="4882"/>
      <c r="V70" s="4882"/>
      <c r="W70" s="4882"/>
      <c r="X70" s="4882"/>
      <c r="Y70" s="4882"/>
      <c r="Z70" s="4882"/>
    </row>
    <row r="71" spans="1:26" s="707" customFormat="1">
      <c r="A71" s="718" t="s">
        <v>409</v>
      </c>
      <c r="B71" s="3246" t="s">
        <v>7601</v>
      </c>
      <c r="C71" s="3246" t="s">
        <v>28</v>
      </c>
      <c r="D71" s="3526">
        <v>45388</v>
      </c>
      <c r="E71" s="2654">
        <v>45394</v>
      </c>
      <c r="F71" s="3258" t="s">
        <v>151</v>
      </c>
      <c r="G71" s="3258" t="s">
        <v>46</v>
      </c>
      <c r="H71" s="3267"/>
      <c r="I71" s="3258"/>
      <c r="J71" s="3523" t="s">
        <v>32</v>
      </c>
      <c r="K71" s="3246" t="s">
        <v>47</v>
      </c>
      <c r="L71" s="4238" t="s">
        <v>7602</v>
      </c>
      <c r="M71" s="3267">
        <v>45397</v>
      </c>
      <c r="N71" s="3267">
        <v>45397</v>
      </c>
      <c r="O71" s="3267">
        <v>45398</v>
      </c>
      <c r="P71" s="3258" t="s">
        <v>7603</v>
      </c>
      <c r="Q71" s="3258" t="s">
        <v>6852</v>
      </c>
      <c r="R71" s="3258" t="s">
        <v>7604</v>
      </c>
      <c r="S71" s="3258"/>
      <c r="T71" s="3258"/>
      <c r="U71" s="3258"/>
      <c r="V71" s="3258"/>
      <c r="W71" s="3258"/>
      <c r="X71" s="3258"/>
      <c r="Y71" s="3258"/>
      <c r="Z71" s="3258"/>
    </row>
    <row r="72" spans="1:26" s="709" customFormat="1">
      <c r="A72" s="718" t="s">
        <v>409</v>
      </c>
      <c r="B72" s="4861" t="s">
        <v>7605</v>
      </c>
      <c r="C72" s="4861" t="s">
        <v>28</v>
      </c>
      <c r="D72" s="4903">
        <v>45404</v>
      </c>
      <c r="E72" s="4941">
        <v>45414</v>
      </c>
      <c r="F72" s="4882" t="s">
        <v>151</v>
      </c>
      <c r="G72" s="4882" t="s">
        <v>46</v>
      </c>
      <c r="H72" s="4903"/>
      <c r="I72" s="4882"/>
      <c r="J72" s="5326" t="s">
        <v>32</v>
      </c>
      <c r="K72" s="4861" t="s">
        <v>47</v>
      </c>
      <c r="L72" s="5077" t="s">
        <v>7606</v>
      </c>
      <c r="M72" s="4903"/>
      <c r="N72" s="4903">
        <v>45414</v>
      </c>
      <c r="O72" s="4903">
        <v>45416</v>
      </c>
      <c r="P72" s="4882" t="s">
        <v>7607</v>
      </c>
      <c r="Q72" s="4650" t="s">
        <v>6852</v>
      </c>
      <c r="R72" s="4882" t="s">
        <v>7608</v>
      </c>
      <c r="S72" s="4882"/>
      <c r="T72" s="4882"/>
      <c r="U72" s="4882"/>
      <c r="V72" s="4882"/>
      <c r="W72" s="4882"/>
      <c r="X72" s="4882"/>
      <c r="Y72" s="4882"/>
      <c r="Z72" s="4882"/>
    </row>
    <row r="73" spans="1:26" s="707" customFormat="1">
      <c r="A73" s="718" t="s">
        <v>409</v>
      </c>
      <c r="B73" s="1495" t="s">
        <v>7609</v>
      </c>
      <c r="C73" s="1495" t="s">
        <v>28</v>
      </c>
      <c r="D73" s="2608">
        <v>45404</v>
      </c>
      <c r="E73" s="2681">
        <v>45409</v>
      </c>
      <c r="F73" s="2104" t="s">
        <v>260</v>
      </c>
      <c r="G73" s="2104" t="s">
        <v>46</v>
      </c>
      <c r="H73" s="2608"/>
      <c r="I73" s="2104"/>
      <c r="J73" s="2680" t="s">
        <v>32</v>
      </c>
      <c r="K73" s="1495" t="s">
        <v>47</v>
      </c>
      <c r="L73" s="2104" t="s">
        <v>7610</v>
      </c>
      <c r="M73" s="2608">
        <v>45414</v>
      </c>
      <c r="N73" s="2608">
        <v>45412</v>
      </c>
      <c r="O73" s="2608">
        <v>45414</v>
      </c>
      <c r="P73" s="2104" t="s">
        <v>7611</v>
      </c>
      <c r="Q73" s="2104" t="s">
        <v>6852</v>
      </c>
      <c r="R73" s="2104" t="s">
        <v>7612</v>
      </c>
      <c r="S73" s="2104"/>
      <c r="T73" s="2104"/>
      <c r="U73" s="2104"/>
      <c r="V73" s="2104"/>
      <c r="W73" s="2104"/>
      <c r="X73" s="2104"/>
      <c r="Y73" s="2104"/>
      <c r="Z73" s="2104"/>
    </row>
    <row r="74" spans="1:26" s="707" customFormat="1">
      <c r="A74" s="718" t="s">
        <v>409</v>
      </c>
      <c r="B74" s="4861" t="s">
        <v>7613</v>
      </c>
      <c r="C74" s="4861" t="s">
        <v>28</v>
      </c>
      <c r="D74" s="4903">
        <v>45404</v>
      </c>
      <c r="E74" s="2681">
        <v>45409</v>
      </c>
      <c r="F74" s="713" t="s">
        <v>260</v>
      </c>
      <c r="G74" s="4882" t="s">
        <v>46</v>
      </c>
      <c r="H74" s="4903"/>
      <c r="I74" s="4882"/>
      <c r="J74" s="5326" t="s">
        <v>32</v>
      </c>
      <c r="K74" s="4861" t="s">
        <v>47</v>
      </c>
      <c r="L74" s="707" t="s">
        <v>7614</v>
      </c>
      <c r="M74" s="4903">
        <v>45413</v>
      </c>
      <c r="N74" s="4903">
        <v>45413</v>
      </c>
      <c r="O74" s="4903">
        <v>45415</v>
      </c>
      <c r="P74" s="4882" t="s">
        <v>7615</v>
      </c>
      <c r="Q74" s="4882" t="s">
        <v>6852</v>
      </c>
      <c r="R74" s="4882" t="s">
        <v>7616</v>
      </c>
      <c r="S74" s="4882"/>
      <c r="T74" s="4882"/>
      <c r="U74" s="4882"/>
      <c r="V74" s="4882"/>
      <c r="W74" s="4882"/>
      <c r="X74" s="4882"/>
      <c r="Y74" s="4882"/>
      <c r="Z74" s="4882"/>
    </row>
    <row r="75" spans="1:26" s="707" customFormat="1">
      <c r="A75" s="718" t="s">
        <v>409</v>
      </c>
      <c r="B75" s="4861" t="s">
        <v>7617</v>
      </c>
      <c r="C75" s="4861" t="s">
        <v>28</v>
      </c>
      <c r="D75" s="4903">
        <v>45404</v>
      </c>
      <c r="E75" s="2681">
        <v>45409</v>
      </c>
      <c r="F75" s="713" t="s">
        <v>260</v>
      </c>
      <c r="G75" s="4882" t="s">
        <v>46</v>
      </c>
      <c r="H75" s="4903"/>
      <c r="I75" s="4882"/>
      <c r="J75" s="5326" t="s">
        <v>32</v>
      </c>
      <c r="K75" s="4861" t="s">
        <v>47</v>
      </c>
      <c r="L75" s="707" t="s">
        <v>7618</v>
      </c>
      <c r="M75" s="4903">
        <v>45413</v>
      </c>
      <c r="N75" s="4903">
        <v>45412</v>
      </c>
      <c r="O75" s="4903">
        <v>45415</v>
      </c>
      <c r="P75" s="4882" t="s">
        <v>7619</v>
      </c>
      <c r="Q75" s="4882" t="s">
        <v>6852</v>
      </c>
      <c r="R75" s="4882" t="s">
        <v>7620</v>
      </c>
      <c r="S75" s="4882"/>
      <c r="T75" s="4882"/>
      <c r="U75" s="4882"/>
      <c r="V75" s="4882"/>
      <c r="W75" s="4882"/>
      <c r="X75" s="4882"/>
      <c r="Y75" s="4882"/>
      <c r="Z75" s="4882"/>
    </row>
    <row r="76" spans="1:26" s="1569" customFormat="1">
      <c r="A76" s="1911" t="s">
        <v>409</v>
      </c>
      <c r="B76" s="4911" t="s">
        <v>7621</v>
      </c>
      <c r="C76" s="4911" t="s">
        <v>28</v>
      </c>
      <c r="D76" s="5012">
        <v>45403</v>
      </c>
      <c r="E76" s="2769">
        <v>45410</v>
      </c>
      <c r="F76" s="4911" t="s">
        <v>151</v>
      </c>
      <c r="G76" s="5453" t="s">
        <v>46</v>
      </c>
      <c r="H76" s="5012"/>
      <c r="I76" s="5007"/>
      <c r="J76" s="5455" t="s">
        <v>32</v>
      </c>
      <c r="K76" s="5453" t="s">
        <v>47</v>
      </c>
      <c r="L76" s="5454" t="s">
        <v>7622</v>
      </c>
      <c r="M76" s="5012">
        <v>45414</v>
      </c>
      <c r="N76" s="5012">
        <v>45414</v>
      </c>
      <c r="O76" s="5012">
        <v>45415</v>
      </c>
      <c r="P76" s="5007" t="s">
        <v>7623</v>
      </c>
      <c r="Q76" s="5007" t="s">
        <v>6852</v>
      </c>
      <c r="R76" s="5007" t="s">
        <v>51</v>
      </c>
      <c r="S76" s="5007"/>
      <c r="T76" s="5007"/>
      <c r="U76" s="5007"/>
      <c r="V76" s="5007"/>
      <c r="W76" s="5007"/>
      <c r="X76" s="5007"/>
      <c r="Y76" s="5007"/>
      <c r="Z76" s="5007"/>
    </row>
    <row r="77" spans="1:26" s="707" customFormat="1">
      <c r="A77" s="718" t="s">
        <v>409</v>
      </c>
      <c r="B77" s="3246" t="s">
        <v>7624</v>
      </c>
      <c r="C77" s="3246" t="s">
        <v>28</v>
      </c>
      <c r="D77" s="2773">
        <v>45414</v>
      </c>
      <c r="E77" s="2681">
        <v>45421</v>
      </c>
      <c r="F77" s="3246" t="s">
        <v>151</v>
      </c>
      <c r="G77" s="3246" t="s">
        <v>46</v>
      </c>
      <c r="H77" s="3267"/>
      <c r="I77" s="3258"/>
      <c r="J77" s="3523" t="s">
        <v>32</v>
      </c>
      <c r="K77" s="3434" t="s">
        <v>47</v>
      </c>
      <c r="L77" s="1651" t="s">
        <v>7625</v>
      </c>
      <c r="M77" s="3267">
        <v>45421</v>
      </c>
      <c r="N77" s="3267">
        <v>45420</v>
      </c>
      <c r="O77" s="3267">
        <v>45421</v>
      </c>
      <c r="P77" s="3258" t="s">
        <v>7623</v>
      </c>
      <c r="Q77" s="3258" t="s">
        <v>6852</v>
      </c>
      <c r="R77" s="3258" t="s">
        <v>7626</v>
      </c>
      <c r="S77" s="3258"/>
      <c r="T77" s="3258"/>
      <c r="U77" s="3258"/>
      <c r="V77" s="3258"/>
      <c r="W77" s="3258"/>
      <c r="X77" s="3258"/>
      <c r="Y77" s="3258"/>
      <c r="Z77" s="3258"/>
    </row>
    <row r="78" spans="1:26" s="709" customFormat="1">
      <c r="A78" s="718" t="s">
        <v>409</v>
      </c>
      <c r="B78" s="4861" t="s">
        <v>7627</v>
      </c>
      <c r="C78" s="4861" t="s">
        <v>28</v>
      </c>
      <c r="D78" s="4903">
        <v>45408</v>
      </c>
      <c r="E78" s="2681">
        <v>45422</v>
      </c>
      <c r="F78" s="4861" t="s">
        <v>151</v>
      </c>
      <c r="G78" s="4861" t="s">
        <v>46</v>
      </c>
      <c r="H78" s="4903"/>
      <c r="I78" s="4882"/>
      <c r="J78" s="5326" t="s">
        <v>32</v>
      </c>
      <c r="K78" s="4902" t="s">
        <v>47</v>
      </c>
      <c r="L78" s="1651" t="s">
        <v>7628</v>
      </c>
      <c r="M78" s="4903">
        <v>45422</v>
      </c>
      <c r="N78" s="4903">
        <v>45422</v>
      </c>
      <c r="O78" s="4903">
        <v>45424</v>
      </c>
      <c r="P78" s="4882" t="s">
        <v>7629</v>
      </c>
      <c r="Q78" s="4882" t="s">
        <v>6852</v>
      </c>
      <c r="R78" s="4882" t="s">
        <v>7630</v>
      </c>
      <c r="S78" s="4882"/>
      <c r="T78" s="4882"/>
      <c r="U78" s="4882"/>
      <c r="V78" s="4650"/>
      <c r="W78" s="4882"/>
      <c r="X78" s="4882"/>
      <c r="Y78" s="4882"/>
      <c r="Z78" s="4882"/>
    </row>
    <row r="79" spans="1:26" s="709" customFormat="1">
      <c r="A79" s="718" t="s">
        <v>409</v>
      </c>
      <c r="B79" s="3246" t="s">
        <v>7631</v>
      </c>
      <c r="C79" s="3246" t="s">
        <v>28</v>
      </c>
      <c r="D79" s="3267">
        <v>45408</v>
      </c>
      <c r="E79" s="3662">
        <v>45433</v>
      </c>
      <c r="F79" s="3246" t="s">
        <v>151</v>
      </c>
      <c r="G79" s="3246" t="s">
        <v>46</v>
      </c>
      <c r="H79" s="3267"/>
      <c r="I79" s="3258"/>
      <c r="J79" s="3523" t="s">
        <v>32</v>
      </c>
      <c r="K79" s="3246" t="s">
        <v>47</v>
      </c>
      <c r="L79" s="707" t="s">
        <v>7632</v>
      </c>
      <c r="M79" s="3267">
        <v>45434</v>
      </c>
      <c r="N79" s="3267">
        <v>45433</v>
      </c>
      <c r="O79" s="3267">
        <v>45434</v>
      </c>
      <c r="P79" s="3258" t="s">
        <v>7633</v>
      </c>
      <c r="Q79" s="3258" t="s">
        <v>6852</v>
      </c>
      <c r="R79" s="3258" t="s">
        <v>51</v>
      </c>
      <c r="S79" s="3258"/>
      <c r="T79" s="3258"/>
      <c r="U79" s="3258"/>
      <c r="V79" s="3663"/>
      <c r="W79" s="3258"/>
      <c r="X79" s="3258"/>
      <c r="Y79" s="3258"/>
      <c r="Z79" s="3258"/>
    </row>
    <row r="80" spans="1:26" s="709" customFormat="1">
      <c r="A80" s="718" t="s">
        <v>409</v>
      </c>
      <c r="B80" s="4861" t="s">
        <v>7634</v>
      </c>
      <c r="C80" s="4861" t="s">
        <v>28</v>
      </c>
      <c r="D80" s="4953">
        <v>45408</v>
      </c>
      <c r="E80" s="3661">
        <v>45425</v>
      </c>
      <c r="F80" s="4861" t="s">
        <v>151</v>
      </c>
      <c r="G80" s="4861" t="s">
        <v>46</v>
      </c>
      <c r="H80" s="4953"/>
      <c r="I80" s="4861"/>
      <c r="J80" s="5326" t="s">
        <v>32</v>
      </c>
      <c r="K80" s="4902" t="s">
        <v>47</v>
      </c>
      <c r="L80" s="1651" t="s">
        <v>7635</v>
      </c>
      <c r="M80" s="4953">
        <v>45427</v>
      </c>
      <c r="N80" s="4953">
        <v>45427</v>
      </c>
      <c r="O80" s="4953">
        <v>45429</v>
      </c>
      <c r="P80" s="4861" t="s">
        <v>7636</v>
      </c>
      <c r="Q80" s="4861" t="s">
        <v>6852</v>
      </c>
      <c r="R80" s="4861" t="s">
        <v>7637</v>
      </c>
      <c r="S80" s="4861"/>
      <c r="T80" s="4861"/>
      <c r="U80" s="4861"/>
      <c r="V80" s="4861"/>
      <c r="W80" s="4861"/>
      <c r="X80" s="4861"/>
      <c r="Y80" s="4861"/>
      <c r="Z80" s="4861"/>
    </row>
    <row r="81" spans="1:26" s="709" customFormat="1">
      <c r="A81" s="718" t="s">
        <v>409</v>
      </c>
      <c r="B81" s="4861" t="s">
        <v>7638</v>
      </c>
      <c r="C81" s="4882" t="s">
        <v>28</v>
      </c>
      <c r="D81" s="4953">
        <v>45408</v>
      </c>
      <c r="E81" s="3661">
        <v>45423</v>
      </c>
      <c r="F81" s="4861" t="s">
        <v>151</v>
      </c>
      <c r="G81" s="4861" t="s">
        <v>46</v>
      </c>
      <c r="H81" s="4903"/>
      <c r="I81" s="4882"/>
      <c r="J81" s="5326" t="s">
        <v>32</v>
      </c>
      <c r="K81" s="4902" t="s">
        <v>47</v>
      </c>
      <c r="L81" s="1651" t="s">
        <v>7639</v>
      </c>
      <c r="M81" s="4903">
        <v>45426</v>
      </c>
      <c r="N81" s="4903">
        <v>45425</v>
      </c>
      <c r="O81" s="4903">
        <v>45426</v>
      </c>
      <c r="P81" s="4882" t="s">
        <v>7640</v>
      </c>
      <c r="Q81" s="4861" t="s">
        <v>6852</v>
      </c>
      <c r="R81" s="4882" t="s">
        <v>7641</v>
      </c>
      <c r="S81" s="4882"/>
      <c r="T81" s="4882"/>
      <c r="U81" s="4882"/>
      <c r="V81" s="4882"/>
      <c r="W81" s="4882"/>
      <c r="X81" s="4882"/>
      <c r="Y81" s="4882"/>
      <c r="Z81" s="4882"/>
    </row>
    <row r="82" spans="1:26" s="709" customFormat="1">
      <c r="A82" s="718" t="s">
        <v>409</v>
      </c>
      <c r="B82" s="1495" t="s">
        <v>7642</v>
      </c>
      <c r="C82" s="2104" t="s">
        <v>28</v>
      </c>
      <c r="D82" s="4953">
        <v>45408</v>
      </c>
      <c r="E82" s="1669">
        <v>45425</v>
      </c>
      <c r="F82" s="1495" t="s">
        <v>151</v>
      </c>
      <c r="G82" s="1495" t="s">
        <v>46</v>
      </c>
      <c r="H82" s="2608"/>
      <c r="I82" s="2104"/>
      <c r="J82" s="2680" t="s">
        <v>32</v>
      </c>
      <c r="K82" s="2648" t="s">
        <v>47</v>
      </c>
      <c r="L82" s="1651" t="s">
        <v>7643</v>
      </c>
      <c r="M82" s="4903">
        <v>45427</v>
      </c>
      <c r="N82" s="2608">
        <v>45426</v>
      </c>
      <c r="O82" s="2608">
        <v>45428</v>
      </c>
      <c r="P82" s="2104" t="s">
        <v>7644</v>
      </c>
      <c r="Q82" s="1495" t="s">
        <v>6852</v>
      </c>
      <c r="R82" s="2104" t="s">
        <v>7645</v>
      </c>
      <c r="S82" s="2104"/>
      <c r="T82" s="2104"/>
      <c r="U82" s="2104"/>
      <c r="V82" s="2771"/>
      <c r="W82" s="2104"/>
      <c r="X82" s="2104"/>
      <c r="Y82" s="2104"/>
      <c r="Z82" s="2104"/>
    </row>
    <row r="83" spans="1:26" s="707" customFormat="1">
      <c r="A83" s="718" t="s">
        <v>409</v>
      </c>
      <c r="B83" s="1495" t="s">
        <v>7646</v>
      </c>
      <c r="C83" s="1495" t="s">
        <v>28</v>
      </c>
      <c r="D83" s="2608">
        <v>45408</v>
      </c>
      <c r="E83" s="3661">
        <v>45433</v>
      </c>
      <c r="F83" s="2104" t="s">
        <v>151</v>
      </c>
      <c r="G83" s="2104" t="s">
        <v>46</v>
      </c>
      <c r="H83" s="2608"/>
      <c r="I83" s="2104"/>
      <c r="J83" s="2680" t="s">
        <v>32</v>
      </c>
      <c r="K83" s="1495" t="s">
        <v>47</v>
      </c>
      <c r="L83" s="707" t="s">
        <v>7647</v>
      </c>
      <c r="M83" s="2608">
        <v>45434</v>
      </c>
      <c r="N83" s="2608">
        <v>45433</v>
      </c>
      <c r="O83" s="2608">
        <v>45434</v>
      </c>
      <c r="P83" s="2104" t="s">
        <v>7648</v>
      </c>
      <c r="Q83" s="1495" t="s">
        <v>6852</v>
      </c>
      <c r="R83" s="2104" t="s">
        <v>7649</v>
      </c>
      <c r="S83" s="2104"/>
      <c r="T83" s="2104"/>
      <c r="U83" s="2104"/>
      <c r="V83" s="2104"/>
      <c r="W83" s="2104"/>
      <c r="X83" s="2104"/>
      <c r="Y83" s="2104"/>
      <c r="Z83" s="2104"/>
    </row>
    <row r="84" spans="1:26" s="707" customFormat="1">
      <c r="A84" s="718" t="s">
        <v>409</v>
      </c>
      <c r="B84" s="4902" t="s">
        <v>7650</v>
      </c>
      <c r="C84" s="4861" t="s">
        <v>28</v>
      </c>
      <c r="D84" s="4903">
        <v>45408</v>
      </c>
      <c r="E84" s="4941">
        <v>45418</v>
      </c>
      <c r="F84" s="4882" t="s">
        <v>151</v>
      </c>
      <c r="G84" s="4882" t="s">
        <v>46</v>
      </c>
      <c r="H84" s="4903"/>
      <c r="I84" s="4882"/>
      <c r="J84" s="5326" t="s">
        <v>32</v>
      </c>
      <c r="K84" s="4902" t="s">
        <v>47</v>
      </c>
      <c r="L84" s="5077" t="s">
        <v>7651</v>
      </c>
      <c r="M84" s="4903">
        <v>45420</v>
      </c>
      <c r="N84" s="4903">
        <v>45418</v>
      </c>
      <c r="O84" s="4903">
        <v>45420</v>
      </c>
      <c r="P84" s="4882" t="s">
        <v>7652</v>
      </c>
      <c r="Q84" s="4861" t="s">
        <v>6852</v>
      </c>
      <c r="R84" s="4882" t="s">
        <v>7653</v>
      </c>
      <c r="S84" s="4882"/>
      <c r="T84" s="4882"/>
      <c r="U84" s="4882"/>
      <c r="V84" s="4882"/>
      <c r="W84" s="4882"/>
      <c r="X84" s="4882"/>
      <c r="Y84" s="4882"/>
      <c r="Z84" s="4882"/>
    </row>
    <row r="85" spans="1:26" s="707" customFormat="1">
      <c r="A85" s="718" t="s">
        <v>409</v>
      </c>
      <c r="B85" s="5326" t="s">
        <v>7654</v>
      </c>
      <c r="C85" s="4861" t="s">
        <v>28</v>
      </c>
      <c r="D85" s="4953">
        <v>45411</v>
      </c>
      <c r="E85" s="4941">
        <v>45418</v>
      </c>
      <c r="F85" s="4861" t="s">
        <v>260</v>
      </c>
      <c r="G85" s="4882" t="s">
        <v>46</v>
      </c>
      <c r="H85" s="4953"/>
      <c r="I85" s="4861"/>
      <c r="J85" s="5383" t="s">
        <v>32</v>
      </c>
      <c r="K85" s="4861" t="s">
        <v>47</v>
      </c>
      <c r="L85" s="707" t="s">
        <v>7655</v>
      </c>
      <c r="M85" s="4953">
        <v>45420</v>
      </c>
      <c r="N85" s="4953">
        <v>45418</v>
      </c>
      <c r="O85" s="4953">
        <v>45418</v>
      </c>
      <c r="P85" s="4861" t="s">
        <v>7656</v>
      </c>
      <c r="Q85" s="4861" t="s">
        <v>6852</v>
      </c>
      <c r="R85" s="4861" t="s">
        <v>7657</v>
      </c>
      <c r="S85" s="4861"/>
      <c r="T85" s="4861"/>
      <c r="U85" s="4861"/>
      <c r="V85" s="4861"/>
      <c r="W85" s="4861"/>
      <c r="X85" s="4861"/>
      <c r="Y85" s="4861"/>
      <c r="Z85" s="4861"/>
    </row>
    <row r="86" spans="1:26" s="707" customFormat="1">
      <c r="A86" s="718" t="s">
        <v>409</v>
      </c>
      <c r="B86" s="5326" t="s">
        <v>7658</v>
      </c>
      <c r="C86" s="4861" t="s">
        <v>28</v>
      </c>
      <c r="D86" s="4953">
        <v>45411</v>
      </c>
      <c r="E86" s="4941">
        <v>45418</v>
      </c>
      <c r="F86" s="4861" t="s">
        <v>260</v>
      </c>
      <c r="G86" s="4882" t="s">
        <v>46</v>
      </c>
      <c r="H86" s="4953"/>
      <c r="I86" s="4861"/>
      <c r="J86" s="5383" t="s">
        <v>32</v>
      </c>
      <c r="K86" s="4861" t="s">
        <v>47</v>
      </c>
      <c r="L86" s="707" t="s">
        <v>7659</v>
      </c>
      <c r="M86" s="4953">
        <v>45420</v>
      </c>
      <c r="N86" s="4953">
        <v>45419</v>
      </c>
      <c r="O86" s="4953">
        <v>45420</v>
      </c>
      <c r="P86" s="4861" t="s">
        <v>7660</v>
      </c>
      <c r="Q86" s="4861" t="s">
        <v>6852</v>
      </c>
      <c r="R86" s="4861" t="s">
        <v>7661</v>
      </c>
      <c r="S86" s="4861"/>
      <c r="T86" s="4861"/>
      <c r="U86" s="4861"/>
      <c r="V86" s="4861"/>
      <c r="W86" s="4861"/>
      <c r="X86" s="4861"/>
      <c r="Y86" s="4861"/>
      <c r="Z86" s="4861"/>
    </row>
    <row r="87" spans="1:26" s="709" customFormat="1">
      <c r="A87" s="718" t="s">
        <v>409</v>
      </c>
      <c r="B87" s="5326" t="s">
        <v>7662</v>
      </c>
      <c r="C87" s="4861" t="s">
        <v>28</v>
      </c>
      <c r="D87" s="4953">
        <v>45411</v>
      </c>
      <c r="E87" s="4941">
        <v>45418</v>
      </c>
      <c r="F87" s="4861" t="s">
        <v>260</v>
      </c>
      <c r="G87" s="4882" t="s">
        <v>46</v>
      </c>
      <c r="H87" s="4953"/>
      <c r="I87" s="4861"/>
      <c r="J87" s="5383" t="s">
        <v>32</v>
      </c>
      <c r="K87" s="4861" t="s">
        <v>47</v>
      </c>
      <c r="L87" s="707" t="s">
        <v>7663</v>
      </c>
      <c r="M87" s="4953">
        <v>45420</v>
      </c>
      <c r="N87" s="4953">
        <v>45418</v>
      </c>
      <c r="O87" s="4953">
        <v>45420</v>
      </c>
      <c r="P87" s="4861" t="s">
        <v>7664</v>
      </c>
      <c r="Q87" s="4861" t="s">
        <v>6852</v>
      </c>
      <c r="R87" s="4861" t="s">
        <v>7665</v>
      </c>
      <c r="S87" s="4861"/>
      <c r="T87" s="4861"/>
      <c r="U87" s="4861"/>
      <c r="V87" s="4861"/>
      <c r="W87" s="4861"/>
      <c r="X87" s="4861"/>
      <c r="Y87" s="4861"/>
      <c r="Z87" s="4861"/>
    </row>
    <row r="88" spans="1:26" s="707" customFormat="1">
      <c r="A88" s="718" t="s">
        <v>409</v>
      </c>
      <c r="B88" s="5326" t="s">
        <v>7666</v>
      </c>
      <c r="C88" s="4861" t="s">
        <v>28</v>
      </c>
      <c r="D88" s="4953">
        <v>45411</v>
      </c>
      <c r="E88" s="4941">
        <v>45418</v>
      </c>
      <c r="F88" s="4861" t="s">
        <v>260</v>
      </c>
      <c r="G88" s="3258" t="s">
        <v>46</v>
      </c>
      <c r="H88" s="4953"/>
      <c r="I88" s="4861"/>
      <c r="J88" s="5383" t="s">
        <v>32</v>
      </c>
      <c r="K88" s="4861" t="s">
        <v>47</v>
      </c>
      <c r="L88" s="707" t="s">
        <v>7667</v>
      </c>
      <c r="M88" s="4953">
        <v>45420</v>
      </c>
      <c r="N88" s="4953">
        <v>45418</v>
      </c>
      <c r="O88" s="4953">
        <v>45420</v>
      </c>
      <c r="P88" s="4861" t="s">
        <v>7668</v>
      </c>
      <c r="Q88" s="4861" t="s">
        <v>6852</v>
      </c>
      <c r="R88" s="4861" t="s">
        <v>51</v>
      </c>
      <c r="S88" s="4861"/>
      <c r="T88" s="4861"/>
      <c r="U88" s="4861"/>
      <c r="V88" s="4861"/>
      <c r="W88" s="4861"/>
      <c r="X88" s="4861"/>
      <c r="Y88" s="4861"/>
      <c r="Z88" s="4861"/>
    </row>
    <row r="89" spans="1:26" s="707" customFormat="1">
      <c r="A89" s="718" t="s">
        <v>409</v>
      </c>
      <c r="B89" s="4861" t="s">
        <v>7669</v>
      </c>
      <c r="C89" s="4861" t="s">
        <v>28</v>
      </c>
      <c r="D89" s="4953">
        <v>45408</v>
      </c>
      <c r="E89" s="4885">
        <v>45423</v>
      </c>
      <c r="F89" s="4882" t="s">
        <v>151</v>
      </c>
      <c r="G89" s="3258" t="s">
        <v>46</v>
      </c>
      <c r="H89" s="4953"/>
      <c r="I89" s="4861"/>
      <c r="J89" s="5326" t="s">
        <v>32</v>
      </c>
      <c r="K89" s="4902" t="s">
        <v>47</v>
      </c>
      <c r="L89" s="1651" t="s">
        <v>7670</v>
      </c>
      <c r="M89" s="912">
        <v>45425</v>
      </c>
      <c r="N89" s="4953">
        <v>45423</v>
      </c>
      <c r="O89" s="4953">
        <v>45425</v>
      </c>
      <c r="P89" s="4861" t="s">
        <v>7671</v>
      </c>
      <c r="Q89" s="4861" t="s">
        <v>6852</v>
      </c>
      <c r="R89" s="4861" t="s">
        <v>7672</v>
      </c>
      <c r="S89" s="4861"/>
      <c r="T89" s="4861"/>
      <c r="U89" s="4861"/>
      <c r="V89" s="4861"/>
      <c r="W89" s="4861"/>
      <c r="X89" s="4861"/>
      <c r="Y89" s="4861"/>
      <c r="Z89" s="4861"/>
    </row>
    <row r="90" spans="1:26" s="707" customFormat="1">
      <c r="A90" s="3544" t="s">
        <v>2396</v>
      </c>
      <c r="B90" s="3631" t="s">
        <v>7673</v>
      </c>
      <c r="C90" s="3246" t="s">
        <v>200</v>
      </c>
      <c r="D90" s="3534">
        <v>45394</v>
      </c>
      <c r="E90" s="3558">
        <v>45397</v>
      </c>
      <c r="F90" s="3246" t="s">
        <v>56</v>
      </c>
      <c r="G90" s="3246" t="s">
        <v>152</v>
      </c>
      <c r="H90" s="4953"/>
      <c r="I90" s="4861"/>
      <c r="J90" s="3664" t="s">
        <v>5606</v>
      </c>
      <c r="K90" s="3246" t="s">
        <v>7674</v>
      </c>
      <c r="L90" s="709">
        <v>4877</v>
      </c>
      <c r="M90" s="3534">
        <v>45413</v>
      </c>
      <c r="N90" s="3534">
        <v>45413</v>
      </c>
      <c r="O90" s="3558">
        <v>45413</v>
      </c>
      <c r="P90" s="3258" t="s">
        <v>7675</v>
      </c>
      <c r="Q90" s="4861" t="s">
        <v>862</v>
      </c>
      <c r="R90" s="5456" t="s">
        <v>36</v>
      </c>
      <c r="S90" s="4861" t="s">
        <v>37</v>
      </c>
      <c r="T90" s="4882">
        <v>1445</v>
      </c>
      <c r="U90" s="4882">
        <v>1238.7</v>
      </c>
      <c r="V90" s="4882"/>
      <c r="W90" s="4882"/>
      <c r="X90" s="4882"/>
      <c r="Y90" s="4882"/>
      <c r="Z90" s="4882"/>
    </row>
    <row r="91" spans="1:26" s="707" customFormat="1">
      <c r="A91" s="2358" t="s">
        <v>2396</v>
      </c>
      <c r="B91" s="718" t="s">
        <v>7676</v>
      </c>
      <c r="C91" s="718" t="s">
        <v>200</v>
      </c>
      <c r="D91" s="1016">
        <v>45394</v>
      </c>
      <c r="E91" s="4228">
        <v>45406</v>
      </c>
      <c r="F91" s="718" t="s">
        <v>56</v>
      </c>
      <c r="G91" s="718" t="s">
        <v>152</v>
      </c>
      <c r="H91" s="4651">
        <v>45411</v>
      </c>
      <c r="I91" s="5073"/>
      <c r="J91" s="2797" t="s">
        <v>5606</v>
      </c>
      <c r="K91" s="718" t="s">
        <v>7674</v>
      </c>
      <c r="L91" s="718">
        <v>4785</v>
      </c>
      <c r="M91" s="1016">
        <v>45411</v>
      </c>
      <c r="N91" s="1016">
        <v>45411</v>
      </c>
      <c r="O91" s="2798">
        <v>45411</v>
      </c>
      <c r="P91" s="718" t="s">
        <v>7677</v>
      </c>
      <c r="Q91" s="4861" t="s">
        <v>862</v>
      </c>
      <c r="R91" s="4652" t="s">
        <v>51</v>
      </c>
      <c r="S91" s="4861" t="s">
        <v>37</v>
      </c>
      <c r="T91" s="4861">
        <v>1445</v>
      </c>
      <c r="U91" s="4861">
        <v>1238.7</v>
      </c>
      <c r="V91" s="4861"/>
      <c r="W91" s="4861"/>
      <c r="X91" s="4861"/>
      <c r="Y91" s="4861"/>
      <c r="Z91" s="4861"/>
    </row>
    <row r="92" spans="1:26">
      <c r="A92" s="1495" t="s">
        <v>7678</v>
      </c>
      <c r="B92" s="1495" t="s">
        <v>7679</v>
      </c>
      <c r="C92" s="1495" t="s">
        <v>28</v>
      </c>
      <c r="D92" s="2679">
        <v>45383</v>
      </c>
      <c r="E92" s="1194">
        <v>45383</v>
      </c>
      <c r="F92" s="1495" t="s">
        <v>173</v>
      </c>
      <c r="G92" s="1495" t="s">
        <v>7680</v>
      </c>
      <c r="H92" s="4886" t="s">
        <v>3236</v>
      </c>
      <c r="I92" s="4861"/>
      <c r="J92" s="1495" t="s">
        <v>382</v>
      </c>
      <c r="K92" s="1495" t="s">
        <v>382</v>
      </c>
      <c r="L92" s="709" t="s">
        <v>542</v>
      </c>
      <c r="M92" s="2679">
        <v>45389</v>
      </c>
      <c r="N92" s="2679">
        <v>45385</v>
      </c>
      <c r="O92" s="2679">
        <v>45387</v>
      </c>
      <c r="P92" s="2104" t="s">
        <v>7681</v>
      </c>
      <c r="Q92" s="1495" t="s">
        <v>35</v>
      </c>
      <c r="R92" s="5425" t="s">
        <v>36</v>
      </c>
      <c r="S92" s="4861" t="s">
        <v>2373</v>
      </c>
      <c r="T92" s="4873">
        <v>50</v>
      </c>
      <c r="U92" s="4873"/>
      <c r="V92" s="4873"/>
      <c r="W92" s="4873"/>
      <c r="X92" s="4873"/>
      <c r="Y92" s="4873"/>
      <c r="Z92" s="4873"/>
    </row>
    <row r="93" spans="1:26">
      <c r="A93" s="3246" t="s">
        <v>7678</v>
      </c>
      <c r="B93" s="3246" t="s">
        <v>7682</v>
      </c>
      <c r="C93" s="3246" t="s">
        <v>28</v>
      </c>
      <c r="D93" s="3526">
        <v>45383</v>
      </c>
      <c r="E93" s="3526">
        <v>45383</v>
      </c>
      <c r="F93" s="3246" t="s">
        <v>173</v>
      </c>
      <c r="G93" s="3246" t="s">
        <v>7680</v>
      </c>
      <c r="H93" s="4331" t="s">
        <v>3236</v>
      </c>
      <c r="I93" s="3246"/>
      <c r="J93" s="3246" t="s">
        <v>382</v>
      </c>
      <c r="K93" s="3246" t="s">
        <v>382</v>
      </c>
      <c r="L93" s="3246" t="s">
        <v>542</v>
      </c>
      <c r="M93" s="3526">
        <v>45389</v>
      </c>
      <c r="N93" s="3526">
        <v>45385</v>
      </c>
      <c r="O93" s="3526">
        <v>45387</v>
      </c>
      <c r="P93" s="3258" t="s">
        <v>7681</v>
      </c>
      <c r="Q93" s="3246" t="s">
        <v>35</v>
      </c>
      <c r="R93" s="3564" t="s">
        <v>36</v>
      </c>
      <c r="S93" s="3246" t="s">
        <v>2373</v>
      </c>
      <c r="T93" s="3255">
        <v>50</v>
      </c>
      <c r="U93" s="3255"/>
      <c r="V93" s="3255"/>
      <c r="W93" s="3255"/>
      <c r="X93" s="3255"/>
      <c r="Y93" s="3255"/>
      <c r="Z93" s="3255"/>
    </row>
    <row r="94" spans="1:26" s="709" customFormat="1">
      <c r="A94" s="4861" t="s">
        <v>7678</v>
      </c>
      <c r="B94" s="4861" t="s">
        <v>7683</v>
      </c>
      <c r="C94" s="4861" t="s">
        <v>28</v>
      </c>
      <c r="D94" s="4863">
        <v>45395</v>
      </c>
      <c r="E94" s="4991">
        <v>45399</v>
      </c>
      <c r="F94" s="4861" t="s">
        <v>173</v>
      </c>
      <c r="G94" s="4861" t="s">
        <v>7684</v>
      </c>
      <c r="H94" s="4861" t="s">
        <v>7685</v>
      </c>
      <c r="I94" s="4861"/>
      <c r="J94" s="4861" t="s">
        <v>382</v>
      </c>
      <c r="K94" s="4861" t="s">
        <v>382</v>
      </c>
      <c r="L94" s="4902" t="s">
        <v>542</v>
      </c>
      <c r="M94" s="4991">
        <v>45405</v>
      </c>
      <c r="N94" s="4991">
        <v>45405</v>
      </c>
      <c r="O94" s="4863">
        <v>45406</v>
      </c>
      <c r="P94" s="4882" t="s">
        <v>7686</v>
      </c>
      <c r="Q94" s="4861" t="s">
        <v>6852</v>
      </c>
      <c r="R94" s="5425" t="s">
        <v>7687</v>
      </c>
      <c r="S94" s="4861" t="s">
        <v>2373</v>
      </c>
      <c r="T94" s="4882"/>
      <c r="U94" s="4882"/>
      <c r="V94" s="4882"/>
      <c r="W94" s="4882"/>
      <c r="X94" s="4882"/>
      <c r="Y94" s="4882"/>
      <c r="Z94" s="4882"/>
    </row>
    <row r="95" spans="1:26" s="707" customFormat="1">
      <c r="A95" s="1992" t="s">
        <v>7678</v>
      </c>
      <c r="B95" s="1992" t="s">
        <v>7688</v>
      </c>
      <c r="C95" s="1992" t="s">
        <v>28</v>
      </c>
      <c r="D95" s="2662">
        <v>45395</v>
      </c>
      <c r="E95" s="2685">
        <v>45399</v>
      </c>
      <c r="F95" s="1992" t="s">
        <v>173</v>
      </c>
      <c r="G95" s="1992" t="s">
        <v>7684</v>
      </c>
      <c r="H95" s="1992" t="s">
        <v>7685</v>
      </c>
      <c r="I95" s="1992"/>
      <c r="J95" s="1992" t="s">
        <v>382</v>
      </c>
      <c r="K95" s="1992" t="s">
        <v>382</v>
      </c>
      <c r="L95" s="2663" t="s">
        <v>542</v>
      </c>
      <c r="M95" s="2685">
        <v>45405</v>
      </c>
      <c r="N95" s="2685">
        <v>45404</v>
      </c>
      <c r="O95" s="2662">
        <v>45406</v>
      </c>
      <c r="P95" s="2156" t="s">
        <v>7689</v>
      </c>
      <c r="Q95" s="1992" t="s">
        <v>6852</v>
      </c>
      <c r="R95" s="2686" t="s">
        <v>7690</v>
      </c>
      <c r="S95" s="1992" t="s">
        <v>2373</v>
      </c>
      <c r="T95" s="2156"/>
      <c r="U95" s="2156"/>
      <c r="V95" s="2156"/>
      <c r="W95" s="2156"/>
      <c r="X95" s="2156"/>
      <c r="Y95" s="2156"/>
      <c r="Z95" s="2156"/>
    </row>
    <row r="96" spans="1:26" s="707" customFormat="1">
      <c r="A96" s="718" t="s">
        <v>7678</v>
      </c>
      <c r="B96" s="2160" t="s">
        <v>7691</v>
      </c>
      <c r="C96" s="718" t="s">
        <v>28</v>
      </c>
      <c r="D96" s="2037">
        <v>45397</v>
      </c>
      <c r="E96" s="4229">
        <v>45399</v>
      </c>
      <c r="F96" s="718" t="s">
        <v>173</v>
      </c>
      <c r="G96" s="718" t="s">
        <v>7692</v>
      </c>
      <c r="H96" s="718" t="s">
        <v>3236</v>
      </c>
      <c r="I96" s="718"/>
      <c r="J96" s="718" t="s">
        <v>382</v>
      </c>
      <c r="K96" s="718" t="s">
        <v>382</v>
      </c>
      <c r="L96" s="2160" t="s">
        <v>542</v>
      </c>
      <c r="M96" s="2347">
        <v>45406</v>
      </c>
      <c r="N96" s="4350">
        <v>45405</v>
      </c>
      <c r="O96" s="4350">
        <v>45411</v>
      </c>
      <c r="P96" s="4194" t="s">
        <v>7693</v>
      </c>
      <c r="Q96" s="718" t="s">
        <v>6852</v>
      </c>
      <c r="R96" s="2358" t="s">
        <v>7694</v>
      </c>
      <c r="S96" s="718" t="s">
        <v>2373</v>
      </c>
      <c r="T96" s="718"/>
      <c r="U96" s="718"/>
      <c r="V96" s="718"/>
      <c r="W96" s="718"/>
      <c r="X96" s="718"/>
      <c r="Y96" s="718"/>
      <c r="Z96" s="718"/>
    </row>
    <row r="97" spans="1:26" s="707" customFormat="1">
      <c r="A97" s="727" t="s">
        <v>7678</v>
      </c>
      <c r="B97" s="2385" t="s">
        <v>7695</v>
      </c>
      <c r="C97" s="727" t="s">
        <v>28</v>
      </c>
      <c r="D97" s="2687">
        <v>45397</v>
      </c>
      <c r="E97" s="4236">
        <v>45399</v>
      </c>
      <c r="F97" s="727" t="s">
        <v>173</v>
      </c>
      <c r="G97" s="727" t="s">
        <v>7692</v>
      </c>
      <c r="H97" s="727" t="s">
        <v>3236</v>
      </c>
      <c r="I97" s="727"/>
      <c r="J97" s="727" t="s">
        <v>382</v>
      </c>
      <c r="K97" s="727" t="s">
        <v>382</v>
      </c>
      <c r="L97" s="2385" t="s">
        <v>542</v>
      </c>
      <c r="M97" s="2668">
        <v>45405</v>
      </c>
      <c r="N97" s="4351">
        <v>45405</v>
      </c>
      <c r="O97" s="4351">
        <v>45408</v>
      </c>
      <c r="P97" s="4124" t="s">
        <v>7693</v>
      </c>
      <c r="Q97" s="727" t="s">
        <v>6852</v>
      </c>
      <c r="R97" s="2358" t="s">
        <v>7694</v>
      </c>
      <c r="S97" s="727" t="s">
        <v>2373</v>
      </c>
      <c r="T97" s="727"/>
      <c r="U97" s="727"/>
      <c r="V97" s="727"/>
      <c r="W97" s="727"/>
      <c r="X97" s="727"/>
      <c r="Y97" s="727"/>
      <c r="Z97" s="727"/>
    </row>
    <row r="98" spans="1:26" s="709" customFormat="1">
      <c r="A98" s="4861" t="s">
        <v>7678</v>
      </c>
      <c r="B98" s="4902" t="s">
        <v>7696</v>
      </c>
      <c r="C98" s="4861" t="s">
        <v>28</v>
      </c>
      <c r="D98" s="4884">
        <v>45397</v>
      </c>
      <c r="E98" s="4889">
        <v>45399</v>
      </c>
      <c r="F98" s="4861" t="s">
        <v>173</v>
      </c>
      <c r="G98" s="4861" t="s">
        <v>7692</v>
      </c>
      <c r="H98" s="4861" t="s">
        <v>3236</v>
      </c>
      <c r="I98" s="4861"/>
      <c r="J98" s="4861" t="s">
        <v>382</v>
      </c>
      <c r="K98" s="4861" t="s">
        <v>382</v>
      </c>
      <c r="L98" s="4902" t="s">
        <v>542</v>
      </c>
      <c r="M98" s="4991">
        <v>45405</v>
      </c>
      <c r="N98" s="5457">
        <v>45404</v>
      </c>
      <c r="O98" s="5457">
        <v>45411</v>
      </c>
      <c r="P98" s="4886" t="s">
        <v>7693</v>
      </c>
      <c r="Q98" s="4861" t="s">
        <v>6852</v>
      </c>
      <c r="R98" s="2358" t="s">
        <v>7694</v>
      </c>
      <c r="S98" s="4861" t="s">
        <v>2373</v>
      </c>
      <c r="T98" s="4861"/>
      <c r="U98" s="4861"/>
      <c r="V98" s="4861"/>
      <c r="W98" s="4861"/>
      <c r="X98" s="4861"/>
      <c r="Y98" s="4861"/>
      <c r="Z98" s="4861"/>
    </row>
    <row r="99" spans="1:26" s="1569" customFormat="1">
      <c r="A99" s="2619" t="s">
        <v>3343</v>
      </c>
      <c r="B99" s="1915" t="s">
        <v>7697</v>
      </c>
      <c r="C99" s="1915" t="s">
        <v>28</v>
      </c>
      <c r="D99" s="2688">
        <v>45383</v>
      </c>
      <c r="E99" s="2689">
        <v>45391</v>
      </c>
      <c r="F99" s="1883" t="s">
        <v>45</v>
      </c>
      <c r="G99" s="1915" t="s">
        <v>46</v>
      </c>
      <c r="H99" s="2690"/>
      <c r="I99" s="2691"/>
      <c r="J99" s="2632" t="s">
        <v>32</v>
      </c>
      <c r="K99" s="1915" t="s">
        <v>47</v>
      </c>
      <c r="L99" s="2619" t="s">
        <v>7698</v>
      </c>
      <c r="M99" s="2618">
        <v>45391</v>
      </c>
      <c r="N99" s="2618">
        <v>45390</v>
      </c>
      <c r="O99" s="2618">
        <v>45392</v>
      </c>
      <c r="P99" s="2619" t="s">
        <v>7699</v>
      </c>
      <c r="Q99" s="1915" t="s">
        <v>6852</v>
      </c>
      <c r="R99" s="2690" t="s">
        <v>51</v>
      </c>
      <c r="S99" s="2622"/>
      <c r="T99" s="2622"/>
      <c r="U99" s="2622"/>
      <c r="V99" s="2622"/>
      <c r="W99" s="2622"/>
      <c r="X99" s="2622"/>
      <c r="Y99" s="2622"/>
      <c r="Z99" s="2622"/>
    </row>
    <row r="100" spans="1:26" s="1569" customFormat="1">
      <c r="A100" s="2619" t="s">
        <v>3343</v>
      </c>
      <c r="B100" s="1911" t="s">
        <v>7700</v>
      </c>
      <c r="C100" s="1911" t="s">
        <v>28</v>
      </c>
      <c r="D100" s="2694">
        <v>45390</v>
      </c>
      <c r="E100" s="2695">
        <v>45405</v>
      </c>
      <c r="F100" s="1764" t="s">
        <v>45</v>
      </c>
      <c r="G100" s="1911" t="s">
        <v>46</v>
      </c>
      <c r="H100" s="4653"/>
      <c r="I100" s="5458"/>
      <c r="J100" s="2696" t="s">
        <v>32</v>
      </c>
      <c r="K100" s="1911" t="s">
        <v>47</v>
      </c>
      <c r="L100" s="1595" t="s">
        <v>7701</v>
      </c>
      <c r="M100" s="2620">
        <v>45407</v>
      </c>
      <c r="N100" s="2620">
        <v>45406</v>
      </c>
      <c r="O100" s="2620">
        <v>45408</v>
      </c>
      <c r="P100" s="1595" t="s">
        <v>7702</v>
      </c>
      <c r="Q100" s="1911" t="s">
        <v>6852</v>
      </c>
      <c r="R100" s="4654" t="s">
        <v>36</v>
      </c>
      <c r="S100" s="5007"/>
      <c r="T100" s="5007"/>
      <c r="U100" s="5007"/>
      <c r="V100" s="5007"/>
      <c r="W100" s="5007"/>
      <c r="X100" s="5007"/>
      <c r="Y100" s="5007"/>
      <c r="Z100" s="5007"/>
    </row>
    <row r="101" spans="1:26" s="707" customFormat="1">
      <c r="A101" s="2595" t="s">
        <v>3343</v>
      </c>
      <c r="B101" s="1495" t="s">
        <v>7703</v>
      </c>
      <c r="C101" s="1495" t="s">
        <v>28</v>
      </c>
      <c r="D101" s="2679">
        <v>45390</v>
      </c>
      <c r="E101" s="2654">
        <v>45403</v>
      </c>
      <c r="F101" s="2097" t="s">
        <v>45</v>
      </c>
      <c r="G101" s="1495" t="s">
        <v>46</v>
      </c>
      <c r="H101" s="4903"/>
      <c r="I101" s="4882"/>
      <c r="J101" s="2680" t="s">
        <v>32</v>
      </c>
      <c r="K101" s="2648" t="s">
        <v>47</v>
      </c>
      <c r="L101" s="1651" t="s">
        <v>7704</v>
      </c>
      <c r="M101" s="2608">
        <v>45406</v>
      </c>
      <c r="N101" s="2608">
        <v>45405</v>
      </c>
      <c r="O101" s="2608">
        <v>45407</v>
      </c>
      <c r="P101" s="2104" t="s">
        <v>7705</v>
      </c>
      <c r="Q101" s="1495" t="s">
        <v>6852</v>
      </c>
      <c r="R101" s="4882" t="s">
        <v>51</v>
      </c>
      <c r="S101" s="4882"/>
      <c r="T101" s="4882"/>
      <c r="U101" s="4882"/>
      <c r="V101" s="4882"/>
      <c r="W101" s="4882"/>
      <c r="X101" s="4882"/>
      <c r="Y101" s="4882"/>
      <c r="Z101" s="4882"/>
    </row>
    <row r="102" spans="1:26" s="1569" customFormat="1" ht="15.75">
      <c r="A102" s="2619" t="s">
        <v>3343</v>
      </c>
      <c r="B102" s="4911" t="s">
        <v>7706</v>
      </c>
      <c r="C102" s="4911" t="s">
        <v>28</v>
      </c>
      <c r="D102" s="5004">
        <v>45387</v>
      </c>
      <c r="E102" s="2692">
        <v>45395</v>
      </c>
      <c r="F102" s="5018" t="s">
        <v>45</v>
      </c>
      <c r="G102" s="4911" t="s">
        <v>46</v>
      </c>
      <c r="H102" s="5012"/>
      <c r="I102" s="5007"/>
      <c r="J102" s="5455" t="s">
        <v>32</v>
      </c>
      <c r="K102" s="5453" t="s">
        <v>47</v>
      </c>
      <c r="L102" s="2693" t="s">
        <v>7707</v>
      </c>
      <c r="M102" s="5012">
        <v>45399</v>
      </c>
      <c r="N102" s="5012">
        <v>45397</v>
      </c>
      <c r="O102" s="5012">
        <v>45398</v>
      </c>
      <c r="P102" s="5007" t="s">
        <v>7708</v>
      </c>
      <c r="Q102" s="4911" t="s">
        <v>6852</v>
      </c>
      <c r="R102" s="5007" t="s">
        <v>51</v>
      </c>
      <c r="S102" s="5007"/>
      <c r="T102" s="5007"/>
      <c r="U102" s="5007"/>
      <c r="V102" s="5007"/>
      <c r="W102" s="5007"/>
      <c r="X102" s="5007"/>
      <c r="Y102" s="5007"/>
      <c r="Z102" s="5007"/>
    </row>
    <row r="103" spans="1:26" s="1569" customFormat="1" ht="15.75">
      <c r="A103" s="2619" t="s">
        <v>3343</v>
      </c>
      <c r="B103" s="1442" t="s">
        <v>7709</v>
      </c>
      <c r="C103" s="3252" t="s">
        <v>28</v>
      </c>
      <c r="D103" s="3613">
        <v>45387</v>
      </c>
      <c r="E103" s="2692">
        <v>45395</v>
      </c>
      <c r="F103" s="3356" t="s">
        <v>45</v>
      </c>
      <c r="G103" s="3252" t="s">
        <v>46</v>
      </c>
      <c r="H103" s="5012"/>
      <c r="I103" s="5007"/>
      <c r="J103" s="3665" t="s">
        <v>32</v>
      </c>
      <c r="K103" s="3594" t="s">
        <v>47</v>
      </c>
      <c r="L103" s="2693" t="s">
        <v>7710</v>
      </c>
      <c r="M103" s="3666">
        <v>45399</v>
      </c>
      <c r="N103" s="3666">
        <v>45399</v>
      </c>
      <c r="O103" s="3666">
        <v>45400</v>
      </c>
      <c r="P103" s="3285" t="s">
        <v>7711</v>
      </c>
      <c r="Q103" s="3252" t="s">
        <v>6852</v>
      </c>
      <c r="R103" s="5007" t="s">
        <v>51</v>
      </c>
      <c r="S103" s="5007"/>
      <c r="T103" s="5007"/>
      <c r="U103" s="5007"/>
      <c r="V103" s="5007"/>
      <c r="W103" s="5007"/>
      <c r="X103" s="5007"/>
      <c r="Y103" s="5007"/>
      <c r="Z103" s="5007"/>
    </row>
    <row r="104" spans="1:26" s="1569" customFormat="1" ht="15.75">
      <c r="A104" s="2619" t="s">
        <v>3343</v>
      </c>
      <c r="B104" s="1442" t="s">
        <v>7712</v>
      </c>
      <c r="C104" s="1911" t="s">
        <v>28</v>
      </c>
      <c r="D104" s="2694">
        <v>45387</v>
      </c>
      <c r="E104" s="2695">
        <v>45394</v>
      </c>
      <c r="F104" s="1764" t="s">
        <v>45</v>
      </c>
      <c r="G104" s="1911" t="s">
        <v>46</v>
      </c>
      <c r="H104" s="3667"/>
      <c r="I104" s="3668"/>
      <c r="J104" s="2696" t="s">
        <v>32</v>
      </c>
      <c r="K104" s="2697" t="s">
        <v>47</v>
      </c>
      <c r="L104" s="2698" t="s">
        <v>7713</v>
      </c>
      <c r="M104" s="2620">
        <v>45397</v>
      </c>
      <c r="N104" s="2620">
        <v>45396</v>
      </c>
      <c r="O104" s="2620">
        <v>45398</v>
      </c>
      <c r="P104" s="1595" t="s">
        <v>7714</v>
      </c>
      <c r="Q104" s="1911" t="s">
        <v>6852</v>
      </c>
      <c r="R104" s="3669" t="s">
        <v>51</v>
      </c>
      <c r="S104" s="3285"/>
      <c r="T104" s="3285"/>
      <c r="U104" s="3285"/>
      <c r="V104" s="3285"/>
      <c r="W104" s="3285"/>
      <c r="X104" s="3285"/>
      <c r="Y104" s="3285"/>
      <c r="Z104" s="3285"/>
    </row>
    <row r="105" spans="1:26" s="1442" customFormat="1" ht="15.75">
      <c r="A105" s="2619" t="s">
        <v>3343</v>
      </c>
      <c r="B105" s="2074" t="s">
        <v>7715</v>
      </c>
      <c r="C105" s="2074" t="s">
        <v>28</v>
      </c>
      <c r="D105" s="2627">
        <v>45387</v>
      </c>
      <c r="E105" s="2628">
        <v>45395</v>
      </c>
      <c r="F105" s="1827" t="s">
        <v>45</v>
      </c>
      <c r="G105" s="2074" t="s">
        <v>46</v>
      </c>
      <c r="H105" s="5012"/>
      <c r="I105" s="5007"/>
      <c r="J105" s="2630" t="s">
        <v>32</v>
      </c>
      <c r="K105" s="2631" t="s">
        <v>47</v>
      </c>
      <c r="L105" s="2699" t="s">
        <v>7716</v>
      </c>
      <c r="M105" s="2621">
        <v>45399</v>
      </c>
      <c r="N105" s="2621">
        <v>45398</v>
      </c>
      <c r="O105" s="2621">
        <v>45400</v>
      </c>
      <c r="P105" s="2622" t="s">
        <v>7717</v>
      </c>
      <c r="Q105" s="2074" t="s">
        <v>6852</v>
      </c>
      <c r="R105" s="5007" t="s">
        <v>51</v>
      </c>
      <c r="S105" s="5007"/>
      <c r="T105" s="5007"/>
      <c r="U105" s="5007"/>
      <c r="V105" s="5007"/>
      <c r="W105" s="5007"/>
      <c r="X105" s="5007"/>
      <c r="Y105" s="5007"/>
      <c r="Z105" s="5007"/>
    </row>
    <row r="106" spans="1:26" s="1442" customFormat="1">
      <c r="A106" s="2619" t="s">
        <v>3343</v>
      </c>
      <c r="B106" s="2073" t="s">
        <v>7718</v>
      </c>
      <c r="C106" s="2073" t="s">
        <v>28</v>
      </c>
      <c r="D106" s="2700">
        <v>45386</v>
      </c>
      <c r="E106" s="2701">
        <v>45401</v>
      </c>
      <c r="F106" s="2624" t="s">
        <v>151</v>
      </c>
      <c r="G106" s="2073" t="s">
        <v>46</v>
      </c>
      <c r="H106" s="2623"/>
      <c r="I106" s="2624"/>
      <c r="J106" s="2702" t="s">
        <v>32</v>
      </c>
      <c r="K106" s="2703" t="s">
        <v>47</v>
      </c>
      <c r="L106" s="2704" t="s">
        <v>7719</v>
      </c>
      <c r="M106" s="2623">
        <v>45403</v>
      </c>
      <c r="N106" s="2623">
        <v>45401</v>
      </c>
      <c r="O106" s="2623">
        <v>45402</v>
      </c>
      <c r="P106" s="2624" t="s">
        <v>7720</v>
      </c>
      <c r="Q106" s="2705" t="s">
        <v>6852</v>
      </c>
      <c r="R106" s="2624" t="s">
        <v>51</v>
      </c>
      <c r="S106" s="2624"/>
      <c r="T106" s="2624"/>
      <c r="U106" s="2624"/>
      <c r="V106" s="2624"/>
      <c r="W106" s="2624"/>
      <c r="X106" s="2624"/>
      <c r="Y106" s="2624"/>
      <c r="Z106" s="2624"/>
    </row>
    <row r="107" spans="1:26" s="1442" customFormat="1" ht="17.25">
      <c r="A107" s="2619" t="s">
        <v>3343</v>
      </c>
      <c r="B107" s="5453" t="s">
        <v>7721</v>
      </c>
      <c r="C107" s="5018" t="s">
        <v>28</v>
      </c>
      <c r="D107" s="5004">
        <v>45400</v>
      </c>
      <c r="E107" s="5459">
        <v>45415</v>
      </c>
      <c r="F107" s="4911" t="s">
        <v>56</v>
      </c>
      <c r="G107" s="5007" t="s">
        <v>46</v>
      </c>
      <c r="H107" s="5012"/>
      <c r="I107" s="5007"/>
      <c r="J107" s="5455" t="s">
        <v>32</v>
      </c>
      <c r="K107" s="5453" t="s">
        <v>47</v>
      </c>
      <c r="L107" s="5460" t="s">
        <v>7722</v>
      </c>
      <c r="M107" s="5012">
        <v>45417</v>
      </c>
      <c r="N107" s="5012">
        <v>45415</v>
      </c>
      <c r="O107" s="5012">
        <v>45419</v>
      </c>
      <c r="P107" s="5007" t="s">
        <v>7723</v>
      </c>
      <c r="Q107" s="4911" t="s">
        <v>6852</v>
      </c>
      <c r="R107" s="5007" t="s">
        <v>51</v>
      </c>
      <c r="S107" s="5007"/>
      <c r="T107" s="5007"/>
      <c r="U107" s="5007"/>
      <c r="V107" s="5007"/>
      <c r="W107" s="5007"/>
      <c r="X107" s="5007"/>
      <c r="Y107" s="5007"/>
      <c r="Z107" s="5007"/>
    </row>
    <row r="108" spans="1:26" s="1569" customFormat="1">
      <c r="A108" s="2619" t="s">
        <v>3343</v>
      </c>
      <c r="B108" s="2074" t="s">
        <v>7724</v>
      </c>
      <c r="C108" s="1883" t="s">
        <v>28</v>
      </c>
      <c r="D108" s="2706">
        <v>45389</v>
      </c>
      <c r="E108" s="2707">
        <v>45397</v>
      </c>
      <c r="F108" s="2619" t="s">
        <v>7725</v>
      </c>
      <c r="G108" s="2619" t="s">
        <v>46</v>
      </c>
      <c r="H108" s="2708"/>
      <c r="I108" s="2691"/>
      <c r="J108" s="2632" t="s">
        <v>32</v>
      </c>
      <c r="K108" s="1915" t="s">
        <v>47</v>
      </c>
      <c r="L108" s="2619" t="s">
        <v>7726</v>
      </c>
      <c r="M108" s="2636">
        <v>45399</v>
      </c>
      <c r="N108" s="2636">
        <v>45399</v>
      </c>
      <c r="O108" s="2636">
        <v>45401</v>
      </c>
      <c r="P108" s="2619" t="s">
        <v>7727</v>
      </c>
      <c r="Q108" s="1915" t="s">
        <v>6852</v>
      </c>
      <c r="R108" s="2690" t="s">
        <v>51</v>
      </c>
      <c r="S108" s="2622"/>
      <c r="T108" s="2622"/>
      <c r="U108" s="2622"/>
      <c r="V108" s="2622"/>
      <c r="W108" s="2622"/>
      <c r="X108" s="2622"/>
      <c r="Y108" s="2622"/>
      <c r="Z108" s="2622"/>
    </row>
    <row r="109" spans="1:26" s="707" customFormat="1">
      <c r="A109" s="2595" t="s">
        <v>3343</v>
      </c>
      <c r="B109" s="709" t="s">
        <v>7728</v>
      </c>
      <c r="C109" s="727" t="s">
        <v>28</v>
      </c>
      <c r="D109" s="1581">
        <v>45404</v>
      </c>
      <c r="E109" s="4941">
        <v>45421</v>
      </c>
      <c r="F109" s="727" t="s">
        <v>45</v>
      </c>
      <c r="G109" s="713" t="s">
        <v>46</v>
      </c>
      <c r="H109" s="3670"/>
      <c r="I109" s="3259"/>
      <c r="J109" s="2661" t="s">
        <v>32</v>
      </c>
      <c r="K109" s="2385" t="s">
        <v>47</v>
      </c>
      <c r="L109" s="5367">
        <v>284615</v>
      </c>
      <c r="M109" s="1581">
        <v>45422</v>
      </c>
      <c r="N109" s="1581">
        <v>45422</v>
      </c>
      <c r="O109" s="1581">
        <v>45425</v>
      </c>
      <c r="P109" s="713" t="s">
        <v>7729</v>
      </c>
      <c r="Q109" s="713" t="s">
        <v>6852</v>
      </c>
      <c r="R109" s="3663" t="s">
        <v>51</v>
      </c>
      <c r="S109" s="3258"/>
      <c r="T109" s="3258"/>
      <c r="U109" s="3258"/>
      <c r="V109" s="3258"/>
      <c r="W109" s="3258"/>
      <c r="X109" s="3258"/>
      <c r="Y109" s="3258"/>
      <c r="Z109" s="3258"/>
    </row>
    <row r="110" spans="1:26" s="1442" customFormat="1">
      <c r="A110" s="2619" t="s">
        <v>3343</v>
      </c>
      <c r="B110" s="4911" t="s">
        <v>7730</v>
      </c>
      <c r="C110" s="4911" t="s">
        <v>28</v>
      </c>
      <c r="D110" s="5012">
        <v>45402</v>
      </c>
      <c r="E110" s="5461">
        <v>45410</v>
      </c>
      <c r="F110" s="4911" t="s">
        <v>45</v>
      </c>
      <c r="G110" s="5007" t="s">
        <v>46</v>
      </c>
      <c r="H110" s="5012"/>
      <c r="I110" s="5007"/>
      <c r="J110" s="5455" t="s">
        <v>32</v>
      </c>
      <c r="K110" s="4911" t="s">
        <v>47</v>
      </c>
      <c r="L110" s="5462" t="s">
        <v>7731</v>
      </c>
      <c r="M110" s="5012">
        <v>45415</v>
      </c>
      <c r="N110" s="5012">
        <v>45414</v>
      </c>
      <c r="O110" s="5012">
        <v>45416</v>
      </c>
      <c r="P110" s="5007" t="s">
        <v>7732</v>
      </c>
      <c r="Q110" s="5007" t="s">
        <v>6852</v>
      </c>
      <c r="R110" s="5007" t="s">
        <v>51</v>
      </c>
      <c r="S110" s="5007"/>
      <c r="T110" s="5007"/>
      <c r="U110" s="5007"/>
      <c r="V110" s="5007"/>
      <c r="W110" s="5007"/>
      <c r="X110" s="5007"/>
      <c r="Y110" s="5007"/>
      <c r="Z110" s="5007"/>
    </row>
    <row r="111" spans="1:26" s="1442" customFormat="1">
      <c r="A111" s="2619" t="s">
        <v>3343</v>
      </c>
      <c r="B111" s="5453" t="s">
        <v>7733</v>
      </c>
      <c r="C111" s="4911" t="s">
        <v>28</v>
      </c>
      <c r="D111" s="5012">
        <v>45402</v>
      </c>
      <c r="E111" s="5459">
        <v>45415</v>
      </c>
      <c r="F111" s="4911" t="s">
        <v>45</v>
      </c>
      <c r="G111" s="5007" t="s">
        <v>46</v>
      </c>
      <c r="H111" s="5012"/>
      <c r="I111" s="5007"/>
      <c r="J111" s="5455" t="s">
        <v>32</v>
      </c>
      <c r="K111" s="5453" t="s">
        <v>47</v>
      </c>
      <c r="L111" s="2770" t="s">
        <v>7734</v>
      </c>
      <c r="M111" s="5012">
        <v>45416</v>
      </c>
      <c r="N111" s="5012">
        <v>45415</v>
      </c>
      <c r="O111" s="5012">
        <v>45417</v>
      </c>
      <c r="P111" s="5007" t="s">
        <v>7735</v>
      </c>
      <c r="Q111" s="5007" t="s">
        <v>6852</v>
      </c>
      <c r="R111" s="5007" t="s">
        <v>51</v>
      </c>
      <c r="S111" s="5007"/>
      <c r="T111" s="5007"/>
      <c r="U111" s="5007"/>
      <c r="V111" s="5007"/>
      <c r="W111" s="5007"/>
      <c r="X111" s="5007"/>
      <c r="Y111" s="5007"/>
      <c r="Z111" s="5007"/>
    </row>
    <row r="112" spans="1:26" s="707" customFormat="1">
      <c r="A112" s="2595" t="s">
        <v>3343</v>
      </c>
      <c r="B112" s="1188" t="s">
        <v>7736</v>
      </c>
      <c r="C112" s="1748" t="s">
        <v>28</v>
      </c>
      <c r="D112" s="2594">
        <v>45402</v>
      </c>
      <c r="E112" s="2775">
        <v>45416</v>
      </c>
      <c r="F112" s="1748" t="s">
        <v>45</v>
      </c>
      <c r="G112" s="2595" t="s">
        <v>46</v>
      </c>
      <c r="H112" s="2776"/>
      <c r="I112" s="2777"/>
      <c r="J112" s="2778" t="s">
        <v>32</v>
      </c>
      <c r="K112" s="2666" t="s">
        <v>47</v>
      </c>
      <c r="L112" s="5463" t="s">
        <v>7737</v>
      </c>
      <c r="M112" s="2594">
        <v>45416</v>
      </c>
      <c r="N112" s="2594">
        <v>45415</v>
      </c>
      <c r="O112" s="2594">
        <v>45418</v>
      </c>
      <c r="P112" s="2595" t="s">
        <v>7738</v>
      </c>
      <c r="Q112" s="2595" t="s">
        <v>6852</v>
      </c>
      <c r="R112" s="2771" t="s">
        <v>51</v>
      </c>
      <c r="S112" s="2104"/>
      <c r="T112" s="2104"/>
      <c r="U112" s="2104"/>
      <c r="V112" s="2104"/>
      <c r="W112" s="2104"/>
      <c r="X112" s="2104"/>
      <c r="Y112" s="2104"/>
      <c r="Z112" s="2104"/>
    </row>
    <row r="113" spans="1:26" s="707" customFormat="1">
      <c r="A113" s="2595" t="s">
        <v>3343</v>
      </c>
      <c r="B113" s="2648" t="s">
        <v>7739</v>
      </c>
      <c r="C113" s="1495" t="s">
        <v>28</v>
      </c>
      <c r="D113" s="2608">
        <v>45402</v>
      </c>
      <c r="E113" s="5464">
        <v>45415</v>
      </c>
      <c r="F113" s="1495" t="s">
        <v>45</v>
      </c>
      <c r="G113" s="2607" t="s">
        <v>46</v>
      </c>
      <c r="H113" s="4903"/>
      <c r="I113" s="4882"/>
      <c r="J113" s="2680" t="s">
        <v>32</v>
      </c>
      <c r="K113" s="2648" t="s">
        <v>47</v>
      </c>
      <c r="L113" s="5367" t="s">
        <v>7740</v>
      </c>
      <c r="M113" s="2608">
        <v>45417</v>
      </c>
      <c r="N113" s="2608">
        <v>45416</v>
      </c>
      <c r="O113" s="2608">
        <v>45418</v>
      </c>
      <c r="P113" s="2104" t="s">
        <v>7741</v>
      </c>
      <c r="Q113" s="2104" t="s">
        <v>6852</v>
      </c>
      <c r="R113" s="4882" t="s">
        <v>51</v>
      </c>
      <c r="S113" s="4882"/>
      <c r="T113" s="4882"/>
      <c r="U113" s="4882"/>
      <c r="V113" s="4882"/>
      <c r="W113" s="4882"/>
      <c r="X113" s="4882"/>
      <c r="Y113" s="4882"/>
      <c r="Z113" s="4882"/>
    </row>
    <row r="114" spans="1:26" s="707" customFormat="1">
      <c r="A114" s="2595" t="s">
        <v>3343</v>
      </c>
      <c r="B114" s="4902" t="s">
        <v>7742</v>
      </c>
      <c r="C114" s="4861" t="s">
        <v>28</v>
      </c>
      <c r="D114" s="4903">
        <v>45402</v>
      </c>
      <c r="E114" s="3661">
        <v>45416</v>
      </c>
      <c r="F114" s="4861" t="s">
        <v>45</v>
      </c>
      <c r="G114" s="4882" t="s">
        <v>46</v>
      </c>
      <c r="H114" s="4903"/>
      <c r="I114" s="4882"/>
      <c r="J114" s="5326" t="s">
        <v>32</v>
      </c>
      <c r="K114" s="4902" t="s">
        <v>47</v>
      </c>
      <c r="L114" s="1651" t="s">
        <v>7743</v>
      </c>
      <c r="M114" s="4903">
        <v>45417</v>
      </c>
      <c r="N114" s="4903">
        <v>45415</v>
      </c>
      <c r="O114" s="4903">
        <v>45418</v>
      </c>
      <c r="P114" s="4882" t="s">
        <v>7744</v>
      </c>
      <c r="Q114" s="4882" t="s">
        <v>6852</v>
      </c>
      <c r="R114" s="4882" t="s">
        <v>51</v>
      </c>
      <c r="S114" s="4882"/>
      <c r="T114" s="4882"/>
      <c r="U114" s="4882"/>
      <c r="V114" s="4882"/>
      <c r="W114" s="4882"/>
      <c r="X114" s="4882"/>
      <c r="Y114" s="4882"/>
      <c r="Z114" s="4882"/>
    </row>
    <row r="115" spans="1:26" s="1569" customFormat="1">
      <c r="A115" s="2619" t="s">
        <v>3343</v>
      </c>
      <c r="B115" s="4911" t="s">
        <v>7745</v>
      </c>
      <c r="C115" s="3252" t="s">
        <v>28</v>
      </c>
      <c r="D115" s="3666">
        <v>45402</v>
      </c>
      <c r="E115" s="2792">
        <v>45414</v>
      </c>
      <c r="F115" s="1724" t="s">
        <v>45</v>
      </c>
      <c r="G115" s="3597" t="s">
        <v>46</v>
      </c>
      <c r="H115" s="3666"/>
      <c r="I115" s="3285"/>
      <c r="J115" s="3665" t="s">
        <v>32</v>
      </c>
      <c r="K115" s="3594" t="s">
        <v>47</v>
      </c>
      <c r="L115" s="2425" t="s">
        <v>7746</v>
      </c>
      <c r="M115" s="3666">
        <v>45416</v>
      </c>
      <c r="N115" s="3666">
        <v>45414</v>
      </c>
      <c r="O115" s="3666">
        <v>45416</v>
      </c>
      <c r="P115" s="3285" t="s">
        <v>7747</v>
      </c>
      <c r="Q115" s="3285" t="s">
        <v>6852</v>
      </c>
      <c r="R115" s="3285" t="s">
        <v>51</v>
      </c>
      <c r="S115" s="3285"/>
      <c r="T115" s="3285"/>
      <c r="U115" s="3285"/>
      <c r="V115" s="3285"/>
      <c r="W115" s="3285"/>
      <c r="X115" s="3285"/>
      <c r="Y115" s="3285"/>
      <c r="Z115" s="3285"/>
    </row>
    <row r="116" spans="1:26" s="1569" customFormat="1">
      <c r="A116" s="2619" t="s">
        <v>3343</v>
      </c>
      <c r="B116" s="1911" t="s">
        <v>7748</v>
      </c>
      <c r="C116" s="1911" t="s">
        <v>28</v>
      </c>
      <c r="D116" s="2620">
        <v>45402</v>
      </c>
      <c r="E116" s="2711">
        <v>45410</v>
      </c>
      <c r="F116" s="1724" t="s">
        <v>45</v>
      </c>
      <c r="G116" s="2712" t="s">
        <v>46</v>
      </c>
      <c r="H116" s="2620"/>
      <c r="I116" s="1595"/>
      <c r="J116" s="2696" t="s">
        <v>32</v>
      </c>
      <c r="K116" s="2697" t="s">
        <v>47</v>
      </c>
      <c r="L116" s="2712" t="s">
        <v>7749</v>
      </c>
      <c r="M116" s="2620">
        <v>45412</v>
      </c>
      <c r="N116" s="2620">
        <v>45412</v>
      </c>
      <c r="O116" s="2620">
        <v>45414</v>
      </c>
      <c r="P116" s="1595" t="s">
        <v>7750</v>
      </c>
      <c r="Q116" s="5007" t="s">
        <v>6852</v>
      </c>
      <c r="R116" s="1595" t="s">
        <v>51</v>
      </c>
      <c r="S116" s="1595"/>
      <c r="T116" s="1595"/>
      <c r="U116" s="1595"/>
      <c r="V116" s="1595"/>
      <c r="W116" s="1595"/>
      <c r="X116" s="1595"/>
      <c r="Y116" s="1595"/>
      <c r="Z116" s="1595"/>
    </row>
    <row r="117" spans="1:26">
      <c r="A117" s="2491" t="s">
        <v>3343</v>
      </c>
      <c r="B117" s="2713" t="s">
        <v>7751</v>
      </c>
      <c r="C117" s="93" t="s">
        <v>28</v>
      </c>
      <c r="D117" s="2476">
        <v>45402</v>
      </c>
      <c r="E117" s="2684">
        <v>45410</v>
      </c>
      <c r="F117" s="93" t="s">
        <v>45</v>
      </c>
      <c r="G117" s="722" t="s">
        <v>46</v>
      </c>
      <c r="H117" s="2476"/>
      <c r="I117" s="508"/>
      <c r="J117" s="518" t="s">
        <v>32</v>
      </c>
      <c r="K117" s="2714" t="s">
        <v>47</v>
      </c>
      <c r="L117" s="722" t="s">
        <v>7752</v>
      </c>
      <c r="M117" s="2476">
        <v>45412</v>
      </c>
      <c r="N117" s="2476">
        <v>45412</v>
      </c>
      <c r="O117" s="2476">
        <v>45415</v>
      </c>
      <c r="P117" s="508" t="s">
        <v>7753</v>
      </c>
      <c r="Q117" s="4873" t="s">
        <v>6852</v>
      </c>
      <c r="R117" s="508" t="s">
        <v>51</v>
      </c>
      <c r="S117" s="508"/>
      <c r="T117" s="508">
        <v>3058.9</v>
      </c>
      <c r="U117" s="508"/>
      <c r="V117" s="508"/>
      <c r="W117" s="508"/>
      <c r="X117" s="508"/>
      <c r="Y117" s="508"/>
      <c r="Z117" s="508"/>
    </row>
    <row r="118" spans="1:26">
      <c r="A118" s="2491" t="s">
        <v>3343</v>
      </c>
      <c r="B118" s="2715" t="s">
        <v>7754</v>
      </c>
      <c r="C118" s="152" t="s">
        <v>28</v>
      </c>
      <c r="D118" s="642">
        <v>45402</v>
      </c>
      <c r="E118" s="2710">
        <v>45415</v>
      </c>
      <c r="F118" s="152" t="s">
        <v>45</v>
      </c>
      <c r="G118" s="2716" t="s">
        <v>46</v>
      </c>
      <c r="H118" s="642"/>
      <c r="I118" s="641"/>
      <c r="J118" s="1027" t="s">
        <v>32</v>
      </c>
      <c r="K118" s="2709" t="s">
        <v>47</v>
      </c>
      <c r="L118" s="2717" t="s">
        <v>7755</v>
      </c>
      <c r="M118" s="642">
        <v>45416</v>
      </c>
      <c r="N118" s="642">
        <v>45415</v>
      </c>
      <c r="O118" s="642">
        <v>45418</v>
      </c>
      <c r="P118" s="641" t="s">
        <v>7756</v>
      </c>
      <c r="Q118" s="641" t="s">
        <v>6852</v>
      </c>
      <c r="R118" s="641" t="s">
        <v>36</v>
      </c>
      <c r="S118" s="641"/>
      <c r="T118" s="641">
        <v>3690</v>
      </c>
      <c r="U118" s="641"/>
      <c r="V118" s="641"/>
      <c r="W118" s="641"/>
      <c r="X118" s="641"/>
      <c r="Y118" s="641"/>
      <c r="Z118" s="641"/>
    </row>
    <row r="119" spans="1:26" s="709" customFormat="1">
      <c r="A119" s="2595" t="s">
        <v>3343</v>
      </c>
      <c r="B119" s="3246" t="s">
        <v>7757</v>
      </c>
      <c r="C119" s="3246" t="s">
        <v>28</v>
      </c>
      <c r="D119" s="3267">
        <v>45402</v>
      </c>
      <c r="E119" s="3661">
        <v>45415</v>
      </c>
      <c r="F119" s="3246" t="s">
        <v>45</v>
      </c>
      <c r="G119" s="3258" t="s">
        <v>46</v>
      </c>
      <c r="H119" s="3267"/>
      <c r="I119" s="3258"/>
      <c r="J119" s="3657" t="s">
        <v>32</v>
      </c>
      <c r="K119" s="3246" t="s">
        <v>47</v>
      </c>
      <c r="L119" s="707" t="s">
        <v>7758</v>
      </c>
      <c r="M119" s="3267"/>
      <c r="N119" s="3267">
        <v>45415</v>
      </c>
      <c r="O119" s="3267">
        <v>45418</v>
      </c>
      <c r="P119" s="3258" t="s">
        <v>7759</v>
      </c>
      <c r="Q119" s="3258" t="s">
        <v>6852</v>
      </c>
      <c r="R119" s="3258" t="s">
        <v>51</v>
      </c>
      <c r="S119" s="3258"/>
      <c r="T119" s="3258"/>
      <c r="U119" s="3258"/>
      <c r="V119" s="3258"/>
      <c r="W119" s="3258"/>
      <c r="X119" s="3258"/>
      <c r="Y119" s="3258"/>
      <c r="Z119" s="3258"/>
    </row>
    <row r="120" spans="1:26" s="1442" customFormat="1">
      <c r="A120" s="2619" t="s">
        <v>3343</v>
      </c>
      <c r="B120" s="4911" t="s">
        <v>7760</v>
      </c>
      <c r="C120" s="4911" t="s">
        <v>28</v>
      </c>
      <c r="D120" s="5012">
        <v>45402</v>
      </c>
      <c r="E120" s="5461">
        <v>45414</v>
      </c>
      <c r="F120" s="4911" t="s">
        <v>45</v>
      </c>
      <c r="G120" s="5007" t="s">
        <v>46</v>
      </c>
      <c r="H120" s="5012"/>
      <c r="I120" s="5007"/>
      <c r="J120" s="5446" t="s">
        <v>32</v>
      </c>
      <c r="K120" s="4911" t="s">
        <v>47</v>
      </c>
      <c r="L120" s="1569" t="s">
        <v>7761</v>
      </c>
      <c r="M120" s="5012">
        <v>45416</v>
      </c>
      <c r="N120" s="5012">
        <v>45414</v>
      </c>
      <c r="O120" s="5012">
        <v>45415</v>
      </c>
      <c r="P120" s="5007" t="s">
        <v>7762</v>
      </c>
      <c r="Q120" s="5007" t="s">
        <v>6852</v>
      </c>
      <c r="R120" s="5007" t="s">
        <v>51</v>
      </c>
      <c r="S120" s="5007"/>
      <c r="T120" s="5007"/>
      <c r="U120" s="5007"/>
      <c r="V120" s="5007"/>
      <c r="W120" s="5007"/>
      <c r="X120" s="5007"/>
      <c r="Y120" s="5007"/>
      <c r="Z120" s="5007"/>
    </row>
    <row r="121" spans="1:26" s="709" customFormat="1">
      <c r="A121" s="2595" t="s">
        <v>3343</v>
      </c>
      <c r="B121" s="4861" t="s">
        <v>7763</v>
      </c>
      <c r="C121" s="4861" t="s">
        <v>28</v>
      </c>
      <c r="D121" s="4903">
        <v>45403</v>
      </c>
      <c r="E121" s="4941">
        <v>45409</v>
      </c>
      <c r="F121" s="4882" t="s">
        <v>2604</v>
      </c>
      <c r="G121" s="4882" t="s">
        <v>46</v>
      </c>
      <c r="H121" s="4903"/>
      <c r="I121" s="4882"/>
      <c r="J121" s="5326" t="s">
        <v>32</v>
      </c>
      <c r="K121" s="4861" t="s">
        <v>47</v>
      </c>
      <c r="L121" s="5465" t="s">
        <v>7764</v>
      </c>
      <c r="M121" s="4903">
        <v>45413</v>
      </c>
      <c r="N121" s="4903">
        <v>45412</v>
      </c>
      <c r="O121" s="4903">
        <v>45414</v>
      </c>
      <c r="P121" s="4882" t="s">
        <v>7765</v>
      </c>
      <c r="Q121" s="4882" t="s">
        <v>6852</v>
      </c>
      <c r="R121" s="4882" t="s">
        <v>51</v>
      </c>
      <c r="S121" s="4882"/>
      <c r="T121" s="4882"/>
      <c r="U121" s="4882"/>
      <c r="V121" s="4882"/>
      <c r="W121" s="4882"/>
      <c r="X121" s="4882"/>
      <c r="Y121" s="4882"/>
      <c r="Z121" s="4882"/>
    </row>
    <row r="122" spans="1:26" s="713" customFormat="1">
      <c r="A122" s="2595" t="s">
        <v>3343</v>
      </c>
      <c r="B122" s="2794" t="s">
        <v>7766</v>
      </c>
      <c r="C122" s="718" t="s">
        <v>28</v>
      </c>
      <c r="D122" s="1665">
        <v>45408</v>
      </c>
      <c r="E122" s="2681">
        <v>45421</v>
      </c>
      <c r="F122" s="718" t="s">
        <v>45</v>
      </c>
      <c r="G122" s="718" t="s">
        <v>46</v>
      </c>
      <c r="H122" s="2795"/>
      <c r="I122" s="2372"/>
      <c r="J122" s="2349" t="s">
        <v>32</v>
      </c>
      <c r="K122" s="2160" t="s">
        <v>47</v>
      </c>
      <c r="L122" s="1651" t="s">
        <v>7767</v>
      </c>
      <c r="M122" s="1665">
        <v>45422</v>
      </c>
      <c r="N122" s="1665">
        <v>45421</v>
      </c>
      <c r="O122" s="1665">
        <v>45424</v>
      </c>
      <c r="P122" s="656" t="s">
        <v>7768</v>
      </c>
      <c r="Q122" s="718" t="s">
        <v>6852</v>
      </c>
      <c r="R122" s="1644" t="s">
        <v>51</v>
      </c>
    </row>
    <row r="123" spans="1:26" s="641" customFormat="1">
      <c r="A123" s="2491" t="s">
        <v>3343</v>
      </c>
      <c r="B123" s="2683" t="s">
        <v>7769</v>
      </c>
      <c r="C123" s="93" t="s">
        <v>28</v>
      </c>
      <c r="D123" s="2476">
        <v>45408</v>
      </c>
      <c r="E123" s="2653">
        <v>45423</v>
      </c>
      <c r="F123" s="93" t="s">
        <v>45</v>
      </c>
      <c r="G123" s="93" t="s">
        <v>46</v>
      </c>
      <c r="H123" s="2719"/>
      <c r="I123" s="643"/>
      <c r="J123" s="518" t="s">
        <v>32</v>
      </c>
      <c r="K123" s="2714" t="s">
        <v>47</v>
      </c>
      <c r="L123" s="1483" t="s">
        <v>7770</v>
      </c>
      <c r="M123" s="2476">
        <v>45426</v>
      </c>
      <c r="N123" s="2476">
        <v>45426</v>
      </c>
      <c r="O123" s="2476">
        <v>45427</v>
      </c>
      <c r="P123" s="508" t="s">
        <v>7771</v>
      </c>
      <c r="Q123" s="93" t="s">
        <v>6852</v>
      </c>
      <c r="R123" s="2720" t="s">
        <v>36</v>
      </c>
      <c r="T123" s="641">
        <v>3820</v>
      </c>
    </row>
    <row r="124" spans="1:26" s="641" customFormat="1">
      <c r="A124" s="2491" t="s">
        <v>3343</v>
      </c>
      <c r="B124" s="2718" t="s">
        <v>7772</v>
      </c>
      <c r="C124" s="93" t="s">
        <v>28</v>
      </c>
      <c r="D124" s="2476">
        <v>45408</v>
      </c>
      <c r="E124" s="2653">
        <v>45420</v>
      </c>
      <c r="F124" s="93" t="s">
        <v>45</v>
      </c>
      <c r="G124" s="93" t="s">
        <v>46</v>
      </c>
      <c r="H124" s="2719"/>
      <c r="I124" s="643"/>
      <c r="J124" s="518" t="s">
        <v>32</v>
      </c>
      <c r="K124" s="2714" t="s">
        <v>47</v>
      </c>
      <c r="L124" s="1483" t="s">
        <v>7773</v>
      </c>
      <c r="M124" s="2476">
        <v>45422</v>
      </c>
      <c r="N124" s="2476">
        <v>45421</v>
      </c>
      <c r="O124" s="2476">
        <v>45424</v>
      </c>
      <c r="P124" s="508" t="s">
        <v>7774</v>
      </c>
      <c r="Q124" s="93" t="s">
        <v>6852</v>
      </c>
      <c r="R124" s="2720" t="s">
        <v>36</v>
      </c>
      <c r="T124" s="641">
        <v>3470</v>
      </c>
    </row>
    <row r="125" spans="1:26" s="713" customFormat="1">
      <c r="A125" s="2595" t="s">
        <v>3343</v>
      </c>
      <c r="B125" s="2794" t="s">
        <v>7775</v>
      </c>
      <c r="C125" s="718" t="s">
        <v>28</v>
      </c>
      <c r="D125" s="1665">
        <v>45408</v>
      </c>
      <c r="E125" s="2681">
        <v>45420</v>
      </c>
      <c r="F125" s="718" t="s">
        <v>45</v>
      </c>
      <c r="G125" s="718" t="s">
        <v>46</v>
      </c>
      <c r="H125" s="2795"/>
      <c r="I125" s="2372"/>
      <c r="J125" s="2349" t="s">
        <v>32</v>
      </c>
      <c r="K125" s="2160" t="s">
        <v>47</v>
      </c>
      <c r="L125" s="1651" t="s">
        <v>7776</v>
      </c>
      <c r="M125" s="1665">
        <v>45422</v>
      </c>
      <c r="N125" s="1665">
        <v>45421</v>
      </c>
      <c r="O125" s="1665">
        <v>45422</v>
      </c>
      <c r="P125" s="656" t="s">
        <v>7777</v>
      </c>
      <c r="Q125" s="718" t="s">
        <v>6852</v>
      </c>
      <c r="R125" s="1644" t="s">
        <v>36</v>
      </c>
    </row>
    <row r="126" spans="1:26" s="656" customFormat="1">
      <c r="A126" s="2595" t="s">
        <v>3343</v>
      </c>
      <c r="B126" s="2794" t="s">
        <v>7778</v>
      </c>
      <c r="C126" s="718" t="s">
        <v>28</v>
      </c>
      <c r="D126" s="1665">
        <v>45408</v>
      </c>
      <c r="E126" s="1669">
        <v>45433</v>
      </c>
      <c r="F126" s="718" t="s">
        <v>45</v>
      </c>
      <c r="G126" s="718" t="s">
        <v>46</v>
      </c>
      <c r="H126" s="2793"/>
      <c r="I126" s="2356"/>
      <c r="J126" s="2799" t="s">
        <v>32</v>
      </c>
      <c r="K126" s="718" t="s">
        <v>47</v>
      </c>
      <c r="L126" s="707" t="s">
        <v>7779</v>
      </c>
      <c r="M126" s="1665">
        <v>45435</v>
      </c>
      <c r="N126" s="1665">
        <v>45434</v>
      </c>
      <c r="O126" s="1665">
        <v>45436</v>
      </c>
      <c r="P126" s="656" t="s">
        <v>7780</v>
      </c>
      <c r="Q126" s="718" t="s">
        <v>6852</v>
      </c>
      <c r="R126" s="1710" t="s">
        <v>36</v>
      </c>
    </row>
    <row r="127" spans="1:26" s="656" customFormat="1">
      <c r="A127" s="2595" t="s">
        <v>3343</v>
      </c>
      <c r="B127" s="709" t="s">
        <v>7781</v>
      </c>
      <c r="C127" s="718" t="s">
        <v>28</v>
      </c>
      <c r="D127" s="1665">
        <v>45408</v>
      </c>
      <c r="E127" s="877">
        <v>45423</v>
      </c>
      <c r="F127" s="718" t="s">
        <v>45</v>
      </c>
      <c r="G127" s="718" t="s">
        <v>46</v>
      </c>
      <c r="H127" s="2793"/>
      <c r="I127" s="2356"/>
      <c r="J127" s="2349" t="s">
        <v>32</v>
      </c>
      <c r="K127" s="2160" t="s">
        <v>47</v>
      </c>
      <c r="L127" s="1651" t="s">
        <v>7782</v>
      </c>
      <c r="M127" s="1665">
        <v>45426</v>
      </c>
      <c r="N127" s="1665">
        <v>45426</v>
      </c>
      <c r="O127" s="1665">
        <v>45427</v>
      </c>
      <c r="P127" s="656" t="s">
        <v>7783</v>
      </c>
      <c r="Q127" s="718" t="s">
        <v>6852</v>
      </c>
      <c r="R127" s="1710" t="s">
        <v>36</v>
      </c>
    </row>
    <row r="128" spans="1:26" s="508" customFormat="1">
      <c r="A128" s="2491" t="s">
        <v>3343</v>
      </c>
      <c r="B128" s="2721" t="s">
        <v>7784</v>
      </c>
      <c r="C128" s="93" t="s">
        <v>28</v>
      </c>
      <c r="D128" s="2476">
        <v>45408</v>
      </c>
      <c r="E128" s="3671">
        <v>45433</v>
      </c>
      <c r="F128" s="93" t="s">
        <v>45</v>
      </c>
      <c r="G128" s="93" t="s">
        <v>46</v>
      </c>
      <c r="H128" s="2722"/>
      <c r="I128" s="2337"/>
      <c r="J128" s="518" t="s">
        <v>32</v>
      </c>
      <c r="K128" s="93" t="s">
        <v>47</v>
      </c>
      <c r="L128" s="26" t="s">
        <v>7785</v>
      </c>
      <c r="M128" s="2476"/>
      <c r="N128" s="2476">
        <v>45432</v>
      </c>
      <c r="O128" s="2476">
        <v>45433</v>
      </c>
      <c r="P128" s="508" t="s">
        <v>7786</v>
      </c>
      <c r="Q128" s="93" t="s">
        <v>6852</v>
      </c>
      <c r="R128" s="2482" t="s">
        <v>51</v>
      </c>
      <c r="T128" s="508">
        <v>4346.2</v>
      </c>
    </row>
    <row r="129" spans="1:26" s="656" customFormat="1">
      <c r="A129" s="2595" t="s">
        <v>3343</v>
      </c>
      <c r="B129" s="709" t="s">
        <v>7787</v>
      </c>
      <c r="C129" s="718" t="s">
        <v>28</v>
      </c>
      <c r="D129" s="1665">
        <v>45408</v>
      </c>
      <c r="E129" s="1669">
        <v>45435</v>
      </c>
      <c r="F129" s="718" t="s">
        <v>45</v>
      </c>
      <c r="G129" s="718" t="s">
        <v>46</v>
      </c>
      <c r="H129" s="2793"/>
      <c r="I129" s="2356"/>
      <c r="J129" s="2799" t="s">
        <v>32</v>
      </c>
      <c r="K129" s="718" t="s">
        <v>47</v>
      </c>
      <c r="L129" s="707" t="s">
        <v>7788</v>
      </c>
      <c r="M129" s="1665">
        <v>45436</v>
      </c>
      <c r="N129" s="1665">
        <v>45436</v>
      </c>
      <c r="O129" s="1665">
        <v>45438</v>
      </c>
      <c r="P129" s="656" t="s">
        <v>7789</v>
      </c>
      <c r="Q129" s="718" t="s">
        <v>6852</v>
      </c>
      <c r="R129" s="1710" t="s">
        <v>36</v>
      </c>
    </row>
    <row r="130" spans="1:26" s="656" customFormat="1">
      <c r="A130" s="2595" t="s">
        <v>3343</v>
      </c>
      <c r="B130" s="709" t="s">
        <v>7790</v>
      </c>
      <c r="C130" s="718" t="s">
        <v>28</v>
      </c>
      <c r="D130" s="1665">
        <v>45408</v>
      </c>
      <c r="E130" s="2681">
        <v>45420</v>
      </c>
      <c r="F130" s="718" t="s">
        <v>45</v>
      </c>
      <c r="G130" s="718" t="s">
        <v>46</v>
      </c>
      <c r="H130" s="2793"/>
      <c r="I130" s="2356"/>
      <c r="J130" s="2349" t="s">
        <v>32</v>
      </c>
      <c r="K130" s="2160" t="s">
        <v>47</v>
      </c>
      <c r="L130" s="1651" t="s">
        <v>7791</v>
      </c>
      <c r="M130" s="1665">
        <v>45422</v>
      </c>
      <c r="N130" s="1665">
        <v>45421</v>
      </c>
      <c r="O130" s="1665">
        <v>45423</v>
      </c>
      <c r="P130" s="656" t="s">
        <v>7792</v>
      </c>
      <c r="Q130" s="718" t="s">
        <v>6852</v>
      </c>
      <c r="R130" s="1710" t="s">
        <v>36</v>
      </c>
    </row>
    <row r="131" spans="1:26" s="656" customFormat="1">
      <c r="A131" s="2595" t="s">
        <v>3343</v>
      </c>
      <c r="B131" s="718" t="s">
        <v>7793</v>
      </c>
      <c r="C131" s="718" t="s">
        <v>28</v>
      </c>
      <c r="D131" s="1665">
        <v>45408</v>
      </c>
      <c r="E131" s="1669">
        <v>45420</v>
      </c>
      <c r="F131" s="718" t="s">
        <v>45</v>
      </c>
      <c r="G131" s="656" t="s">
        <v>46</v>
      </c>
      <c r="H131" s="2793"/>
      <c r="I131" s="2356"/>
      <c r="J131" s="2349" t="s">
        <v>32</v>
      </c>
      <c r="K131" s="2160" t="s">
        <v>47</v>
      </c>
      <c r="L131" s="1651" t="s">
        <v>7794</v>
      </c>
      <c r="M131" s="1665">
        <v>45421</v>
      </c>
      <c r="N131" s="1665">
        <v>45420</v>
      </c>
      <c r="O131" s="1665">
        <v>45422</v>
      </c>
      <c r="P131" s="656" t="s">
        <v>7795</v>
      </c>
      <c r="Q131" s="718" t="s">
        <v>6852</v>
      </c>
      <c r="R131" s="1710" t="s">
        <v>51</v>
      </c>
    </row>
    <row r="132" spans="1:26" s="656" customFormat="1">
      <c r="A132" s="2595" t="s">
        <v>3343</v>
      </c>
      <c r="B132" s="718" t="s">
        <v>7796</v>
      </c>
      <c r="C132" s="718" t="s">
        <v>28</v>
      </c>
      <c r="D132" s="1665">
        <v>45408</v>
      </c>
      <c r="E132" s="4941">
        <v>45420</v>
      </c>
      <c r="F132" s="718" t="s">
        <v>45</v>
      </c>
      <c r="G132" s="656" t="s">
        <v>46</v>
      </c>
      <c r="H132" s="2793"/>
      <c r="I132" s="2356"/>
      <c r="J132" s="2349" t="s">
        <v>32</v>
      </c>
      <c r="K132" s="2160" t="s">
        <v>47</v>
      </c>
      <c r="L132" s="1651" t="s">
        <v>7797</v>
      </c>
      <c r="M132" s="1665">
        <v>45422</v>
      </c>
      <c r="N132" s="1665">
        <v>45422</v>
      </c>
      <c r="O132" s="1665">
        <v>45424</v>
      </c>
      <c r="P132" s="656" t="s">
        <v>7798</v>
      </c>
      <c r="Q132" s="718" t="s">
        <v>6852</v>
      </c>
      <c r="R132" s="1710" t="s">
        <v>51</v>
      </c>
    </row>
    <row r="133" spans="1:26" s="713" customFormat="1">
      <c r="A133" s="2595" t="s">
        <v>3343</v>
      </c>
      <c r="B133" s="718" t="s">
        <v>7799</v>
      </c>
      <c r="C133" s="718" t="s">
        <v>28</v>
      </c>
      <c r="D133" s="1665">
        <v>45408</v>
      </c>
      <c r="E133" s="2681">
        <v>45422</v>
      </c>
      <c r="F133" s="718" t="s">
        <v>45</v>
      </c>
      <c r="G133" s="656" t="s">
        <v>46</v>
      </c>
      <c r="H133" s="2795"/>
      <c r="I133" s="2372"/>
      <c r="J133" s="2349" t="s">
        <v>32</v>
      </c>
      <c r="K133" s="2160" t="s">
        <v>47</v>
      </c>
      <c r="L133" s="1651" t="s">
        <v>7800</v>
      </c>
      <c r="M133" s="1665">
        <v>45422</v>
      </c>
      <c r="N133" s="1665">
        <v>45421</v>
      </c>
      <c r="O133" s="1665">
        <v>45422</v>
      </c>
      <c r="P133" s="656" t="s">
        <v>7801</v>
      </c>
      <c r="Q133" s="718" t="s">
        <v>6852</v>
      </c>
      <c r="R133" s="1644" t="s">
        <v>51</v>
      </c>
    </row>
    <row r="134" spans="1:26" s="641" customFormat="1">
      <c r="A134" s="2491" t="s">
        <v>3343</v>
      </c>
      <c r="B134" s="2723" t="s">
        <v>7802</v>
      </c>
      <c r="C134" s="93" t="s">
        <v>28</v>
      </c>
      <c r="D134" s="2476">
        <v>45408</v>
      </c>
      <c r="E134" s="2684">
        <v>45416</v>
      </c>
      <c r="F134" s="93" t="s">
        <v>56</v>
      </c>
      <c r="G134" s="508" t="s">
        <v>46</v>
      </c>
      <c r="H134" s="2719"/>
      <c r="I134" s="643"/>
      <c r="J134" s="518" t="s">
        <v>32</v>
      </c>
      <c r="K134" s="2714" t="s">
        <v>47</v>
      </c>
      <c r="L134" s="1483">
        <v>536308</v>
      </c>
      <c r="M134" s="2476">
        <v>45418</v>
      </c>
      <c r="N134" s="2476">
        <v>45417</v>
      </c>
      <c r="O134" s="2476">
        <v>45419</v>
      </c>
      <c r="P134" s="508" t="s">
        <v>7803</v>
      </c>
      <c r="Q134" s="93" t="s">
        <v>6852</v>
      </c>
      <c r="R134" s="2720" t="s">
        <v>51</v>
      </c>
      <c r="T134" s="641">
        <v>3886</v>
      </c>
    </row>
    <row r="135" spans="1:26" s="33" customFormat="1" ht="45">
      <c r="A135" s="660" t="s">
        <v>7804</v>
      </c>
      <c r="B135" s="1002" t="s">
        <v>7805</v>
      </c>
      <c r="C135" s="660" t="s">
        <v>28</v>
      </c>
      <c r="D135" s="728">
        <v>45422</v>
      </c>
      <c r="E135" s="728">
        <v>45448</v>
      </c>
      <c r="F135" s="660" t="s">
        <v>29</v>
      </c>
      <c r="G135" s="660" t="s">
        <v>57</v>
      </c>
      <c r="H135" s="2724">
        <v>45408</v>
      </c>
      <c r="I135" s="4352" t="s">
        <v>40</v>
      </c>
      <c r="J135" s="1028" t="s">
        <v>32</v>
      </c>
      <c r="K135" s="4163" t="s">
        <v>661</v>
      </c>
      <c r="L135" s="860" t="s">
        <v>542</v>
      </c>
      <c r="M135" s="2725" t="s">
        <v>7806</v>
      </c>
      <c r="N135" s="1026">
        <v>45408</v>
      </c>
      <c r="O135" s="1026">
        <v>45408</v>
      </c>
      <c r="P135" s="4096" t="s">
        <v>7807</v>
      </c>
      <c r="Q135" s="660" t="s">
        <v>75</v>
      </c>
      <c r="R135" s="4339" t="s">
        <v>7808</v>
      </c>
      <c r="S135" s="660" t="s">
        <v>664</v>
      </c>
      <c r="T135" s="660">
        <v>840</v>
      </c>
      <c r="U135" s="660">
        <v>660</v>
      </c>
      <c r="V135" s="4845">
        <v>1</v>
      </c>
      <c r="W135" s="4845">
        <f t="shared" ref="W135:W140" si="2">T135-U135</f>
        <v>180</v>
      </c>
      <c r="X135" s="5060">
        <f t="shared" ref="X135:X140" si="3">W135/U135</f>
        <v>0.27272727272727271</v>
      </c>
      <c r="Y135" s="660"/>
      <c r="Z135" s="660"/>
    </row>
    <row r="136" spans="1:26" s="507" customFormat="1" ht="30">
      <c r="A136" s="4908" t="s">
        <v>165</v>
      </c>
      <c r="B136" s="5451" t="s">
        <v>7809</v>
      </c>
      <c r="C136" s="4908" t="s">
        <v>200</v>
      </c>
      <c r="D136" s="4906">
        <v>45398</v>
      </c>
      <c r="E136" s="4916">
        <v>45405</v>
      </c>
      <c r="F136" s="4908" t="s">
        <v>167</v>
      </c>
      <c r="G136" s="4908" t="s">
        <v>302</v>
      </c>
      <c r="H136" s="4906">
        <v>45408</v>
      </c>
      <c r="I136" s="4909" t="s">
        <v>104</v>
      </c>
      <c r="J136" s="4908" t="s">
        <v>32</v>
      </c>
      <c r="K136" s="4908" t="s">
        <v>2013</v>
      </c>
      <c r="L136" s="4908" t="s">
        <v>7810</v>
      </c>
      <c r="M136" s="4918">
        <v>45408</v>
      </c>
      <c r="N136" s="4918">
        <v>45408</v>
      </c>
      <c r="O136" s="4918">
        <v>45408</v>
      </c>
      <c r="P136" s="5049" t="s">
        <v>7811</v>
      </c>
      <c r="Q136" s="4845" t="s">
        <v>75</v>
      </c>
      <c r="R136" s="4908" t="s">
        <v>7812</v>
      </c>
      <c r="S136" s="4845"/>
      <c r="T136" s="4845">
        <v>1070</v>
      </c>
      <c r="U136" s="4845">
        <v>870</v>
      </c>
      <c r="V136" s="4845">
        <v>1</v>
      </c>
      <c r="W136" s="4845">
        <f t="shared" si="2"/>
        <v>200</v>
      </c>
      <c r="X136" s="5060">
        <f t="shared" si="3"/>
        <v>0.22988505747126436</v>
      </c>
      <c r="Y136" s="4845"/>
      <c r="Z136" s="4845"/>
    </row>
    <row r="137" spans="1:26">
      <c r="A137" s="4908" t="s">
        <v>165</v>
      </c>
      <c r="B137" s="5067" t="s">
        <v>7813</v>
      </c>
      <c r="C137" s="4845" t="s">
        <v>44</v>
      </c>
      <c r="D137" s="4906">
        <v>45402</v>
      </c>
      <c r="E137" s="4916">
        <v>45402</v>
      </c>
      <c r="F137" s="4845" t="s">
        <v>135</v>
      </c>
      <c r="G137" s="4909" t="s">
        <v>5090</v>
      </c>
      <c r="H137" s="4906">
        <v>45405</v>
      </c>
      <c r="I137" s="4908" t="s">
        <v>7814</v>
      </c>
      <c r="J137" s="4908" t="s">
        <v>322</v>
      </c>
      <c r="K137" s="4908" t="s">
        <v>4357</v>
      </c>
      <c r="L137" s="4908" t="s">
        <v>162</v>
      </c>
      <c r="M137" s="4906">
        <v>45407</v>
      </c>
      <c r="N137" s="4906">
        <v>45405</v>
      </c>
      <c r="O137" s="5070">
        <v>45408</v>
      </c>
      <c r="P137" s="5049" t="s">
        <v>7815</v>
      </c>
      <c r="Q137" s="4845" t="s">
        <v>75</v>
      </c>
      <c r="R137" s="4908" t="s">
        <v>7816</v>
      </c>
      <c r="S137" s="4845"/>
      <c r="T137" s="4845">
        <v>960</v>
      </c>
      <c r="U137" s="4845">
        <v>772.8</v>
      </c>
      <c r="V137" s="4845">
        <v>1</v>
      </c>
      <c r="W137" s="4845">
        <f t="shared" si="2"/>
        <v>187.20000000000005</v>
      </c>
      <c r="X137" s="4919">
        <f t="shared" si="3"/>
        <v>0.24223602484472057</v>
      </c>
      <c r="Y137" s="4845"/>
      <c r="Z137" s="4845"/>
    </row>
    <row r="138" spans="1:26" s="507" customFormat="1" ht="30">
      <c r="A138" s="857" t="s">
        <v>468</v>
      </c>
      <c r="B138" s="4353" t="s">
        <v>7817</v>
      </c>
      <c r="C138" s="1010" t="s">
        <v>28</v>
      </c>
      <c r="D138" s="697">
        <v>45403</v>
      </c>
      <c r="E138" s="879">
        <v>45403</v>
      </c>
      <c r="F138" s="4354" t="s">
        <v>260</v>
      </c>
      <c r="G138" s="2240" t="s">
        <v>4355</v>
      </c>
      <c r="H138" s="4355">
        <v>45411</v>
      </c>
      <c r="I138" s="4353" t="s">
        <v>7818</v>
      </c>
      <c r="J138" s="1010" t="s">
        <v>322</v>
      </c>
      <c r="K138" s="4356" t="s">
        <v>6955</v>
      </c>
      <c r="L138" s="4356" t="s">
        <v>162</v>
      </c>
      <c r="M138" s="2726">
        <v>45408</v>
      </c>
      <c r="N138" s="697">
        <v>45407</v>
      </c>
      <c r="O138" s="4357">
        <v>45411</v>
      </c>
      <c r="P138" s="4353" t="s">
        <v>7819</v>
      </c>
      <c r="Q138" s="857" t="s">
        <v>75</v>
      </c>
      <c r="R138" s="4353" t="s">
        <v>7820</v>
      </c>
      <c r="S138" s="1010"/>
      <c r="T138" s="1010">
        <v>1425</v>
      </c>
      <c r="U138" s="1010">
        <v>1030.5</v>
      </c>
      <c r="V138" s="1010">
        <v>1</v>
      </c>
      <c r="W138" s="1010">
        <f t="shared" si="2"/>
        <v>394.5</v>
      </c>
      <c r="X138" s="892">
        <f t="shared" si="3"/>
        <v>0.38282387190684136</v>
      </c>
      <c r="Y138" s="1010"/>
      <c r="Z138" s="1010"/>
    </row>
    <row r="139" spans="1:26" s="117" customFormat="1" ht="90">
      <c r="A139" s="3273" t="s">
        <v>7362</v>
      </c>
      <c r="B139" s="4246" t="s">
        <v>7821</v>
      </c>
      <c r="C139" s="3273" t="s">
        <v>7822</v>
      </c>
      <c r="D139" s="3292">
        <v>45398</v>
      </c>
      <c r="E139" s="3463">
        <v>45403</v>
      </c>
      <c r="F139" s="3273" t="s">
        <v>1828</v>
      </c>
      <c r="G139" s="3273" t="s">
        <v>302</v>
      </c>
      <c r="H139" s="3292">
        <v>45406</v>
      </c>
      <c r="I139" s="4246" t="s">
        <v>618</v>
      </c>
      <c r="J139" s="3633" t="s">
        <v>1028</v>
      </c>
      <c r="K139" s="4246" t="s">
        <v>7364</v>
      </c>
      <c r="L139" s="3367" t="s">
        <v>7823</v>
      </c>
      <c r="M139" s="3292">
        <v>45405</v>
      </c>
      <c r="N139" s="3292">
        <v>45405</v>
      </c>
      <c r="O139" s="3463">
        <v>45411</v>
      </c>
      <c r="P139" s="4246" t="s">
        <v>7824</v>
      </c>
      <c r="Q139" s="3273" t="s">
        <v>75</v>
      </c>
      <c r="R139" s="4246" t="s">
        <v>7825</v>
      </c>
      <c r="S139" s="3273"/>
      <c r="T139" s="3393">
        <v>2110</v>
      </c>
      <c r="U139" s="3273">
        <f>1207.63+85</f>
        <v>1292.6300000000001</v>
      </c>
      <c r="V139" s="3273">
        <v>1</v>
      </c>
      <c r="W139" s="5110">
        <f t="shared" si="2"/>
        <v>817.36999999999989</v>
      </c>
      <c r="X139" s="5111">
        <f t="shared" si="3"/>
        <v>0.63233098411765143</v>
      </c>
      <c r="Y139" s="4909" t="s">
        <v>5640</v>
      </c>
      <c r="Z139" s="3273"/>
    </row>
    <row r="140" spans="1:26" s="33" customFormat="1">
      <c r="A140" s="4908" t="s">
        <v>165</v>
      </c>
      <c r="B140" s="4908" t="s">
        <v>7826</v>
      </c>
      <c r="C140" s="4845" t="s">
        <v>44</v>
      </c>
      <c r="D140" s="4906">
        <v>45404</v>
      </c>
      <c r="E140" s="4916">
        <v>45404</v>
      </c>
      <c r="F140" s="4845" t="s">
        <v>135</v>
      </c>
      <c r="G140" s="4909" t="s">
        <v>7827</v>
      </c>
      <c r="H140" s="4918">
        <v>45408</v>
      </c>
      <c r="I140" s="4929" t="s">
        <v>1196</v>
      </c>
      <c r="J140" s="4908" t="s">
        <v>1163</v>
      </c>
      <c r="K140" s="4908" t="s">
        <v>7828</v>
      </c>
      <c r="L140" s="4929" t="s">
        <v>162</v>
      </c>
      <c r="M140" s="4918">
        <v>45411</v>
      </c>
      <c r="N140" s="4918">
        <v>45408</v>
      </c>
      <c r="O140" s="4906">
        <v>45411</v>
      </c>
      <c r="P140" s="4909" t="s">
        <v>7829</v>
      </c>
      <c r="Q140" s="4845" t="s">
        <v>75</v>
      </c>
      <c r="R140" s="4909" t="s">
        <v>7830</v>
      </c>
      <c r="S140" s="4845"/>
      <c r="T140" s="4845">
        <v>1090</v>
      </c>
      <c r="U140" s="4845">
        <v>964.6</v>
      </c>
      <c r="V140" s="4845">
        <v>1</v>
      </c>
      <c r="W140" s="4845">
        <f t="shared" si="2"/>
        <v>125.39999999999998</v>
      </c>
      <c r="X140" s="5060">
        <f t="shared" si="3"/>
        <v>0.13000207339829978</v>
      </c>
      <c r="Y140" s="4845"/>
      <c r="Z140" s="4845"/>
    </row>
    <row r="141" spans="1:26" s="641" customFormat="1" ht="30">
      <c r="A141" s="1748" t="s">
        <v>263</v>
      </c>
      <c r="B141" s="709" t="s">
        <v>7831</v>
      </c>
      <c r="C141" s="1748" t="s">
        <v>44</v>
      </c>
      <c r="D141" s="2596">
        <v>45398</v>
      </c>
      <c r="E141" s="2596">
        <v>45398</v>
      </c>
      <c r="F141" s="1748" t="s">
        <v>135</v>
      </c>
      <c r="G141" s="4358" t="s">
        <v>7832</v>
      </c>
      <c r="H141" s="2727">
        <v>45400</v>
      </c>
      <c r="I141" s="2728" t="s">
        <v>178</v>
      </c>
      <c r="J141" s="1748" t="s">
        <v>3228</v>
      </c>
      <c r="K141" s="1748" t="s">
        <v>4910</v>
      </c>
      <c r="L141" s="1748"/>
      <c r="M141" s="2596"/>
      <c r="N141" s="2596">
        <v>45399</v>
      </c>
      <c r="O141" s="2596">
        <v>45400</v>
      </c>
      <c r="P141" s="4359" t="s">
        <v>7833</v>
      </c>
      <c r="Q141" s="4359" t="s">
        <v>128</v>
      </c>
      <c r="R141" s="2729" t="s">
        <v>36</v>
      </c>
      <c r="S141" s="726"/>
      <c r="T141" s="726">
        <v>1280.1500000000001</v>
      </c>
      <c r="U141" s="726">
        <v>925</v>
      </c>
      <c r="V141" s="726"/>
      <c r="W141" s="726">
        <f>表12[[#This Row],[Sales Amount]]-表12[[#This Row],[Cost]]</f>
        <v>0</v>
      </c>
      <c r="X141" s="2730" t="str">
        <f>IFERROR(Table6[[#This Row],[Profit]]/Table6[[#This Row],[Cost]]," ")</f>
        <v xml:space="preserve"> </v>
      </c>
      <c r="Y141" s="726"/>
      <c r="Z141" s="726"/>
    </row>
    <row r="142" spans="1:26" s="641" customFormat="1">
      <c r="A142" s="718" t="s">
        <v>263</v>
      </c>
      <c r="B142" s="4122" t="s">
        <v>7834</v>
      </c>
      <c r="C142" s="718" t="s">
        <v>44</v>
      </c>
      <c r="D142" s="1016">
        <v>45404</v>
      </c>
      <c r="E142" s="1016">
        <v>45404</v>
      </c>
      <c r="F142" s="718" t="s">
        <v>135</v>
      </c>
      <c r="G142" s="718" t="s">
        <v>265</v>
      </c>
      <c r="H142" s="2731">
        <v>45408</v>
      </c>
      <c r="I142" s="711"/>
      <c r="J142" s="4194" t="s">
        <v>377</v>
      </c>
      <c r="K142" s="4194" t="s">
        <v>7835</v>
      </c>
      <c r="L142" s="718"/>
      <c r="M142" s="1016">
        <v>45411</v>
      </c>
      <c r="N142" s="1016">
        <v>45408</v>
      </c>
      <c r="O142" s="1016">
        <v>45411</v>
      </c>
      <c r="P142" s="4194" t="s">
        <v>7836</v>
      </c>
      <c r="Q142" s="718" t="s">
        <v>128</v>
      </c>
      <c r="R142" s="2346" t="s">
        <v>36</v>
      </c>
      <c r="S142" s="727"/>
      <c r="T142" s="2732"/>
      <c r="U142" s="2732">
        <f>1277.5+90</f>
        <v>1367.5</v>
      </c>
      <c r="V142" s="727"/>
      <c r="W142" s="2733">
        <f>表12[[#This Row],[Sales Amount]]-表12[[#This Row],[Cost]]</f>
        <v>0</v>
      </c>
      <c r="X142" s="2734" t="str">
        <f>IFERROR(Table6[[#This Row],[Profit]]/Table6[[#This Row],[Cost]]," ")</f>
        <v xml:space="preserve"> </v>
      </c>
      <c r="Y142" s="727"/>
      <c r="Z142" s="727"/>
    </row>
    <row r="143" spans="1:26" s="641" customFormat="1">
      <c r="A143" s="718" t="s">
        <v>263</v>
      </c>
      <c r="B143" s="4194" t="s">
        <v>7837</v>
      </c>
      <c r="C143" s="718" t="s">
        <v>44</v>
      </c>
      <c r="D143" s="1016">
        <v>45413</v>
      </c>
      <c r="E143" s="1016">
        <v>45413</v>
      </c>
      <c r="F143" s="718" t="s">
        <v>135</v>
      </c>
      <c r="G143" s="718" t="s">
        <v>265</v>
      </c>
      <c r="H143" s="2346"/>
      <c r="I143" s="711"/>
      <c r="J143" s="4194" t="s">
        <v>377</v>
      </c>
      <c r="K143" s="4194" t="s">
        <v>7835</v>
      </c>
      <c r="L143" s="709"/>
      <c r="M143" s="1016">
        <v>45427</v>
      </c>
      <c r="N143" s="1016">
        <v>45426</v>
      </c>
      <c r="O143" s="1016">
        <v>45427</v>
      </c>
      <c r="P143" s="4194" t="s">
        <v>7838</v>
      </c>
      <c r="Q143" s="718" t="s">
        <v>128</v>
      </c>
      <c r="R143" s="2346" t="s">
        <v>36</v>
      </c>
      <c r="S143" s="727"/>
      <c r="T143" s="2732">
        <v>1556.41</v>
      </c>
      <c r="U143" s="2732">
        <f>1052.5+90+80.16</f>
        <v>1222.6600000000001</v>
      </c>
      <c r="V143" s="727">
        <v>1</v>
      </c>
      <c r="W143" s="2732">
        <f>表17[[#This Row],[Sales Amount]]-表17[[#This Row],[Cost]]</f>
        <v>333.75</v>
      </c>
      <c r="X143" s="2734" t="str">
        <f>IFERROR(Table6[[#This Row],[Profit]]/Table6[[#This Row],[Cost]]," ")</f>
        <v xml:space="preserve"> </v>
      </c>
      <c r="Y143" s="727"/>
      <c r="Z143" s="727"/>
    </row>
    <row r="144" spans="1:26" s="641" customFormat="1">
      <c r="A144" s="726" t="s">
        <v>263</v>
      </c>
      <c r="B144" s="4122" t="s">
        <v>7839</v>
      </c>
      <c r="C144" s="726" t="s">
        <v>44</v>
      </c>
      <c r="D144" s="1666">
        <v>45419</v>
      </c>
      <c r="E144" s="1635">
        <v>45419</v>
      </c>
      <c r="F144" s="726" t="s">
        <v>135</v>
      </c>
      <c r="G144" s="726" t="s">
        <v>265</v>
      </c>
      <c r="H144" s="4360" t="s">
        <v>7840</v>
      </c>
      <c r="I144" s="713"/>
      <c r="J144" s="1662"/>
      <c r="K144" s="4361" t="s">
        <v>7841</v>
      </c>
      <c r="L144" s="1662"/>
      <c r="M144" s="1666"/>
      <c r="N144" s="1666"/>
      <c r="O144" s="1666"/>
      <c r="P144" s="4361" t="s">
        <v>7842</v>
      </c>
      <c r="Q144" s="726" t="s">
        <v>128</v>
      </c>
      <c r="R144" s="713" t="s">
        <v>36</v>
      </c>
      <c r="S144" s="713"/>
      <c r="T144" s="713">
        <v>1520.16</v>
      </c>
      <c r="U144" s="713">
        <f>1060+80.16+90</f>
        <v>1230.1600000000001</v>
      </c>
      <c r="V144" s="713">
        <v>1</v>
      </c>
      <c r="W144" s="713"/>
      <c r="X144" s="713"/>
      <c r="Y144" s="713"/>
      <c r="Z144" s="713"/>
    </row>
    <row r="145" spans="1:26" s="693" customFormat="1">
      <c r="A145" s="120" t="s">
        <v>622</v>
      </c>
      <c r="B145" s="4193" t="s">
        <v>7843</v>
      </c>
      <c r="C145" s="120" t="s">
        <v>28</v>
      </c>
      <c r="D145" s="679">
        <v>45386</v>
      </c>
      <c r="E145" s="696">
        <v>45406</v>
      </c>
      <c r="F145" s="120" t="s">
        <v>285</v>
      </c>
      <c r="G145" s="120" t="s">
        <v>46</v>
      </c>
      <c r="H145" s="679">
        <v>45411</v>
      </c>
      <c r="I145" s="717" t="s">
        <v>7844</v>
      </c>
      <c r="J145" s="2735" t="s">
        <v>32</v>
      </c>
      <c r="K145" s="906" t="s">
        <v>1445</v>
      </c>
      <c r="L145" s="823" t="s">
        <v>7845</v>
      </c>
      <c r="M145" s="679">
        <v>45410</v>
      </c>
      <c r="N145" s="679">
        <v>45410</v>
      </c>
      <c r="O145" s="4844">
        <v>45411</v>
      </c>
      <c r="P145" s="719" t="s">
        <v>7846</v>
      </c>
      <c r="Q145" s="120" t="s">
        <v>75</v>
      </c>
      <c r="R145" s="719" t="s">
        <v>7847</v>
      </c>
      <c r="S145" s="120" t="s">
        <v>67</v>
      </c>
      <c r="T145" s="2128">
        <v>5875</v>
      </c>
      <c r="U145" s="120">
        <f>4800+68+550+90</f>
        <v>5508</v>
      </c>
      <c r="V145" s="660">
        <v>1</v>
      </c>
      <c r="W145" s="2749">
        <f>表17[[#This Row],[Sales Amount]]-表17[[#This Row],[Cost]]</f>
        <v>367</v>
      </c>
      <c r="X145" s="885">
        <f>表17[[#This Row],[Profit]]/表17[[#This Row],[Cost]]</f>
        <v>6.6630355846042127E-2</v>
      </c>
      <c r="Y145" s="120"/>
      <c r="Z145" s="120"/>
    </row>
    <row r="146" spans="1:26" s="693" customFormat="1" ht="105">
      <c r="A146" s="4193" t="s">
        <v>1501</v>
      </c>
      <c r="B146" s="4128" t="s">
        <v>7848</v>
      </c>
      <c r="C146" s="4193" t="s">
        <v>2100</v>
      </c>
      <c r="D146" s="654" t="s">
        <v>7849</v>
      </c>
      <c r="E146" s="653">
        <v>45439</v>
      </c>
      <c r="F146" s="120" t="s">
        <v>93</v>
      </c>
      <c r="G146" s="4128" t="s">
        <v>7850</v>
      </c>
      <c r="H146" s="653">
        <v>45411</v>
      </c>
      <c r="I146" s="4193" t="s">
        <v>115</v>
      </c>
      <c r="J146" s="120" t="s">
        <v>297</v>
      </c>
      <c r="K146" s="4193" t="s">
        <v>7306</v>
      </c>
      <c r="L146" s="808" t="s">
        <v>7851</v>
      </c>
      <c r="M146" s="842" t="s">
        <v>7852</v>
      </c>
      <c r="N146" s="653">
        <v>45411</v>
      </c>
      <c r="O146" s="653">
        <v>45411</v>
      </c>
      <c r="P146" s="4128" t="s">
        <v>7853</v>
      </c>
      <c r="Q146" s="120" t="s">
        <v>75</v>
      </c>
      <c r="R146" s="4193" t="s">
        <v>7854</v>
      </c>
      <c r="S146" s="120"/>
      <c r="T146" s="2128">
        <v>1060</v>
      </c>
      <c r="U146" s="120">
        <v>841</v>
      </c>
      <c r="V146" s="120">
        <v>1</v>
      </c>
      <c r="W146" s="2128">
        <f>T146-U146</f>
        <v>219</v>
      </c>
      <c r="X146" s="1067">
        <f>W146/U146</f>
        <v>0.26040428061831156</v>
      </c>
      <c r="Y146" s="120"/>
      <c r="Z146" s="120"/>
    </row>
    <row r="147" spans="1:26" s="508" customFormat="1" ht="75">
      <c r="A147" s="4128" t="s">
        <v>1501</v>
      </c>
      <c r="B147" s="4128" t="s">
        <v>7855</v>
      </c>
      <c r="C147" s="120" t="s">
        <v>28</v>
      </c>
      <c r="D147" s="654" t="s">
        <v>7856</v>
      </c>
      <c r="E147" s="653">
        <v>45432</v>
      </c>
      <c r="F147" s="4193" t="s">
        <v>45</v>
      </c>
      <c r="G147" s="4128" t="s">
        <v>3915</v>
      </c>
      <c r="H147" s="4193" t="s">
        <v>7352</v>
      </c>
      <c r="I147" s="4193" t="s">
        <v>7352</v>
      </c>
      <c r="J147" s="4193" t="s">
        <v>7352</v>
      </c>
      <c r="K147" s="4193" t="s">
        <v>7352</v>
      </c>
      <c r="L147" s="808" t="s">
        <v>7353</v>
      </c>
      <c r="M147" s="842" t="s">
        <v>7857</v>
      </c>
      <c r="N147" s="653"/>
      <c r="O147" s="4227">
        <v>45401</v>
      </c>
      <c r="P147" s="4128" t="s">
        <v>7858</v>
      </c>
      <c r="Q147" s="4193" t="s">
        <v>75</v>
      </c>
      <c r="R147" s="4193" t="s">
        <v>7859</v>
      </c>
      <c r="S147" s="120"/>
      <c r="T147" s="120"/>
      <c r="U147" s="120"/>
      <c r="V147" s="120"/>
      <c r="W147" s="120"/>
      <c r="X147" s="120"/>
      <c r="Y147" s="120"/>
      <c r="Z147" s="120"/>
    </row>
    <row r="148" spans="1:26" s="507" customFormat="1" ht="90">
      <c r="A148" s="120" t="s">
        <v>1501</v>
      </c>
      <c r="B148" s="900" t="s">
        <v>7860</v>
      </c>
      <c r="C148" s="120" t="s">
        <v>28</v>
      </c>
      <c r="D148" s="653">
        <v>45403</v>
      </c>
      <c r="E148" s="653">
        <v>45432</v>
      </c>
      <c r="F148" s="120" t="s">
        <v>93</v>
      </c>
      <c r="G148" s="4128" t="s">
        <v>7850</v>
      </c>
      <c r="H148" s="653">
        <v>45399</v>
      </c>
      <c r="I148" s="120" t="s">
        <v>926</v>
      </c>
      <c r="J148" s="4845" t="s">
        <v>297</v>
      </c>
      <c r="K148" s="4193" t="s">
        <v>7306</v>
      </c>
      <c r="L148" s="808" t="s">
        <v>7861</v>
      </c>
      <c r="M148" s="842" t="s">
        <v>7354</v>
      </c>
      <c r="N148" s="838">
        <v>45399</v>
      </c>
      <c r="O148" s="838">
        <v>45399</v>
      </c>
      <c r="P148" s="4128" t="s">
        <v>7862</v>
      </c>
      <c r="Q148" s="4845" t="s">
        <v>75</v>
      </c>
      <c r="R148" s="4128" t="s">
        <v>7863</v>
      </c>
      <c r="S148" s="120"/>
      <c r="T148" s="2128">
        <v>1205</v>
      </c>
      <c r="U148" s="2128">
        <v>836</v>
      </c>
      <c r="V148" s="120">
        <v>1</v>
      </c>
      <c r="W148" s="2128">
        <f>T148-U148</f>
        <v>369</v>
      </c>
      <c r="X148" s="1067">
        <f>W148/U148</f>
        <v>0.44138755980861244</v>
      </c>
      <c r="Y148" s="120"/>
      <c r="Z148" s="120"/>
    </row>
    <row r="149" spans="1:26" ht="90">
      <c r="A149" s="660" t="s">
        <v>1501</v>
      </c>
      <c r="B149" s="706" t="s">
        <v>7864</v>
      </c>
      <c r="C149" s="660" t="s">
        <v>28</v>
      </c>
      <c r="D149" s="728">
        <v>45403</v>
      </c>
      <c r="E149" s="728">
        <v>45432</v>
      </c>
      <c r="F149" s="660" t="s">
        <v>93</v>
      </c>
      <c r="G149" s="715" t="s">
        <v>7850</v>
      </c>
      <c r="H149" s="728">
        <v>45400</v>
      </c>
      <c r="I149" s="660" t="s">
        <v>926</v>
      </c>
      <c r="J149" s="660" t="s">
        <v>297</v>
      </c>
      <c r="K149" s="4163" t="s">
        <v>7306</v>
      </c>
      <c r="L149" s="2725" t="s">
        <v>7861</v>
      </c>
      <c r="M149" s="1056" t="s">
        <v>7354</v>
      </c>
      <c r="N149" s="728">
        <v>45400</v>
      </c>
      <c r="O149" s="4226">
        <v>45400</v>
      </c>
      <c r="P149" s="4096" t="s">
        <v>7865</v>
      </c>
      <c r="Q149" s="660" t="s">
        <v>75</v>
      </c>
      <c r="R149" s="4096" t="s">
        <v>7866</v>
      </c>
      <c r="S149" s="660"/>
      <c r="T149" s="2126">
        <v>1107.5</v>
      </c>
      <c r="U149" s="2126">
        <v>836</v>
      </c>
      <c r="V149" s="660">
        <v>1</v>
      </c>
      <c r="W149" s="2126">
        <f>T149-U149</f>
        <v>271.5</v>
      </c>
      <c r="X149" s="919">
        <f>W149/U149</f>
        <v>0.32476076555023925</v>
      </c>
      <c r="Y149" s="660"/>
      <c r="Z149" s="660"/>
    </row>
    <row r="150" spans="1:26" s="117" customFormat="1" ht="105">
      <c r="A150" s="4845" t="s">
        <v>1945</v>
      </c>
      <c r="B150" s="4964" t="s">
        <v>7867</v>
      </c>
      <c r="C150" s="4845" t="s">
        <v>28</v>
      </c>
      <c r="D150" s="4906">
        <v>45431</v>
      </c>
      <c r="E150" s="4906">
        <v>45450</v>
      </c>
      <c r="F150" s="4845" t="s">
        <v>45</v>
      </c>
      <c r="G150" s="4909" t="s">
        <v>7868</v>
      </c>
      <c r="H150" s="4906">
        <v>45408</v>
      </c>
      <c r="I150" s="4908" t="s">
        <v>115</v>
      </c>
      <c r="J150" s="4845" t="s">
        <v>7869</v>
      </c>
      <c r="K150" s="4964" t="s">
        <v>7870</v>
      </c>
      <c r="L150" s="4908" t="s">
        <v>7871</v>
      </c>
      <c r="M150" s="4936" t="s">
        <v>7872</v>
      </c>
      <c r="N150" s="4906">
        <v>45408</v>
      </c>
      <c r="O150" s="4961">
        <v>45411</v>
      </c>
      <c r="P150" s="4909" t="s">
        <v>7873</v>
      </c>
      <c r="Q150" s="4845" t="s">
        <v>75</v>
      </c>
      <c r="R150" s="4938" t="s">
        <v>7874</v>
      </c>
      <c r="S150" s="4845"/>
      <c r="T150" s="4845">
        <v>3990</v>
      </c>
      <c r="U150" s="4845">
        <f>2383+928+50</f>
        <v>3361</v>
      </c>
      <c r="V150" s="660">
        <v>1</v>
      </c>
      <c r="W150" s="2749">
        <f>表17[[#This Row],[Sales Amount]]-表17[[#This Row],[Cost]]</f>
        <v>629</v>
      </c>
      <c r="X150" s="885">
        <f>表17[[#This Row],[Profit]]/表17[[#This Row],[Cost]]</f>
        <v>0.18714668253495984</v>
      </c>
      <c r="Y150" s="4845"/>
      <c r="Z150" s="4845"/>
    </row>
    <row r="151" spans="1:26" s="106" customFormat="1">
      <c r="A151" s="4861" t="s">
        <v>254</v>
      </c>
      <c r="B151" s="4861" t="s">
        <v>7875</v>
      </c>
      <c r="C151" s="4861" t="s">
        <v>200</v>
      </c>
      <c r="D151" s="4953">
        <v>45400</v>
      </c>
      <c r="E151" s="4953">
        <v>45400</v>
      </c>
      <c r="F151" s="4861" t="s">
        <v>273</v>
      </c>
      <c r="G151" s="4861" t="s">
        <v>152</v>
      </c>
      <c r="H151" s="4953"/>
      <c r="I151" s="4861"/>
      <c r="J151" s="5325" t="s">
        <v>154</v>
      </c>
      <c r="K151" s="4861" t="s">
        <v>7876</v>
      </c>
      <c r="L151" s="4861"/>
      <c r="M151" s="4953"/>
      <c r="N151" s="4953"/>
      <c r="O151" s="4953"/>
      <c r="P151" s="4861" t="s">
        <v>7877</v>
      </c>
      <c r="Q151" s="4861" t="s">
        <v>35</v>
      </c>
      <c r="R151" s="4861" t="s">
        <v>810</v>
      </c>
      <c r="S151" s="4861" t="s">
        <v>37</v>
      </c>
      <c r="T151" s="4874"/>
      <c r="U151" s="4874"/>
      <c r="V151" s="4874"/>
      <c r="W151" s="4874"/>
      <c r="X151" s="4874"/>
      <c r="Y151" s="4874"/>
      <c r="Z151" s="4874"/>
    </row>
    <row r="152" spans="1:26" s="106" customFormat="1" ht="12" customHeight="1">
      <c r="A152" s="3246" t="s">
        <v>254</v>
      </c>
      <c r="B152" s="3246" t="s">
        <v>7878</v>
      </c>
      <c r="C152" s="3246" t="s">
        <v>200</v>
      </c>
      <c r="D152" s="3267">
        <v>45416</v>
      </c>
      <c r="E152" s="3267">
        <v>45416</v>
      </c>
      <c r="F152" s="3246" t="s">
        <v>273</v>
      </c>
      <c r="G152" s="3246" t="s">
        <v>7879</v>
      </c>
      <c r="H152" s="3267"/>
      <c r="I152" s="3258"/>
      <c r="J152" s="3544" t="s">
        <v>154</v>
      </c>
      <c r="K152" s="3246" t="s">
        <v>7876</v>
      </c>
      <c r="L152" s="3258"/>
      <c r="M152" s="3267"/>
      <c r="N152" s="3267" t="s">
        <v>738</v>
      </c>
      <c r="O152" s="3267" t="s">
        <v>738</v>
      </c>
      <c r="P152" s="3246" t="s">
        <v>7880</v>
      </c>
      <c r="Q152" s="3527" t="s">
        <v>6852</v>
      </c>
      <c r="R152" s="3246"/>
      <c r="S152" s="3246" t="s">
        <v>37</v>
      </c>
      <c r="T152" s="3258"/>
      <c r="U152" s="3258"/>
      <c r="V152" s="3258"/>
      <c r="W152" s="3258"/>
      <c r="X152" s="3258"/>
      <c r="Y152" s="3258"/>
      <c r="Z152" s="3258"/>
    </row>
    <row r="153" spans="1:26" s="709" customFormat="1" ht="12" customHeight="1">
      <c r="A153" s="4861" t="s">
        <v>254</v>
      </c>
      <c r="B153" s="4861" t="s">
        <v>7881</v>
      </c>
      <c r="C153" s="4861" t="s">
        <v>200</v>
      </c>
      <c r="D153" s="4953">
        <v>45429</v>
      </c>
      <c r="E153" s="4953">
        <f>1+D153</f>
        <v>45430</v>
      </c>
      <c r="F153" s="4861" t="s">
        <v>273</v>
      </c>
      <c r="G153" s="707" t="s">
        <v>7882</v>
      </c>
      <c r="H153" s="4953">
        <v>45435</v>
      </c>
      <c r="I153" s="4861" t="s">
        <v>445</v>
      </c>
      <c r="J153" s="5325" t="s">
        <v>154</v>
      </c>
      <c r="K153" s="4861" t="s">
        <v>7876</v>
      </c>
      <c r="L153" s="4861"/>
      <c r="M153" s="4953">
        <v>45436</v>
      </c>
      <c r="N153" s="4953">
        <v>45435</v>
      </c>
      <c r="O153" s="4953">
        <v>45436</v>
      </c>
      <c r="P153" s="4646" t="s">
        <v>7883</v>
      </c>
      <c r="Q153" s="4861" t="s">
        <v>6852</v>
      </c>
      <c r="R153" s="4861" t="s">
        <v>7884</v>
      </c>
      <c r="S153" s="4861" t="s">
        <v>37</v>
      </c>
      <c r="T153" s="4861"/>
      <c r="U153" s="4861"/>
      <c r="V153" s="4861"/>
      <c r="W153" s="4861"/>
      <c r="X153" s="4861"/>
      <c r="Y153" s="4861"/>
      <c r="Z153" s="4861"/>
    </row>
    <row r="154" spans="1:26" s="641" customFormat="1">
      <c r="A154" s="1010" t="s">
        <v>7885</v>
      </c>
      <c r="B154" s="1010" t="s">
        <v>7886</v>
      </c>
      <c r="C154" s="1010" t="s">
        <v>44</v>
      </c>
      <c r="D154" s="697">
        <v>45405</v>
      </c>
      <c r="E154" s="2736">
        <v>45409</v>
      </c>
      <c r="F154" s="1010" t="s">
        <v>734</v>
      </c>
      <c r="G154" s="1011" t="s">
        <v>829</v>
      </c>
      <c r="H154" s="697"/>
      <c r="I154" s="1010"/>
      <c r="J154" s="1011" t="s">
        <v>32</v>
      </c>
      <c r="K154" s="1011" t="s">
        <v>7887</v>
      </c>
      <c r="L154" s="2737" t="s">
        <v>7888</v>
      </c>
      <c r="M154" s="697"/>
      <c r="N154" s="697">
        <v>45410</v>
      </c>
      <c r="O154" s="697">
        <v>45411</v>
      </c>
      <c r="P154" s="1010" t="s">
        <v>7889</v>
      </c>
      <c r="Q154" s="1010" t="s">
        <v>50</v>
      </c>
      <c r="R154" s="1010" t="s">
        <v>51</v>
      </c>
      <c r="S154" s="1010"/>
      <c r="T154" s="1010"/>
      <c r="U154" s="1010"/>
      <c r="V154" s="1010"/>
      <c r="W154" s="1010"/>
      <c r="X154" s="1010"/>
      <c r="Y154" s="1010"/>
      <c r="Z154" s="1010"/>
    </row>
    <row r="155" spans="1:26" s="508" customFormat="1">
      <c r="A155" s="660" t="s">
        <v>7885</v>
      </c>
      <c r="B155" s="660" t="s">
        <v>7890</v>
      </c>
      <c r="C155" s="660" t="s">
        <v>44</v>
      </c>
      <c r="D155" s="728">
        <v>45405</v>
      </c>
      <c r="E155" s="729">
        <v>45409</v>
      </c>
      <c r="F155" s="660" t="s">
        <v>734</v>
      </c>
      <c r="G155" s="660" t="s">
        <v>829</v>
      </c>
      <c r="H155" s="728"/>
      <c r="I155" s="660"/>
      <c r="J155" s="1012" t="s">
        <v>32</v>
      </c>
      <c r="K155" s="660" t="s">
        <v>7887</v>
      </c>
      <c r="L155" s="507" t="s">
        <v>7891</v>
      </c>
      <c r="M155" s="728"/>
      <c r="N155" s="728">
        <v>45410</v>
      </c>
      <c r="O155" s="728">
        <v>45411</v>
      </c>
      <c r="P155" s="660" t="s">
        <v>7892</v>
      </c>
      <c r="Q155" s="660" t="s">
        <v>50</v>
      </c>
      <c r="R155" s="660" t="s">
        <v>51</v>
      </c>
      <c r="S155" s="660"/>
      <c r="T155" s="660"/>
      <c r="U155" s="660"/>
      <c r="V155" s="660"/>
      <c r="W155" s="660"/>
      <c r="X155" s="660"/>
      <c r="Y155" s="660"/>
      <c r="Z155" s="660"/>
    </row>
    <row r="156" spans="1:26" s="709" customFormat="1" ht="15.75">
      <c r="A156" s="4861" t="s">
        <v>7885</v>
      </c>
      <c r="B156" s="4861" t="s">
        <v>7893</v>
      </c>
      <c r="C156" s="4861" t="s">
        <v>44</v>
      </c>
      <c r="D156" s="4953">
        <v>45405</v>
      </c>
      <c r="E156" s="4885">
        <v>45409</v>
      </c>
      <c r="F156" s="4861" t="s">
        <v>734</v>
      </c>
      <c r="G156" s="4861" t="s">
        <v>829</v>
      </c>
      <c r="H156" s="4953"/>
      <c r="I156" s="4861"/>
      <c r="J156" s="4902" t="s">
        <v>32</v>
      </c>
      <c r="K156" s="4861" t="s">
        <v>7887</v>
      </c>
      <c r="L156" s="5466" t="s">
        <v>7894</v>
      </c>
      <c r="M156" s="4953">
        <v>45413</v>
      </c>
      <c r="N156" s="4953">
        <v>45411</v>
      </c>
      <c r="O156" s="4953">
        <v>45414</v>
      </c>
      <c r="P156" s="4861" t="s">
        <v>7895</v>
      </c>
      <c r="Q156" s="4861" t="s">
        <v>50</v>
      </c>
      <c r="R156" s="660" t="s">
        <v>51</v>
      </c>
      <c r="S156" s="4861"/>
      <c r="T156" s="4861"/>
      <c r="U156" s="3246"/>
      <c r="V156" s="4861"/>
      <c r="W156" s="4861"/>
      <c r="X156" s="4861"/>
      <c r="Y156" s="4861"/>
      <c r="Z156" s="4861"/>
    </row>
    <row r="157" spans="1:26" s="117" customFormat="1">
      <c r="A157" s="3268" t="s">
        <v>7885</v>
      </c>
      <c r="B157" s="3268" t="s">
        <v>7896</v>
      </c>
      <c r="C157" s="3268" t="s">
        <v>44</v>
      </c>
      <c r="D157" s="3262">
        <v>45405</v>
      </c>
      <c r="E157" s="3264">
        <v>45409</v>
      </c>
      <c r="F157" s="3268" t="s">
        <v>734</v>
      </c>
      <c r="G157" s="3268" t="s">
        <v>829</v>
      </c>
      <c r="H157" s="3262"/>
      <c r="I157" s="3268"/>
      <c r="J157" s="3462" t="s">
        <v>32</v>
      </c>
      <c r="K157" s="3268" t="s">
        <v>7887</v>
      </c>
      <c r="L157" s="4242" t="s">
        <v>7897</v>
      </c>
      <c r="M157" s="3262">
        <v>45413</v>
      </c>
      <c r="N157" s="3262">
        <v>45411</v>
      </c>
      <c r="O157" s="3262">
        <v>45413</v>
      </c>
      <c r="P157" s="3268" t="s">
        <v>7898</v>
      </c>
      <c r="Q157" s="3268" t="s">
        <v>50</v>
      </c>
      <c r="R157" s="4845" t="s">
        <v>51</v>
      </c>
      <c r="S157" s="3268"/>
      <c r="T157" s="3268"/>
      <c r="U157" s="3268"/>
      <c r="V157" s="3268"/>
      <c r="W157" s="3268"/>
      <c r="X157" s="4845"/>
      <c r="Y157" s="3268"/>
      <c r="Z157" s="3268"/>
    </row>
    <row r="158" spans="1:26" ht="15.75">
      <c r="A158" s="660" t="s">
        <v>7885</v>
      </c>
      <c r="B158" s="660" t="s">
        <v>7899</v>
      </c>
      <c r="C158" s="660" t="s">
        <v>44</v>
      </c>
      <c r="D158" s="728">
        <v>45405</v>
      </c>
      <c r="E158" s="729">
        <v>45409</v>
      </c>
      <c r="F158" s="660" t="s">
        <v>734</v>
      </c>
      <c r="G158" s="660" t="s">
        <v>829</v>
      </c>
      <c r="H158" s="728"/>
      <c r="I158" s="660"/>
      <c r="J158" s="3462" t="s">
        <v>32</v>
      </c>
      <c r="K158" s="113" t="s">
        <v>7887</v>
      </c>
      <c r="L158" s="2610" t="s">
        <v>7900</v>
      </c>
      <c r="M158" s="2611">
        <v>45413</v>
      </c>
      <c r="N158" s="728">
        <v>45411</v>
      </c>
      <c r="O158" s="728">
        <v>45412</v>
      </c>
      <c r="P158" s="660" t="s">
        <v>7901</v>
      </c>
      <c r="Q158" s="3268" t="s">
        <v>50</v>
      </c>
      <c r="R158" s="660" t="s">
        <v>51</v>
      </c>
      <c r="S158" s="660"/>
      <c r="T158" s="660"/>
      <c r="U158" s="660"/>
      <c r="V158" s="660"/>
      <c r="W158" s="660"/>
      <c r="X158" s="660"/>
      <c r="Y158" s="660"/>
      <c r="Z158" s="660"/>
    </row>
    <row r="159" spans="1:26" s="2738" customFormat="1" ht="15.75">
      <c r="A159" s="120" t="s">
        <v>7885</v>
      </c>
      <c r="B159" s="120" t="s">
        <v>7902</v>
      </c>
      <c r="C159" s="120" t="s">
        <v>44</v>
      </c>
      <c r="D159" s="653">
        <v>45405</v>
      </c>
      <c r="E159" s="654">
        <v>45409</v>
      </c>
      <c r="F159" s="1209" t="s">
        <v>734</v>
      </c>
      <c r="G159" s="120" t="s">
        <v>829</v>
      </c>
      <c r="H159" s="2609"/>
      <c r="I159" s="120"/>
      <c r="J159" s="1061" t="s">
        <v>32</v>
      </c>
      <c r="K159" s="1209" t="s">
        <v>7887</v>
      </c>
      <c r="L159" s="2610" t="s">
        <v>7903</v>
      </c>
      <c r="M159" s="2609"/>
      <c r="N159" s="653">
        <v>45410</v>
      </c>
      <c r="O159" s="653">
        <v>45412</v>
      </c>
      <c r="P159" s="120" t="s">
        <v>7904</v>
      </c>
      <c r="Q159" s="6050" t="s">
        <v>50</v>
      </c>
      <c r="R159" s="120" t="s">
        <v>51</v>
      </c>
      <c r="S159" s="120"/>
      <c r="T159" s="120"/>
      <c r="U159" s="120"/>
      <c r="V159" s="120"/>
      <c r="W159" s="120"/>
      <c r="X159" s="120"/>
      <c r="Y159" s="120"/>
      <c r="Z159" s="120"/>
    </row>
    <row r="160" spans="1:26" s="106" customFormat="1">
      <c r="A160" s="1748" t="s">
        <v>7885</v>
      </c>
      <c r="B160" s="1748" t="s">
        <v>7905</v>
      </c>
      <c r="C160" s="1748" t="s">
        <v>1508</v>
      </c>
      <c r="D160" s="2596"/>
      <c r="E160" s="2596">
        <v>45414</v>
      </c>
      <c r="F160" s="1748"/>
      <c r="G160" s="1748"/>
      <c r="H160" s="2596">
        <v>45414</v>
      </c>
      <c r="I160" s="1748" t="s">
        <v>7906</v>
      </c>
      <c r="J160" s="4861" t="s">
        <v>4011</v>
      </c>
      <c r="K160" s="1748" t="s">
        <v>7907</v>
      </c>
      <c r="L160" s="1748"/>
      <c r="M160" s="2596"/>
      <c r="N160" s="2596">
        <v>45415</v>
      </c>
      <c r="O160" s="1993"/>
      <c r="P160" s="1748" t="s">
        <v>7908</v>
      </c>
      <c r="Q160" s="1748" t="s">
        <v>50</v>
      </c>
      <c r="R160" s="4861" t="s">
        <v>51</v>
      </c>
      <c r="S160" s="110"/>
      <c r="T160" s="110"/>
      <c r="U160" s="110"/>
      <c r="V160" s="110"/>
      <c r="W160" s="110"/>
      <c r="X160" s="110"/>
      <c r="Y160" s="4874"/>
      <c r="Z160" s="110"/>
    </row>
    <row r="161" spans="1:26" s="508" customFormat="1">
      <c r="A161" s="726" t="s">
        <v>639</v>
      </c>
      <c r="B161" s="726" t="s">
        <v>7909</v>
      </c>
      <c r="C161" s="726" t="s">
        <v>200</v>
      </c>
      <c r="D161" s="2739">
        <v>45391</v>
      </c>
      <c r="E161" s="2740">
        <v>45397</v>
      </c>
      <c r="F161" s="726" t="s">
        <v>260</v>
      </c>
      <c r="G161" s="726" t="s">
        <v>361</v>
      </c>
      <c r="H161" s="2739">
        <v>45399</v>
      </c>
      <c r="I161" s="726"/>
      <c r="J161" s="2741" t="s">
        <v>1353</v>
      </c>
      <c r="K161" s="726" t="s">
        <v>1486</v>
      </c>
      <c r="L161" s="2742">
        <v>529651</v>
      </c>
      <c r="M161" s="2743">
        <v>45399</v>
      </c>
      <c r="N161" s="1682">
        <v>45399</v>
      </c>
      <c r="O161" s="2739">
        <v>45399</v>
      </c>
      <c r="P161" s="726" t="s">
        <v>7910</v>
      </c>
      <c r="Q161" s="726" t="s">
        <v>35</v>
      </c>
      <c r="R161" s="726" t="s">
        <v>36</v>
      </c>
      <c r="S161" s="726" t="s">
        <v>37</v>
      </c>
      <c r="T161" s="1415">
        <v>1150</v>
      </c>
      <c r="U161" s="1415">
        <v>864</v>
      </c>
      <c r="V161" s="1415"/>
      <c r="W161" s="1415"/>
      <c r="X161" s="1415"/>
      <c r="Y161" s="1415"/>
      <c r="Z161" s="1415"/>
    </row>
    <row r="162" spans="1:26" s="106" customFormat="1" ht="30">
      <c r="A162" s="4947" t="s">
        <v>122</v>
      </c>
      <c r="B162" s="4909" t="s">
        <v>7911</v>
      </c>
      <c r="C162" s="4947" t="s">
        <v>28</v>
      </c>
      <c r="D162" s="5069">
        <v>45394</v>
      </c>
      <c r="E162" s="5070">
        <v>45394</v>
      </c>
      <c r="F162" s="4947" t="s">
        <v>45</v>
      </c>
      <c r="G162" s="4947" t="s">
        <v>7912</v>
      </c>
      <c r="H162" s="5069">
        <v>45399</v>
      </c>
      <c r="I162" s="4947" t="s">
        <v>445</v>
      </c>
      <c r="J162" s="5133" t="s">
        <v>7913</v>
      </c>
      <c r="K162" s="4951" t="s">
        <v>7914</v>
      </c>
      <c r="L162" s="4845"/>
      <c r="M162" s="4988">
        <v>45400</v>
      </c>
      <c r="N162" s="5069">
        <v>45398</v>
      </c>
      <c r="O162" s="4988">
        <v>45400</v>
      </c>
      <c r="P162" s="4362" t="s">
        <v>7915</v>
      </c>
      <c r="Q162" s="4947" t="s">
        <v>75</v>
      </c>
      <c r="R162" s="4909" t="s">
        <v>7916</v>
      </c>
      <c r="S162" s="4947"/>
      <c r="T162" s="4947">
        <v>345</v>
      </c>
      <c r="U162" s="4947">
        <v>120</v>
      </c>
      <c r="V162" s="4947">
        <v>1</v>
      </c>
      <c r="W162" s="4947">
        <f>T162-U162</f>
        <v>225</v>
      </c>
      <c r="X162" s="5111">
        <f>W162/U162</f>
        <v>1.875</v>
      </c>
      <c r="Y162" s="4947"/>
      <c r="Z162" s="4947"/>
    </row>
    <row r="163" spans="1:26" s="117" customFormat="1" ht="105">
      <c r="A163" s="4845" t="s">
        <v>1945</v>
      </c>
      <c r="B163" s="4909" t="s">
        <v>7917</v>
      </c>
      <c r="C163" s="4845" t="s">
        <v>28</v>
      </c>
      <c r="D163" s="4906">
        <v>45431</v>
      </c>
      <c r="E163" s="653">
        <v>45450</v>
      </c>
      <c r="F163" s="4845" t="s">
        <v>45</v>
      </c>
      <c r="G163" s="4909" t="s">
        <v>7868</v>
      </c>
      <c r="H163" s="4906">
        <v>45408</v>
      </c>
      <c r="I163" s="4908" t="s">
        <v>108</v>
      </c>
      <c r="J163" s="4845" t="s">
        <v>7869</v>
      </c>
      <c r="K163" s="4947" t="s">
        <v>7870</v>
      </c>
      <c r="L163" s="4908" t="s">
        <v>7871</v>
      </c>
      <c r="M163" s="4936" t="s">
        <v>7872</v>
      </c>
      <c r="N163" s="4906">
        <v>45408</v>
      </c>
      <c r="O163" s="4961">
        <v>45411</v>
      </c>
      <c r="P163" s="4362" t="s">
        <v>7873</v>
      </c>
      <c r="Q163" s="4845" t="s">
        <v>75</v>
      </c>
      <c r="R163" s="4938" t="s">
        <v>7874</v>
      </c>
      <c r="S163" s="4845"/>
      <c r="T163" s="4845">
        <v>3990</v>
      </c>
      <c r="U163" s="4845">
        <f>2383+928+50</f>
        <v>3361</v>
      </c>
      <c r="V163" s="660">
        <v>1</v>
      </c>
      <c r="W163" s="2749">
        <f>表17[[#This Row],[Sales Amount]]-表17[[#This Row],[Cost]]</f>
        <v>629</v>
      </c>
      <c r="X163" s="885">
        <f>表17[[#This Row],[Profit]]/表17[[#This Row],[Cost]]</f>
        <v>0.18714668253495984</v>
      </c>
      <c r="Y163" s="4845"/>
      <c r="Z163" s="4845"/>
    </row>
    <row r="164" spans="1:26" s="713" customFormat="1" ht="17.25">
      <c r="A164" s="726" t="s">
        <v>4793</v>
      </c>
      <c r="B164" s="726" t="s">
        <v>7918</v>
      </c>
      <c r="C164" s="726" t="s">
        <v>28</v>
      </c>
      <c r="D164" s="2670">
        <v>45386</v>
      </c>
      <c r="E164" s="1020">
        <v>45396</v>
      </c>
      <c r="F164" s="1662" t="s">
        <v>45</v>
      </c>
      <c r="G164" s="726" t="s">
        <v>46</v>
      </c>
      <c r="H164" s="2739"/>
      <c r="I164" s="726"/>
      <c r="J164" s="2779" t="s">
        <v>32</v>
      </c>
      <c r="K164" s="726" t="s">
        <v>47</v>
      </c>
      <c r="L164" s="2780" t="s">
        <v>7919</v>
      </c>
      <c r="M164" s="2739">
        <v>45398</v>
      </c>
      <c r="N164" s="2739">
        <v>45397</v>
      </c>
      <c r="O164" s="2739">
        <v>45399</v>
      </c>
      <c r="P164" s="726" t="s">
        <v>7920</v>
      </c>
      <c r="Q164" s="726" t="s">
        <v>6852</v>
      </c>
      <c r="R164" s="726" t="s">
        <v>7921</v>
      </c>
      <c r="S164" s="726"/>
      <c r="T164" s="2781"/>
      <c r="U164" s="2781"/>
      <c r="V164" s="726"/>
      <c r="W164" s="2782">
        <f>表12[[#This Row],[Sales Amount]]-表12[[#This Row],[Cost]]</f>
        <v>0</v>
      </c>
      <c r="X164" s="726">
        <f>IFERROR(Table6[[#This Row],[Profit]]/Table6[[#This Row],[Cost]]," ")</f>
        <v>0.37892376681614348</v>
      </c>
      <c r="Y164" s="726"/>
      <c r="Z164" s="726"/>
    </row>
    <row r="165" spans="1:26" s="1664" customFormat="1" ht="17.25">
      <c r="A165" s="1724" t="s">
        <v>4793</v>
      </c>
      <c r="B165" s="1724" t="s">
        <v>7922</v>
      </c>
      <c r="C165" s="1724" t="s">
        <v>28</v>
      </c>
      <c r="D165" s="2789">
        <v>45386</v>
      </c>
      <c r="E165" s="2746">
        <v>45397</v>
      </c>
      <c r="F165" s="1664" t="s">
        <v>45</v>
      </c>
      <c r="G165" s="1724" t="s">
        <v>46</v>
      </c>
      <c r="J165" s="2790" t="s">
        <v>32</v>
      </c>
      <c r="K165" s="2467" t="s">
        <v>47</v>
      </c>
      <c r="L165" s="2791" t="s">
        <v>7923</v>
      </c>
      <c r="M165" s="2789">
        <v>45401</v>
      </c>
      <c r="N165" s="2789">
        <v>45399</v>
      </c>
      <c r="O165" s="2789">
        <v>45402</v>
      </c>
      <c r="P165" s="1664" t="s">
        <v>7924</v>
      </c>
      <c r="Q165" s="1724" t="s">
        <v>6852</v>
      </c>
      <c r="R165" s="1664" t="s">
        <v>36</v>
      </c>
    </row>
    <row r="166" spans="1:26" s="713" customFormat="1" ht="17.25">
      <c r="A166" s="727" t="s">
        <v>4793</v>
      </c>
      <c r="B166" s="727" t="s">
        <v>7925</v>
      </c>
      <c r="C166" s="727" t="s">
        <v>28</v>
      </c>
      <c r="D166" s="1017">
        <v>45387</v>
      </c>
      <c r="E166" s="2669">
        <v>45397</v>
      </c>
      <c r="F166" s="1102" t="s">
        <v>45</v>
      </c>
      <c r="G166" s="727" t="s">
        <v>46</v>
      </c>
      <c r="H166" s="1581"/>
      <c r="J166" s="2661" t="s">
        <v>32</v>
      </c>
      <c r="K166" s="2385" t="s">
        <v>47</v>
      </c>
      <c r="L166" s="2744" t="s">
        <v>7926</v>
      </c>
      <c r="M166" s="1581">
        <v>45400</v>
      </c>
      <c r="N166" s="1581">
        <v>45400</v>
      </c>
      <c r="O166" s="1581">
        <v>45401</v>
      </c>
      <c r="P166" s="713" t="s">
        <v>7927</v>
      </c>
      <c r="Q166" s="727" t="s">
        <v>6852</v>
      </c>
      <c r="R166" s="713" t="s">
        <v>7928</v>
      </c>
    </row>
    <row r="167" spans="1:26" s="1664" customFormat="1">
      <c r="A167" s="1664" t="s">
        <v>4793</v>
      </c>
      <c r="B167" s="1724" t="s">
        <v>7929</v>
      </c>
      <c r="C167" s="1972" t="s">
        <v>28</v>
      </c>
      <c r="D167" s="2745">
        <v>45397</v>
      </c>
      <c r="E167" s="2746">
        <v>45407</v>
      </c>
      <c r="F167" s="1724" t="s">
        <v>56</v>
      </c>
      <c r="G167" s="1664" t="s">
        <v>46</v>
      </c>
      <c r="H167" s="2625"/>
      <c r="J167" s="2747" t="s">
        <v>32</v>
      </c>
      <c r="K167" s="1724" t="s">
        <v>47</v>
      </c>
      <c r="L167" s="2748" t="s">
        <v>7930</v>
      </c>
      <c r="M167" s="2625">
        <v>45409</v>
      </c>
      <c r="N167" s="2625">
        <v>45409</v>
      </c>
      <c r="O167" s="2625">
        <v>45411</v>
      </c>
      <c r="P167" s="1664" t="s">
        <v>7931</v>
      </c>
      <c r="Q167" s="1724" t="s">
        <v>6852</v>
      </c>
      <c r="R167" s="1664" t="s">
        <v>51</v>
      </c>
    </row>
    <row r="168" spans="1:26" s="656" customFormat="1">
      <c r="A168" s="656" t="s">
        <v>7932</v>
      </c>
      <c r="B168" s="718" t="s">
        <v>7933</v>
      </c>
      <c r="C168" s="718" t="s">
        <v>28</v>
      </c>
      <c r="D168" s="1665">
        <v>45408</v>
      </c>
      <c r="E168" s="1669">
        <v>45420</v>
      </c>
      <c r="F168" s="718" t="s">
        <v>151</v>
      </c>
      <c r="G168" s="718" t="s">
        <v>46</v>
      </c>
      <c r="H168" s="1665"/>
      <c r="J168" s="2349" t="s">
        <v>32</v>
      </c>
      <c r="K168" s="2160" t="s">
        <v>47</v>
      </c>
      <c r="L168" s="1651" t="s">
        <v>7934</v>
      </c>
      <c r="M168" s="1665">
        <v>45422</v>
      </c>
      <c r="N168" s="1665">
        <v>45422</v>
      </c>
      <c r="O168" s="1665">
        <v>45424</v>
      </c>
      <c r="P168" s="656" t="s">
        <v>7935</v>
      </c>
      <c r="Q168" s="656" t="s">
        <v>6852</v>
      </c>
      <c r="R168" s="656" t="s">
        <v>51</v>
      </c>
    </row>
    <row r="169" spans="1:26" s="641" customFormat="1" ht="30">
      <c r="A169" s="1063" t="s">
        <v>2489</v>
      </c>
      <c r="B169" s="4163" t="s">
        <v>7936</v>
      </c>
      <c r="C169" s="4163" t="s">
        <v>794</v>
      </c>
      <c r="D169" s="728">
        <v>45382</v>
      </c>
      <c r="E169" s="729">
        <v>45394</v>
      </c>
      <c r="F169" s="4163" t="s">
        <v>1357</v>
      </c>
      <c r="G169" s="4096" t="s">
        <v>7937</v>
      </c>
      <c r="H169" s="728">
        <v>45399</v>
      </c>
      <c r="I169" s="660" t="s">
        <v>618</v>
      </c>
      <c r="J169" s="4163" t="s">
        <v>490</v>
      </c>
      <c r="K169" s="4163" t="s">
        <v>7938</v>
      </c>
      <c r="L169" s="4363" t="s">
        <v>7939</v>
      </c>
      <c r="M169" s="728">
        <v>45395</v>
      </c>
      <c r="N169" s="728">
        <v>45394</v>
      </c>
      <c r="O169" s="728">
        <v>45399</v>
      </c>
      <c r="P169" s="4096" t="s">
        <v>7940</v>
      </c>
      <c r="Q169" s="660" t="s">
        <v>75</v>
      </c>
      <c r="R169" s="4163" t="s">
        <v>7941</v>
      </c>
      <c r="S169" s="660"/>
      <c r="T169" s="2749">
        <v>2050</v>
      </c>
      <c r="U169" s="2750">
        <v>1427.5</v>
      </c>
      <c r="V169" s="660">
        <v>1</v>
      </c>
      <c r="W169" s="2751">
        <f>T169-U169</f>
        <v>622.5</v>
      </c>
      <c r="X169" s="885">
        <f>W169/U169</f>
        <v>0.43607705779334499</v>
      </c>
      <c r="Y169" s="660"/>
      <c r="Z169" s="660"/>
    </row>
    <row r="170" spans="1:26" s="693" customFormat="1" ht="60">
      <c r="A170" s="4163" t="s">
        <v>2505</v>
      </c>
      <c r="B170" s="2752" t="s">
        <v>7942</v>
      </c>
      <c r="C170" s="660" t="s">
        <v>200</v>
      </c>
      <c r="D170" s="1007">
        <v>45402</v>
      </c>
      <c r="E170" s="1056">
        <v>45412</v>
      </c>
      <c r="F170" s="4163" t="s">
        <v>1828</v>
      </c>
      <c r="G170" s="4163" t="s">
        <v>302</v>
      </c>
      <c r="H170" s="728">
        <v>45418</v>
      </c>
      <c r="I170" s="4163" t="s">
        <v>618</v>
      </c>
      <c r="J170" s="660" t="s">
        <v>32</v>
      </c>
      <c r="K170" s="4163" t="s">
        <v>7943</v>
      </c>
      <c r="L170" s="4363" t="s">
        <v>7944</v>
      </c>
      <c r="M170" s="840">
        <v>45415</v>
      </c>
      <c r="N170" s="728">
        <v>45415</v>
      </c>
      <c r="O170" s="835">
        <v>45418</v>
      </c>
      <c r="P170" s="4096" t="s">
        <v>7945</v>
      </c>
      <c r="Q170" s="660" t="s">
        <v>75</v>
      </c>
      <c r="R170" s="719" t="s">
        <v>7946</v>
      </c>
      <c r="S170" s="660"/>
      <c r="T170" s="2749">
        <v>1665</v>
      </c>
      <c r="U170" s="2749">
        <v>1200</v>
      </c>
      <c r="V170" s="660">
        <v>1</v>
      </c>
      <c r="W170" s="2749">
        <f>表17[[#This Row],[Sales Amount]]-表17[[#This Row],[Cost]]</f>
        <v>465</v>
      </c>
      <c r="X170" s="885">
        <f>表17[[#This Row],[Profit]]/表17[[#This Row],[Cost]]</f>
        <v>0.38750000000000001</v>
      </c>
      <c r="Y170" s="660"/>
      <c r="Z170" s="660"/>
    </row>
    <row r="171" spans="1:26" s="641" customFormat="1" ht="45">
      <c r="A171" s="660" t="s">
        <v>2505</v>
      </c>
      <c r="B171" s="2752" t="s">
        <v>7947</v>
      </c>
      <c r="C171" s="660" t="s">
        <v>200</v>
      </c>
      <c r="D171" s="1007">
        <v>45390</v>
      </c>
      <c r="E171" s="1056">
        <v>45401</v>
      </c>
      <c r="F171" s="660" t="s">
        <v>1828</v>
      </c>
      <c r="G171" s="660" t="s">
        <v>302</v>
      </c>
      <c r="H171" s="728">
        <v>45404</v>
      </c>
      <c r="I171" s="660" t="s">
        <v>3956</v>
      </c>
      <c r="J171" s="660" t="s">
        <v>32</v>
      </c>
      <c r="K171" s="660" t="s">
        <v>7943</v>
      </c>
      <c r="L171" s="884" t="s">
        <v>7948</v>
      </c>
      <c r="M171" s="728">
        <v>45404</v>
      </c>
      <c r="N171" s="728">
        <v>45404</v>
      </c>
      <c r="O171" s="728">
        <v>45404</v>
      </c>
      <c r="P171" s="4096" t="s">
        <v>7949</v>
      </c>
      <c r="Q171" s="660" t="s">
        <v>75</v>
      </c>
      <c r="R171" s="4163" t="s">
        <v>7950</v>
      </c>
      <c r="S171" s="660"/>
      <c r="T171" s="660">
        <v>1285</v>
      </c>
      <c r="U171" s="660">
        <v>1120</v>
      </c>
      <c r="V171" s="660">
        <v>1</v>
      </c>
      <c r="W171" s="660">
        <f t="shared" ref="W171:W176" si="4">T171-U171</f>
        <v>165</v>
      </c>
      <c r="X171" s="885">
        <f>W171/U171</f>
        <v>0.14732142857142858</v>
      </c>
      <c r="Y171" s="660"/>
      <c r="Z171" s="660"/>
    </row>
    <row r="172" spans="1:26" ht="105">
      <c r="A172" s="660" t="s">
        <v>2847</v>
      </c>
      <c r="B172" s="4163" t="s">
        <v>7951</v>
      </c>
      <c r="C172" s="660" t="s">
        <v>28</v>
      </c>
      <c r="D172" s="728">
        <v>45381</v>
      </c>
      <c r="E172" s="729">
        <v>45407</v>
      </c>
      <c r="F172" s="660" t="s">
        <v>1828</v>
      </c>
      <c r="G172" s="823" t="s">
        <v>3723</v>
      </c>
      <c r="H172" s="728">
        <v>45414</v>
      </c>
      <c r="I172" s="660" t="s">
        <v>618</v>
      </c>
      <c r="J172" s="4163" t="s">
        <v>297</v>
      </c>
      <c r="K172" s="660" t="s">
        <v>7952</v>
      </c>
      <c r="L172" s="4364" t="s">
        <v>7953</v>
      </c>
      <c r="M172" s="728">
        <v>45409</v>
      </c>
      <c r="N172" s="728">
        <v>45413</v>
      </c>
      <c r="O172" s="728">
        <v>45415</v>
      </c>
      <c r="P172" s="4096" t="s">
        <v>7954</v>
      </c>
      <c r="Q172" s="660" t="s">
        <v>75</v>
      </c>
      <c r="R172" s="806" t="s">
        <v>7955</v>
      </c>
      <c r="S172" s="660"/>
      <c r="T172" s="660">
        <v>3250</v>
      </c>
      <c r="U172" s="715">
        <f>2251.5+525</f>
        <v>2776.5</v>
      </c>
      <c r="V172" s="660">
        <v>1</v>
      </c>
      <c r="W172" s="660">
        <f t="shared" si="4"/>
        <v>473.5</v>
      </c>
      <c r="X172" s="885">
        <f>W172/U172</f>
        <v>0.17053844768593554</v>
      </c>
      <c r="Y172" s="4163" t="s">
        <v>5640</v>
      </c>
      <c r="Z172" s="660"/>
    </row>
    <row r="173" spans="1:26" ht="30">
      <c r="A173" s="120" t="s">
        <v>2847</v>
      </c>
      <c r="B173" s="4193" t="s">
        <v>7956</v>
      </c>
      <c r="C173" s="4193" t="s">
        <v>28</v>
      </c>
      <c r="D173" s="653">
        <v>45394</v>
      </c>
      <c r="E173" s="654">
        <v>45394</v>
      </c>
      <c r="F173" s="4193" t="s">
        <v>151</v>
      </c>
      <c r="G173" s="694" t="s">
        <v>7957</v>
      </c>
      <c r="H173" s="4365" t="s">
        <v>7958</v>
      </c>
      <c r="I173" s="883" t="s">
        <v>7959</v>
      </c>
      <c r="J173" s="4193" t="s">
        <v>859</v>
      </c>
      <c r="K173" s="4128" t="s">
        <v>7960</v>
      </c>
      <c r="L173" s="120"/>
      <c r="M173" s="653">
        <v>45400</v>
      </c>
      <c r="N173" s="653">
        <v>45399</v>
      </c>
      <c r="O173" s="696">
        <v>45404</v>
      </c>
      <c r="P173" s="2753" t="s">
        <v>7961</v>
      </c>
      <c r="Q173" s="1723" t="s">
        <v>75</v>
      </c>
      <c r="R173" s="706" t="s">
        <v>7962</v>
      </c>
      <c r="S173" s="660"/>
      <c r="T173" s="2754">
        <v>1616.14</v>
      </c>
      <c r="U173" s="2754">
        <f>1320+71.14+20</f>
        <v>1411.14</v>
      </c>
      <c r="V173" s="660">
        <v>1</v>
      </c>
      <c r="W173" s="2749">
        <f t="shared" si="4"/>
        <v>205</v>
      </c>
      <c r="X173" s="885" t="str">
        <f>IFERROR(Table6[[#This Row],[Profit]]/Table6[[#This Row],[Cost]]," ")</f>
        <v xml:space="preserve"> </v>
      </c>
      <c r="Y173" s="660"/>
      <c r="Z173" s="660"/>
    </row>
    <row r="174" spans="1:26" ht="30">
      <c r="A174" s="660" t="s">
        <v>2847</v>
      </c>
      <c r="B174" s="4163" t="s">
        <v>7963</v>
      </c>
      <c r="C174" s="660" t="s">
        <v>28</v>
      </c>
      <c r="D174" s="728">
        <v>45394</v>
      </c>
      <c r="E174" s="729">
        <v>45402</v>
      </c>
      <c r="F174" s="4163" t="s">
        <v>93</v>
      </c>
      <c r="G174" s="4096" t="s">
        <v>5557</v>
      </c>
      <c r="H174" s="2640">
        <v>45405</v>
      </c>
      <c r="I174" s="881" t="s">
        <v>445</v>
      </c>
      <c r="J174" s="4163" t="s">
        <v>322</v>
      </c>
      <c r="K174" s="4163" t="s">
        <v>2652</v>
      </c>
      <c r="L174" s="660">
        <v>7122166</v>
      </c>
      <c r="M174" s="728">
        <v>45404</v>
      </c>
      <c r="N174" s="728">
        <v>45404</v>
      </c>
      <c r="O174" s="891">
        <v>45405</v>
      </c>
      <c r="P174" s="4096" t="s">
        <v>7964</v>
      </c>
      <c r="Q174" s="660" t="s">
        <v>75</v>
      </c>
      <c r="R174" s="2127" t="s">
        <v>7965</v>
      </c>
      <c r="S174" s="660"/>
      <c r="T174" s="2754">
        <v>1333.75</v>
      </c>
      <c r="U174" s="2754">
        <v>870.5</v>
      </c>
      <c r="V174" s="660">
        <v>1</v>
      </c>
      <c r="W174" s="2749">
        <f t="shared" si="4"/>
        <v>463.25</v>
      </c>
      <c r="X174" s="885" t="str">
        <f>IFERROR(Table6[[#This Row],[Profit]]/Table6[[#This Row],[Cost]]," ")</f>
        <v xml:space="preserve"> </v>
      </c>
      <c r="Y174" s="4163" t="s">
        <v>5640</v>
      </c>
      <c r="Z174" s="660"/>
    </row>
    <row r="175" spans="1:26" s="507" customFormat="1" ht="30">
      <c r="A175" s="4845" t="s">
        <v>7966</v>
      </c>
      <c r="B175" s="4908" t="s">
        <v>7967</v>
      </c>
      <c r="C175" s="4845" t="s">
        <v>28</v>
      </c>
      <c r="D175" s="4906">
        <v>45412</v>
      </c>
      <c r="E175" s="4916">
        <v>45412</v>
      </c>
      <c r="F175" s="4845" t="s">
        <v>4680</v>
      </c>
      <c r="G175" s="4951" t="s">
        <v>7968</v>
      </c>
      <c r="H175" s="4961">
        <v>45419</v>
      </c>
      <c r="I175" s="4908" t="s">
        <v>926</v>
      </c>
      <c r="J175" s="4908" t="s">
        <v>3228</v>
      </c>
      <c r="K175" s="4908" t="s">
        <v>7969</v>
      </c>
      <c r="L175" s="4845" t="s">
        <v>162</v>
      </c>
      <c r="M175" s="4918">
        <v>45420</v>
      </c>
      <c r="N175" s="4906">
        <v>45418</v>
      </c>
      <c r="O175" s="4906">
        <v>45419</v>
      </c>
      <c r="P175" s="5467" t="s">
        <v>7970</v>
      </c>
      <c r="Q175" s="4845" t="s">
        <v>75</v>
      </c>
      <c r="R175" s="4908" t="s">
        <v>7971</v>
      </c>
      <c r="S175" s="4845"/>
      <c r="T175" s="5190">
        <v>1245</v>
      </c>
      <c r="U175" s="4845">
        <v>967.7</v>
      </c>
      <c r="V175" s="4845">
        <v>1</v>
      </c>
      <c r="W175" s="5190">
        <f t="shared" si="4"/>
        <v>277.29999999999995</v>
      </c>
      <c r="X175" s="5060">
        <f>W175/U175</f>
        <v>0.28655575074919909</v>
      </c>
      <c r="Y175" s="4845"/>
      <c r="Z175" s="4845"/>
    </row>
    <row r="176" spans="1:26" ht="45">
      <c r="A176" s="857" t="s">
        <v>2847</v>
      </c>
      <c r="B176" s="2755" t="s">
        <v>7972</v>
      </c>
      <c r="C176" s="857" t="s">
        <v>28</v>
      </c>
      <c r="D176" s="1994">
        <v>45394</v>
      </c>
      <c r="E176" s="2017">
        <v>45402</v>
      </c>
      <c r="F176" s="4291" t="s">
        <v>93</v>
      </c>
      <c r="G176" s="4265" t="s">
        <v>5557</v>
      </c>
      <c r="H176" s="1494">
        <v>45405</v>
      </c>
      <c r="I176" s="1874" t="s">
        <v>5702</v>
      </c>
      <c r="J176" s="4265" t="s">
        <v>7973</v>
      </c>
      <c r="K176" s="4291" t="s">
        <v>2652</v>
      </c>
      <c r="L176" s="857">
        <v>7122127</v>
      </c>
      <c r="M176" s="1994">
        <v>45404</v>
      </c>
      <c r="N176" s="1994">
        <v>45404</v>
      </c>
      <c r="O176" s="1994">
        <v>45406</v>
      </c>
      <c r="P176" s="4265" t="s">
        <v>7974</v>
      </c>
      <c r="Q176" s="857" t="s">
        <v>75</v>
      </c>
      <c r="R176" s="4266" t="s">
        <v>7975</v>
      </c>
      <c r="S176" s="663"/>
      <c r="T176" s="2760">
        <v>2167.5</v>
      </c>
      <c r="U176" s="2649">
        <v>1212.5</v>
      </c>
      <c r="V176" s="663">
        <v>1</v>
      </c>
      <c r="W176" s="2649">
        <f t="shared" si="4"/>
        <v>955</v>
      </c>
      <c r="X176" s="2079">
        <f>W176/U176</f>
        <v>0.78762886597938142</v>
      </c>
      <c r="Y176" s="4166" t="s">
        <v>5640</v>
      </c>
      <c r="Z176" s="663"/>
    </row>
    <row r="177" spans="1:26" s="693" customFormat="1" ht="60">
      <c r="A177" s="4193" t="s">
        <v>896</v>
      </c>
      <c r="B177" s="4193" t="s">
        <v>7976</v>
      </c>
      <c r="C177" s="4193" t="s">
        <v>200</v>
      </c>
      <c r="D177" s="653">
        <v>45410</v>
      </c>
      <c r="E177" s="654">
        <v>45410</v>
      </c>
      <c r="F177" s="4193" t="s">
        <v>93</v>
      </c>
      <c r="G177" s="4128" t="s">
        <v>5116</v>
      </c>
      <c r="H177" s="4355">
        <v>45415</v>
      </c>
      <c r="I177" s="4366" t="s">
        <v>7977</v>
      </c>
      <c r="J177" s="4193" t="s">
        <v>266</v>
      </c>
      <c r="K177" s="4193" t="s">
        <v>7978</v>
      </c>
      <c r="L177" s="120" t="s">
        <v>162</v>
      </c>
      <c r="M177" s="838">
        <v>45414</v>
      </c>
      <c r="N177" s="838">
        <v>45414</v>
      </c>
      <c r="O177" s="4367">
        <v>45419</v>
      </c>
      <c r="P177" s="4128" t="s">
        <v>7979</v>
      </c>
      <c r="Q177" s="120" t="s">
        <v>75</v>
      </c>
      <c r="R177" s="2802" t="s">
        <v>7980</v>
      </c>
      <c r="S177" s="1010"/>
      <c r="T177" s="2803">
        <v>2145</v>
      </c>
      <c r="U177" s="1010">
        <v>1380</v>
      </c>
      <c r="V177" s="660">
        <v>1</v>
      </c>
      <c r="W177" s="2749">
        <f>表17[[#This Row],[Sales Amount]]-表17[[#This Row],[Cost]]</f>
        <v>765</v>
      </c>
      <c r="X177" s="885">
        <f>表17[[#This Row],[Profit]]/表17[[#This Row],[Cost]]</f>
        <v>0.55434782608695654</v>
      </c>
      <c r="Y177" s="1010"/>
      <c r="Z177" s="1010"/>
    </row>
    <row r="178" spans="1:26" ht="30">
      <c r="A178" s="120" t="s">
        <v>2847</v>
      </c>
      <c r="B178" s="4368" t="s">
        <v>7981</v>
      </c>
      <c r="C178" s="4193" t="s">
        <v>200</v>
      </c>
      <c r="D178" s="653">
        <v>45412</v>
      </c>
      <c r="E178" s="654">
        <v>45412</v>
      </c>
      <c r="F178" s="4193" t="s">
        <v>135</v>
      </c>
      <c r="G178" s="900" t="s">
        <v>7982</v>
      </c>
      <c r="H178" s="2609">
        <v>45420</v>
      </c>
      <c r="I178" s="1209" t="s">
        <v>445</v>
      </c>
      <c r="J178" s="4163" t="s">
        <v>859</v>
      </c>
      <c r="K178" s="4193" t="s">
        <v>7983</v>
      </c>
      <c r="L178" s="660" t="s">
        <v>162</v>
      </c>
      <c r="M178" s="838">
        <v>45419</v>
      </c>
      <c r="N178" s="4227">
        <v>45419</v>
      </c>
      <c r="O178" s="2490">
        <v>45421</v>
      </c>
      <c r="P178" s="4298" t="s">
        <v>7984</v>
      </c>
      <c r="Q178" s="93" t="s">
        <v>75</v>
      </c>
      <c r="R178" s="4369" t="s">
        <v>36</v>
      </c>
      <c r="S178" s="93"/>
      <c r="T178" s="93">
        <v>2035</v>
      </c>
      <c r="U178" s="93">
        <v>1820</v>
      </c>
      <c r="V178" s="93"/>
      <c r="W178" s="93"/>
      <c r="X178" s="93"/>
      <c r="Y178" s="93"/>
      <c r="Z178" s="93"/>
    </row>
    <row r="179" spans="1:26" s="106" customFormat="1">
      <c r="A179" s="1992" t="s">
        <v>1945</v>
      </c>
      <c r="B179" s="1992" t="s">
        <v>7985</v>
      </c>
      <c r="C179" s="2156" t="s">
        <v>28</v>
      </c>
      <c r="D179" s="2756">
        <v>45376</v>
      </c>
      <c r="E179" s="2757">
        <v>45383</v>
      </c>
      <c r="F179" s="2156" t="s">
        <v>45</v>
      </c>
      <c r="G179" s="2156" t="s">
        <v>46</v>
      </c>
      <c r="H179" s="3672">
        <v>45387</v>
      </c>
      <c r="I179" s="3569" t="s">
        <v>5068</v>
      </c>
      <c r="J179" s="5468" t="s">
        <v>32</v>
      </c>
      <c r="K179" s="2758" t="s">
        <v>5689</v>
      </c>
      <c r="L179" s="2663" t="s">
        <v>7986</v>
      </c>
      <c r="M179" s="2685">
        <v>45386</v>
      </c>
      <c r="N179" s="5469">
        <v>45385</v>
      </c>
      <c r="O179" s="4940">
        <v>45387</v>
      </c>
      <c r="P179" s="2759" t="s">
        <v>7987</v>
      </c>
      <c r="Q179" s="1992" t="s">
        <v>35</v>
      </c>
      <c r="R179" s="3258" t="s">
        <v>36</v>
      </c>
      <c r="S179" s="3258" t="s">
        <v>5692</v>
      </c>
      <c r="T179" s="3255">
        <v>1650</v>
      </c>
      <c r="U179" s="3255">
        <v>570</v>
      </c>
      <c r="V179" s="3255"/>
      <c r="W179" s="3255"/>
      <c r="X179" s="3255"/>
      <c r="Y179" s="3255"/>
      <c r="Z179" s="3255"/>
    </row>
    <row r="180" spans="1:26" s="106" customFormat="1" ht="180">
      <c r="A180" s="3268" t="s">
        <v>2847</v>
      </c>
      <c r="B180" s="4242" t="s">
        <v>7988</v>
      </c>
      <c r="C180" s="4242" t="s">
        <v>200</v>
      </c>
      <c r="D180" s="3262">
        <v>45391</v>
      </c>
      <c r="E180" s="3264">
        <v>45403</v>
      </c>
      <c r="F180" s="4242" t="s">
        <v>93</v>
      </c>
      <c r="G180" s="4242" t="s">
        <v>3515</v>
      </c>
      <c r="H180" s="3366">
        <v>45422</v>
      </c>
      <c r="I180" s="3293" t="s">
        <v>1820</v>
      </c>
      <c r="J180" s="4242" t="s">
        <v>297</v>
      </c>
      <c r="K180" s="4242" t="s">
        <v>7989</v>
      </c>
      <c r="L180" s="3293" t="s">
        <v>7990</v>
      </c>
      <c r="M180" s="3418" t="s">
        <v>7991</v>
      </c>
      <c r="N180" s="3418" t="s">
        <v>7992</v>
      </c>
      <c r="O180" s="3621">
        <v>45422</v>
      </c>
      <c r="P180" s="4280" t="s">
        <v>7993</v>
      </c>
      <c r="Q180" s="3075" t="s">
        <v>75</v>
      </c>
      <c r="R180" s="4280" t="s">
        <v>36</v>
      </c>
      <c r="S180" s="3075"/>
      <c r="T180" s="3075">
        <v>2760</v>
      </c>
      <c r="U180" s="3075">
        <v>2469</v>
      </c>
      <c r="V180" s="3075">
        <v>1</v>
      </c>
      <c r="W180" s="3075" t="e">
        <f>表14[[#This Row],[Sales Amount]]-表14[[#This Row],[Cost]]</f>
        <v>#VALUE!</v>
      </c>
      <c r="X180" s="3271" t="e">
        <f>表14[[#This Row],[Profit]]/表14[[#This Row],[Cost]]</f>
        <v>#VALUE!</v>
      </c>
      <c r="Y180" s="3075"/>
      <c r="Z180" s="3075"/>
    </row>
    <row r="181" spans="1:26" s="117" customFormat="1" ht="75">
      <c r="A181" s="4908" t="s">
        <v>7362</v>
      </c>
      <c r="B181" s="4908" t="s">
        <v>7994</v>
      </c>
      <c r="C181" s="4845" t="s">
        <v>44</v>
      </c>
      <c r="D181" s="4906">
        <v>45399</v>
      </c>
      <c r="E181" s="4916">
        <v>45410</v>
      </c>
      <c r="F181" s="4908" t="s">
        <v>45</v>
      </c>
      <c r="G181" s="4908" t="s">
        <v>302</v>
      </c>
      <c r="H181" s="4906">
        <v>45412</v>
      </c>
      <c r="I181" s="4845"/>
      <c r="J181" s="5133" t="s">
        <v>1028</v>
      </c>
      <c r="K181" s="4908" t="s">
        <v>5663</v>
      </c>
      <c r="L181" s="4908" t="s">
        <v>7995</v>
      </c>
      <c r="M181" s="4936">
        <v>45411</v>
      </c>
      <c r="N181" s="4906">
        <v>45412</v>
      </c>
      <c r="O181" s="4906">
        <v>45414</v>
      </c>
      <c r="P181" s="4909" t="s">
        <v>7996</v>
      </c>
      <c r="Q181" s="4845" t="s">
        <v>75</v>
      </c>
      <c r="R181" s="4845" t="s">
        <v>7997</v>
      </c>
      <c r="S181" s="4845"/>
      <c r="T181" s="4845">
        <v>1277.5</v>
      </c>
      <c r="U181" s="4845">
        <f>943.63+150</f>
        <v>1093.6300000000001</v>
      </c>
      <c r="V181" s="4845">
        <v>1</v>
      </c>
      <c r="W181" s="4845">
        <f>T181-U181</f>
        <v>183.86999999999989</v>
      </c>
      <c r="X181" s="4845">
        <f>T181-U181</f>
        <v>183.86999999999989</v>
      </c>
      <c r="Y181" s="4845"/>
      <c r="Z181" s="4845"/>
    </row>
    <row r="182" spans="1:26" s="709" customFormat="1">
      <c r="A182" s="4886" t="s">
        <v>7998</v>
      </c>
      <c r="B182" s="4886" t="s">
        <v>7999</v>
      </c>
      <c r="C182" s="4861" t="s">
        <v>28</v>
      </c>
      <c r="D182" s="4953">
        <v>45400</v>
      </c>
      <c r="E182" s="5035">
        <v>45405</v>
      </c>
      <c r="F182" s="4861" t="s">
        <v>56</v>
      </c>
      <c r="G182" s="4861" t="s">
        <v>7437</v>
      </c>
      <c r="H182" s="4953"/>
      <c r="I182" s="4861"/>
      <c r="J182" s="5325" t="s">
        <v>1478</v>
      </c>
      <c r="K182" s="4861" t="s">
        <v>7438</v>
      </c>
      <c r="L182" s="4902" t="s">
        <v>542</v>
      </c>
      <c r="M182" s="4953">
        <v>45407</v>
      </c>
      <c r="N182" s="4953">
        <v>45405</v>
      </c>
      <c r="O182" s="4953">
        <v>45408</v>
      </c>
      <c r="P182" s="4861" t="s">
        <v>8000</v>
      </c>
      <c r="Q182" s="4861" t="s">
        <v>862</v>
      </c>
      <c r="R182" s="4861" t="s">
        <v>8001</v>
      </c>
      <c r="S182" s="4861" t="s">
        <v>37</v>
      </c>
      <c r="T182" s="4861"/>
      <c r="U182" s="4861"/>
      <c r="V182" s="4861"/>
      <c r="W182" s="4861"/>
      <c r="X182" s="4861"/>
      <c r="Y182" s="4861"/>
      <c r="Z182" s="4861"/>
    </row>
    <row r="183" spans="1:26" s="152" customFormat="1">
      <c r="A183" s="4874" t="s">
        <v>7998</v>
      </c>
      <c r="B183" s="4370" t="s">
        <v>8002</v>
      </c>
      <c r="C183" s="4874" t="s">
        <v>28</v>
      </c>
      <c r="D183" s="2492">
        <v>45415</v>
      </c>
      <c r="E183" s="818">
        <v>45416</v>
      </c>
      <c r="F183" s="110" t="s">
        <v>45</v>
      </c>
      <c r="G183" s="4370" t="s">
        <v>8003</v>
      </c>
      <c r="H183" s="2494">
        <v>45422</v>
      </c>
      <c r="I183" s="2500" t="s">
        <v>495</v>
      </c>
      <c r="J183" s="5470" t="s">
        <v>859</v>
      </c>
      <c r="K183" s="4874" t="s">
        <v>8004</v>
      </c>
      <c r="L183" s="5471" t="s">
        <v>542</v>
      </c>
      <c r="M183" s="2492">
        <v>45420</v>
      </c>
      <c r="N183" s="2492">
        <v>45422</v>
      </c>
      <c r="O183" s="2635">
        <v>45426</v>
      </c>
      <c r="P183" s="4370" t="s">
        <v>8005</v>
      </c>
      <c r="Q183" s="4874" t="s">
        <v>862</v>
      </c>
      <c r="R183" s="2846" t="s">
        <v>36</v>
      </c>
      <c r="S183" s="110" t="s">
        <v>37</v>
      </c>
      <c r="T183" s="110">
        <v>1266.1400000000001</v>
      </c>
      <c r="U183" s="110">
        <v>1050</v>
      </c>
      <c r="V183" s="110"/>
      <c r="W183" s="110"/>
      <c r="X183" s="110"/>
      <c r="Y183" s="110"/>
      <c r="Z183" s="110"/>
    </row>
    <row r="184" spans="1:26" s="93" customFormat="1">
      <c r="A184" s="4874" t="s">
        <v>7998</v>
      </c>
      <c r="B184" s="93" t="s">
        <v>8006</v>
      </c>
      <c r="C184" s="4874" t="s">
        <v>28</v>
      </c>
      <c r="D184" s="818">
        <v>45421</v>
      </c>
      <c r="E184" s="2158">
        <v>45421</v>
      </c>
      <c r="F184" s="110" t="s">
        <v>45</v>
      </c>
      <c r="G184" s="110" t="s">
        <v>8003</v>
      </c>
      <c r="H184" s="2800" t="s">
        <v>8007</v>
      </c>
      <c r="I184" s="1068"/>
      <c r="J184" s="5470" t="s">
        <v>859</v>
      </c>
      <c r="K184" s="4874" t="s">
        <v>8008</v>
      </c>
      <c r="L184" s="5471" t="s">
        <v>542</v>
      </c>
      <c r="M184" s="818">
        <v>45428</v>
      </c>
      <c r="N184" s="818"/>
      <c r="O184" s="2490">
        <v>45442</v>
      </c>
      <c r="P184" s="93" t="s">
        <v>8009</v>
      </c>
      <c r="Q184" s="4874" t="s">
        <v>862</v>
      </c>
      <c r="R184" s="145"/>
    </row>
    <row r="185" spans="1:26">
      <c r="J185" s="4152"/>
      <c r="K185" s="4152"/>
      <c r="P185" s="4141"/>
    </row>
    <row r="189" spans="1:26">
      <c r="H189" s="106"/>
      <c r="K189" s="144"/>
    </row>
    <row r="190" spans="1:26">
      <c r="H190" s="106"/>
      <c r="K190" s="144"/>
      <c r="T190" s="144"/>
    </row>
    <row r="191" spans="1:26">
      <c r="Q191" s="147"/>
      <c r="T191" s="144"/>
    </row>
    <row r="192" spans="1:26">
      <c r="H192" s="106"/>
      <c r="M192" s="106"/>
    </row>
    <row r="193" spans="3:18">
      <c r="N193" s="147"/>
      <c r="R193" s="147"/>
    </row>
    <row r="197" spans="3:18">
      <c r="C197" s="144"/>
    </row>
    <row r="198" spans="3:18">
      <c r="D198" s="106"/>
      <c r="E198" s="106"/>
      <c r="H198" s="106"/>
      <c r="M198" s="106"/>
      <c r="N198" s="106"/>
      <c r="O198" s="106"/>
    </row>
    <row r="199" spans="3:18">
      <c r="D199" s="106"/>
      <c r="E199" s="106"/>
      <c r="H199" s="106"/>
      <c r="M199" s="106"/>
      <c r="N199" s="106"/>
      <c r="O199" s="106"/>
    </row>
    <row r="200" spans="3:18">
      <c r="D200" s="106"/>
      <c r="E200" s="106"/>
      <c r="H200" s="106"/>
      <c r="M200" s="106"/>
      <c r="N200" s="106"/>
      <c r="O200" s="106"/>
    </row>
  </sheetData>
  <conditionalFormatting sqref="B1">
    <cfRule type="duplicateValues" dxfId="240" priority="1"/>
  </conditionalFormatting>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9878F-84A8-4C0B-82AE-2D0BCADA537F}">
  <dimension ref="A1:AA295"/>
  <sheetViews>
    <sheetView zoomScale="85" zoomScaleNormal="85" workbookViewId="0">
      <pane xSplit="7" ySplit="1" topLeftCell="H2" activePane="bottomRight" state="frozen"/>
      <selection pane="bottomRight" activeCell="A2" sqref="A2"/>
      <selection pane="bottomLeft" activeCell="B51" sqref="B51"/>
      <selection pane="topRight" activeCell="H1" sqref="H1"/>
    </sheetView>
  </sheetViews>
  <sheetFormatPr defaultColWidth="9" defaultRowHeight="15"/>
  <cols>
    <col min="1" max="1" width="14.25" style="106" customWidth="1"/>
    <col min="2" max="2" width="15.25" style="106" customWidth="1"/>
    <col min="3" max="3" width="11.875" style="106" customWidth="1"/>
    <col min="4" max="4" width="10.875" style="144" customWidth="1"/>
    <col min="5" max="5" width="12" style="144" customWidth="1"/>
    <col min="6" max="6" width="11.25" style="106" customWidth="1"/>
    <col min="7" max="7" width="24.125" style="106" customWidth="1"/>
    <col min="8" max="8" width="16.25" style="144" customWidth="1"/>
    <col min="9" max="9" width="15.875" style="106" customWidth="1"/>
    <col min="10" max="10" width="13.25" style="106" customWidth="1"/>
    <col min="11" max="11" width="27" style="106" bestFit="1" customWidth="1"/>
    <col min="12" max="12" width="16" style="106" customWidth="1"/>
    <col min="13" max="13" width="10.25" style="144" customWidth="1"/>
    <col min="14" max="14" width="20.875" style="144" customWidth="1"/>
    <col min="15" max="15" width="9.875" style="144" customWidth="1"/>
    <col min="16" max="16" width="47" style="826" customWidth="1"/>
    <col min="17" max="17" width="9" style="52"/>
    <col min="18" max="18" width="17.25" style="52" customWidth="1"/>
    <col min="19" max="19" width="12.875" style="52" customWidth="1"/>
    <col min="20" max="20" width="14" style="52" bestFit="1" customWidth="1"/>
    <col min="21" max="21" width="9.875" style="52" bestFit="1" customWidth="1"/>
    <col min="22" max="22" width="15.25" style="52" bestFit="1" customWidth="1"/>
    <col min="23" max="23" width="9" style="52"/>
    <col min="24" max="24" width="12.125" style="2833" bestFit="1" customWidth="1"/>
    <col min="25" max="25" width="9" style="52"/>
    <col min="26" max="26" width="10.875" style="52" bestFit="1" customWidth="1"/>
    <col min="27" max="16384" width="9" style="52"/>
  </cols>
  <sheetData>
    <row r="1" spans="1:26">
      <c r="A1" s="5472" t="s">
        <v>0</v>
      </c>
      <c r="B1" s="5472" t="s">
        <v>1</v>
      </c>
      <c r="C1" s="5472" t="s">
        <v>2</v>
      </c>
      <c r="D1" s="5472" t="s">
        <v>3</v>
      </c>
      <c r="E1" s="5473" t="s">
        <v>4</v>
      </c>
      <c r="F1" s="5472" t="s">
        <v>5</v>
      </c>
      <c r="G1" s="5474" t="s">
        <v>6</v>
      </c>
      <c r="H1" s="5474" t="s">
        <v>7</v>
      </c>
      <c r="I1" s="5474" t="s">
        <v>8</v>
      </c>
      <c r="J1" s="5474" t="s">
        <v>9</v>
      </c>
      <c r="K1" s="5475" t="s">
        <v>10</v>
      </c>
      <c r="L1" s="5476" t="s">
        <v>11</v>
      </c>
      <c r="M1" s="5473" t="s">
        <v>12</v>
      </c>
      <c r="N1" s="5472" t="s">
        <v>13</v>
      </c>
      <c r="O1" s="5472" t="s">
        <v>14</v>
      </c>
      <c r="P1" s="5477" t="s">
        <v>15</v>
      </c>
      <c r="Q1" s="5095" t="s">
        <v>16</v>
      </c>
      <c r="R1" s="5095" t="s">
        <v>17</v>
      </c>
      <c r="S1" s="5095" t="s">
        <v>18</v>
      </c>
      <c r="T1" s="5096" t="s">
        <v>19</v>
      </c>
      <c r="U1" s="5095" t="s">
        <v>20</v>
      </c>
      <c r="V1" s="5095" t="s">
        <v>21</v>
      </c>
      <c r="W1" s="5095" t="s">
        <v>22</v>
      </c>
      <c r="X1" s="5478" t="s">
        <v>23</v>
      </c>
      <c r="Y1" s="5097" t="s">
        <v>24</v>
      </c>
      <c r="Z1" s="5097" t="s">
        <v>25</v>
      </c>
    </row>
    <row r="2" spans="1:26" s="707" customFormat="1" ht="135">
      <c r="A2" s="3417" t="s">
        <v>409</v>
      </c>
      <c r="B2" s="4928" t="s">
        <v>8010</v>
      </c>
      <c r="C2" s="4845" t="s">
        <v>28</v>
      </c>
      <c r="D2" s="4906">
        <v>45402</v>
      </c>
      <c r="E2" s="4916">
        <v>45414</v>
      </c>
      <c r="F2" s="4845" t="s">
        <v>45</v>
      </c>
      <c r="G2" s="4845" t="s">
        <v>302</v>
      </c>
      <c r="H2" s="4936">
        <v>45421</v>
      </c>
      <c r="I2" s="4845" t="s">
        <v>8011</v>
      </c>
      <c r="J2" s="5243" t="s">
        <v>32</v>
      </c>
      <c r="K2" s="4908" t="s">
        <v>5032</v>
      </c>
      <c r="L2" s="4908" t="s">
        <v>8012</v>
      </c>
      <c r="M2" s="4988">
        <v>45416</v>
      </c>
      <c r="N2" s="4231">
        <v>45416</v>
      </c>
      <c r="O2" s="5479">
        <v>45425</v>
      </c>
      <c r="P2" s="5049" t="s">
        <v>8013</v>
      </c>
      <c r="Q2" s="5480" t="s">
        <v>75</v>
      </c>
      <c r="R2" s="4874" t="s">
        <v>36</v>
      </c>
      <c r="S2" s="4874" t="s">
        <v>37</v>
      </c>
      <c r="T2" s="4874">
        <v>1700</v>
      </c>
      <c r="U2" s="4874">
        <v>1375</v>
      </c>
      <c r="V2" s="4874"/>
      <c r="W2" s="4845">
        <f>表15[[#This Row],[Sales Amount]]-表15[[#This Row],[Cost]]</f>
        <v>325</v>
      </c>
      <c r="X2" s="5060">
        <f>表15[[#This Row],[Profit]]/表15[[#This Row],[Cost]]</f>
        <v>0.23636363636363636</v>
      </c>
      <c r="Y2" s="4874" t="s">
        <v>5640</v>
      </c>
      <c r="Z2" s="4874"/>
    </row>
    <row r="3" spans="1:26" s="707" customFormat="1">
      <c r="A3" s="4839" t="s">
        <v>1431</v>
      </c>
      <c r="B3" s="4839" t="s">
        <v>8014</v>
      </c>
      <c r="C3" s="4839" t="s">
        <v>28</v>
      </c>
      <c r="D3" s="4957">
        <v>45406</v>
      </c>
      <c r="E3" s="5380">
        <v>45418</v>
      </c>
      <c r="F3" s="4839" t="s">
        <v>285</v>
      </c>
      <c r="G3" s="4839" t="s">
        <v>46</v>
      </c>
      <c r="H3" s="4882"/>
      <c r="I3" s="4882"/>
      <c r="J3" s="4854" t="s">
        <v>32</v>
      </c>
      <c r="K3" s="4870" t="s">
        <v>1433</v>
      </c>
      <c r="L3" s="4870" t="s">
        <v>8015</v>
      </c>
      <c r="M3" s="4897">
        <v>45420</v>
      </c>
      <c r="N3" s="1823">
        <v>45420</v>
      </c>
      <c r="O3" s="4897">
        <v>45420</v>
      </c>
      <c r="P3" s="4871" t="s">
        <v>8016</v>
      </c>
      <c r="Q3" s="650" t="s">
        <v>862</v>
      </c>
      <c r="R3" s="4870" t="s">
        <v>8017</v>
      </c>
      <c r="S3" s="4870" t="s">
        <v>37</v>
      </c>
      <c r="T3" s="4882"/>
      <c r="U3" s="4882"/>
      <c r="V3" s="4882"/>
      <c r="W3" s="4882"/>
      <c r="X3" s="4882"/>
      <c r="Y3" s="4882"/>
      <c r="Z3" s="4882"/>
    </row>
    <row r="4" spans="1:26" s="117" customFormat="1" ht="30">
      <c r="A4" s="4845" t="s">
        <v>2966</v>
      </c>
      <c r="B4" s="4908" t="s">
        <v>8018</v>
      </c>
      <c r="C4" s="4845" t="s">
        <v>28</v>
      </c>
      <c r="D4" s="4906">
        <v>45419</v>
      </c>
      <c r="E4" s="4916">
        <v>45431</v>
      </c>
      <c r="F4" s="4845" t="s">
        <v>45</v>
      </c>
      <c r="G4" s="4908" t="s">
        <v>302</v>
      </c>
      <c r="H4" s="4934" t="s">
        <v>8019</v>
      </c>
      <c r="I4" s="4915" t="s">
        <v>382</v>
      </c>
      <c r="J4" s="4915" t="s">
        <v>382</v>
      </c>
      <c r="K4" s="4915" t="s">
        <v>8020</v>
      </c>
      <c r="L4" s="4908" t="s">
        <v>8021</v>
      </c>
      <c r="M4" s="4906">
        <v>45433</v>
      </c>
      <c r="N4" s="4906">
        <v>45432</v>
      </c>
      <c r="O4" s="4975">
        <v>45433</v>
      </c>
      <c r="P4" s="5481" t="s">
        <v>8022</v>
      </c>
      <c r="Q4" s="5482" t="s">
        <v>75</v>
      </c>
      <c r="R4" s="5483" t="s">
        <v>51</v>
      </c>
      <c r="S4" s="5283" t="s">
        <v>2373</v>
      </c>
      <c r="T4" s="5283"/>
      <c r="U4" s="5283"/>
      <c r="V4" s="5283"/>
      <c r="W4" s="5283"/>
      <c r="X4" s="5283"/>
      <c r="Y4" s="5283"/>
      <c r="Z4" s="5283"/>
    </row>
    <row r="5" spans="1:26" s="26" customFormat="1" ht="30">
      <c r="A5" s="4845" t="s">
        <v>2966</v>
      </c>
      <c r="B5" s="4845" t="s">
        <v>8023</v>
      </c>
      <c r="C5" s="4845" t="s">
        <v>28</v>
      </c>
      <c r="D5" s="4906">
        <v>45400</v>
      </c>
      <c r="E5" s="4916">
        <v>45415</v>
      </c>
      <c r="F5" s="4845" t="s">
        <v>45</v>
      </c>
      <c r="G5" s="4908" t="s">
        <v>302</v>
      </c>
      <c r="H5" s="5236" t="s">
        <v>8024</v>
      </c>
      <c r="I5" s="4915" t="s">
        <v>382</v>
      </c>
      <c r="J5" s="5243" t="s">
        <v>382</v>
      </c>
      <c r="K5" s="5243" t="s">
        <v>382</v>
      </c>
      <c r="L5" s="4150" t="s">
        <v>8025</v>
      </c>
      <c r="M5" s="4916">
        <v>45417</v>
      </c>
      <c r="N5" s="4906">
        <v>45418</v>
      </c>
      <c r="O5" s="4906">
        <v>45418</v>
      </c>
      <c r="P5" s="4909" t="s">
        <v>8026</v>
      </c>
      <c r="Q5" s="5065" t="s">
        <v>75</v>
      </c>
      <c r="R5" s="4908" t="s">
        <v>8027</v>
      </c>
      <c r="S5" s="4845" t="s">
        <v>2373</v>
      </c>
      <c r="T5" s="4845"/>
      <c r="U5" s="4845"/>
      <c r="V5" s="4845"/>
      <c r="W5" s="4845">
        <f>表15[[#This Row],[Sales Amount]]-表15[[#This Row],[Cost]]</f>
        <v>0</v>
      </c>
      <c r="X5" s="5060" t="e">
        <f>表15[[#This Row],[Profit]]/表15[[#This Row],[Cost]]</f>
        <v>#DIV/0!</v>
      </c>
      <c r="Y5" s="4845"/>
      <c r="Z5" s="4845"/>
    </row>
    <row r="6" spans="1:26" s="707" customFormat="1">
      <c r="A6" s="5484" t="s">
        <v>2396</v>
      </c>
      <c r="B6" s="2" t="s">
        <v>8028</v>
      </c>
      <c r="C6" s="4895" t="s">
        <v>28</v>
      </c>
      <c r="D6" s="5485">
        <v>45427</v>
      </c>
      <c r="E6" s="5486">
        <v>45428</v>
      </c>
      <c r="F6" s="4872" t="s">
        <v>151</v>
      </c>
      <c r="G6" s="4895" t="s">
        <v>6204</v>
      </c>
      <c r="H6" s="5487">
        <v>45433</v>
      </c>
      <c r="I6" s="5488" t="s">
        <v>745</v>
      </c>
      <c r="J6" s="5489" t="s">
        <v>1478</v>
      </c>
      <c r="K6" s="5424" t="s">
        <v>6129</v>
      </c>
      <c r="L6" s="4895" t="s">
        <v>1677</v>
      </c>
      <c r="M6" s="5485">
        <v>45435</v>
      </c>
      <c r="N6" s="5485">
        <v>45433</v>
      </c>
      <c r="O6" s="5485">
        <v>45433</v>
      </c>
      <c r="P6" s="4892" t="s">
        <v>8029</v>
      </c>
      <c r="Q6" s="4895" t="s">
        <v>862</v>
      </c>
      <c r="R6" s="3673" t="s">
        <v>36</v>
      </c>
      <c r="S6" s="4872" t="s">
        <v>37</v>
      </c>
      <c r="T6" s="4873">
        <v>410</v>
      </c>
      <c r="U6" s="4873">
        <v>268.3</v>
      </c>
      <c r="V6" s="4873"/>
      <c r="W6" s="4873"/>
      <c r="X6" s="4873"/>
      <c r="Y6" s="4873"/>
      <c r="Z6" s="4873"/>
    </row>
    <row r="7" spans="1:26" s="117" customFormat="1" ht="30">
      <c r="A7" s="5375" t="s">
        <v>165</v>
      </c>
      <c r="B7" s="4908" t="s">
        <v>8030</v>
      </c>
      <c r="C7" s="4845" t="s">
        <v>28</v>
      </c>
      <c r="D7" s="4906">
        <v>45419</v>
      </c>
      <c r="E7" s="4916">
        <v>45419</v>
      </c>
      <c r="F7" s="4908" t="s">
        <v>151</v>
      </c>
      <c r="G7" s="4909" t="s">
        <v>4355</v>
      </c>
      <c r="H7" s="4916">
        <v>45425</v>
      </c>
      <c r="I7" s="4908" t="s">
        <v>5072</v>
      </c>
      <c r="J7" s="5243" t="s">
        <v>322</v>
      </c>
      <c r="K7" s="4908" t="s">
        <v>4357</v>
      </c>
      <c r="L7" s="4845"/>
      <c r="M7" s="4918">
        <v>45425</v>
      </c>
      <c r="N7" s="4906">
        <v>45425</v>
      </c>
      <c r="O7" s="4988">
        <v>45432</v>
      </c>
      <c r="P7" s="4909" t="s">
        <v>8031</v>
      </c>
      <c r="Q7" s="4845" t="s">
        <v>75</v>
      </c>
      <c r="R7" s="4909" t="s">
        <v>8032</v>
      </c>
      <c r="S7" s="4845"/>
      <c r="T7" s="5190">
        <v>1320</v>
      </c>
      <c r="U7" s="4845">
        <v>1132.8</v>
      </c>
      <c r="V7" s="4845">
        <v>1</v>
      </c>
      <c r="W7" s="5190">
        <f>表15[[#This Row],[Sales Amount]]-表15[[#This Row],[Cost]]</f>
        <v>187.20000000000005</v>
      </c>
      <c r="X7" s="5060">
        <f>表15[[#This Row],[Profit]]/表15[[#This Row],[Cost]]</f>
        <v>0.16525423728813565</v>
      </c>
      <c r="Y7" s="4845"/>
      <c r="Z7" s="4845"/>
    </row>
    <row r="8" spans="1:26" s="707" customFormat="1">
      <c r="A8" s="4834" t="s">
        <v>409</v>
      </c>
      <c r="B8" s="4870" t="s">
        <v>8033</v>
      </c>
      <c r="C8" s="4839" t="s">
        <v>28</v>
      </c>
      <c r="D8" s="4897">
        <v>45422</v>
      </c>
      <c r="E8" s="4912">
        <v>45438</v>
      </c>
      <c r="F8" s="4839" t="s">
        <v>151</v>
      </c>
      <c r="G8" s="4839" t="s">
        <v>46</v>
      </c>
      <c r="H8" s="4882"/>
      <c r="I8" s="4882"/>
      <c r="J8" s="5136" t="s">
        <v>32</v>
      </c>
      <c r="K8" s="4839" t="s">
        <v>47</v>
      </c>
      <c r="L8" s="4880" t="s">
        <v>8034</v>
      </c>
      <c r="M8" s="4877">
        <v>45442</v>
      </c>
      <c r="N8" s="4897">
        <v>45442</v>
      </c>
      <c r="O8" s="4897">
        <v>45446</v>
      </c>
      <c r="P8" s="4871" t="s">
        <v>8035</v>
      </c>
      <c r="Q8" s="5128" t="s">
        <v>6852</v>
      </c>
      <c r="R8" s="4870" t="s">
        <v>51</v>
      </c>
      <c r="S8" s="4870"/>
      <c r="T8" s="4882"/>
      <c r="U8" s="4882"/>
      <c r="V8" s="4882"/>
      <c r="W8" s="4882"/>
      <c r="X8" s="4882"/>
      <c r="Y8" s="4882"/>
      <c r="Z8" s="4882"/>
    </row>
    <row r="9" spans="1:26" s="707" customFormat="1">
      <c r="A9" s="4870" t="s">
        <v>409</v>
      </c>
      <c r="B9" s="4870" t="s">
        <v>8036</v>
      </c>
      <c r="C9" s="4839" t="s">
        <v>28</v>
      </c>
      <c r="D9" s="4897">
        <v>45428</v>
      </c>
      <c r="E9" s="4912">
        <v>45438</v>
      </c>
      <c r="F9" s="4839" t="s">
        <v>151</v>
      </c>
      <c r="G9" s="4839" t="s">
        <v>46</v>
      </c>
      <c r="H9" s="4903"/>
      <c r="I9" s="4882"/>
      <c r="J9" s="5136" t="s">
        <v>32</v>
      </c>
      <c r="K9" s="4839" t="s">
        <v>47</v>
      </c>
      <c r="L9" s="4880" t="s">
        <v>8037</v>
      </c>
      <c r="M9" s="4877">
        <v>45441</v>
      </c>
      <c r="N9" s="4877">
        <v>45439</v>
      </c>
      <c r="O9" s="4877">
        <v>45441</v>
      </c>
      <c r="P9" s="4871" t="s">
        <v>8038</v>
      </c>
      <c r="Q9" s="5128" t="s">
        <v>6852</v>
      </c>
      <c r="R9" s="3261" t="s">
        <v>51</v>
      </c>
      <c r="S9" s="4870"/>
      <c r="T9" s="4882"/>
      <c r="U9" s="4882"/>
      <c r="V9" s="4882"/>
      <c r="W9" s="4882"/>
      <c r="X9" s="4882"/>
      <c r="Y9" s="4882"/>
      <c r="Z9" s="4882"/>
    </row>
    <row r="10" spans="1:26" s="707" customFormat="1">
      <c r="A10" s="4870" t="s">
        <v>409</v>
      </c>
      <c r="B10" s="4839" t="s">
        <v>8039</v>
      </c>
      <c r="C10" s="4839" t="s">
        <v>28</v>
      </c>
      <c r="D10" s="4897">
        <v>45437</v>
      </c>
      <c r="E10" s="4912">
        <v>45444</v>
      </c>
      <c r="F10" s="4839" t="s">
        <v>151</v>
      </c>
      <c r="G10" s="4870" t="s">
        <v>46</v>
      </c>
      <c r="H10" s="4953"/>
      <c r="I10" s="4861"/>
      <c r="J10" s="5136" t="s">
        <v>32</v>
      </c>
      <c r="K10" s="4839" t="s">
        <v>47</v>
      </c>
      <c r="L10" s="4870" t="s">
        <v>8040</v>
      </c>
      <c r="M10" s="4877">
        <v>45446</v>
      </c>
      <c r="N10" s="4877">
        <v>45446</v>
      </c>
      <c r="O10" s="4877">
        <v>45448</v>
      </c>
      <c r="P10" s="4871" t="s">
        <v>8041</v>
      </c>
      <c r="Q10" s="5128" t="s">
        <v>6852</v>
      </c>
      <c r="R10" s="3261" t="s">
        <v>51</v>
      </c>
      <c r="S10" s="4870"/>
      <c r="T10" s="4882"/>
      <c r="U10" s="4882"/>
      <c r="V10" s="4882"/>
      <c r="W10" s="4882"/>
      <c r="X10" s="4882"/>
      <c r="Y10" s="4882"/>
      <c r="Z10" s="4882"/>
    </row>
    <row r="11" spans="1:26" s="106" customFormat="1">
      <c r="A11" s="4870" t="s">
        <v>409</v>
      </c>
      <c r="B11" s="4839" t="s">
        <v>8042</v>
      </c>
      <c r="C11" s="4839" t="s">
        <v>28</v>
      </c>
      <c r="D11" s="3674">
        <v>45437</v>
      </c>
      <c r="E11" s="3644">
        <v>45445</v>
      </c>
      <c r="F11" s="4839" t="s">
        <v>151</v>
      </c>
      <c r="G11" s="4870" t="s">
        <v>46</v>
      </c>
      <c r="H11" s="4953"/>
      <c r="I11" s="4861"/>
      <c r="J11" s="5136" t="s">
        <v>32</v>
      </c>
      <c r="K11" s="4839" t="s">
        <v>47</v>
      </c>
      <c r="L11" s="4870" t="s">
        <v>8043</v>
      </c>
      <c r="M11" s="4877">
        <v>45447</v>
      </c>
      <c r="N11" s="4877">
        <v>45446</v>
      </c>
      <c r="O11" s="4877">
        <v>45449</v>
      </c>
      <c r="P11" s="4871" t="s">
        <v>8044</v>
      </c>
      <c r="Q11" s="5128" t="s">
        <v>6852</v>
      </c>
      <c r="R11" s="4870" t="s">
        <v>51</v>
      </c>
      <c r="S11" s="4870"/>
      <c r="T11" s="4882"/>
      <c r="U11" s="4882"/>
      <c r="V11" s="4882"/>
      <c r="W11" s="4882"/>
      <c r="X11" s="4882"/>
      <c r="Y11" s="4882"/>
      <c r="Z11" s="4882"/>
    </row>
    <row r="12" spans="1:26" s="707" customFormat="1" ht="45">
      <c r="A12" s="4845" t="s">
        <v>622</v>
      </c>
      <c r="B12" s="4908" t="s">
        <v>8045</v>
      </c>
      <c r="C12" s="4845" t="s">
        <v>28</v>
      </c>
      <c r="D12" s="4906">
        <v>45396</v>
      </c>
      <c r="E12" s="4916">
        <v>45415</v>
      </c>
      <c r="F12" s="4845" t="s">
        <v>285</v>
      </c>
      <c r="G12" s="4908" t="s">
        <v>302</v>
      </c>
      <c r="H12" s="4906">
        <v>45418</v>
      </c>
      <c r="I12" s="4908" t="s">
        <v>115</v>
      </c>
      <c r="J12" s="5490" t="s">
        <v>32</v>
      </c>
      <c r="K12" s="4915" t="s">
        <v>1445</v>
      </c>
      <c r="L12" s="4929" t="s">
        <v>8046</v>
      </c>
      <c r="M12" s="4906">
        <v>45418</v>
      </c>
      <c r="N12" s="4906">
        <v>45418</v>
      </c>
      <c r="O12" s="4906">
        <v>45418</v>
      </c>
      <c r="P12" s="4909" t="s">
        <v>8047</v>
      </c>
      <c r="Q12" s="5065" t="s">
        <v>75</v>
      </c>
      <c r="R12" s="4837" t="s">
        <v>8048</v>
      </c>
      <c r="S12" s="4845" t="s">
        <v>67</v>
      </c>
      <c r="T12" s="4845">
        <v>6475</v>
      </c>
      <c r="U12" s="4845">
        <f>90+5500+620</f>
        <v>6210</v>
      </c>
      <c r="V12" s="4845">
        <v>1</v>
      </c>
      <c r="W12" s="4845">
        <f>表15[[#This Row],[Sales Amount]]-表15[[#This Row],[Cost]]</f>
        <v>265</v>
      </c>
      <c r="X12" s="5060">
        <f>表15[[#This Row],[Profit]]/表15[[#This Row],[Cost]]</f>
        <v>4.2673107890499197E-2</v>
      </c>
      <c r="Y12" s="4845"/>
      <c r="Z12" s="4845"/>
    </row>
    <row r="13" spans="1:26" s="707" customFormat="1">
      <c r="A13" s="4839" t="s">
        <v>3343</v>
      </c>
      <c r="B13" s="4839" t="s">
        <v>8049</v>
      </c>
      <c r="C13" s="4839" t="s">
        <v>28</v>
      </c>
      <c r="D13" s="4897">
        <v>45428</v>
      </c>
      <c r="E13" s="4912">
        <v>45438</v>
      </c>
      <c r="F13" s="4839" t="s">
        <v>45</v>
      </c>
      <c r="G13" s="4870" t="s">
        <v>46</v>
      </c>
      <c r="H13" s="4953"/>
      <c r="I13" s="4861"/>
      <c r="J13" s="5136" t="s">
        <v>32</v>
      </c>
      <c r="K13" s="4839" t="s">
        <v>47</v>
      </c>
      <c r="L13" s="1" t="s">
        <v>8050</v>
      </c>
      <c r="M13" s="4877">
        <v>45441</v>
      </c>
      <c r="N13" s="4877">
        <v>45441</v>
      </c>
      <c r="O13" s="4877">
        <v>45443</v>
      </c>
      <c r="P13" s="4871" t="s">
        <v>8051</v>
      </c>
      <c r="Q13" s="5128" t="s">
        <v>6852</v>
      </c>
      <c r="R13" s="4870" t="s">
        <v>36</v>
      </c>
      <c r="S13" s="4870"/>
      <c r="T13" s="4882"/>
      <c r="U13" s="4882"/>
      <c r="V13" s="4882"/>
      <c r="W13" s="4882"/>
      <c r="X13" s="4882"/>
      <c r="Y13" s="4882"/>
      <c r="Z13" s="4882"/>
    </row>
    <row r="14" spans="1:26" s="26" customFormat="1">
      <c r="A14" s="4852" t="s">
        <v>409</v>
      </c>
      <c r="B14" s="4852" t="s">
        <v>8052</v>
      </c>
      <c r="C14" s="4852" t="s">
        <v>28</v>
      </c>
      <c r="D14" s="4897">
        <v>45439</v>
      </c>
      <c r="E14" s="1668">
        <v>45455</v>
      </c>
      <c r="F14" s="4852" t="s">
        <v>151</v>
      </c>
      <c r="G14" s="4852" t="s">
        <v>46</v>
      </c>
      <c r="H14" s="4953"/>
      <c r="I14" s="4861"/>
      <c r="J14" s="4841" t="s">
        <v>32</v>
      </c>
      <c r="K14" s="4841" t="s">
        <v>47</v>
      </c>
      <c r="L14" s="2824" t="s">
        <v>8053</v>
      </c>
      <c r="M14" s="4877">
        <v>45454</v>
      </c>
      <c r="N14" s="4877">
        <v>45454</v>
      </c>
      <c r="O14" s="4877">
        <v>45460</v>
      </c>
      <c r="P14" s="5491" t="s">
        <v>8054</v>
      </c>
      <c r="Q14" s="5128" t="s">
        <v>6852</v>
      </c>
      <c r="R14" s="4870" t="s">
        <v>2143</v>
      </c>
      <c r="S14" s="4870"/>
      <c r="T14" s="4882"/>
      <c r="U14" s="4882"/>
      <c r="V14" s="4882"/>
      <c r="W14" s="4882"/>
      <c r="X14" s="5384"/>
      <c r="Y14" s="4882"/>
      <c r="Z14" s="4882"/>
    </row>
    <row r="15" spans="1:26" s="106" customFormat="1">
      <c r="A15" s="5484" t="s">
        <v>2396</v>
      </c>
      <c r="B15" s="5492" t="s">
        <v>8055</v>
      </c>
      <c r="C15" s="4895" t="s">
        <v>28</v>
      </c>
      <c r="D15" s="3675">
        <v>45427</v>
      </c>
      <c r="E15" s="3676">
        <v>45428</v>
      </c>
      <c r="F15" s="4895" t="s">
        <v>56</v>
      </c>
      <c r="G15" s="4895" t="s">
        <v>6204</v>
      </c>
      <c r="H15" s="5487">
        <v>45432</v>
      </c>
      <c r="I15" s="4842" t="s">
        <v>745</v>
      </c>
      <c r="J15" s="5489" t="s">
        <v>1478</v>
      </c>
      <c r="K15" s="5424" t="s">
        <v>6129</v>
      </c>
      <c r="L15" s="4895" t="s">
        <v>1677</v>
      </c>
      <c r="M15" s="5493">
        <v>45434</v>
      </c>
      <c r="N15" s="5493">
        <v>45432</v>
      </c>
      <c r="O15" s="5493">
        <v>45433</v>
      </c>
      <c r="P15" s="5087" t="s">
        <v>8056</v>
      </c>
      <c r="Q15" s="4895" t="s">
        <v>862</v>
      </c>
      <c r="R15" s="4872" t="s">
        <v>51</v>
      </c>
      <c r="S15" s="4872" t="s">
        <v>37</v>
      </c>
      <c r="T15" s="4873">
        <v>1165</v>
      </c>
      <c r="U15" s="4873">
        <v>368.3</v>
      </c>
      <c r="V15" s="4873"/>
      <c r="W15" s="4873"/>
      <c r="X15" s="4873"/>
      <c r="Y15" s="4873"/>
      <c r="Z15" s="4873"/>
    </row>
    <row r="16" spans="1:26" s="507" customFormat="1" ht="210">
      <c r="A16" s="4845" t="s">
        <v>3866</v>
      </c>
      <c r="B16" s="4908" t="s">
        <v>8057</v>
      </c>
      <c r="C16" s="4845" t="s">
        <v>28</v>
      </c>
      <c r="D16" s="3262">
        <v>45407</v>
      </c>
      <c r="E16" s="3264">
        <v>45429</v>
      </c>
      <c r="F16" s="4845" t="s">
        <v>285</v>
      </c>
      <c r="G16" s="4908" t="s">
        <v>8058</v>
      </c>
      <c r="H16" s="4961" t="s">
        <v>8059</v>
      </c>
      <c r="I16" s="4845"/>
      <c r="J16" s="5375" t="s">
        <v>8060</v>
      </c>
      <c r="K16" s="4944"/>
      <c r="L16" s="4947">
        <v>7880133</v>
      </c>
      <c r="M16" s="5069"/>
      <c r="N16" s="5069">
        <v>45427</v>
      </c>
      <c r="O16" s="3292">
        <v>45429</v>
      </c>
      <c r="P16" s="4909" t="s">
        <v>8061</v>
      </c>
      <c r="Q16" s="5065" t="s">
        <v>75</v>
      </c>
      <c r="R16" s="745" t="s">
        <v>8062</v>
      </c>
      <c r="S16" s="4845"/>
      <c r="T16" s="5190">
        <v>5484</v>
      </c>
      <c r="U16" s="4845">
        <f>1650+1350</f>
        <v>3000</v>
      </c>
      <c r="V16" s="4845"/>
      <c r="W16" s="4845"/>
      <c r="X16" s="4845"/>
      <c r="Y16" s="4909" t="s">
        <v>8063</v>
      </c>
      <c r="Z16" s="4845"/>
    </row>
    <row r="17" spans="1:26" s="507" customFormat="1">
      <c r="A17" s="4870" t="s">
        <v>409</v>
      </c>
      <c r="B17" s="4870" t="s">
        <v>8064</v>
      </c>
      <c r="C17" s="4839" t="s">
        <v>28</v>
      </c>
      <c r="D17" s="4897">
        <v>45428</v>
      </c>
      <c r="E17" s="1668">
        <v>45438</v>
      </c>
      <c r="F17" s="4839" t="s">
        <v>151</v>
      </c>
      <c r="G17" s="4839" t="s">
        <v>46</v>
      </c>
      <c r="H17" s="4903"/>
      <c r="I17" s="4882"/>
      <c r="J17" s="5136" t="s">
        <v>32</v>
      </c>
      <c r="K17" s="4839" t="s">
        <v>47</v>
      </c>
      <c r="L17" s="4161" t="s">
        <v>8065</v>
      </c>
      <c r="M17" s="4877">
        <v>45441</v>
      </c>
      <c r="N17" s="4877">
        <v>45441</v>
      </c>
      <c r="O17" s="4877">
        <v>45444</v>
      </c>
      <c r="P17" s="4871" t="s">
        <v>8066</v>
      </c>
      <c r="Q17" s="5128" t="s">
        <v>6852</v>
      </c>
      <c r="R17" s="1" t="s">
        <v>51</v>
      </c>
      <c r="S17" s="4870"/>
      <c r="T17" s="4882"/>
      <c r="U17" s="4882"/>
      <c r="V17" s="4882"/>
      <c r="W17" s="4882"/>
      <c r="X17" s="4882"/>
      <c r="Y17" s="4882"/>
      <c r="Z17" s="4882"/>
    </row>
    <row r="18" spans="1:26" s="707" customFormat="1">
      <c r="A18" s="4870" t="s">
        <v>409</v>
      </c>
      <c r="B18" s="4870" t="s">
        <v>8067</v>
      </c>
      <c r="C18" s="4839" t="s">
        <v>28</v>
      </c>
      <c r="D18" s="4897">
        <v>45426</v>
      </c>
      <c r="E18" s="4912">
        <v>45435</v>
      </c>
      <c r="F18" s="4839" t="s">
        <v>885</v>
      </c>
      <c r="G18" s="4870" t="s">
        <v>57</v>
      </c>
      <c r="H18" s="4903"/>
      <c r="I18" s="4882"/>
      <c r="J18" s="4901" t="s">
        <v>32</v>
      </c>
      <c r="K18" s="4839" t="s">
        <v>47</v>
      </c>
      <c r="L18" s="4870">
        <v>9405020</v>
      </c>
      <c r="M18" s="4877"/>
      <c r="N18" s="4877">
        <v>45435</v>
      </c>
      <c r="O18" s="4877">
        <v>45437</v>
      </c>
      <c r="P18" s="4871" t="s">
        <v>8068</v>
      </c>
      <c r="Q18" s="5128" t="s">
        <v>6852</v>
      </c>
      <c r="R18" s="4870" t="s">
        <v>51</v>
      </c>
      <c r="S18" s="4870"/>
      <c r="T18" s="4882"/>
      <c r="U18" s="4882"/>
      <c r="V18" s="4882"/>
      <c r="W18" s="4882"/>
      <c r="X18" s="4882"/>
      <c r="Y18" s="4882"/>
      <c r="Z18" s="4882"/>
    </row>
    <row r="19" spans="1:26" s="707" customFormat="1">
      <c r="A19" s="4882" t="s">
        <v>4277</v>
      </c>
      <c r="B19" s="4882" t="s">
        <v>8069</v>
      </c>
      <c r="C19" s="4861" t="s">
        <v>28</v>
      </c>
      <c r="D19" s="4940">
        <v>45414</v>
      </c>
      <c r="E19" s="5052">
        <v>45430</v>
      </c>
      <c r="F19" s="4861" t="s">
        <v>45</v>
      </c>
      <c r="G19" s="4839" t="s">
        <v>46</v>
      </c>
      <c r="H19" s="4882"/>
      <c r="I19" s="4882"/>
      <c r="J19" s="4901" t="s">
        <v>32</v>
      </c>
      <c r="K19" s="4841" t="s">
        <v>47</v>
      </c>
      <c r="L19" s="4869" t="s">
        <v>8070</v>
      </c>
      <c r="M19" s="4897">
        <v>45432</v>
      </c>
      <c r="N19" s="4897">
        <v>45432</v>
      </c>
      <c r="O19" s="4897">
        <v>45434</v>
      </c>
      <c r="P19" s="4871" t="s">
        <v>8071</v>
      </c>
      <c r="Q19" s="5128" t="s">
        <v>6852</v>
      </c>
      <c r="R19" s="4870" t="s">
        <v>36</v>
      </c>
      <c r="S19" s="4870"/>
      <c r="T19" s="4882"/>
      <c r="U19" s="4882"/>
      <c r="V19" s="4882"/>
      <c r="W19" s="4882"/>
      <c r="X19" s="4882"/>
      <c r="Y19" s="4882"/>
      <c r="Z19" s="4882"/>
    </row>
    <row r="20" spans="1:26" s="26" customFormat="1">
      <c r="A20" s="5484" t="s">
        <v>2396</v>
      </c>
      <c r="B20" s="5494" t="s">
        <v>8072</v>
      </c>
      <c r="C20" s="4895" t="s">
        <v>28</v>
      </c>
      <c r="D20" s="5493">
        <v>45427</v>
      </c>
      <c r="E20" s="5495">
        <v>45428</v>
      </c>
      <c r="F20" s="4895" t="s">
        <v>56</v>
      </c>
      <c r="G20" s="4895" t="s">
        <v>6204</v>
      </c>
      <c r="H20" s="5487">
        <v>45432</v>
      </c>
      <c r="I20" s="4842" t="s">
        <v>745</v>
      </c>
      <c r="J20" s="5489" t="s">
        <v>1478</v>
      </c>
      <c r="K20" s="5424" t="s">
        <v>6129</v>
      </c>
      <c r="L20" s="4895" t="s">
        <v>1677</v>
      </c>
      <c r="M20" s="5493">
        <v>45434</v>
      </c>
      <c r="N20" s="5493">
        <v>45432</v>
      </c>
      <c r="O20" s="5487">
        <v>45434</v>
      </c>
      <c r="P20" s="5087" t="s">
        <v>8056</v>
      </c>
      <c r="Q20" s="4895" t="s">
        <v>862</v>
      </c>
      <c r="R20" s="4872" t="s">
        <v>51</v>
      </c>
      <c r="S20" s="4872" t="s">
        <v>37</v>
      </c>
      <c r="T20" s="4873"/>
      <c r="U20" s="4873">
        <v>408.3</v>
      </c>
      <c r="V20" s="4873"/>
      <c r="W20" s="4873"/>
      <c r="X20" s="4873"/>
      <c r="Y20" s="4873"/>
      <c r="Z20" s="4873"/>
    </row>
    <row r="21" spans="1:26" s="117" customFormat="1" ht="30">
      <c r="A21" s="5496" t="s">
        <v>7322</v>
      </c>
      <c r="B21" s="2813" t="s">
        <v>8073</v>
      </c>
      <c r="C21" s="4895" t="s">
        <v>28</v>
      </c>
      <c r="D21" s="5493">
        <v>45421</v>
      </c>
      <c r="E21" s="5495">
        <v>45426</v>
      </c>
      <c r="F21" s="4895" t="s">
        <v>29</v>
      </c>
      <c r="G21" s="4895" t="s">
        <v>6204</v>
      </c>
      <c r="H21" s="5493">
        <v>45441</v>
      </c>
      <c r="I21" s="4842" t="s">
        <v>495</v>
      </c>
      <c r="J21" s="5489" t="s">
        <v>1478</v>
      </c>
      <c r="K21" s="4895" t="s">
        <v>8074</v>
      </c>
      <c r="L21" s="4895" t="s">
        <v>1677</v>
      </c>
      <c r="M21" s="5493">
        <v>45429</v>
      </c>
      <c r="N21" s="5493">
        <v>45429</v>
      </c>
      <c r="O21" s="5493">
        <v>45442</v>
      </c>
      <c r="P21" s="5087" t="s">
        <v>8075</v>
      </c>
      <c r="Q21" s="4895" t="s">
        <v>862</v>
      </c>
      <c r="R21" s="5497" t="s">
        <v>51</v>
      </c>
      <c r="S21" s="4872" t="s">
        <v>37</v>
      </c>
      <c r="T21" s="4873">
        <v>2600</v>
      </c>
      <c r="U21" s="4873">
        <v>2305</v>
      </c>
      <c r="V21" s="4873"/>
      <c r="W21" s="4845">
        <f>表15[[#This Row],[Sales Amount]]-表15[[#This Row],[Cost]]</f>
        <v>295</v>
      </c>
      <c r="X21" s="5060">
        <f>表15[[#This Row],[Profit]]/表15[[#This Row],[Cost]]</f>
        <v>0.1279826464208243</v>
      </c>
      <c r="Y21" s="4873"/>
      <c r="Z21" s="4873"/>
    </row>
    <row r="22" spans="1:26" s="26" customFormat="1">
      <c r="A22" s="4874" t="s">
        <v>7885</v>
      </c>
      <c r="B22" s="2788" t="s">
        <v>8076</v>
      </c>
      <c r="C22" s="4874" t="s">
        <v>1508</v>
      </c>
      <c r="D22" s="5498"/>
      <c r="E22" s="5499">
        <v>45432</v>
      </c>
      <c r="F22" s="4874" t="s">
        <v>738</v>
      </c>
      <c r="G22" s="4874" t="s">
        <v>738</v>
      </c>
      <c r="H22" s="4975"/>
      <c r="I22" s="4874"/>
      <c r="J22" s="4895" t="s">
        <v>738</v>
      </c>
      <c r="K22" s="4895" t="s">
        <v>7907</v>
      </c>
      <c r="L22" s="4872"/>
      <c r="M22" s="5500"/>
      <c r="N22" s="5500">
        <v>45432</v>
      </c>
      <c r="O22" s="5500"/>
      <c r="P22" s="5087" t="s">
        <v>8077</v>
      </c>
      <c r="Q22" s="5501" t="s">
        <v>50</v>
      </c>
      <c r="R22" s="4872" t="s">
        <v>51</v>
      </c>
      <c r="S22" s="4872"/>
      <c r="T22" s="4873"/>
      <c r="U22" s="4873"/>
      <c r="V22" s="4873"/>
      <c r="W22" s="4873"/>
      <c r="X22" s="4873"/>
      <c r="Y22" s="4873"/>
      <c r="Z22" s="4873"/>
    </row>
    <row r="23" spans="1:26" s="26" customFormat="1" ht="60">
      <c r="A23" s="4845" t="s">
        <v>468</v>
      </c>
      <c r="B23" s="4908" t="s">
        <v>8078</v>
      </c>
      <c r="C23" s="4908" t="s">
        <v>200</v>
      </c>
      <c r="D23" s="4906">
        <v>45408</v>
      </c>
      <c r="E23" s="4916">
        <v>45422</v>
      </c>
      <c r="F23" s="4908" t="s">
        <v>29</v>
      </c>
      <c r="G23" s="4908" t="s">
        <v>2491</v>
      </c>
      <c r="H23" s="4960">
        <v>45425</v>
      </c>
      <c r="I23" s="4908" t="s">
        <v>745</v>
      </c>
      <c r="J23" s="5243" t="s">
        <v>8079</v>
      </c>
      <c r="K23" s="4909" t="s">
        <v>8080</v>
      </c>
      <c r="L23" s="4908">
        <v>1908</v>
      </c>
      <c r="M23" s="4961">
        <v>45426</v>
      </c>
      <c r="N23" s="4906">
        <v>45425</v>
      </c>
      <c r="O23" s="4931">
        <v>45427</v>
      </c>
      <c r="P23" s="5049" t="s">
        <v>8081</v>
      </c>
      <c r="Q23" s="5480" t="s">
        <v>75</v>
      </c>
      <c r="R23" s="4971" t="s">
        <v>36</v>
      </c>
      <c r="S23" s="4874"/>
      <c r="T23" s="4874">
        <v>855</v>
      </c>
      <c r="U23" s="4874">
        <v>653</v>
      </c>
      <c r="V23" s="4874"/>
      <c r="W23" s="4874"/>
      <c r="X23" s="4874"/>
      <c r="Y23" s="4874"/>
      <c r="Z23" s="4874"/>
    </row>
    <row r="24" spans="1:26" s="707" customFormat="1" ht="45">
      <c r="A24" s="4845" t="s">
        <v>2966</v>
      </c>
      <c r="B24" s="4908" t="s">
        <v>8082</v>
      </c>
      <c r="C24" s="4908" t="s">
        <v>451</v>
      </c>
      <c r="D24" s="4906">
        <v>45419</v>
      </c>
      <c r="E24" s="879">
        <v>45437</v>
      </c>
      <c r="F24" s="4845" t="s">
        <v>45</v>
      </c>
      <c r="G24" s="4908" t="s">
        <v>302</v>
      </c>
      <c r="H24" s="4961" t="s">
        <v>8083</v>
      </c>
      <c r="I24" s="4915" t="s">
        <v>382</v>
      </c>
      <c r="J24" s="4915" t="s">
        <v>382</v>
      </c>
      <c r="K24" s="4915" t="s">
        <v>8020</v>
      </c>
      <c r="L24" s="1647"/>
      <c r="M24" s="4906">
        <v>45441</v>
      </c>
      <c r="N24" s="4906"/>
      <c r="O24" s="4906">
        <v>45441</v>
      </c>
      <c r="P24" s="4909" t="s">
        <v>8084</v>
      </c>
      <c r="Q24" s="5065" t="s">
        <v>75</v>
      </c>
      <c r="R24" s="4909" t="s">
        <v>8085</v>
      </c>
      <c r="S24" s="4947" t="s">
        <v>2373</v>
      </c>
      <c r="T24" s="4845"/>
      <c r="U24" s="4845"/>
      <c r="V24" s="4845"/>
      <c r="W24" s="4845"/>
      <c r="X24" s="4845"/>
      <c r="Y24" s="4845"/>
      <c r="Z24" s="4845"/>
    </row>
    <row r="25" spans="1:26" s="26" customFormat="1">
      <c r="A25" s="5496" t="s">
        <v>7322</v>
      </c>
      <c r="B25" s="5494" t="s">
        <v>8086</v>
      </c>
      <c r="C25" s="4895" t="s">
        <v>28</v>
      </c>
      <c r="D25" s="5493">
        <v>45429</v>
      </c>
      <c r="E25" s="5495">
        <v>45431</v>
      </c>
      <c r="F25" s="4895" t="s">
        <v>245</v>
      </c>
      <c r="G25" s="4895" t="s">
        <v>6204</v>
      </c>
      <c r="H25" s="5493">
        <v>45442</v>
      </c>
      <c r="I25" s="4895" t="s">
        <v>31</v>
      </c>
      <c r="J25" s="5489" t="s">
        <v>551</v>
      </c>
      <c r="K25" s="4895" t="s">
        <v>8074</v>
      </c>
      <c r="L25" s="4895" t="s">
        <v>1677</v>
      </c>
      <c r="M25" s="5493">
        <v>45439</v>
      </c>
      <c r="N25" s="5493">
        <v>45436</v>
      </c>
      <c r="O25" s="5493">
        <v>45443</v>
      </c>
      <c r="P25" s="5087" t="s">
        <v>8087</v>
      </c>
      <c r="Q25" s="4895" t="s">
        <v>862</v>
      </c>
      <c r="R25" s="5497" t="s">
        <v>51</v>
      </c>
      <c r="S25" s="4872" t="s">
        <v>37</v>
      </c>
      <c r="T25" s="4873">
        <v>2000</v>
      </c>
      <c r="U25" s="4873">
        <v>1848</v>
      </c>
      <c r="V25" s="4873"/>
      <c r="W25" s="4873"/>
      <c r="X25" s="4873"/>
      <c r="Y25" s="4873"/>
      <c r="Z25" s="4873"/>
    </row>
    <row r="26" spans="1:26" s="26" customFormat="1">
      <c r="A26" s="4882" t="s">
        <v>4277</v>
      </c>
      <c r="B26" s="4882" t="s">
        <v>8088</v>
      </c>
      <c r="C26" s="4861" t="s">
        <v>28</v>
      </c>
      <c r="D26" s="4940">
        <v>45414</v>
      </c>
      <c r="E26" s="5052">
        <v>45430</v>
      </c>
      <c r="F26" s="4861" t="s">
        <v>45</v>
      </c>
      <c r="G26" s="4839" t="s">
        <v>46</v>
      </c>
      <c r="H26" s="4882"/>
      <c r="I26" s="4882"/>
      <c r="J26" s="4901" t="s">
        <v>32</v>
      </c>
      <c r="K26" s="4841" t="s">
        <v>47</v>
      </c>
      <c r="L26" s="4869" t="s">
        <v>8089</v>
      </c>
      <c r="M26" s="4897">
        <v>45432</v>
      </c>
      <c r="N26" s="4897">
        <v>45432</v>
      </c>
      <c r="O26" s="4897">
        <v>45433</v>
      </c>
      <c r="P26" s="4871" t="s">
        <v>8090</v>
      </c>
      <c r="Q26" s="5128" t="s">
        <v>6852</v>
      </c>
      <c r="R26" s="4870" t="s">
        <v>51</v>
      </c>
      <c r="S26" s="4870"/>
      <c r="T26" s="4882"/>
      <c r="U26" s="4882"/>
      <c r="V26" s="4882"/>
      <c r="W26" s="4882"/>
      <c r="X26" s="4882"/>
      <c r="Y26" s="4882"/>
      <c r="Z26" s="4882"/>
    </row>
    <row r="27" spans="1:26" s="117" customFormat="1" ht="75">
      <c r="A27" s="4845" t="s">
        <v>468</v>
      </c>
      <c r="B27" s="4908" t="s">
        <v>8091</v>
      </c>
      <c r="C27" s="4908" t="s">
        <v>200</v>
      </c>
      <c r="D27" s="4906">
        <v>45400</v>
      </c>
      <c r="E27" s="4916">
        <v>45414</v>
      </c>
      <c r="F27" s="4908" t="s">
        <v>245</v>
      </c>
      <c r="G27" s="4908" t="s">
        <v>3002</v>
      </c>
      <c r="H27" s="4906">
        <v>45416</v>
      </c>
      <c r="I27" s="4908" t="s">
        <v>618</v>
      </c>
      <c r="J27" s="5243" t="s">
        <v>297</v>
      </c>
      <c r="K27" s="4909" t="s">
        <v>6173</v>
      </c>
      <c r="L27" s="5502" t="s">
        <v>8092</v>
      </c>
      <c r="M27" s="5070">
        <v>3</v>
      </c>
      <c r="N27" s="4906">
        <v>45415</v>
      </c>
      <c r="O27" s="4961">
        <v>45419</v>
      </c>
      <c r="P27" s="4909" t="s">
        <v>8093</v>
      </c>
      <c r="Q27" s="5065" t="s">
        <v>75</v>
      </c>
      <c r="R27" s="4908" t="s">
        <v>8094</v>
      </c>
      <c r="S27" s="4845"/>
      <c r="T27" s="4845">
        <v>2330</v>
      </c>
      <c r="U27" s="5190">
        <v>1488.2</v>
      </c>
      <c r="V27" s="4845">
        <v>1</v>
      </c>
      <c r="W27" s="5190">
        <f>表15[[#This Row],[Sales Amount]]-表15[[#This Row],[Cost]]</f>
        <v>841.8</v>
      </c>
      <c r="X27" s="5060">
        <f>表15[[#This Row],[Profit]]/表15[[#This Row],[Cost]]</f>
        <v>0.5656497782556108</v>
      </c>
      <c r="Y27" s="4845"/>
      <c r="Z27" s="4845"/>
    </row>
    <row r="28" spans="1:26" s="507" customFormat="1" ht="45">
      <c r="A28" s="4908" t="s">
        <v>468</v>
      </c>
      <c r="B28" s="4845" t="s">
        <v>8095</v>
      </c>
      <c r="C28" s="4845" t="s">
        <v>200</v>
      </c>
      <c r="D28" s="4906">
        <v>45415</v>
      </c>
      <c r="E28" s="4916">
        <v>45423</v>
      </c>
      <c r="F28" s="4845" t="s">
        <v>245</v>
      </c>
      <c r="G28" s="4845" t="s">
        <v>57</v>
      </c>
      <c r="H28" s="4916">
        <v>45425</v>
      </c>
      <c r="I28" s="5242" t="s">
        <v>926</v>
      </c>
      <c r="J28" s="5243" t="s">
        <v>32</v>
      </c>
      <c r="K28" s="4845" t="s">
        <v>6656</v>
      </c>
      <c r="L28" s="4908">
        <v>8664983</v>
      </c>
      <c r="M28" s="4906"/>
      <c r="N28" s="4906">
        <v>45425</v>
      </c>
      <c r="O28" s="4917">
        <v>45425</v>
      </c>
      <c r="P28" s="4909" t="s">
        <v>8096</v>
      </c>
      <c r="Q28" s="5065" t="s">
        <v>75</v>
      </c>
      <c r="R28" s="4908" t="s">
        <v>51</v>
      </c>
      <c r="S28" s="4908" t="s">
        <v>8097</v>
      </c>
      <c r="T28" s="4845">
        <v>1005</v>
      </c>
      <c r="U28" s="4845">
        <v>810</v>
      </c>
      <c r="V28" s="4845"/>
      <c r="W28" s="4845"/>
      <c r="X28" s="4845"/>
      <c r="Y28" s="4845"/>
      <c r="Z28" s="4845"/>
    </row>
    <row r="29" spans="1:26" s="507" customFormat="1" ht="45">
      <c r="A29" s="4845" t="s">
        <v>468</v>
      </c>
      <c r="B29" s="4908" t="s">
        <v>8098</v>
      </c>
      <c r="C29" s="4908" t="s">
        <v>200</v>
      </c>
      <c r="D29" s="4906">
        <v>45400</v>
      </c>
      <c r="E29" s="4916">
        <v>45422</v>
      </c>
      <c r="F29" s="4908" t="s">
        <v>29</v>
      </c>
      <c r="G29" s="4908" t="s">
        <v>2491</v>
      </c>
      <c r="H29" s="4960">
        <v>45425</v>
      </c>
      <c r="I29" s="4908" t="s">
        <v>8099</v>
      </c>
      <c r="J29" s="1061" t="s">
        <v>7869</v>
      </c>
      <c r="K29" s="4908" t="s">
        <v>2948</v>
      </c>
      <c r="L29" s="4908">
        <v>1445</v>
      </c>
      <c r="M29" s="4961">
        <v>45426</v>
      </c>
      <c r="N29" s="4906">
        <v>45425</v>
      </c>
      <c r="O29" s="4906">
        <v>45426</v>
      </c>
      <c r="P29" s="4909" t="s">
        <v>8100</v>
      </c>
      <c r="Q29" s="5065" t="s">
        <v>75</v>
      </c>
      <c r="R29" s="4845" t="s">
        <v>36</v>
      </c>
      <c r="S29" s="4845"/>
      <c r="T29" s="4845">
        <v>935</v>
      </c>
      <c r="U29" s="4845">
        <v>789</v>
      </c>
      <c r="V29" s="4845"/>
      <c r="W29" s="4845"/>
      <c r="X29" s="4845"/>
      <c r="Y29" s="4845"/>
      <c r="Z29" s="4845"/>
    </row>
    <row r="30" spans="1:26" s="26" customFormat="1">
      <c r="A30" s="5325" t="s">
        <v>1035</v>
      </c>
      <c r="B30" s="4870" t="s">
        <v>8101</v>
      </c>
      <c r="C30" s="4839" t="s">
        <v>28</v>
      </c>
      <c r="D30" s="4897">
        <v>45436</v>
      </c>
      <c r="E30" s="4897">
        <v>45442</v>
      </c>
      <c r="F30" s="4839" t="s">
        <v>151</v>
      </c>
      <c r="G30" s="4839" t="s">
        <v>46</v>
      </c>
      <c r="H30" s="4870" t="s">
        <v>8102</v>
      </c>
      <c r="I30" s="4861"/>
      <c r="J30" s="4854" t="s">
        <v>32</v>
      </c>
      <c r="K30" s="4839" t="s">
        <v>162</v>
      </c>
      <c r="L30" s="1" t="s">
        <v>8103</v>
      </c>
      <c r="M30" s="4897">
        <v>45447</v>
      </c>
      <c r="N30" s="4877"/>
      <c r="O30" s="4877"/>
      <c r="P30" s="4871" t="s">
        <v>8104</v>
      </c>
      <c r="Q30" s="5128" t="s">
        <v>6852</v>
      </c>
      <c r="R30" s="4851"/>
      <c r="S30" s="4870"/>
      <c r="T30" s="4882"/>
      <c r="U30" s="4882"/>
      <c r="V30" s="4882"/>
      <c r="W30" s="4882"/>
      <c r="X30" s="4882"/>
      <c r="Y30" s="4882"/>
      <c r="Z30" s="4882"/>
    </row>
    <row r="31" spans="1:26" s="707" customFormat="1">
      <c r="A31" s="4870" t="s">
        <v>409</v>
      </c>
      <c r="B31" s="4839" t="s">
        <v>8105</v>
      </c>
      <c r="C31" s="4839" t="s">
        <v>28</v>
      </c>
      <c r="D31" s="4897">
        <v>45429</v>
      </c>
      <c r="E31" s="4912">
        <v>45449</v>
      </c>
      <c r="F31" s="4839" t="s">
        <v>45</v>
      </c>
      <c r="G31" s="4839" t="s">
        <v>46</v>
      </c>
      <c r="H31" s="4953"/>
      <c r="I31" s="4861"/>
      <c r="J31" s="4901" t="s">
        <v>32</v>
      </c>
      <c r="K31" s="4841" t="s">
        <v>47</v>
      </c>
      <c r="L31" s="4943" t="s">
        <v>8106</v>
      </c>
      <c r="M31" s="4877">
        <v>45451</v>
      </c>
      <c r="N31" s="4877">
        <v>45450</v>
      </c>
      <c r="O31" s="4877">
        <v>45452</v>
      </c>
      <c r="P31" s="4871" t="s">
        <v>8107</v>
      </c>
      <c r="Q31" s="4839" t="s">
        <v>6852</v>
      </c>
      <c r="R31" s="4870" t="s">
        <v>8108</v>
      </c>
      <c r="S31" s="4870"/>
      <c r="T31" s="4882"/>
      <c r="U31" s="4882"/>
      <c r="V31" s="4882"/>
      <c r="W31" s="4882"/>
      <c r="X31" s="4882"/>
      <c r="Y31" s="4882"/>
      <c r="Z31" s="4882"/>
    </row>
    <row r="32" spans="1:26" s="707" customFormat="1">
      <c r="A32" s="5283"/>
      <c r="B32" s="5503"/>
      <c r="C32" s="4895"/>
      <c r="D32" s="5485"/>
      <c r="E32" s="5486"/>
      <c r="F32" s="4895"/>
      <c r="G32" s="4872"/>
      <c r="H32" s="144"/>
      <c r="I32" s="4874"/>
      <c r="J32" s="4895"/>
      <c r="K32" s="4895"/>
      <c r="L32" s="3241"/>
      <c r="M32" s="5500"/>
      <c r="N32" s="5500"/>
      <c r="O32" s="5500"/>
      <c r="P32" s="5087"/>
      <c r="Q32" s="5501"/>
      <c r="R32" s="4872"/>
      <c r="S32" s="4872"/>
      <c r="T32" s="4873"/>
      <c r="U32" s="4873"/>
      <c r="V32" s="4873"/>
      <c r="W32" s="4873"/>
      <c r="X32" s="4873"/>
      <c r="Y32" s="4873"/>
      <c r="Z32" s="4873"/>
    </row>
    <row r="33" spans="1:27" s="508" customFormat="1">
      <c r="A33" s="4861" t="s">
        <v>639</v>
      </c>
      <c r="B33" s="4870" t="s">
        <v>8109</v>
      </c>
      <c r="C33" s="4839" t="s">
        <v>28</v>
      </c>
      <c r="D33" s="4897">
        <v>45405</v>
      </c>
      <c r="E33" s="4171">
        <v>45420</v>
      </c>
      <c r="F33" s="4839" t="s">
        <v>151</v>
      </c>
      <c r="G33" s="4839" t="s">
        <v>46</v>
      </c>
      <c r="H33" s="4882"/>
      <c r="I33" s="4882"/>
      <c r="J33" s="4854" t="s">
        <v>32</v>
      </c>
      <c r="K33" s="4870" t="s">
        <v>641</v>
      </c>
      <c r="L33" s="1" t="s">
        <v>8110</v>
      </c>
      <c r="M33" s="4897">
        <v>45420</v>
      </c>
      <c r="N33" s="4897">
        <v>45420</v>
      </c>
      <c r="O33" s="4897">
        <v>45420</v>
      </c>
      <c r="P33" s="4871" t="s">
        <v>8111</v>
      </c>
      <c r="Q33" s="5128" t="s">
        <v>6852</v>
      </c>
      <c r="R33" s="4870" t="s">
        <v>8112</v>
      </c>
      <c r="S33" s="4870"/>
      <c r="T33" s="4882"/>
      <c r="U33" s="4882"/>
      <c r="V33" s="4882"/>
      <c r="W33" s="4882"/>
      <c r="X33" s="4882"/>
      <c r="Y33" s="4882"/>
      <c r="Z33" s="4882"/>
      <c r="AA33" s="2482"/>
    </row>
    <row r="34" spans="1:27" s="26" customFormat="1">
      <c r="A34" s="4882" t="s">
        <v>3866</v>
      </c>
      <c r="B34" s="4870" t="s">
        <v>8113</v>
      </c>
      <c r="C34" s="4861" t="s">
        <v>28</v>
      </c>
      <c r="D34" s="4940">
        <v>45422</v>
      </c>
      <c r="E34" s="5052">
        <v>45435</v>
      </c>
      <c r="F34" s="4861" t="s">
        <v>45</v>
      </c>
      <c r="G34" s="4839" t="s">
        <v>46</v>
      </c>
      <c r="H34" s="4882"/>
      <c r="I34" s="4882"/>
      <c r="J34" s="4901" t="s">
        <v>32</v>
      </c>
      <c r="K34" s="4839" t="s">
        <v>47</v>
      </c>
      <c r="L34" s="4880" t="s">
        <v>8114</v>
      </c>
      <c r="M34" s="4897">
        <v>45437</v>
      </c>
      <c r="N34" s="4897">
        <v>45436</v>
      </c>
      <c r="O34" s="4897">
        <v>45439</v>
      </c>
      <c r="P34" s="4871" t="s">
        <v>8115</v>
      </c>
      <c r="Q34" s="5128" t="s">
        <v>6852</v>
      </c>
      <c r="R34" s="4870" t="s">
        <v>51</v>
      </c>
      <c r="S34" s="4870"/>
      <c r="T34" s="4882"/>
      <c r="U34" s="4882"/>
      <c r="V34" s="4882"/>
      <c r="W34" s="4882"/>
      <c r="X34" s="4882"/>
      <c r="Y34" s="4882"/>
      <c r="Z34" s="4882"/>
    </row>
    <row r="35" spans="1:27" s="26" customFormat="1">
      <c r="A35" s="4870" t="s">
        <v>4277</v>
      </c>
      <c r="B35" s="4870" t="s">
        <v>8116</v>
      </c>
      <c r="C35" s="4839" t="s">
        <v>28</v>
      </c>
      <c r="D35" s="4897">
        <v>45422</v>
      </c>
      <c r="E35" s="4912">
        <v>45437</v>
      </c>
      <c r="F35" s="4839" t="s">
        <v>45</v>
      </c>
      <c r="G35" s="4839" t="s">
        <v>46</v>
      </c>
      <c r="H35" s="707"/>
      <c r="I35" s="4882"/>
      <c r="J35" s="4901" t="s">
        <v>32</v>
      </c>
      <c r="K35" s="4839" t="s">
        <v>47</v>
      </c>
      <c r="L35" s="1" t="s">
        <v>8117</v>
      </c>
      <c r="M35" s="4897">
        <v>45438</v>
      </c>
      <c r="N35" s="4897">
        <v>45438</v>
      </c>
      <c r="O35" s="4897">
        <v>45441</v>
      </c>
      <c r="P35" s="4871" t="s">
        <v>8118</v>
      </c>
      <c r="Q35" s="5128" t="s">
        <v>6852</v>
      </c>
      <c r="R35" s="4870" t="s">
        <v>36</v>
      </c>
      <c r="S35" s="4870"/>
      <c r="T35" s="4882"/>
      <c r="U35" s="4882"/>
      <c r="V35" s="4882"/>
      <c r="W35" s="4882"/>
      <c r="X35" s="4882"/>
      <c r="Y35" s="4882"/>
      <c r="Z35" s="4882"/>
    </row>
    <row r="36" spans="1:27" s="26" customFormat="1">
      <c r="A36" s="5325" t="s">
        <v>1035</v>
      </c>
      <c r="B36" s="4870" t="s">
        <v>8119</v>
      </c>
      <c r="C36" s="4839" t="s">
        <v>28</v>
      </c>
      <c r="D36" s="4897">
        <v>45415</v>
      </c>
      <c r="E36" s="5504">
        <v>45433</v>
      </c>
      <c r="F36" s="4839" t="s">
        <v>151</v>
      </c>
      <c r="G36" s="4839" t="s">
        <v>46</v>
      </c>
      <c r="H36" s="4870" t="s">
        <v>8102</v>
      </c>
      <c r="I36" s="4870"/>
      <c r="J36" s="4854" t="s">
        <v>32</v>
      </c>
      <c r="K36" s="4839" t="s">
        <v>162</v>
      </c>
      <c r="L36" s="4870" t="s">
        <v>8120</v>
      </c>
      <c r="M36" s="4897">
        <v>45434</v>
      </c>
      <c r="N36" s="4897">
        <v>45433</v>
      </c>
      <c r="O36" s="4897">
        <v>45434</v>
      </c>
      <c r="P36" s="1019" t="s">
        <v>8121</v>
      </c>
      <c r="Q36" s="4839" t="s">
        <v>6852</v>
      </c>
      <c r="R36" s="4851"/>
      <c r="S36" s="4839"/>
      <c r="T36" s="4882"/>
      <c r="U36" s="4882"/>
      <c r="V36" s="4882"/>
      <c r="W36" s="4882"/>
      <c r="X36" s="4882"/>
      <c r="Y36" s="4882"/>
      <c r="Z36" s="4882"/>
    </row>
    <row r="37" spans="1:27">
      <c r="A37" s="5277" t="s">
        <v>8122</v>
      </c>
      <c r="B37" s="4913" t="s">
        <v>8123</v>
      </c>
      <c r="C37" s="4870" t="s">
        <v>4990</v>
      </c>
      <c r="D37" s="4897">
        <v>45433</v>
      </c>
      <c r="E37" s="4912">
        <v>45433</v>
      </c>
      <c r="F37" s="4913" t="s">
        <v>1357</v>
      </c>
      <c r="G37" s="4870" t="s">
        <v>8124</v>
      </c>
      <c r="H37" s="4953">
        <v>45436</v>
      </c>
      <c r="I37" s="4861"/>
      <c r="J37" s="4869" t="s">
        <v>8125</v>
      </c>
      <c r="K37" s="4839" t="s">
        <v>8126</v>
      </c>
      <c r="L37" s="4870"/>
      <c r="M37" s="4877">
        <v>45440</v>
      </c>
      <c r="N37" s="4877">
        <v>45435</v>
      </c>
      <c r="O37" s="4877"/>
      <c r="P37" s="4882" t="s">
        <v>8127</v>
      </c>
      <c r="Q37" s="5128" t="s">
        <v>862</v>
      </c>
      <c r="R37" s="4870" t="s">
        <v>36</v>
      </c>
      <c r="S37" s="4870"/>
      <c r="T37" s="4882">
        <v>13645.57</v>
      </c>
      <c r="U37" s="4882">
        <f>12300+45.57</f>
        <v>12345.57</v>
      </c>
      <c r="V37" s="4882">
        <v>1</v>
      </c>
      <c r="W37" s="4882"/>
      <c r="X37" s="4882"/>
      <c r="Y37" s="4882"/>
      <c r="Z37" s="4882"/>
    </row>
    <row r="38" spans="1:27" s="681" customFormat="1" ht="45">
      <c r="A38" s="4607" t="s">
        <v>468</v>
      </c>
      <c r="B38" s="4908" t="s">
        <v>8128</v>
      </c>
      <c r="C38" s="4908" t="s">
        <v>200</v>
      </c>
      <c r="D38" s="4906">
        <v>45397</v>
      </c>
      <c r="E38" s="4916">
        <v>45414</v>
      </c>
      <c r="F38" s="4908" t="s">
        <v>29</v>
      </c>
      <c r="G38" s="4908" t="s">
        <v>7393</v>
      </c>
      <c r="H38" s="4906">
        <v>45415</v>
      </c>
      <c r="I38" s="4845" t="s">
        <v>926</v>
      </c>
      <c r="J38" s="5243" t="s">
        <v>695</v>
      </c>
      <c r="K38" s="4150" t="s">
        <v>3200</v>
      </c>
      <c r="L38" s="4845">
        <v>5280</v>
      </c>
      <c r="M38" s="4906">
        <v>45415</v>
      </c>
      <c r="N38" s="4906">
        <v>45415</v>
      </c>
      <c r="O38" s="4917">
        <v>45415</v>
      </c>
      <c r="P38" s="4909" t="s">
        <v>8129</v>
      </c>
      <c r="Q38" s="5065" t="s">
        <v>75</v>
      </c>
      <c r="R38" s="4908" t="s">
        <v>8130</v>
      </c>
      <c r="S38" s="4845">
        <v>1</v>
      </c>
      <c r="T38" s="4845">
        <v>830</v>
      </c>
      <c r="U38" s="4845">
        <v>559.70000000000005</v>
      </c>
      <c r="V38" s="4845">
        <v>1</v>
      </c>
      <c r="W38" s="4845">
        <f>表15[[#This Row],[Sales Amount]]-表15[[#This Row],[Cost]]</f>
        <v>270.29999999999995</v>
      </c>
      <c r="X38" s="5060">
        <f>表15[[#This Row],[Profit]]/表15[[#This Row],[Cost]]</f>
        <v>0.48293728783276746</v>
      </c>
      <c r="Y38" s="4908" t="s">
        <v>5640</v>
      </c>
      <c r="Z38" s="5056"/>
      <c r="AA38" s="2459"/>
    </row>
    <row r="39" spans="1:27" s="93" customFormat="1" ht="45">
      <c r="A39" s="4607" t="s">
        <v>468</v>
      </c>
      <c r="B39" s="4908" t="s">
        <v>8131</v>
      </c>
      <c r="C39" s="4908" t="s">
        <v>200</v>
      </c>
      <c r="D39" s="4906">
        <v>45397</v>
      </c>
      <c r="E39" s="4916">
        <v>45414</v>
      </c>
      <c r="F39" s="4908" t="s">
        <v>29</v>
      </c>
      <c r="G39" s="4908" t="s">
        <v>7393</v>
      </c>
      <c r="H39" s="4906">
        <v>45415</v>
      </c>
      <c r="I39" s="4845" t="s">
        <v>1196</v>
      </c>
      <c r="J39" s="5243" t="s">
        <v>695</v>
      </c>
      <c r="K39" s="4908" t="s">
        <v>3200</v>
      </c>
      <c r="L39" s="4845">
        <v>2178</v>
      </c>
      <c r="M39" s="4906">
        <v>45415</v>
      </c>
      <c r="N39" s="4906">
        <v>45415</v>
      </c>
      <c r="O39" s="4917">
        <v>45415</v>
      </c>
      <c r="P39" s="4909" t="s">
        <v>8132</v>
      </c>
      <c r="Q39" s="5065" t="s">
        <v>75</v>
      </c>
      <c r="R39" s="4908" t="s">
        <v>8133</v>
      </c>
      <c r="S39" s="4845">
        <v>1</v>
      </c>
      <c r="T39" s="4845">
        <v>830</v>
      </c>
      <c r="U39" s="4845">
        <v>559.70000000000005</v>
      </c>
      <c r="V39" s="4845">
        <v>1</v>
      </c>
      <c r="W39" s="4845">
        <f>表15[[#This Row],[Sales Amount]]-表15[[#This Row],[Cost]]</f>
        <v>270.29999999999995</v>
      </c>
      <c r="X39" s="5060">
        <f>表15[[#This Row],[Profit]]/表15[[#This Row],[Cost]]</f>
        <v>0.48293728783276746</v>
      </c>
      <c r="Y39" s="4908" t="s">
        <v>5640</v>
      </c>
      <c r="Z39" s="5056"/>
      <c r="AA39" s="145"/>
    </row>
    <row r="40" spans="1:27" s="26" customFormat="1" ht="30">
      <c r="A40" s="4607" t="s">
        <v>468</v>
      </c>
      <c r="B40" s="4908" t="s">
        <v>8134</v>
      </c>
      <c r="C40" s="4845" t="s">
        <v>200</v>
      </c>
      <c r="D40" s="4906">
        <v>45408</v>
      </c>
      <c r="E40" s="4916">
        <v>45419</v>
      </c>
      <c r="F40" s="4845" t="s">
        <v>245</v>
      </c>
      <c r="G40" s="4150" t="s">
        <v>8135</v>
      </c>
      <c r="H40" s="4916">
        <v>45422</v>
      </c>
      <c r="I40" s="5242" t="s">
        <v>3956</v>
      </c>
      <c r="J40" s="5243" t="s">
        <v>8136</v>
      </c>
      <c r="K40" s="4908" t="s">
        <v>8137</v>
      </c>
      <c r="L40" s="4929">
        <v>8150893</v>
      </c>
      <c r="M40" s="4936">
        <v>45422</v>
      </c>
      <c r="N40" s="4918">
        <v>45420</v>
      </c>
      <c r="O40" s="4961">
        <v>45422</v>
      </c>
      <c r="P40" s="4909" t="s">
        <v>8138</v>
      </c>
      <c r="Q40" s="5065" t="s">
        <v>75</v>
      </c>
      <c r="R40" s="4908" t="s">
        <v>8139</v>
      </c>
      <c r="S40" s="4845"/>
      <c r="T40" s="4845"/>
      <c r="U40" s="4845"/>
      <c r="V40" s="4845"/>
      <c r="W40" s="4845"/>
      <c r="X40" s="4845"/>
      <c r="Y40" s="4845"/>
      <c r="Z40" s="5056"/>
    </row>
    <row r="41" spans="1:27" s="507" customFormat="1" ht="45">
      <c r="A41" s="4607" t="s">
        <v>710</v>
      </c>
      <c r="B41" s="4908" t="s">
        <v>8140</v>
      </c>
      <c r="C41" s="4845" t="s">
        <v>8141</v>
      </c>
      <c r="D41" s="4906">
        <v>45395</v>
      </c>
      <c r="E41" s="4916">
        <v>45414</v>
      </c>
      <c r="F41" s="4845" t="s">
        <v>245</v>
      </c>
      <c r="G41" s="4845" t="s">
        <v>57</v>
      </c>
      <c r="H41" s="4918">
        <v>45415</v>
      </c>
      <c r="I41" s="4908" t="s">
        <v>8142</v>
      </c>
      <c r="J41" s="4915" t="s">
        <v>1353</v>
      </c>
      <c r="K41" s="507" t="s">
        <v>8143</v>
      </c>
      <c r="L41" s="766" t="s">
        <v>8144</v>
      </c>
      <c r="M41" s="4906">
        <v>45416</v>
      </c>
      <c r="N41" s="4906">
        <v>45415</v>
      </c>
      <c r="O41" s="4988">
        <v>45418</v>
      </c>
      <c r="P41" s="4909" t="s">
        <v>8145</v>
      </c>
      <c r="Q41" s="5065" t="s">
        <v>75</v>
      </c>
      <c r="R41" s="4908" t="s">
        <v>8146</v>
      </c>
      <c r="S41" s="4947" t="s">
        <v>8147</v>
      </c>
      <c r="T41" s="5417">
        <v>1490</v>
      </c>
      <c r="U41" s="5417">
        <f>984.8+55</f>
        <v>1039.8</v>
      </c>
      <c r="V41" s="4845">
        <v>1</v>
      </c>
      <c r="W41" s="4845">
        <f>表15[[#This Row],[Sales Amount]]-表15[[#This Row],[Cost]]</f>
        <v>450.20000000000005</v>
      </c>
      <c r="X41" s="5060">
        <f>表15[[#This Row],[Profit]]/表15[[#This Row],[Cost]]</f>
        <v>0.43296787843816126</v>
      </c>
      <c r="Y41" s="4845"/>
      <c r="Z41" s="5056"/>
    </row>
    <row r="42" spans="1:27" s="26" customFormat="1" ht="60">
      <c r="A42" s="4607" t="s">
        <v>2847</v>
      </c>
      <c r="B42" s="4908" t="s">
        <v>8148</v>
      </c>
      <c r="C42" s="4845" t="s">
        <v>28</v>
      </c>
      <c r="D42" s="4906">
        <v>45412</v>
      </c>
      <c r="E42" s="879">
        <v>45419</v>
      </c>
      <c r="F42" s="4908" t="s">
        <v>93</v>
      </c>
      <c r="G42" s="4908" t="s">
        <v>5557</v>
      </c>
      <c r="H42" s="4918">
        <v>45421</v>
      </c>
      <c r="I42" s="4929" t="s">
        <v>8149</v>
      </c>
      <c r="J42" s="5243" t="s">
        <v>322</v>
      </c>
      <c r="K42" s="4908" t="s">
        <v>2652</v>
      </c>
      <c r="L42" s="117">
        <v>8320756</v>
      </c>
      <c r="M42" s="4918">
        <v>45421</v>
      </c>
      <c r="N42" s="4918">
        <v>45421</v>
      </c>
      <c r="O42" s="4916">
        <v>45421</v>
      </c>
      <c r="P42" s="4947" t="s">
        <v>8150</v>
      </c>
      <c r="Q42" s="5065" t="s">
        <v>75</v>
      </c>
      <c r="R42" s="4938" t="s">
        <v>8151</v>
      </c>
      <c r="S42" s="4845"/>
      <c r="T42" s="4845">
        <v>1145</v>
      </c>
      <c r="U42" s="4845">
        <v>713</v>
      </c>
      <c r="V42" s="4845">
        <v>1</v>
      </c>
      <c r="W42" s="5190">
        <f>表15[[#This Row],[Sales Amount]]-表15[[#This Row],[Cost]]</f>
        <v>432</v>
      </c>
      <c r="X42" s="4919">
        <f>表15[[#This Row],[Profit]]/表15[[#This Row],[Cost]]</f>
        <v>0.60589060308555398</v>
      </c>
      <c r="Y42" s="4908" t="s">
        <v>5640</v>
      </c>
      <c r="Z42" s="5056"/>
    </row>
    <row r="43" spans="1:27" s="26" customFormat="1" ht="45">
      <c r="A43" s="4607" t="s">
        <v>2847</v>
      </c>
      <c r="B43" s="4908" t="s">
        <v>8152</v>
      </c>
      <c r="C43" s="4845" t="s">
        <v>28</v>
      </c>
      <c r="D43" s="4906">
        <v>45412</v>
      </c>
      <c r="E43" s="4916">
        <v>45418</v>
      </c>
      <c r="F43" s="4908" t="s">
        <v>93</v>
      </c>
      <c r="G43" s="4908" t="s">
        <v>5557</v>
      </c>
      <c r="H43" s="4918">
        <v>45420</v>
      </c>
      <c r="I43" s="4929" t="s">
        <v>178</v>
      </c>
      <c r="J43" s="1061" t="s">
        <v>322</v>
      </c>
      <c r="K43" s="4908" t="s">
        <v>2652</v>
      </c>
      <c r="L43" s="4845">
        <v>8320857</v>
      </c>
      <c r="M43" s="825">
        <v>45420</v>
      </c>
      <c r="N43" s="825">
        <v>45420</v>
      </c>
      <c r="O43" s="879">
        <v>45420</v>
      </c>
      <c r="P43" s="4947" t="s">
        <v>8153</v>
      </c>
      <c r="Q43" s="5065" t="s">
        <v>75</v>
      </c>
      <c r="R43" s="4909" t="s">
        <v>8154</v>
      </c>
      <c r="S43" s="4845"/>
      <c r="T43" s="5190">
        <v>1145</v>
      </c>
      <c r="U43" s="4845">
        <v>788</v>
      </c>
      <c r="V43" s="4845">
        <v>1</v>
      </c>
      <c r="W43" s="5190">
        <f>表15[[#This Row],[Sales Amount]]-表15[[#This Row],[Cost]]</f>
        <v>357</v>
      </c>
      <c r="X43" s="4919">
        <f>表15[[#This Row],[Profit]]/表15[[#This Row],[Cost]]</f>
        <v>0.45304568527918782</v>
      </c>
      <c r="Y43" s="4908" t="s">
        <v>5640</v>
      </c>
      <c r="Z43" s="5056"/>
    </row>
    <row r="44" spans="1:27" s="2484" customFormat="1" ht="75">
      <c r="A44" s="4607" t="s">
        <v>2847</v>
      </c>
      <c r="B44" s="4908" t="s">
        <v>8155</v>
      </c>
      <c r="C44" s="4845" t="s">
        <v>28</v>
      </c>
      <c r="D44" s="4906">
        <v>45412</v>
      </c>
      <c r="E44" s="4916">
        <v>45419</v>
      </c>
      <c r="F44" s="4908" t="s">
        <v>93</v>
      </c>
      <c r="G44" s="4908" t="s">
        <v>5557</v>
      </c>
      <c r="H44" s="4918">
        <v>45422</v>
      </c>
      <c r="I44" s="4929" t="s">
        <v>8149</v>
      </c>
      <c r="J44" s="1061" t="s">
        <v>322</v>
      </c>
      <c r="K44" s="4908" t="s">
        <v>2652</v>
      </c>
      <c r="L44" s="4929">
        <v>8320829</v>
      </c>
      <c r="M44" s="4918">
        <v>45421</v>
      </c>
      <c r="N44" s="4918">
        <v>45421</v>
      </c>
      <c r="O44" s="4916">
        <v>45422</v>
      </c>
      <c r="P44" s="4947" t="s">
        <v>8156</v>
      </c>
      <c r="Q44" s="5065" t="s">
        <v>75</v>
      </c>
      <c r="R44" s="4909" t="s">
        <v>8157</v>
      </c>
      <c r="S44" s="4845"/>
      <c r="T44" s="5190">
        <v>1305</v>
      </c>
      <c r="U44" s="4845">
        <v>968</v>
      </c>
      <c r="V44" s="4845">
        <v>1</v>
      </c>
      <c r="W44" s="5190">
        <f>表15[[#This Row],[Sales Amount]]-表15[[#This Row],[Cost]]</f>
        <v>337</v>
      </c>
      <c r="X44" s="4919">
        <f>表15[[#This Row],[Profit]]/表15[[#This Row],[Cost]]</f>
        <v>0.34814049586776857</v>
      </c>
      <c r="Y44" s="4908" t="s">
        <v>5640</v>
      </c>
      <c r="Z44" s="5056"/>
      <c r="AA44" s="2483"/>
    </row>
    <row r="45" spans="1:27" s="26" customFormat="1" ht="45">
      <c r="A45" s="4607" t="s">
        <v>2847</v>
      </c>
      <c r="B45" s="4908" t="s">
        <v>8158</v>
      </c>
      <c r="C45" s="4845" t="s">
        <v>28</v>
      </c>
      <c r="D45" s="4906">
        <v>45412</v>
      </c>
      <c r="E45" s="879">
        <v>45418</v>
      </c>
      <c r="F45" s="4908" t="s">
        <v>93</v>
      </c>
      <c r="G45" s="4908" t="s">
        <v>5557</v>
      </c>
      <c r="H45" s="4918">
        <v>45420</v>
      </c>
      <c r="I45" s="4929" t="s">
        <v>40</v>
      </c>
      <c r="J45" s="5243" t="s">
        <v>322</v>
      </c>
      <c r="K45" s="4908" t="s">
        <v>2652</v>
      </c>
      <c r="L45" s="117">
        <v>8320944</v>
      </c>
      <c r="M45" s="4918">
        <v>45420</v>
      </c>
      <c r="N45" s="4918">
        <v>45420</v>
      </c>
      <c r="O45" s="4916">
        <v>45421</v>
      </c>
      <c r="P45" s="4909" t="s">
        <v>8159</v>
      </c>
      <c r="Q45" s="5065" t="s">
        <v>75</v>
      </c>
      <c r="R45" s="4909" t="s">
        <v>8160</v>
      </c>
      <c r="S45" s="4845"/>
      <c r="T45" s="4845">
        <v>975</v>
      </c>
      <c r="U45" s="4845">
        <v>743</v>
      </c>
      <c r="V45" s="4845">
        <v>1</v>
      </c>
      <c r="W45" s="5190">
        <f>表15[[#This Row],[Sales Amount]]-表15[[#This Row],[Cost]]</f>
        <v>232</v>
      </c>
      <c r="X45" s="4919">
        <f>表15[[#This Row],[Profit]]/表15[[#This Row],[Cost]]</f>
        <v>0.31224764468371469</v>
      </c>
      <c r="Y45" s="4908" t="s">
        <v>5640</v>
      </c>
      <c r="Z45" s="5056"/>
    </row>
    <row r="46" spans="1:27" s="660" customFormat="1" ht="30">
      <c r="A46" s="4655" t="s">
        <v>7322</v>
      </c>
      <c r="B46" s="4892" t="s">
        <v>8161</v>
      </c>
      <c r="C46" s="4895" t="s">
        <v>28</v>
      </c>
      <c r="D46" s="5493">
        <v>45421</v>
      </c>
      <c r="E46" s="5495">
        <v>45426</v>
      </c>
      <c r="F46" s="4895" t="s">
        <v>29</v>
      </c>
      <c r="G46" s="4895" t="s">
        <v>6204</v>
      </c>
      <c r="H46" s="5505">
        <v>45446</v>
      </c>
      <c r="I46" s="4842" t="s">
        <v>495</v>
      </c>
      <c r="J46" s="5489" t="s">
        <v>1478</v>
      </c>
      <c r="K46" s="4895" t="s">
        <v>8074</v>
      </c>
      <c r="L46" s="4895" t="s">
        <v>1677</v>
      </c>
      <c r="M46" s="5493">
        <v>45430</v>
      </c>
      <c r="N46" s="5493">
        <v>45429</v>
      </c>
      <c r="O46" s="5493">
        <v>45447</v>
      </c>
      <c r="P46" s="5087" t="s">
        <v>8162</v>
      </c>
      <c r="Q46" s="4895" t="s">
        <v>862</v>
      </c>
      <c r="R46" s="5497" t="s">
        <v>51</v>
      </c>
      <c r="S46" s="4872" t="s">
        <v>37</v>
      </c>
      <c r="T46" s="4873">
        <v>2390</v>
      </c>
      <c r="U46" s="4873">
        <v>2325</v>
      </c>
      <c r="V46" s="4873"/>
      <c r="W46" s="4845">
        <f>表15[[#This Row],[Sales Amount]]-表15[[#This Row],[Cost]]</f>
        <v>65</v>
      </c>
      <c r="X46" s="5060">
        <f>表15[[#This Row],[Profit]]/表15[[#This Row],[Cost]]</f>
        <v>2.7956989247311829E-2</v>
      </c>
      <c r="Y46" s="4873"/>
      <c r="Z46" s="5074"/>
    </row>
    <row r="47" spans="1:27" s="693" customFormat="1">
      <c r="A47" s="4656" t="s">
        <v>3343</v>
      </c>
      <c r="B47" s="4839" t="s">
        <v>8163</v>
      </c>
      <c r="C47" s="4839" t="s">
        <v>28</v>
      </c>
      <c r="D47" s="4897">
        <v>45408</v>
      </c>
      <c r="E47" s="4912">
        <v>45420</v>
      </c>
      <c r="F47" s="3275" t="s">
        <v>45</v>
      </c>
      <c r="G47" s="4870" t="s">
        <v>46</v>
      </c>
      <c r="H47" s="5053" t="s">
        <v>8164</v>
      </c>
      <c r="I47" s="4861"/>
      <c r="J47" s="915" t="s">
        <v>32</v>
      </c>
      <c r="K47" s="4852" t="s">
        <v>8165</v>
      </c>
      <c r="L47" s="4870"/>
      <c r="M47" s="4371" t="s">
        <v>532</v>
      </c>
      <c r="N47" s="1380">
        <v>45423</v>
      </c>
      <c r="O47" s="1380">
        <v>45430</v>
      </c>
      <c r="P47" s="1019" t="s">
        <v>8166</v>
      </c>
      <c r="Q47" s="5128" t="s">
        <v>6852</v>
      </c>
      <c r="R47" s="1" t="s">
        <v>51</v>
      </c>
      <c r="S47" s="4870"/>
      <c r="T47" s="4882"/>
      <c r="U47" s="4882"/>
      <c r="V47" s="4882"/>
      <c r="W47" s="4882"/>
      <c r="X47" s="4882"/>
      <c r="Y47" s="4882"/>
      <c r="Z47" s="5055"/>
    </row>
    <row r="48" spans="1:27" s="120" customFormat="1">
      <c r="A48" s="4650" t="s">
        <v>4277</v>
      </c>
      <c r="B48" s="4882" t="s">
        <v>8167</v>
      </c>
      <c r="C48" s="4861" t="s">
        <v>28</v>
      </c>
      <c r="D48" s="4940">
        <v>45419</v>
      </c>
      <c r="E48" s="5052">
        <v>45433</v>
      </c>
      <c r="F48" s="4861" t="s">
        <v>45</v>
      </c>
      <c r="G48" s="4839" t="s">
        <v>46</v>
      </c>
      <c r="H48" s="4882"/>
      <c r="I48" s="4882"/>
      <c r="J48" s="4901" t="s">
        <v>32</v>
      </c>
      <c r="K48" s="4841" t="s">
        <v>47</v>
      </c>
      <c r="L48" s="4869" t="s">
        <v>8168</v>
      </c>
      <c r="M48" s="4897">
        <v>45435</v>
      </c>
      <c r="N48" s="4897">
        <v>45434</v>
      </c>
      <c r="O48" s="4897">
        <v>45435</v>
      </c>
      <c r="P48" s="4871" t="s">
        <v>8169</v>
      </c>
      <c r="Q48" s="5128" t="s">
        <v>6852</v>
      </c>
      <c r="R48" s="4870" t="s">
        <v>51</v>
      </c>
      <c r="S48" s="4870"/>
      <c r="T48" s="4882"/>
      <c r="U48" s="4882"/>
      <c r="V48" s="4882"/>
      <c r="W48" s="4882"/>
      <c r="X48" s="4882"/>
      <c r="Y48" s="3258"/>
      <c r="Z48" s="5055"/>
    </row>
    <row r="49" spans="1:26" s="26" customFormat="1">
      <c r="A49" s="4650" t="s">
        <v>4277</v>
      </c>
      <c r="B49" s="4870" t="s">
        <v>8170</v>
      </c>
      <c r="C49" s="4861" t="s">
        <v>28</v>
      </c>
      <c r="D49" s="4940">
        <v>45414</v>
      </c>
      <c r="E49" s="5052">
        <v>45434</v>
      </c>
      <c r="F49" s="4861" t="s">
        <v>45</v>
      </c>
      <c r="G49" s="4839" t="s">
        <v>46</v>
      </c>
      <c r="H49" s="4882"/>
      <c r="I49" s="4882"/>
      <c r="J49" s="4901" t="s">
        <v>32</v>
      </c>
      <c r="K49" s="4839" t="s">
        <v>47</v>
      </c>
      <c r="L49" s="2824" t="s">
        <v>8171</v>
      </c>
      <c r="M49" s="4897">
        <v>45437</v>
      </c>
      <c r="N49" s="4897">
        <v>45436</v>
      </c>
      <c r="O49" s="4897">
        <v>45438</v>
      </c>
      <c r="P49" s="4871" t="s">
        <v>8172</v>
      </c>
      <c r="Q49" s="5128" t="s">
        <v>6852</v>
      </c>
      <c r="R49" s="4870" t="s">
        <v>51</v>
      </c>
      <c r="S49" s="4870"/>
      <c r="T49" s="4882"/>
      <c r="U49" s="4882"/>
      <c r="V49" s="4882"/>
      <c r="W49" s="4882"/>
      <c r="X49" s="4882"/>
      <c r="Y49" s="4882"/>
      <c r="Z49" s="5055"/>
    </row>
    <row r="50" spans="1:26" s="117" customFormat="1" ht="45">
      <c r="A50" s="3417" t="s">
        <v>788</v>
      </c>
      <c r="B50" s="4242" t="s">
        <v>8173</v>
      </c>
      <c r="C50" s="3268" t="s">
        <v>28</v>
      </c>
      <c r="D50" s="3262">
        <v>45411</v>
      </c>
      <c r="E50" s="3264">
        <v>45429</v>
      </c>
      <c r="F50" s="3268" t="s">
        <v>167</v>
      </c>
      <c r="G50" s="4929" t="s">
        <v>8174</v>
      </c>
      <c r="H50" s="3366">
        <v>45432</v>
      </c>
      <c r="I50" s="3677" t="s">
        <v>6557</v>
      </c>
      <c r="J50" s="5243" t="s">
        <v>695</v>
      </c>
      <c r="K50" s="4951" t="s">
        <v>8175</v>
      </c>
      <c r="L50" s="4242" t="s">
        <v>8176</v>
      </c>
      <c r="M50" s="3262">
        <v>45431</v>
      </c>
      <c r="N50" s="3262">
        <v>45429</v>
      </c>
      <c r="O50" s="3262">
        <v>45432</v>
      </c>
      <c r="P50" s="4246" t="s">
        <v>8177</v>
      </c>
      <c r="Q50" s="3678" t="s">
        <v>75</v>
      </c>
      <c r="R50" s="4372" t="s">
        <v>8178</v>
      </c>
      <c r="S50" s="3268"/>
      <c r="T50" s="3679">
        <v>1445</v>
      </c>
      <c r="U50" s="3268">
        <v>1056.7</v>
      </c>
      <c r="V50" s="3268">
        <v>1</v>
      </c>
      <c r="W50" s="3679">
        <f>表15[[#This Row],[Sales Amount]]-表15[[#This Row],[Cost]]</f>
        <v>388.29999999999995</v>
      </c>
      <c r="X50" s="3269">
        <f>表15[[#This Row],[Profit]]/表15[[#This Row],[Cost]]</f>
        <v>0.3674647487460963</v>
      </c>
      <c r="Y50" s="3268"/>
      <c r="Z50" s="3270"/>
    </row>
    <row r="51" spans="1:26" s="26" customFormat="1">
      <c r="A51" s="3680" t="s">
        <v>1035</v>
      </c>
      <c r="B51" s="1" t="s">
        <v>8179</v>
      </c>
      <c r="C51" s="4839" t="s">
        <v>28</v>
      </c>
      <c r="D51" s="3674">
        <v>45436</v>
      </c>
      <c r="E51" s="3674">
        <v>45442</v>
      </c>
      <c r="F51" s="4839" t="s">
        <v>151</v>
      </c>
      <c r="G51" s="3275" t="s">
        <v>46</v>
      </c>
      <c r="H51" s="3261" t="s">
        <v>8102</v>
      </c>
      <c r="I51" s="4882"/>
      <c r="J51" s="1114" t="s">
        <v>32</v>
      </c>
      <c r="K51" s="4839" t="s">
        <v>162</v>
      </c>
      <c r="L51" s="4870" t="s">
        <v>8180</v>
      </c>
      <c r="M51" s="1607">
        <v>45446</v>
      </c>
      <c r="N51" s="1"/>
      <c r="O51" s="1"/>
      <c r="P51" s="1019" t="s">
        <v>8181</v>
      </c>
      <c r="Q51" s="5128" t="s">
        <v>6852</v>
      </c>
      <c r="R51" s="3284"/>
      <c r="S51" s="3261"/>
      <c r="T51" s="3258"/>
      <c r="U51" s="3258"/>
      <c r="V51" s="3258"/>
      <c r="W51" s="3258"/>
      <c r="X51" s="3258"/>
      <c r="Y51" s="3258"/>
      <c r="Z51" s="3259"/>
    </row>
    <row r="52" spans="1:26" s="106" customFormat="1">
      <c r="A52" s="3681" t="s">
        <v>409</v>
      </c>
      <c r="B52" s="3275" t="s">
        <v>8182</v>
      </c>
      <c r="C52" s="4839" t="s">
        <v>28</v>
      </c>
      <c r="D52" s="3674">
        <v>45433</v>
      </c>
      <c r="E52" s="4912">
        <v>45446</v>
      </c>
      <c r="F52" s="4839" t="s">
        <v>45</v>
      </c>
      <c r="G52" s="4839" t="s">
        <v>46</v>
      </c>
      <c r="H52" s="3534"/>
      <c r="I52" s="3246"/>
      <c r="J52" s="4839" t="s">
        <v>32</v>
      </c>
      <c r="K52" s="4839" t="s">
        <v>47</v>
      </c>
      <c r="L52" s="2824" t="s">
        <v>8183</v>
      </c>
      <c r="M52" s="3682">
        <v>45447</v>
      </c>
      <c r="N52" s="3682">
        <v>45446</v>
      </c>
      <c r="O52" s="3682">
        <v>45448</v>
      </c>
      <c r="P52" s="3283" t="s">
        <v>8184</v>
      </c>
      <c r="Q52" s="5128" t="s">
        <v>6852</v>
      </c>
      <c r="R52" s="3261" t="s">
        <v>534</v>
      </c>
      <c r="S52" s="3261"/>
      <c r="T52" s="3258"/>
      <c r="U52" s="3258"/>
      <c r="V52" s="3258"/>
      <c r="W52" s="3258"/>
      <c r="X52" s="3683"/>
      <c r="Y52" s="3258"/>
      <c r="Z52" s="3259"/>
    </row>
    <row r="53" spans="1:26" s="707" customFormat="1">
      <c r="A53" s="3527" t="s">
        <v>799</v>
      </c>
      <c r="B53" s="3275" t="s">
        <v>8185</v>
      </c>
      <c r="C53" s="4861" t="s">
        <v>28</v>
      </c>
      <c r="D53" s="3266">
        <v>45417</v>
      </c>
      <c r="E53" s="5052">
        <v>45434</v>
      </c>
      <c r="F53" s="3246" t="s">
        <v>135</v>
      </c>
      <c r="G53" s="4839" t="s">
        <v>46</v>
      </c>
      <c r="H53" s="3534"/>
      <c r="I53" s="3246"/>
      <c r="J53" s="4901" t="s">
        <v>32</v>
      </c>
      <c r="K53" s="4839" t="s">
        <v>47</v>
      </c>
      <c r="L53" s="1" t="s">
        <v>8186</v>
      </c>
      <c r="M53" s="3682">
        <v>45436</v>
      </c>
      <c r="N53" s="3682">
        <v>45435</v>
      </c>
      <c r="O53" s="3682">
        <v>45437</v>
      </c>
      <c r="P53" s="3283" t="s">
        <v>8187</v>
      </c>
      <c r="Q53" s="5128" t="s">
        <v>6852</v>
      </c>
      <c r="R53" s="3261" t="s">
        <v>51</v>
      </c>
      <c r="S53" s="3261"/>
      <c r="T53" s="3258"/>
      <c r="U53" s="3258"/>
      <c r="V53" s="3258"/>
      <c r="W53" s="3258"/>
      <c r="X53" s="3258"/>
      <c r="Y53" s="3258"/>
      <c r="Z53" s="3259"/>
    </row>
    <row r="54" spans="1:26" s="707" customFormat="1" ht="45">
      <c r="A54" s="4319" t="s">
        <v>896</v>
      </c>
      <c r="B54" s="4242" t="s">
        <v>8188</v>
      </c>
      <c r="C54" s="4845" t="s">
        <v>28</v>
      </c>
      <c r="D54" s="3262">
        <v>45401</v>
      </c>
      <c r="E54" s="4916">
        <v>45420</v>
      </c>
      <c r="F54" s="3268" t="s">
        <v>151</v>
      </c>
      <c r="G54" s="4909" t="s">
        <v>8189</v>
      </c>
      <c r="H54" s="3262">
        <v>45421</v>
      </c>
      <c r="I54" s="4242" t="s">
        <v>8190</v>
      </c>
      <c r="J54" s="5243" t="s">
        <v>8191</v>
      </c>
      <c r="K54" s="4908" t="s">
        <v>8192</v>
      </c>
      <c r="L54" s="117">
        <v>8005</v>
      </c>
      <c r="M54" s="3262">
        <v>45421</v>
      </c>
      <c r="N54" s="3262">
        <v>45421</v>
      </c>
      <c r="O54" s="4263">
        <v>45427</v>
      </c>
      <c r="P54" s="4246" t="s">
        <v>8193</v>
      </c>
      <c r="Q54" s="5065" t="s">
        <v>75</v>
      </c>
      <c r="R54" s="4372" t="s">
        <v>8194</v>
      </c>
      <c r="S54" s="3268"/>
      <c r="T54" s="3268">
        <v>865</v>
      </c>
      <c r="U54" s="4246">
        <v>669.5</v>
      </c>
      <c r="V54" s="3268">
        <v>1</v>
      </c>
      <c r="W54" s="3268">
        <f>表15[[#This Row],[Sales Amount]]-表15[[#This Row],[Cost]]</f>
        <v>195.5</v>
      </c>
      <c r="X54" s="3269">
        <f>表15[[#This Row],[Profit]]/表15[[#This Row],[Cost]]</f>
        <v>0.29200896191187453</v>
      </c>
      <c r="Y54" s="3268"/>
      <c r="Z54" s="3270"/>
    </row>
    <row r="55" spans="1:26" s="707" customFormat="1">
      <c r="A55" s="3527" t="s">
        <v>7885</v>
      </c>
      <c r="B55" s="3261" t="s">
        <v>8195</v>
      </c>
      <c r="C55" s="3246" t="s">
        <v>200</v>
      </c>
      <c r="D55" s="3266">
        <v>45425</v>
      </c>
      <c r="E55" s="1614">
        <v>45431</v>
      </c>
      <c r="F55" s="3246" t="s">
        <v>98</v>
      </c>
      <c r="G55" s="4870" t="s">
        <v>46</v>
      </c>
      <c r="H55" s="3534"/>
      <c r="I55" s="3246"/>
      <c r="J55" s="4841" t="s">
        <v>32</v>
      </c>
      <c r="K55" s="915" t="s">
        <v>7907</v>
      </c>
      <c r="L55" s="2898" t="s">
        <v>8196</v>
      </c>
      <c r="M55" s="3682">
        <v>45435</v>
      </c>
      <c r="N55" s="3682">
        <v>45434</v>
      </c>
      <c r="O55" s="3682">
        <v>45435</v>
      </c>
      <c r="P55" s="1019" t="s">
        <v>8197</v>
      </c>
      <c r="Q55" s="5128" t="s">
        <v>50</v>
      </c>
      <c r="R55" s="3261" t="s">
        <v>51</v>
      </c>
      <c r="S55" s="3261"/>
      <c r="T55" s="3258"/>
      <c r="U55" s="3258"/>
      <c r="V55" s="3258"/>
      <c r="W55" s="3258"/>
      <c r="X55" s="3258"/>
      <c r="Y55" s="3258"/>
      <c r="Z55" s="3259"/>
    </row>
    <row r="56" spans="1:26" s="707" customFormat="1">
      <c r="A56" s="3684" t="s">
        <v>409</v>
      </c>
      <c r="B56" s="3275" t="s">
        <v>8198</v>
      </c>
      <c r="C56" s="4839" t="s">
        <v>28</v>
      </c>
      <c r="D56" s="3674">
        <v>45428</v>
      </c>
      <c r="E56" s="4912">
        <v>45448</v>
      </c>
      <c r="F56" s="4839" t="s">
        <v>151</v>
      </c>
      <c r="G56" s="3275" t="s">
        <v>46</v>
      </c>
      <c r="H56" s="3534"/>
      <c r="I56" s="3246"/>
      <c r="J56" s="4901" t="s">
        <v>32</v>
      </c>
      <c r="K56" s="4839" t="s">
        <v>47</v>
      </c>
      <c r="L56" s="1" t="s">
        <v>8199</v>
      </c>
      <c r="M56" s="3682">
        <v>45450</v>
      </c>
      <c r="N56" s="3682">
        <v>45450</v>
      </c>
      <c r="O56" s="3682">
        <v>45456</v>
      </c>
      <c r="P56" s="3283" t="s">
        <v>8200</v>
      </c>
      <c r="Q56" s="4839" t="s">
        <v>6852</v>
      </c>
      <c r="R56" s="3261" t="s">
        <v>534</v>
      </c>
      <c r="S56" s="3261"/>
      <c r="T56" s="3258"/>
      <c r="U56" s="3258"/>
      <c r="V56" s="3258"/>
      <c r="W56" s="3258"/>
      <c r="X56" s="3258"/>
      <c r="Y56" s="3258"/>
      <c r="Z56" s="3259"/>
    </row>
    <row r="57" spans="1:26" s="707" customFormat="1">
      <c r="A57" s="3684" t="s">
        <v>409</v>
      </c>
      <c r="B57" s="3275" t="s">
        <v>8201</v>
      </c>
      <c r="C57" s="4839" t="s">
        <v>28</v>
      </c>
      <c r="D57" s="3674">
        <v>45428</v>
      </c>
      <c r="E57" s="3644">
        <v>45438</v>
      </c>
      <c r="F57" s="3275" t="s">
        <v>151</v>
      </c>
      <c r="G57" s="4839" t="s">
        <v>46</v>
      </c>
      <c r="H57" s="3534"/>
      <c r="I57" s="3246"/>
      <c r="J57" s="5136" t="s">
        <v>32</v>
      </c>
      <c r="K57" s="4839" t="s">
        <v>47</v>
      </c>
      <c r="L57" s="1" t="s">
        <v>8202</v>
      </c>
      <c r="M57" s="3682">
        <v>45441</v>
      </c>
      <c r="N57" s="3682">
        <v>45441</v>
      </c>
      <c r="O57" s="3682">
        <v>45444</v>
      </c>
      <c r="P57" s="3283" t="s">
        <v>8203</v>
      </c>
      <c r="Q57" s="5128" t="s">
        <v>6852</v>
      </c>
      <c r="R57" s="3261" t="s">
        <v>36</v>
      </c>
      <c r="S57" s="3261"/>
      <c r="T57" s="3258"/>
      <c r="U57" s="3258"/>
      <c r="V57" s="3258"/>
      <c r="W57" s="3258"/>
      <c r="X57" s="3258"/>
      <c r="Y57" s="3258"/>
      <c r="Z57" s="3259"/>
    </row>
    <row r="58" spans="1:26" s="26" customFormat="1">
      <c r="A58" s="3684" t="s">
        <v>409</v>
      </c>
      <c r="B58" s="3275" t="s">
        <v>8204</v>
      </c>
      <c r="C58" s="4839" t="s">
        <v>28</v>
      </c>
      <c r="D58" s="3674">
        <v>45433</v>
      </c>
      <c r="E58" s="3644">
        <v>45442</v>
      </c>
      <c r="F58" s="3275" t="s">
        <v>151</v>
      </c>
      <c r="G58" s="3261" t="s">
        <v>46</v>
      </c>
      <c r="H58" s="3534"/>
      <c r="I58" s="3246"/>
      <c r="J58" s="5136" t="s">
        <v>32</v>
      </c>
      <c r="K58" s="4839" t="s">
        <v>47</v>
      </c>
      <c r="L58" s="3261" t="s">
        <v>8205</v>
      </c>
      <c r="M58" s="3682">
        <v>45444</v>
      </c>
      <c r="N58" s="3682">
        <v>45444</v>
      </c>
      <c r="O58" s="3682">
        <v>45447</v>
      </c>
      <c r="P58" s="3283" t="s">
        <v>8206</v>
      </c>
      <c r="Q58" s="5128" t="s">
        <v>6852</v>
      </c>
      <c r="R58" s="3261" t="s">
        <v>8108</v>
      </c>
      <c r="S58" s="3261"/>
      <c r="T58" s="3258"/>
      <c r="U58" s="3258"/>
      <c r="V58" s="3258"/>
      <c r="W58" s="3258"/>
      <c r="X58" s="3258"/>
      <c r="Y58" s="3258"/>
      <c r="Z58" s="3259"/>
    </row>
    <row r="59" spans="1:26" s="707" customFormat="1">
      <c r="A59" s="3684" t="s">
        <v>409</v>
      </c>
      <c r="B59" s="3261" t="s">
        <v>8207</v>
      </c>
      <c r="C59" s="4839" t="s">
        <v>28</v>
      </c>
      <c r="D59" s="3674">
        <v>45428</v>
      </c>
      <c r="E59" s="3644">
        <v>45444</v>
      </c>
      <c r="F59" s="4839" t="s">
        <v>151</v>
      </c>
      <c r="G59" s="4839" t="s">
        <v>46</v>
      </c>
      <c r="H59" s="3267"/>
      <c r="I59" s="4882"/>
      <c r="J59" s="913" t="s">
        <v>32</v>
      </c>
      <c r="K59" s="4839" t="s">
        <v>47</v>
      </c>
      <c r="L59" s="4880" t="s">
        <v>8208</v>
      </c>
      <c r="M59" s="1380">
        <v>45447</v>
      </c>
      <c r="N59" s="1380">
        <v>45447</v>
      </c>
      <c r="O59" s="1380">
        <v>45451</v>
      </c>
      <c r="P59" s="3283" t="s">
        <v>8209</v>
      </c>
      <c r="Q59" s="5128" t="s">
        <v>6852</v>
      </c>
      <c r="R59" s="3261" t="s">
        <v>51</v>
      </c>
      <c r="S59" s="3261"/>
      <c r="T59" s="3258"/>
      <c r="U59" s="3258"/>
      <c r="V59" s="3258"/>
      <c r="W59" s="3258"/>
      <c r="X59" s="3258"/>
      <c r="Y59" s="3258"/>
      <c r="Z59" s="3259"/>
    </row>
    <row r="60" spans="1:26" s="707" customFormat="1" ht="30">
      <c r="A60" s="3417" t="s">
        <v>2966</v>
      </c>
      <c r="B60" s="2860" t="s">
        <v>8073</v>
      </c>
      <c r="C60" s="4845" t="s">
        <v>28</v>
      </c>
      <c r="D60" s="3262">
        <v>45405</v>
      </c>
      <c r="E60" s="3264">
        <v>45415</v>
      </c>
      <c r="F60" s="4845" t="s">
        <v>45</v>
      </c>
      <c r="G60" s="4908" t="s">
        <v>302</v>
      </c>
      <c r="H60" s="3685" t="s">
        <v>8210</v>
      </c>
      <c r="I60" s="4915" t="s">
        <v>382</v>
      </c>
      <c r="J60" s="908" t="s">
        <v>382</v>
      </c>
      <c r="K60" s="4915" t="s">
        <v>382</v>
      </c>
      <c r="L60" s="5133" t="s">
        <v>8211</v>
      </c>
      <c r="M60" s="839">
        <v>45418</v>
      </c>
      <c r="N60" s="839">
        <v>45418</v>
      </c>
      <c r="O60" s="822">
        <v>45419</v>
      </c>
      <c r="P60" s="4104" t="s">
        <v>8212</v>
      </c>
      <c r="Q60" s="5065" t="s">
        <v>75</v>
      </c>
      <c r="R60" s="4242" t="s">
        <v>8213</v>
      </c>
      <c r="S60" s="3268" t="s">
        <v>2373</v>
      </c>
      <c r="T60" s="3268"/>
      <c r="U60" s="3268"/>
      <c r="V60" s="3268"/>
      <c r="W60" s="3268"/>
      <c r="X60" s="3268"/>
      <c r="Y60" s="3268"/>
      <c r="Z60" s="3270"/>
    </row>
    <row r="61" spans="1:26" s="26" customFormat="1">
      <c r="A61" s="3235" t="s">
        <v>409</v>
      </c>
      <c r="B61" s="4221" t="s">
        <v>8214</v>
      </c>
      <c r="C61" s="4839" t="s">
        <v>28</v>
      </c>
      <c r="D61" s="3674">
        <v>45439</v>
      </c>
      <c r="E61" s="3644">
        <v>45446</v>
      </c>
      <c r="F61" s="4839" t="s">
        <v>260</v>
      </c>
      <c r="G61" s="4852" t="s">
        <v>46</v>
      </c>
      <c r="H61" s="3534"/>
      <c r="I61" s="4861"/>
      <c r="J61" s="915" t="s">
        <v>32</v>
      </c>
      <c r="K61" s="4839" t="s">
        <v>47</v>
      </c>
      <c r="L61" s="1" t="s">
        <v>8215</v>
      </c>
      <c r="M61" s="3682">
        <v>45448</v>
      </c>
      <c r="N61" s="3682">
        <v>45448</v>
      </c>
      <c r="O61" s="3682">
        <v>45455</v>
      </c>
      <c r="P61" s="3283" t="s">
        <v>8216</v>
      </c>
      <c r="Q61" s="5128" t="s">
        <v>6852</v>
      </c>
      <c r="R61" s="3261" t="s">
        <v>51</v>
      </c>
      <c r="S61" s="3261"/>
      <c r="T61" s="3258"/>
      <c r="U61" s="3258"/>
      <c r="V61" s="3258"/>
      <c r="W61" s="3258"/>
      <c r="X61" s="3258"/>
      <c r="Y61" s="3258"/>
      <c r="Z61" s="3259"/>
    </row>
    <row r="62" spans="1:26" s="26" customFormat="1">
      <c r="A62" s="709" t="s">
        <v>3064</v>
      </c>
      <c r="B62" s="1" t="s">
        <v>8217</v>
      </c>
      <c r="C62" s="707" t="s">
        <v>28</v>
      </c>
      <c r="D62" s="1612">
        <v>45422</v>
      </c>
      <c r="E62" s="1614">
        <v>45433</v>
      </c>
      <c r="F62" s="707" t="s">
        <v>167</v>
      </c>
      <c r="G62" s="1" t="s">
        <v>46</v>
      </c>
      <c r="H62" s="912"/>
      <c r="I62" s="709"/>
      <c r="J62" s="1589" t="s">
        <v>32</v>
      </c>
      <c r="K62" s="1" t="s">
        <v>47</v>
      </c>
      <c r="L62" s="1" t="s">
        <v>8218</v>
      </c>
      <c r="M62" s="1380">
        <v>45435</v>
      </c>
      <c r="N62" s="1380">
        <v>45434</v>
      </c>
      <c r="O62" s="1380">
        <v>45436</v>
      </c>
      <c r="P62" s="650" t="s">
        <v>8219</v>
      </c>
      <c r="Q62" s="1159" t="s">
        <v>6852</v>
      </c>
      <c r="R62" s="1" t="s">
        <v>51</v>
      </c>
      <c r="S62" s="1"/>
      <c r="T62" s="707"/>
      <c r="U62" s="707"/>
      <c r="V62" s="707"/>
      <c r="W62" s="707"/>
      <c r="X62" s="707"/>
      <c r="Y62" s="707"/>
      <c r="Z62" s="707"/>
    </row>
    <row r="63" spans="1:26" s="26" customFormat="1" ht="45">
      <c r="A63" s="3686" t="s">
        <v>165</v>
      </c>
      <c r="B63" s="3268" t="s">
        <v>8220</v>
      </c>
      <c r="C63" s="4908" t="s">
        <v>200</v>
      </c>
      <c r="D63" s="3262">
        <v>45424</v>
      </c>
      <c r="E63" s="3264">
        <v>45434</v>
      </c>
      <c r="F63" s="4908" t="s">
        <v>167</v>
      </c>
      <c r="G63" s="4908" t="s">
        <v>302</v>
      </c>
      <c r="H63" s="3366">
        <v>45437</v>
      </c>
      <c r="I63" s="5506" t="s">
        <v>672</v>
      </c>
      <c r="J63" s="1061" t="s">
        <v>32</v>
      </c>
      <c r="K63" s="4908" t="s">
        <v>2013</v>
      </c>
      <c r="L63" s="4937" t="s">
        <v>8221</v>
      </c>
      <c r="M63" s="839">
        <v>45437</v>
      </c>
      <c r="N63" s="822">
        <v>45437</v>
      </c>
      <c r="O63" s="822">
        <v>45437</v>
      </c>
      <c r="P63" s="4246" t="s">
        <v>8222</v>
      </c>
      <c r="Q63" s="4845" t="s">
        <v>75</v>
      </c>
      <c r="R63" s="3268" t="s">
        <v>8223</v>
      </c>
      <c r="S63" s="3268"/>
      <c r="T63" s="3268">
        <v>1150</v>
      </c>
      <c r="U63" s="3268">
        <v>919</v>
      </c>
      <c r="V63" s="3268">
        <v>1</v>
      </c>
      <c r="W63" s="3268">
        <f>表15[[#This Row],[Sales Amount]]-表15[[#This Row],[Cost]]</f>
        <v>231</v>
      </c>
      <c r="X63" s="3269">
        <f>表15[[#This Row],[Profit]]/表15[[#This Row],[Cost]]</f>
        <v>0.25136017410228512</v>
      </c>
      <c r="Y63" s="3268"/>
      <c r="Z63" s="3270"/>
    </row>
    <row r="64" spans="1:26" s="117" customFormat="1">
      <c r="A64" s="3684" t="s">
        <v>4321</v>
      </c>
      <c r="B64" s="3275" t="s">
        <v>8224</v>
      </c>
      <c r="C64" s="4839" t="s">
        <v>28</v>
      </c>
      <c r="D64" s="3674">
        <v>45426</v>
      </c>
      <c r="E64" s="3644">
        <v>45436</v>
      </c>
      <c r="F64" s="4839" t="s">
        <v>93</v>
      </c>
      <c r="G64" s="4839" t="s">
        <v>46</v>
      </c>
      <c r="H64" s="3267"/>
      <c r="I64" s="3258"/>
      <c r="J64" s="4901" t="s">
        <v>32</v>
      </c>
      <c r="K64" s="4839" t="s">
        <v>47</v>
      </c>
      <c r="L64" s="4249" t="s">
        <v>8225</v>
      </c>
      <c r="M64" s="3682"/>
      <c r="N64" s="3682">
        <v>45438</v>
      </c>
      <c r="O64" s="3682">
        <v>45447</v>
      </c>
      <c r="P64" s="3687" t="s">
        <v>8226</v>
      </c>
      <c r="Q64" s="4839" t="s">
        <v>6852</v>
      </c>
      <c r="R64" s="3261" t="s">
        <v>534</v>
      </c>
      <c r="S64" s="3261"/>
      <c r="T64" s="3258"/>
      <c r="U64" s="3258"/>
      <c r="V64" s="4882"/>
      <c r="W64" s="4882"/>
      <c r="X64" s="4882"/>
      <c r="Y64" s="3258"/>
      <c r="Z64" s="3259"/>
    </row>
    <row r="65" spans="1:26" s="26" customFormat="1">
      <c r="A65" s="3688" t="s">
        <v>409</v>
      </c>
      <c r="B65" s="3261" t="s">
        <v>8227</v>
      </c>
      <c r="C65" s="4839" t="s">
        <v>28</v>
      </c>
      <c r="D65" s="3674">
        <v>45418</v>
      </c>
      <c r="E65" s="1668">
        <v>45427</v>
      </c>
      <c r="F65" s="4839" t="s">
        <v>260</v>
      </c>
      <c r="G65" s="4839" t="s">
        <v>46</v>
      </c>
      <c r="H65" s="3258"/>
      <c r="I65" s="3258"/>
      <c r="J65" s="4901" t="s">
        <v>32</v>
      </c>
      <c r="K65" s="4839" t="s">
        <v>47</v>
      </c>
      <c r="L65" s="3261" t="s">
        <v>8228</v>
      </c>
      <c r="M65" s="4897">
        <v>45430</v>
      </c>
      <c r="N65" s="3674">
        <v>45428</v>
      </c>
      <c r="O65" s="3674">
        <v>45432</v>
      </c>
      <c r="P65" s="3283" t="s">
        <v>8229</v>
      </c>
      <c r="Q65" s="5128" t="s">
        <v>6852</v>
      </c>
      <c r="R65" s="3261" t="s">
        <v>51</v>
      </c>
      <c r="S65" s="3261"/>
      <c r="T65" s="3258"/>
      <c r="U65" s="3258"/>
      <c r="V65" s="3258"/>
      <c r="W65" s="3258"/>
      <c r="X65" s="3258"/>
      <c r="Y65" s="3258"/>
      <c r="Z65" s="3259"/>
    </row>
    <row r="66" spans="1:26" s="507" customFormat="1" ht="45">
      <c r="A66" s="4319" t="s">
        <v>896</v>
      </c>
      <c r="B66" s="4242" t="s">
        <v>8230</v>
      </c>
      <c r="C66" s="4845" t="s">
        <v>28</v>
      </c>
      <c r="D66" s="3262">
        <v>45418</v>
      </c>
      <c r="E66" s="3264">
        <v>45433</v>
      </c>
      <c r="F66" s="4908" t="s">
        <v>93</v>
      </c>
      <c r="G66" s="4908" t="s">
        <v>8231</v>
      </c>
      <c r="H66" s="3262">
        <v>45433</v>
      </c>
      <c r="I66" s="3268"/>
      <c r="J66" s="5243" t="s">
        <v>322</v>
      </c>
      <c r="K66" s="4908" t="s">
        <v>1105</v>
      </c>
      <c r="L66" s="117">
        <v>3804</v>
      </c>
      <c r="M66" s="3314">
        <v>45433</v>
      </c>
      <c r="N66" s="3262">
        <v>45433</v>
      </c>
      <c r="O66" s="3262">
        <v>45436</v>
      </c>
      <c r="P66" s="806" t="s">
        <v>8232</v>
      </c>
      <c r="Q66" s="5065" t="s">
        <v>75</v>
      </c>
      <c r="R66" s="847" t="s">
        <v>8233</v>
      </c>
      <c r="S66" s="3268"/>
      <c r="T66" s="3268">
        <v>800</v>
      </c>
      <c r="U66" s="3268">
        <v>470.5</v>
      </c>
      <c r="V66" s="117">
        <v>1</v>
      </c>
      <c r="W66" s="117">
        <f>表15[[#This Row],[Sales Amount]]-表15[[#This Row],[Cost]]</f>
        <v>329.5</v>
      </c>
      <c r="X66" s="923">
        <f>表15[[#This Row],[Profit]]/表15[[#This Row],[Cost]]</f>
        <v>0.70031880977683314</v>
      </c>
      <c r="Y66" s="3268"/>
      <c r="Z66" s="3270"/>
    </row>
    <row r="67" spans="1:26" s="26" customFormat="1">
      <c r="A67" s="3688" t="s">
        <v>409</v>
      </c>
      <c r="B67" s="3261" t="s">
        <v>8234</v>
      </c>
      <c r="C67" s="4839" t="s">
        <v>28</v>
      </c>
      <c r="D67" s="3674">
        <v>45418</v>
      </c>
      <c r="E67" s="3644">
        <v>45425</v>
      </c>
      <c r="F67" s="4839" t="s">
        <v>260</v>
      </c>
      <c r="G67" s="4839" t="s">
        <v>46</v>
      </c>
      <c r="H67" s="3258"/>
      <c r="I67" s="4882"/>
      <c r="J67" s="913" t="s">
        <v>32</v>
      </c>
      <c r="K67" s="4839" t="s">
        <v>47</v>
      </c>
      <c r="L67" s="4870" t="s">
        <v>8235</v>
      </c>
      <c r="M67" s="1607">
        <v>45427</v>
      </c>
      <c r="N67" s="1607">
        <v>45426</v>
      </c>
      <c r="O67" s="1607">
        <v>45427</v>
      </c>
      <c r="P67" s="3283" t="s">
        <v>8236</v>
      </c>
      <c r="Q67" s="5128" t="s">
        <v>6852</v>
      </c>
      <c r="R67" s="3261" t="s">
        <v>8237</v>
      </c>
      <c r="S67" s="3261"/>
      <c r="T67" s="3258"/>
      <c r="U67" s="3258"/>
      <c r="V67" s="3258"/>
      <c r="W67" s="3258"/>
      <c r="X67" s="3258"/>
      <c r="Y67" s="3258"/>
      <c r="Z67" s="3259"/>
    </row>
    <row r="68" spans="1:26" s="26" customFormat="1">
      <c r="A68" s="3688" t="s">
        <v>409</v>
      </c>
      <c r="B68" s="3261" t="s">
        <v>8238</v>
      </c>
      <c r="C68" s="4839" t="s">
        <v>28</v>
      </c>
      <c r="D68" s="3674">
        <v>45418</v>
      </c>
      <c r="E68" s="3689">
        <v>45424</v>
      </c>
      <c r="F68" s="4839" t="s">
        <v>260</v>
      </c>
      <c r="G68" s="4839" t="s">
        <v>46</v>
      </c>
      <c r="H68" s="3258"/>
      <c r="I68" s="4882"/>
      <c r="J68" s="913" t="s">
        <v>32</v>
      </c>
      <c r="K68" s="4839" t="s">
        <v>47</v>
      </c>
      <c r="L68" s="4870" t="s">
        <v>8239</v>
      </c>
      <c r="M68" s="1607">
        <v>45426</v>
      </c>
      <c r="N68" s="1607">
        <v>45425</v>
      </c>
      <c r="O68" s="1607">
        <v>45427</v>
      </c>
      <c r="P68" s="3283" t="s">
        <v>8240</v>
      </c>
      <c r="Q68" s="5128" t="s">
        <v>6852</v>
      </c>
      <c r="R68" s="3261" t="s">
        <v>51</v>
      </c>
      <c r="S68" s="3261"/>
      <c r="T68" s="3258"/>
      <c r="U68" s="3258"/>
      <c r="V68" s="3258"/>
      <c r="W68" s="3258"/>
      <c r="X68" s="3258"/>
      <c r="Y68" s="3258"/>
      <c r="Z68" s="3259"/>
    </row>
    <row r="69" spans="1:26" s="707" customFormat="1">
      <c r="A69" s="3684" t="s">
        <v>409</v>
      </c>
      <c r="B69" s="3261" t="s">
        <v>8241</v>
      </c>
      <c r="C69" s="4839" t="s">
        <v>28</v>
      </c>
      <c r="D69" s="3674">
        <v>45425</v>
      </c>
      <c r="E69" s="3644">
        <v>45433</v>
      </c>
      <c r="F69" s="4839" t="s">
        <v>260</v>
      </c>
      <c r="G69" s="4870" t="s">
        <v>46</v>
      </c>
      <c r="H69" s="3267"/>
      <c r="I69" s="3258"/>
      <c r="J69" s="4901" t="s">
        <v>32</v>
      </c>
      <c r="K69" s="4839" t="s">
        <v>47</v>
      </c>
      <c r="L69" s="4249" t="s">
        <v>8242</v>
      </c>
      <c r="M69" s="3682">
        <v>45434</v>
      </c>
      <c r="N69" s="3682">
        <v>45433</v>
      </c>
      <c r="O69" s="3682">
        <v>45434</v>
      </c>
      <c r="P69" s="3283" t="s">
        <v>8243</v>
      </c>
      <c r="Q69" s="5128" t="s">
        <v>6852</v>
      </c>
      <c r="R69" s="3261" t="s">
        <v>51</v>
      </c>
      <c r="S69" s="3261"/>
      <c r="T69" s="3258"/>
      <c r="U69" s="3258"/>
      <c r="V69" s="3258"/>
      <c r="W69" s="3258"/>
      <c r="X69" s="3258"/>
      <c r="Y69" s="3258"/>
      <c r="Z69" s="3259"/>
    </row>
    <row r="70" spans="1:26" s="707" customFormat="1">
      <c r="A70" s="3690" t="s">
        <v>8244</v>
      </c>
      <c r="B70" s="3518" t="s">
        <v>8245</v>
      </c>
      <c r="C70" s="4848" t="s">
        <v>594</v>
      </c>
      <c r="D70" s="3338">
        <v>45415</v>
      </c>
      <c r="E70" s="2893">
        <v>45422</v>
      </c>
      <c r="F70" s="4848" t="s">
        <v>734</v>
      </c>
      <c r="G70" s="4944" t="s">
        <v>829</v>
      </c>
      <c r="H70" s="3658"/>
      <c r="I70" s="3274"/>
      <c r="J70" s="5311" t="s">
        <v>32</v>
      </c>
      <c r="K70" s="5225" t="s">
        <v>8246</v>
      </c>
      <c r="L70" s="2765" t="s">
        <v>8247</v>
      </c>
      <c r="M70" s="3691">
        <v>45424</v>
      </c>
      <c r="N70" s="3691">
        <v>45424</v>
      </c>
      <c r="O70" s="3691">
        <v>45425</v>
      </c>
      <c r="P70" s="3542" t="s">
        <v>8248</v>
      </c>
      <c r="Q70" s="5507" t="s">
        <v>50</v>
      </c>
      <c r="R70" s="3518" t="s">
        <v>51</v>
      </c>
      <c r="S70" s="3518"/>
      <c r="T70" s="3274"/>
      <c r="U70" s="3274"/>
      <c r="V70" s="3274"/>
      <c r="W70" s="3274"/>
      <c r="X70" s="3274"/>
      <c r="Y70" s="3274"/>
      <c r="Z70" s="3692"/>
    </row>
    <row r="71" spans="1:26" s="707" customFormat="1">
      <c r="A71" s="3684" t="s">
        <v>8244</v>
      </c>
      <c r="B71" s="3275" t="s">
        <v>8249</v>
      </c>
      <c r="C71" s="4839" t="s">
        <v>28</v>
      </c>
      <c r="D71" s="3674">
        <v>45417</v>
      </c>
      <c r="E71" s="3644">
        <v>45424</v>
      </c>
      <c r="F71" s="4839" t="s">
        <v>98</v>
      </c>
      <c r="G71" s="4870" t="s">
        <v>46</v>
      </c>
      <c r="H71" s="3534"/>
      <c r="I71" s="3246"/>
      <c r="J71" s="4901" t="s">
        <v>32</v>
      </c>
      <c r="K71" s="4839" t="s">
        <v>8246</v>
      </c>
      <c r="L71" s="1" t="s">
        <v>8250</v>
      </c>
      <c r="M71" s="3674">
        <v>45426</v>
      </c>
      <c r="N71" s="3682">
        <v>45425</v>
      </c>
      <c r="O71" s="3682">
        <v>45426</v>
      </c>
      <c r="P71" s="3283" t="s">
        <v>8251</v>
      </c>
      <c r="Q71" s="5128" t="s">
        <v>50</v>
      </c>
      <c r="R71" s="3261" t="s">
        <v>51</v>
      </c>
      <c r="S71" s="3261"/>
      <c r="T71" s="3258"/>
      <c r="U71" s="3258"/>
      <c r="V71" s="3258"/>
      <c r="W71" s="3258"/>
      <c r="X71" s="3258"/>
      <c r="Y71" s="3258"/>
      <c r="Z71" s="3259"/>
    </row>
    <row r="72" spans="1:26" s="707" customFormat="1" ht="15.75">
      <c r="A72" s="3690" t="s">
        <v>8244</v>
      </c>
      <c r="B72" s="3518" t="s">
        <v>8252</v>
      </c>
      <c r="C72" s="4848" t="s">
        <v>28</v>
      </c>
      <c r="D72" s="3338">
        <v>45414</v>
      </c>
      <c r="E72" s="2893">
        <f>5+表15[[#This Row],[ETA PORT]]</f>
        <v>45419</v>
      </c>
      <c r="F72" s="3265" t="s">
        <v>98</v>
      </c>
      <c r="G72" s="3518" t="s">
        <v>46</v>
      </c>
      <c r="H72" s="3658"/>
      <c r="I72" s="3274"/>
      <c r="J72" s="5311" t="s">
        <v>32</v>
      </c>
      <c r="K72" s="5508" t="s">
        <v>7907</v>
      </c>
      <c r="L72" s="2764" t="s">
        <v>8253</v>
      </c>
      <c r="M72" s="3691">
        <v>45421</v>
      </c>
      <c r="N72" s="3691">
        <v>45420</v>
      </c>
      <c r="O72" s="3691">
        <v>45421</v>
      </c>
      <c r="P72" s="3542" t="s">
        <v>8254</v>
      </c>
      <c r="Q72" s="5507" t="s">
        <v>50</v>
      </c>
      <c r="R72" s="3518" t="s">
        <v>51</v>
      </c>
      <c r="S72" s="3518"/>
      <c r="T72" s="3274"/>
      <c r="U72" s="3274"/>
      <c r="V72" s="3274"/>
      <c r="W72" s="3274"/>
      <c r="X72" s="3274"/>
      <c r="Y72" s="3274"/>
      <c r="Z72" s="3692"/>
    </row>
    <row r="73" spans="1:26" s="707" customFormat="1">
      <c r="A73" s="3690" t="s">
        <v>8244</v>
      </c>
      <c r="B73" s="3518" t="s">
        <v>8255</v>
      </c>
      <c r="C73" s="4848" t="s">
        <v>28</v>
      </c>
      <c r="D73" s="3338">
        <v>45413</v>
      </c>
      <c r="E73" s="2893">
        <v>45421</v>
      </c>
      <c r="F73" s="4848" t="s">
        <v>734</v>
      </c>
      <c r="G73" s="4944" t="s">
        <v>829</v>
      </c>
      <c r="H73" s="3658"/>
      <c r="I73" s="3274"/>
      <c r="J73" s="5311" t="s">
        <v>168</v>
      </c>
      <c r="K73" s="3486" t="s">
        <v>7887</v>
      </c>
      <c r="L73" s="2765" t="s">
        <v>8256</v>
      </c>
      <c r="M73" s="3691">
        <v>45424</v>
      </c>
      <c r="N73" s="3691">
        <v>45422</v>
      </c>
      <c r="O73" s="3691">
        <v>45425</v>
      </c>
      <c r="P73" s="3542" t="s">
        <v>8257</v>
      </c>
      <c r="Q73" s="5507" t="s">
        <v>50</v>
      </c>
      <c r="R73" s="3518" t="s">
        <v>51</v>
      </c>
      <c r="S73" s="3518"/>
      <c r="T73" s="3274"/>
      <c r="U73" s="3274"/>
      <c r="V73" s="3274"/>
      <c r="W73" s="3274"/>
      <c r="X73" s="3274"/>
      <c r="Y73" s="3274"/>
      <c r="Z73" s="3692"/>
    </row>
    <row r="74" spans="1:26" s="117" customFormat="1" ht="45">
      <c r="A74" s="3417" t="s">
        <v>788</v>
      </c>
      <c r="B74" s="4242" t="s">
        <v>8258</v>
      </c>
      <c r="C74" s="4845" t="s">
        <v>28</v>
      </c>
      <c r="D74" s="4906">
        <v>45411</v>
      </c>
      <c r="E74" s="4916">
        <v>45429</v>
      </c>
      <c r="F74" s="4242" t="s">
        <v>167</v>
      </c>
      <c r="G74" s="3367" t="s">
        <v>8174</v>
      </c>
      <c r="H74" s="3366">
        <v>45433</v>
      </c>
      <c r="I74" s="3367" t="s">
        <v>6557</v>
      </c>
      <c r="J74" s="5243" t="s">
        <v>695</v>
      </c>
      <c r="K74" s="3293" t="s">
        <v>8175</v>
      </c>
      <c r="L74" s="4242" t="s">
        <v>8259</v>
      </c>
      <c r="M74" s="3262">
        <v>45431</v>
      </c>
      <c r="N74" s="3262">
        <v>45429</v>
      </c>
      <c r="O74" s="3262">
        <v>45433</v>
      </c>
      <c r="P74" s="4246" t="s">
        <v>8260</v>
      </c>
      <c r="Q74" s="5065" t="s">
        <v>75</v>
      </c>
      <c r="R74" s="4246" t="s">
        <v>8261</v>
      </c>
      <c r="S74" s="3268"/>
      <c r="T74" s="3679">
        <v>1475</v>
      </c>
      <c r="U74" s="3268">
        <v>1096.7</v>
      </c>
      <c r="V74" s="3268">
        <v>1</v>
      </c>
      <c r="W74" s="3679">
        <f>表15[[#This Row],[Sales Amount]]-表15[[#This Row],[Cost]]</f>
        <v>378.29999999999995</v>
      </c>
      <c r="X74" s="3269">
        <f>表15[[#This Row],[Profit]]/表15[[#This Row],[Cost]]</f>
        <v>0.34494392267712221</v>
      </c>
      <c r="Y74" s="3268"/>
      <c r="Z74" s="3270"/>
    </row>
    <row r="75" spans="1:26" s="117" customFormat="1" ht="135">
      <c r="A75" s="3417" t="s">
        <v>788</v>
      </c>
      <c r="B75" s="4242" t="s">
        <v>8262</v>
      </c>
      <c r="C75" s="4845" t="s">
        <v>28</v>
      </c>
      <c r="D75" s="4906">
        <v>45411</v>
      </c>
      <c r="E75" s="4916">
        <v>45431</v>
      </c>
      <c r="F75" s="4845" t="s">
        <v>167</v>
      </c>
      <c r="G75" s="3367" t="s">
        <v>8174</v>
      </c>
      <c r="H75" s="3366">
        <v>45433</v>
      </c>
      <c r="I75" s="3367" t="s">
        <v>650</v>
      </c>
      <c r="J75" s="5243" t="s">
        <v>3206</v>
      </c>
      <c r="K75" s="3293" t="s">
        <v>8263</v>
      </c>
      <c r="L75" s="4242" t="s">
        <v>8264</v>
      </c>
      <c r="M75" s="3262">
        <v>45434</v>
      </c>
      <c r="N75" s="3262">
        <v>45432</v>
      </c>
      <c r="O75" s="3262">
        <v>45434</v>
      </c>
      <c r="P75" s="4246" t="s">
        <v>8265</v>
      </c>
      <c r="Q75" s="5065" t="s">
        <v>75</v>
      </c>
      <c r="R75" s="3" t="s">
        <v>8266</v>
      </c>
      <c r="S75" s="3268"/>
      <c r="T75" s="3679">
        <v>3358.75</v>
      </c>
      <c r="U75" s="3393">
        <v>2198</v>
      </c>
      <c r="V75" s="3268">
        <v>1</v>
      </c>
      <c r="W75" s="3679">
        <f>表15[[#This Row],[Sales Amount]]-表15[[#This Row],[Cost]]</f>
        <v>1160.75</v>
      </c>
      <c r="X75" s="3269">
        <f>表15[[#This Row],[Profit]]/表15[[#This Row],[Cost]]</f>
        <v>0.52809372156505918</v>
      </c>
      <c r="Y75" s="3268"/>
      <c r="Z75" s="3270"/>
    </row>
    <row r="76" spans="1:26" s="707" customFormat="1">
      <c r="A76" s="3690" t="s">
        <v>8244</v>
      </c>
      <c r="B76" s="3518" t="s">
        <v>8267</v>
      </c>
      <c r="C76" s="4848" t="s">
        <v>28</v>
      </c>
      <c r="D76" s="3338">
        <v>45413</v>
      </c>
      <c r="E76" s="3693">
        <v>45421</v>
      </c>
      <c r="F76" s="4848" t="s">
        <v>734</v>
      </c>
      <c r="G76" s="13" t="s">
        <v>829</v>
      </c>
      <c r="H76" s="3658"/>
      <c r="I76" s="3274"/>
      <c r="J76" s="979" t="s">
        <v>168</v>
      </c>
      <c r="K76" s="5225" t="s">
        <v>7887</v>
      </c>
      <c r="L76" s="5509" t="s">
        <v>8268</v>
      </c>
      <c r="M76" s="3691">
        <v>45424</v>
      </c>
      <c r="N76" s="3691">
        <v>45424</v>
      </c>
      <c r="O76" s="3691">
        <v>45425</v>
      </c>
      <c r="P76" s="3542" t="s">
        <v>8269</v>
      </c>
      <c r="Q76" s="5507" t="s">
        <v>50</v>
      </c>
      <c r="R76" s="3518" t="s">
        <v>51</v>
      </c>
      <c r="S76" s="3518"/>
      <c r="T76" s="3274"/>
      <c r="U76" s="3274"/>
      <c r="V76" s="3274"/>
      <c r="W76" s="3274"/>
      <c r="X76" s="3274"/>
      <c r="Y76" s="3274"/>
      <c r="Z76" s="3692"/>
    </row>
    <row r="77" spans="1:26" s="26" customFormat="1">
      <c r="A77" s="3663" t="s">
        <v>263</v>
      </c>
      <c r="B77" s="3246" t="s">
        <v>8270</v>
      </c>
      <c r="C77" s="4839" t="s">
        <v>44</v>
      </c>
      <c r="D77" s="3674">
        <v>45425</v>
      </c>
      <c r="E77" s="3674">
        <v>45425</v>
      </c>
      <c r="F77" s="3275" t="s">
        <v>135</v>
      </c>
      <c r="G77" s="4839" t="s">
        <v>2194</v>
      </c>
      <c r="H77" s="3534"/>
      <c r="I77" s="3246"/>
      <c r="J77" s="4839" t="s">
        <v>859</v>
      </c>
      <c r="K77" s="3300" t="s">
        <v>6951</v>
      </c>
      <c r="L77" s="1"/>
      <c r="M77" s="3682"/>
      <c r="N77" s="3682"/>
      <c r="O77" s="3682"/>
      <c r="P77" s="3283" t="s">
        <v>8271</v>
      </c>
      <c r="Q77" s="5510" t="s">
        <v>128</v>
      </c>
      <c r="R77" s="3261" t="s">
        <v>36</v>
      </c>
      <c r="S77" s="3261"/>
      <c r="T77" s="3258"/>
      <c r="U77" s="3258"/>
      <c r="V77" s="3258"/>
      <c r="W77" s="3258"/>
      <c r="X77" s="3258"/>
      <c r="Y77" s="3258"/>
      <c r="Z77" s="3259"/>
    </row>
    <row r="78" spans="1:26" s="106" customFormat="1">
      <c r="A78" s="3681" t="s">
        <v>8244</v>
      </c>
      <c r="B78" s="3275" t="s">
        <v>8272</v>
      </c>
      <c r="C78" s="4839" t="s">
        <v>28</v>
      </c>
      <c r="D78" s="3674">
        <v>45438</v>
      </c>
      <c r="E78" s="3644">
        <v>45452</v>
      </c>
      <c r="F78" s="3275" t="s">
        <v>98</v>
      </c>
      <c r="G78" s="4839" t="s">
        <v>46</v>
      </c>
      <c r="H78" s="3534"/>
      <c r="I78" s="3246"/>
      <c r="J78" s="4839" t="s">
        <v>32</v>
      </c>
      <c r="K78" s="3275" t="s">
        <v>47</v>
      </c>
      <c r="L78" s="4249" t="s">
        <v>8273</v>
      </c>
      <c r="M78" s="3682">
        <v>45456</v>
      </c>
      <c r="N78" s="3682">
        <v>45454</v>
      </c>
      <c r="O78" s="3682">
        <v>45456</v>
      </c>
      <c r="P78" s="3283" t="s">
        <v>8274</v>
      </c>
      <c r="Q78" s="5128" t="s">
        <v>50</v>
      </c>
      <c r="R78" s="3261" t="s">
        <v>51</v>
      </c>
      <c r="S78" s="3261"/>
      <c r="T78" s="3267"/>
      <c r="U78" s="3267"/>
      <c r="V78" s="3258"/>
      <c r="W78" s="3258"/>
      <c r="X78" s="3683"/>
      <c r="Y78" s="3258"/>
      <c r="Z78" s="3259"/>
    </row>
    <row r="79" spans="1:26" s="117" customFormat="1">
      <c r="A79" s="4612" t="s">
        <v>8244</v>
      </c>
      <c r="B79" s="4848" t="s">
        <v>8275</v>
      </c>
      <c r="C79" s="4848" t="s">
        <v>28</v>
      </c>
      <c r="D79" s="5511">
        <v>45417</v>
      </c>
      <c r="E79" s="5512">
        <v>45423</v>
      </c>
      <c r="F79" s="4848" t="s">
        <v>98</v>
      </c>
      <c r="G79" s="4944" t="s">
        <v>46</v>
      </c>
      <c r="H79" s="3262"/>
      <c r="I79" s="3268"/>
      <c r="J79" s="5311" t="s">
        <v>32</v>
      </c>
      <c r="K79" s="4848" t="s">
        <v>8246</v>
      </c>
      <c r="L79" s="5509" t="s">
        <v>8276</v>
      </c>
      <c r="M79" s="4949"/>
      <c r="N79" s="4949">
        <v>45425</v>
      </c>
      <c r="O79" s="3691">
        <v>45426</v>
      </c>
      <c r="P79" s="4937" t="s">
        <v>8277</v>
      </c>
      <c r="Q79" s="5507" t="s">
        <v>50</v>
      </c>
      <c r="R79" s="4944" t="s">
        <v>51</v>
      </c>
      <c r="S79" s="4944"/>
      <c r="T79" s="4934"/>
      <c r="U79" s="4934"/>
      <c r="V79" s="4934"/>
      <c r="W79" s="4934"/>
      <c r="X79" s="4934"/>
      <c r="Y79" s="3274"/>
      <c r="Z79" s="5513"/>
    </row>
    <row r="80" spans="1:26" s="641" customFormat="1">
      <c r="A80" s="4657" t="s">
        <v>263</v>
      </c>
      <c r="B80" s="5351" t="s">
        <v>8278</v>
      </c>
      <c r="C80" s="4882" t="s">
        <v>44</v>
      </c>
      <c r="D80" s="4940">
        <v>45442</v>
      </c>
      <c r="E80" s="4940">
        <v>45442</v>
      </c>
      <c r="F80" s="4882" t="s">
        <v>63</v>
      </c>
      <c r="G80" s="4870" t="s">
        <v>265</v>
      </c>
      <c r="H80" s="4882"/>
      <c r="I80" s="4882"/>
      <c r="J80" s="4870"/>
      <c r="K80" s="4870" t="s">
        <v>8279</v>
      </c>
      <c r="L80" s="4870"/>
      <c r="M80" s="4870"/>
      <c r="N80" s="4870"/>
      <c r="O80" s="4870"/>
      <c r="P80" s="4871" t="s">
        <v>8280</v>
      </c>
      <c r="Q80" s="4882" t="s">
        <v>128</v>
      </c>
      <c r="R80" s="4870" t="s">
        <v>36</v>
      </c>
      <c r="S80" s="4870"/>
      <c r="T80" s="4882"/>
      <c r="U80" s="4882"/>
      <c r="V80" s="4882"/>
      <c r="W80" s="4882"/>
      <c r="X80" s="4882"/>
      <c r="Y80" s="4882"/>
      <c r="Z80" s="5055"/>
    </row>
    <row r="81" spans="1:27" s="641" customFormat="1">
      <c r="A81" s="4656" t="s">
        <v>8244</v>
      </c>
      <c r="B81" s="4870" t="s">
        <v>8281</v>
      </c>
      <c r="C81" s="4913" t="s">
        <v>28</v>
      </c>
      <c r="D81" s="4897">
        <v>45424</v>
      </c>
      <c r="E81" s="4912">
        <v>45437</v>
      </c>
      <c r="F81" s="4913" t="s">
        <v>98</v>
      </c>
      <c r="G81" s="1" t="s">
        <v>46</v>
      </c>
      <c r="H81" s="4953"/>
      <c r="I81" s="4861"/>
      <c r="J81" s="1" t="s">
        <v>32</v>
      </c>
      <c r="K81" s="4870" t="s">
        <v>47</v>
      </c>
      <c r="L81" s="4880" t="s">
        <v>8282</v>
      </c>
      <c r="M81" s="4877">
        <v>45442</v>
      </c>
      <c r="N81" s="4877">
        <v>45439</v>
      </c>
      <c r="O81" s="4877">
        <v>45440</v>
      </c>
      <c r="P81" s="4913" t="s">
        <v>8283</v>
      </c>
      <c r="Q81" s="5128" t="s">
        <v>6852</v>
      </c>
      <c r="R81" s="4870" t="s">
        <v>51</v>
      </c>
      <c r="S81" s="4870"/>
      <c r="T81" s="4882"/>
      <c r="U81" s="4882"/>
      <c r="V81" s="4882"/>
      <c r="W81" s="4882"/>
      <c r="X81" s="4882"/>
      <c r="Y81" s="4882"/>
      <c r="Z81" s="5055"/>
    </row>
    <row r="82" spans="1:27" s="641" customFormat="1">
      <c r="A82" s="4658" t="s">
        <v>8244</v>
      </c>
      <c r="B82" s="4839" t="s">
        <v>8284</v>
      </c>
      <c r="C82" s="4852" t="s">
        <v>28</v>
      </c>
      <c r="D82" s="4897">
        <v>45424</v>
      </c>
      <c r="E82" s="4912">
        <v>45452</v>
      </c>
      <c r="F82" s="4852" t="s">
        <v>98</v>
      </c>
      <c r="G82" s="4852" t="s">
        <v>46</v>
      </c>
      <c r="H82" s="4953"/>
      <c r="I82" s="4861"/>
      <c r="J82" s="4841" t="s">
        <v>32</v>
      </c>
      <c r="K82" s="4852" t="s">
        <v>47</v>
      </c>
      <c r="L82" s="1" t="s">
        <v>8285</v>
      </c>
      <c r="M82" s="4877"/>
      <c r="N82" s="4877">
        <v>45452</v>
      </c>
      <c r="O82" s="4877"/>
      <c r="P82" s="5491" t="s">
        <v>8286</v>
      </c>
      <c r="Q82" s="5128" t="s">
        <v>6852</v>
      </c>
      <c r="R82" s="4870" t="s">
        <v>51</v>
      </c>
      <c r="S82" s="4870"/>
      <c r="T82" s="4882"/>
      <c r="U82" s="4882"/>
      <c r="V82" s="4882"/>
      <c r="W82" s="4882"/>
      <c r="X82" s="4882"/>
      <c r="Y82" s="4882"/>
      <c r="Z82" s="5055"/>
    </row>
    <row r="83" spans="1:27" s="152" customFormat="1">
      <c r="A83" s="4659" t="s">
        <v>7322</v>
      </c>
      <c r="B83" s="5514" t="s">
        <v>8287</v>
      </c>
      <c r="C83" s="4895" t="s">
        <v>28</v>
      </c>
      <c r="D83" s="5485">
        <v>45437</v>
      </c>
      <c r="E83" s="5486">
        <v>45442</v>
      </c>
      <c r="F83" s="4895" t="s">
        <v>151</v>
      </c>
      <c r="G83" s="4872" t="s">
        <v>8288</v>
      </c>
      <c r="H83" s="3694">
        <v>45447</v>
      </c>
      <c r="I83" s="3255" t="s">
        <v>445</v>
      </c>
      <c r="J83" s="5489" t="s">
        <v>551</v>
      </c>
      <c r="K83" s="4895" t="s">
        <v>8289</v>
      </c>
      <c r="L83" s="4895">
        <v>5167</v>
      </c>
      <c r="M83" s="5485">
        <v>45443</v>
      </c>
      <c r="N83" s="5485">
        <v>45443</v>
      </c>
      <c r="O83" s="5485">
        <v>45447</v>
      </c>
      <c r="P83" s="5087" t="s">
        <v>8290</v>
      </c>
      <c r="Q83" s="4895" t="s">
        <v>862</v>
      </c>
      <c r="R83" s="4872" t="s">
        <v>36</v>
      </c>
      <c r="S83" s="4872"/>
      <c r="T83" s="4873">
        <v>1315</v>
      </c>
      <c r="U83" s="4873">
        <v>1048.5</v>
      </c>
      <c r="V83" s="4873"/>
      <c r="W83" s="4873"/>
      <c r="X83" s="4873"/>
      <c r="Y83" s="3255"/>
      <c r="Z83" s="5074"/>
      <c r="AA83" s="2121"/>
    </row>
    <row r="84" spans="1:27" s="718" customFormat="1" ht="15.75">
      <c r="A84" s="4660" t="s">
        <v>4277</v>
      </c>
      <c r="B84" s="4870" t="s">
        <v>8291</v>
      </c>
      <c r="C84" s="4839" t="s">
        <v>28</v>
      </c>
      <c r="D84" s="3674">
        <v>45412</v>
      </c>
      <c r="E84" s="3644">
        <v>45420</v>
      </c>
      <c r="F84" s="4839" t="s">
        <v>98</v>
      </c>
      <c r="G84" s="4839" t="s">
        <v>46</v>
      </c>
      <c r="H84" s="4882"/>
      <c r="I84" s="707"/>
      <c r="J84" s="4901" t="s">
        <v>32</v>
      </c>
      <c r="K84" s="4839" t="s">
        <v>47</v>
      </c>
      <c r="L84" s="5412" t="s">
        <v>8292</v>
      </c>
      <c r="M84" s="4897">
        <v>45422</v>
      </c>
      <c r="N84" s="4897">
        <v>45420</v>
      </c>
      <c r="O84" s="4897">
        <v>45425</v>
      </c>
      <c r="P84" s="4871" t="s">
        <v>8293</v>
      </c>
      <c r="Q84" s="5128" t="s">
        <v>6852</v>
      </c>
      <c r="R84" s="4870" t="s">
        <v>36</v>
      </c>
      <c r="S84" s="4870"/>
      <c r="T84" s="4882"/>
      <c r="U84" s="4882"/>
      <c r="V84" s="4882"/>
      <c r="W84" s="4882"/>
      <c r="X84" s="4882"/>
      <c r="Y84" s="4882"/>
      <c r="Z84" s="5055"/>
      <c r="AA84" s="2345"/>
    </row>
    <row r="85" spans="1:27" s="709" customFormat="1">
      <c r="A85" s="3690" t="s">
        <v>8244</v>
      </c>
      <c r="B85" s="3265" t="s">
        <v>8294</v>
      </c>
      <c r="C85" s="25" t="s">
        <v>28</v>
      </c>
      <c r="D85" s="3338">
        <v>45417</v>
      </c>
      <c r="E85" s="3693">
        <v>45423</v>
      </c>
      <c r="F85" s="3265" t="s">
        <v>98</v>
      </c>
      <c r="G85" s="3518" t="s">
        <v>46</v>
      </c>
      <c r="H85" s="3262"/>
      <c r="I85" s="3268"/>
      <c r="J85" s="5311" t="s">
        <v>32</v>
      </c>
      <c r="K85" s="3265" t="s">
        <v>8246</v>
      </c>
      <c r="L85" s="3695" t="s">
        <v>8295</v>
      </c>
      <c r="M85" s="3691">
        <v>45426</v>
      </c>
      <c r="N85" s="3691">
        <v>45425</v>
      </c>
      <c r="O85" s="3691">
        <v>45426</v>
      </c>
      <c r="P85" s="3542" t="s">
        <v>8296</v>
      </c>
      <c r="Q85" s="3696" t="s">
        <v>50</v>
      </c>
      <c r="R85" s="3518" t="s">
        <v>51</v>
      </c>
      <c r="S85" s="3518"/>
      <c r="T85" s="3274"/>
      <c r="U85" s="3274"/>
      <c r="V85" s="3274"/>
      <c r="W85" s="3274"/>
      <c r="X85" s="3274"/>
      <c r="Y85" s="3274"/>
      <c r="Z85" s="3692"/>
    </row>
    <row r="86" spans="1:27" s="709" customFormat="1" ht="45">
      <c r="A86" s="3697" t="s">
        <v>68</v>
      </c>
      <c r="B86" s="3513" t="s">
        <v>8297</v>
      </c>
      <c r="C86" s="117" t="s">
        <v>28</v>
      </c>
      <c r="D86" s="3262">
        <v>45420</v>
      </c>
      <c r="E86" s="3264">
        <v>45434</v>
      </c>
      <c r="F86" s="3268" t="s">
        <v>45</v>
      </c>
      <c r="G86" s="3268" t="s">
        <v>8298</v>
      </c>
      <c r="H86" s="3453">
        <v>45435</v>
      </c>
      <c r="I86" s="3268" t="s">
        <v>445</v>
      </c>
      <c r="J86" s="1061" t="s">
        <v>490</v>
      </c>
      <c r="K86" s="908" t="s">
        <v>2671</v>
      </c>
      <c r="L86" s="3633">
        <v>338086</v>
      </c>
      <c r="M86" s="4931">
        <v>45436</v>
      </c>
      <c r="N86" s="3262">
        <v>45435</v>
      </c>
      <c r="O86" s="3262">
        <v>45435</v>
      </c>
      <c r="P86" s="4909" t="s">
        <v>8299</v>
      </c>
      <c r="Q86" s="3678" t="s">
        <v>75</v>
      </c>
      <c r="R86" s="3376" t="s">
        <v>8300</v>
      </c>
      <c r="S86" s="3268" t="s">
        <v>67</v>
      </c>
      <c r="T86" s="3268">
        <v>660</v>
      </c>
      <c r="U86" s="3268">
        <f>45+411.25</f>
        <v>456.25</v>
      </c>
      <c r="V86" s="3268">
        <v>1</v>
      </c>
      <c r="W86" s="3268">
        <f>表15[[#This Row],[Sales Amount]]-表15[[#This Row],[Cost]]</f>
        <v>203.75</v>
      </c>
      <c r="X86" s="3269">
        <f>表15[[#This Row],[Profit]]/表15[[#This Row],[Cost]]</f>
        <v>0.44657534246575342</v>
      </c>
      <c r="Y86" s="3268"/>
      <c r="Z86" s="3270"/>
    </row>
    <row r="87" spans="1:27" s="26" customFormat="1" ht="75">
      <c r="A87" s="3697" t="s">
        <v>68</v>
      </c>
      <c r="B87" s="3376" t="s">
        <v>8301</v>
      </c>
      <c r="C87" s="4845" t="s">
        <v>28</v>
      </c>
      <c r="D87" s="3262">
        <v>45420</v>
      </c>
      <c r="E87" s="4916">
        <v>45434</v>
      </c>
      <c r="F87" s="3268" t="s">
        <v>45</v>
      </c>
      <c r="G87" s="4845" t="s">
        <v>8298</v>
      </c>
      <c r="H87" s="3453">
        <v>45435</v>
      </c>
      <c r="I87" s="3268" t="s">
        <v>495</v>
      </c>
      <c r="J87" s="5243" t="s">
        <v>490</v>
      </c>
      <c r="K87" s="4915" t="s">
        <v>2671</v>
      </c>
      <c r="L87" s="3633" t="s">
        <v>8302</v>
      </c>
      <c r="M87" s="4931">
        <v>45436</v>
      </c>
      <c r="N87" s="3262">
        <v>45435</v>
      </c>
      <c r="O87" s="3262">
        <v>45435</v>
      </c>
      <c r="P87" s="4246" t="s">
        <v>8303</v>
      </c>
      <c r="Q87" s="5065" t="s">
        <v>75</v>
      </c>
      <c r="R87" s="3376" t="s">
        <v>8304</v>
      </c>
      <c r="S87" s="3268" t="s">
        <v>67</v>
      </c>
      <c r="T87" s="3268">
        <v>690</v>
      </c>
      <c r="U87" s="3268">
        <f>45+486.25</f>
        <v>531.25</v>
      </c>
      <c r="V87" s="3268">
        <v>1</v>
      </c>
      <c r="W87" s="3268">
        <f>表15[[#This Row],[Sales Amount]]-表15[[#This Row],[Cost]]</f>
        <v>158.75</v>
      </c>
      <c r="X87" s="3269">
        <f>表15[[#This Row],[Profit]]/表15[[#This Row],[Cost]]</f>
        <v>0.29882352941176471</v>
      </c>
      <c r="Y87" s="3268"/>
      <c r="Z87" s="3270"/>
    </row>
    <row r="88" spans="1:27" s="507" customFormat="1" ht="45">
      <c r="A88" s="4319" t="s">
        <v>896</v>
      </c>
      <c r="B88" s="4242" t="s">
        <v>8305</v>
      </c>
      <c r="C88" s="4845" t="s">
        <v>28</v>
      </c>
      <c r="D88" s="3262">
        <v>45418</v>
      </c>
      <c r="E88" s="3264">
        <v>45431</v>
      </c>
      <c r="F88" s="4242" t="s">
        <v>93</v>
      </c>
      <c r="G88" s="117" t="s">
        <v>8231</v>
      </c>
      <c r="H88" s="3262">
        <v>45434</v>
      </c>
      <c r="I88" s="4242" t="s">
        <v>445</v>
      </c>
      <c r="J88" s="5243" t="s">
        <v>322</v>
      </c>
      <c r="K88" s="4908" t="s">
        <v>1105</v>
      </c>
      <c r="L88" s="3367">
        <v>6605</v>
      </c>
      <c r="M88" s="3366">
        <v>45434</v>
      </c>
      <c r="N88" s="3366">
        <v>45434</v>
      </c>
      <c r="O88" s="3262">
        <v>45434</v>
      </c>
      <c r="P88" s="4246" t="s">
        <v>8306</v>
      </c>
      <c r="Q88" s="5065" t="s">
        <v>75</v>
      </c>
      <c r="R88" s="847" t="s">
        <v>8307</v>
      </c>
      <c r="S88" s="3268"/>
      <c r="T88" s="3268">
        <v>975</v>
      </c>
      <c r="U88" s="3268">
        <f>885.5-75</f>
        <v>810.5</v>
      </c>
      <c r="V88" s="3268">
        <v>1</v>
      </c>
      <c r="W88" s="3268">
        <f>表15[[#This Row],[Sales Amount]]-表15[[#This Row],[Cost]]</f>
        <v>164.5</v>
      </c>
      <c r="X88" s="3698">
        <f>表15[[#This Row],[Profit]]/表15[[#This Row],[Cost]]</f>
        <v>0.20296113510178901</v>
      </c>
      <c r="Y88" s="3268"/>
      <c r="Z88" s="3270"/>
    </row>
    <row r="89" spans="1:27" s="507" customFormat="1" ht="45">
      <c r="A89" s="4319" t="s">
        <v>896</v>
      </c>
      <c r="B89" s="4242" t="s">
        <v>8308</v>
      </c>
      <c r="C89" s="4845" t="s">
        <v>28</v>
      </c>
      <c r="D89" s="3262">
        <v>45420</v>
      </c>
      <c r="E89" s="3264">
        <v>45435</v>
      </c>
      <c r="F89" s="4242" t="s">
        <v>93</v>
      </c>
      <c r="G89" s="4150" t="s">
        <v>8231</v>
      </c>
      <c r="H89" s="3262">
        <v>45435</v>
      </c>
      <c r="I89" s="3268"/>
      <c r="J89" s="5243" t="s">
        <v>322</v>
      </c>
      <c r="K89" s="4908" t="s">
        <v>1105</v>
      </c>
      <c r="L89" s="117">
        <v>4693</v>
      </c>
      <c r="M89" s="4916">
        <v>45436</v>
      </c>
      <c r="N89" s="3262">
        <v>45435</v>
      </c>
      <c r="O89" s="3262">
        <v>45435</v>
      </c>
      <c r="P89" s="4246" t="s">
        <v>8309</v>
      </c>
      <c r="Q89" s="5065" t="s">
        <v>75</v>
      </c>
      <c r="R89" s="847" t="s">
        <v>8310</v>
      </c>
      <c r="S89" s="3268"/>
      <c r="T89" s="3268">
        <v>675</v>
      </c>
      <c r="U89" s="3268">
        <v>415.5</v>
      </c>
      <c r="V89" s="117">
        <v>1</v>
      </c>
      <c r="W89" s="117">
        <f>表15[[#This Row],[Sales Amount]]-表15[[#This Row],[Cost]]</f>
        <v>259.5</v>
      </c>
      <c r="X89" s="3698">
        <f>表15[[#This Row],[Profit]]/表15[[#This Row],[Cost]]</f>
        <v>0.62454873646209386</v>
      </c>
      <c r="Y89" s="3268"/>
      <c r="Z89" s="3270"/>
    </row>
    <row r="90" spans="1:27" s="507" customFormat="1" ht="30">
      <c r="A90" s="3697" t="s">
        <v>8311</v>
      </c>
      <c r="B90" s="4242" t="s">
        <v>8312</v>
      </c>
      <c r="C90" s="4845" t="s">
        <v>28</v>
      </c>
      <c r="D90" s="3262">
        <v>45412</v>
      </c>
      <c r="E90" s="3377">
        <v>45412</v>
      </c>
      <c r="F90" s="3268" t="s">
        <v>167</v>
      </c>
      <c r="G90" s="4845" t="s">
        <v>8313</v>
      </c>
      <c r="H90" s="3262">
        <v>45418</v>
      </c>
      <c r="I90" s="3268" t="s">
        <v>3956</v>
      </c>
      <c r="J90" s="4915" t="s">
        <v>859</v>
      </c>
      <c r="K90" s="4915" t="s">
        <v>6101</v>
      </c>
      <c r="L90" s="3268"/>
      <c r="M90" s="3262">
        <v>45418</v>
      </c>
      <c r="N90" s="3262">
        <v>45416</v>
      </c>
      <c r="O90" s="3262">
        <v>45419</v>
      </c>
      <c r="P90" s="4246" t="s">
        <v>8314</v>
      </c>
      <c r="Q90" s="5065" t="s">
        <v>75</v>
      </c>
      <c r="R90" s="4908" t="s">
        <v>8315</v>
      </c>
      <c r="S90" s="3268" t="s">
        <v>67</v>
      </c>
      <c r="T90" s="3679">
        <v>3246.14</v>
      </c>
      <c r="U90" s="3268"/>
      <c r="V90" s="4845"/>
      <c r="W90" s="4845"/>
      <c r="X90" s="4845"/>
      <c r="Y90" s="3268"/>
      <c r="Z90" s="3270"/>
    </row>
    <row r="91" spans="1:27" s="707" customFormat="1" ht="45">
      <c r="A91" s="3686" t="s">
        <v>165</v>
      </c>
      <c r="B91" s="3268" t="s">
        <v>8316</v>
      </c>
      <c r="C91" s="4908" t="s">
        <v>200</v>
      </c>
      <c r="D91" s="3262">
        <v>45424</v>
      </c>
      <c r="E91" s="879">
        <v>45434</v>
      </c>
      <c r="F91" s="4242" t="s">
        <v>167</v>
      </c>
      <c r="G91" s="4908" t="s">
        <v>302</v>
      </c>
      <c r="H91" s="3366">
        <v>45437</v>
      </c>
      <c r="I91" s="3699" t="s">
        <v>672</v>
      </c>
      <c r="J91" s="5243" t="s">
        <v>32</v>
      </c>
      <c r="K91" s="4908" t="s">
        <v>2013</v>
      </c>
      <c r="L91" s="806">
        <v>813575</v>
      </c>
      <c r="M91" s="4918">
        <v>45437</v>
      </c>
      <c r="N91" s="3262">
        <v>45436</v>
      </c>
      <c r="O91" s="3262">
        <v>45437</v>
      </c>
      <c r="P91" s="4246" t="s">
        <v>8222</v>
      </c>
      <c r="Q91" s="4845" t="s">
        <v>75</v>
      </c>
      <c r="R91" s="3268" t="s">
        <v>8317</v>
      </c>
      <c r="S91" s="3268"/>
      <c r="T91" s="3268">
        <v>1150</v>
      </c>
      <c r="U91" s="3268">
        <v>919</v>
      </c>
      <c r="V91" s="3268">
        <v>1</v>
      </c>
      <c r="W91" s="3268">
        <f>表15[[#This Row],[Sales Amount]]-表15[[#This Row],[Cost]]</f>
        <v>231</v>
      </c>
      <c r="X91" s="3269">
        <f>表15[[#This Row],[Profit]]/表15[[#This Row],[Cost]]</f>
        <v>0.25136017410228512</v>
      </c>
      <c r="Y91" s="3268"/>
      <c r="Z91" s="3270"/>
    </row>
    <row r="92" spans="1:27" s="26" customFormat="1">
      <c r="A92" s="3700" t="s">
        <v>7322</v>
      </c>
      <c r="B92" s="3701" t="s">
        <v>8318</v>
      </c>
      <c r="C92" s="4895" t="s">
        <v>28</v>
      </c>
      <c r="D92" s="3675">
        <v>45421</v>
      </c>
      <c r="E92" s="2783">
        <v>45426</v>
      </c>
      <c r="F92" s="3241" t="s">
        <v>29</v>
      </c>
      <c r="G92" s="4895" t="s">
        <v>6204</v>
      </c>
      <c r="H92" s="3702">
        <v>45447</v>
      </c>
      <c r="I92" s="4213" t="s">
        <v>495</v>
      </c>
      <c r="J92" s="5489" t="s">
        <v>1478</v>
      </c>
      <c r="K92" s="4895" t="s">
        <v>8074</v>
      </c>
      <c r="L92" s="3241" t="s">
        <v>1677</v>
      </c>
      <c r="M92" s="5493">
        <v>45430</v>
      </c>
      <c r="N92" s="3675">
        <v>45429</v>
      </c>
      <c r="O92" s="3675">
        <v>45448</v>
      </c>
      <c r="P92" s="4328" t="s">
        <v>8319</v>
      </c>
      <c r="Q92" s="4895" t="s">
        <v>862</v>
      </c>
      <c r="R92" s="3703" t="s">
        <v>51</v>
      </c>
      <c r="S92" s="3673" t="s">
        <v>37</v>
      </c>
      <c r="T92" s="3255">
        <v>2630</v>
      </c>
      <c r="U92" s="3255">
        <v>2390</v>
      </c>
      <c r="V92" s="3255"/>
      <c r="W92" s="3268">
        <f>表15[[#This Row],[Sales Amount]]-表15[[#This Row],[Cost]]</f>
        <v>240</v>
      </c>
      <c r="X92" s="3269">
        <f>表15[[#This Row],[Profit]]/表15[[#This Row],[Cost]]</f>
        <v>0.100418410041841</v>
      </c>
      <c r="Y92" s="3255"/>
      <c r="Z92" s="3256"/>
    </row>
    <row r="93" spans="1:27" s="26" customFormat="1" ht="45">
      <c r="A93" s="3686" t="s">
        <v>165</v>
      </c>
      <c r="B93" s="4242" t="s">
        <v>8320</v>
      </c>
      <c r="C93" s="4908" t="s">
        <v>451</v>
      </c>
      <c r="D93" s="3262">
        <v>45424</v>
      </c>
      <c r="E93" s="3264">
        <v>45434</v>
      </c>
      <c r="F93" s="4242" t="s">
        <v>167</v>
      </c>
      <c r="G93" s="4908" t="s">
        <v>302</v>
      </c>
      <c r="H93" s="3366">
        <v>45436</v>
      </c>
      <c r="I93" s="3699" t="s">
        <v>672</v>
      </c>
      <c r="J93" s="5243" t="s">
        <v>32</v>
      </c>
      <c r="K93" s="4908" t="s">
        <v>2013</v>
      </c>
      <c r="L93" s="3542" t="s">
        <v>8321</v>
      </c>
      <c r="M93" s="3366">
        <v>45436</v>
      </c>
      <c r="N93" s="3262">
        <v>45436</v>
      </c>
      <c r="O93" s="3262">
        <v>45436</v>
      </c>
      <c r="P93" s="4246" t="s">
        <v>8222</v>
      </c>
      <c r="Q93" s="4845" t="s">
        <v>75</v>
      </c>
      <c r="R93" s="3268" t="s">
        <v>8322</v>
      </c>
      <c r="S93" s="3268"/>
      <c r="T93" s="3268">
        <v>1150</v>
      </c>
      <c r="U93" s="3268">
        <v>919</v>
      </c>
      <c r="V93" s="3268">
        <v>1</v>
      </c>
      <c r="W93" s="3268">
        <f>表15[[#This Row],[Sales Amount]]-表15[[#This Row],[Cost]]</f>
        <v>231</v>
      </c>
      <c r="X93" s="3269">
        <f>表15[[#This Row],[Profit]]/表15[[#This Row],[Cost]]</f>
        <v>0.25136017410228512</v>
      </c>
      <c r="Y93" s="3268"/>
      <c r="Z93" s="3270"/>
    </row>
    <row r="94" spans="1:27" s="26" customFormat="1">
      <c r="A94" s="3106" t="s">
        <v>1431</v>
      </c>
      <c r="B94" s="3241" t="s">
        <v>8323</v>
      </c>
      <c r="C94" s="4895" t="s">
        <v>28</v>
      </c>
      <c r="D94" s="3704">
        <v>45429</v>
      </c>
      <c r="E94" s="3705">
        <v>45437</v>
      </c>
      <c r="F94" s="3241" t="s">
        <v>29</v>
      </c>
      <c r="G94" s="4842" t="s">
        <v>1350</v>
      </c>
      <c r="H94" s="3069">
        <v>45442</v>
      </c>
      <c r="I94" s="3075"/>
      <c r="J94" s="5489" t="s">
        <v>32</v>
      </c>
      <c r="K94" s="5488" t="s">
        <v>1433</v>
      </c>
      <c r="L94" s="3673">
        <v>9322192</v>
      </c>
      <c r="M94" s="3706">
        <v>45435</v>
      </c>
      <c r="N94" s="3707">
        <v>45439</v>
      </c>
      <c r="O94" s="3707">
        <v>45442</v>
      </c>
      <c r="P94" s="4328" t="s">
        <v>8324</v>
      </c>
      <c r="Q94" s="4895" t="s">
        <v>862</v>
      </c>
      <c r="R94" s="3673" t="s">
        <v>36</v>
      </c>
      <c r="S94" s="3673" t="s">
        <v>37</v>
      </c>
      <c r="T94" s="3255">
        <v>1913.5</v>
      </c>
      <c r="U94" s="3255">
        <v>1735</v>
      </c>
      <c r="V94" s="3255"/>
      <c r="W94" s="3255"/>
      <c r="X94" s="3255"/>
      <c r="Y94" s="3255"/>
      <c r="Z94" s="3256"/>
    </row>
    <row r="95" spans="1:27" s="26" customFormat="1">
      <c r="A95" s="3235" t="s">
        <v>6148</v>
      </c>
      <c r="B95" s="3275" t="s">
        <v>8325</v>
      </c>
      <c r="C95" s="4839" t="s">
        <v>28</v>
      </c>
      <c r="D95" s="3674">
        <v>45428</v>
      </c>
      <c r="E95" s="3644">
        <v>45451</v>
      </c>
      <c r="F95" s="3275" t="s">
        <v>56</v>
      </c>
      <c r="G95" s="4870" t="s">
        <v>46</v>
      </c>
      <c r="H95" s="3534"/>
      <c r="I95" s="3246"/>
      <c r="J95" s="4901" t="s">
        <v>32</v>
      </c>
      <c r="K95" s="4839" t="s">
        <v>47</v>
      </c>
      <c r="L95" s="3261" t="s">
        <v>8326</v>
      </c>
      <c r="M95" s="3682">
        <v>45447</v>
      </c>
      <c r="N95" s="3682">
        <v>45447</v>
      </c>
      <c r="O95" s="3682">
        <v>45449</v>
      </c>
      <c r="P95" s="3283" t="s">
        <v>8327</v>
      </c>
      <c r="Q95" s="5128" t="s">
        <v>6852</v>
      </c>
      <c r="R95" s="3261" t="s">
        <v>51</v>
      </c>
      <c r="S95" s="3261"/>
      <c r="T95" s="3258"/>
      <c r="U95" s="3258"/>
      <c r="V95" s="3258"/>
      <c r="W95" s="3258"/>
      <c r="X95" s="3258"/>
      <c r="Y95" s="3258"/>
      <c r="Z95" s="3259"/>
    </row>
    <row r="96" spans="1:27" s="707" customFormat="1">
      <c r="A96" s="4373" t="s">
        <v>8328</v>
      </c>
      <c r="B96" s="4333" t="s">
        <v>8329</v>
      </c>
      <c r="C96" s="4852" t="s">
        <v>28</v>
      </c>
      <c r="D96" s="3674">
        <v>45407</v>
      </c>
      <c r="E96" s="3674">
        <v>45428</v>
      </c>
      <c r="F96" s="4221" t="s">
        <v>1357</v>
      </c>
      <c r="G96" s="4852" t="s">
        <v>8330</v>
      </c>
      <c r="H96" s="3348" t="s">
        <v>541</v>
      </c>
      <c r="I96" s="4331"/>
      <c r="J96" s="4852" t="s">
        <v>32</v>
      </c>
      <c r="K96" s="4852" t="s">
        <v>8331</v>
      </c>
      <c r="L96" s="4249" t="s">
        <v>8332</v>
      </c>
      <c r="M96" s="3682">
        <v>45429</v>
      </c>
      <c r="N96" s="3682"/>
      <c r="O96" s="3682"/>
      <c r="P96" s="4334" t="s">
        <v>8333</v>
      </c>
      <c r="Q96" s="5128" t="s">
        <v>862</v>
      </c>
      <c r="R96" s="3261" t="s">
        <v>51</v>
      </c>
      <c r="S96" s="3261"/>
      <c r="T96" s="3258"/>
      <c r="U96" s="3258"/>
      <c r="V96" s="3258"/>
      <c r="W96" s="3258"/>
      <c r="X96" s="3258"/>
      <c r="Y96" s="3258"/>
      <c r="Z96" s="3259"/>
    </row>
    <row r="97" spans="1:26" s="707" customFormat="1" ht="45">
      <c r="A97" s="3417" t="s">
        <v>622</v>
      </c>
      <c r="B97" s="4242" t="s">
        <v>8334</v>
      </c>
      <c r="C97" s="4845" t="s">
        <v>28</v>
      </c>
      <c r="D97" s="4241">
        <v>45431</v>
      </c>
      <c r="E97" s="3264">
        <v>45443</v>
      </c>
      <c r="F97" s="4242" t="s">
        <v>151</v>
      </c>
      <c r="G97" s="4908" t="s">
        <v>302</v>
      </c>
      <c r="H97" s="3262">
        <v>45446</v>
      </c>
      <c r="I97" s="3268"/>
      <c r="J97" s="4908" t="s">
        <v>32</v>
      </c>
      <c r="K97" s="4915" t="s">
        <v>1445</v>
      </c>
      <c r="L97" s="4104" t="s">
        <v>8335</v>
      </c>
      <c r="M97" s="4906">
        <v>45445</v>
      </c>
      <c r="N97" s="3262">
        <v>45445</v>
      </c>
      <c r="O97" s="3262">
        <v>45446</v>
      </c>
      <c r="P97" s="4321" t="s">
        <v>8336</v>
      </c>
      <c r="Q97" s="5515" t="s">
        <v>75</v>
      </c>
      <c r="R97" s="3376" t="s">
        <v>8337</v>
      </c>
      <c r="S97" s="3364" t="s">
        <v>67</v>
      </c>
      <c r="T97" s="3268">
        <v>6025</v>
      </c>
      <c r="U97" s="3268">
        <f>550+90+5050</f>
        <v>5690</v>
      </c>
      <c r="V97" s="4845">
        <v>1</v>
      </c>
      <c r="W97" s="4845">
        <f>表15[[#This Row],[Sales Amount]]-表15[[#This Row],[Cost]]</f>
        <v>335</v>
      </c>
      <c r="X97" s="5060">
        <f>表15[[#This Row],[Profit]]/表15[[#This Row],[Cost]]</f>
        <v>5.8875219683655534E-2</v>
      </c>
      <c r="Y97" s="3364"/>
      <c r="Z97" s="3708"/>
    </row>
    <row r="98" spans="1:26" s="26" customFormat="1">
      <c r="A98" s="3684" t="s">
        <v>409</v>
      </c>
      <c r="B98" s="3275" t="s">
        <v>8338</v>
      </c>
      <c r="C98" s="4839" t="s">
        <v>28</v>
      </c>
      <c r="D98" s="3674">
        <v>45428</v>
      </c>
      <c r="E98" s="3644">
        <v>45439</v>
      </c>
      <c r="F98" s="3275" t="s">
        <v>151</v>
      </c>
      <c r="G98" s="4839" t="s">
        <v>46</v>
      </c>
      <c r="H98" s="3534"/>
      <c r="I98" s="3246"/>
      <c r="J98" s="5136" t="s">
        <v>32</v>
      </c>
      <c r="K98" s="4839" t="s">
        <v>47</v>
      </c>
      <c r="L98" s="1">
        <v>147594</v>
      </c>
      <c r="M98" s="3682">
        <v>45444</v>
      </c>
      <c r="N98" s="3682">
        <v>45443</v>
      </c>
      <c r="O98" s="3682">
        <v>45445</v>
      </c>
      <c r="P98" s="3283" t="s">
        <v>8339</v>
      </c>
      <c r="Q98" s="4839" t="s">
        <v>6852</v>
      </c>
      <c r="R98" s="3261" t="s">
        <v>51</v>
      </c>
      <c r="S98" s="3261"/>
      <c r="T98" s="3258"/>
      <c r="U98" s="3258"/>
      <c r="V98" s="3258"/>
      <c r="W98" s="3258"/>
      <c r="X98" s="3258"/>
      <c r="Y98" s="3258"/>
      <c r="Z98" s="3259"/>
    </row>
    <row r="99" spans="1:26" s="707" customFormat="1">
      <c r="A99" s="3527" t="s">
        <v>7678</v>
      </c>
      <c r="B99" s="3357" t="s">
        <v>8340</v>
      </c>
      <c r="C99" s="4839" t="s">
        <v>28</v>
      </c>
      <c r="D99" s="3674">
        <v>45442</v>
      </c>
      <c r="E99" s="3674">
        <v>45444</v>
      </c>
      <c r="F99" s="3275" t="s">
        <v>173</v>
      </c>
      <c r="G99" s="4839" t="s">
        <v>7684</v>
      </c>
      <c r="H99" s="3261" t="s">
        <v>8102</v>
      </c>
      <c r="I99" s="3275"/>
      <c r="J99" s="4854"/>
      <c r="K99" s="4839" t="s">
        <v>382</v>
      </c>
      <c r="L99" s="1" t="s">
        <v>382</v>
      </c>
      <c r="M99" s="4870"/>
      <c r="N99" s="3261"/>
      <c r="O99" s="3261"/>
      <c r="P99" s="3283" t="s">
        <v>8341</v>
      </c>
      <c r="Q99" s="5128" t="s">
        <v>6852</v>
      </c>
      <c r="R99" s="3284" t="s">
        <v>8342</v>
      </c>
      <c r="S99" s="3261" t="s">
        <v>2373</v>
      </c>
      <c r="T99" s="3258"/>
      <c r="U99" s="3258"/>
      <c r="V99" s="3258"/>
      <c r="W99" s="3258"/>
      <c r="X99" s="3258"/>
      <c r="Y99" s="3258"/>
      <c r="Z99" s="3259"/>
    </row>
    <row r="100" spans="1:26" s="707" customFormat="1">
      <c r="A100" s="3709" t="s">
        <v>7322</v>
      </c>
      <c r="B100" s="3710" t="s">
        <v>8343</v>
      </c>
      <c r="C100" s="4895" t="s">
        <v>200</v>
      </c>
      <c r="D100" s="3704">
        <v>45437</v>
      </c>
      <c r="E100" s="3705">
        <v>45442</v>
      </c>
      <c r="F100" s="3241" t="s">
        <v>151</v>
      </c>
      <c r="G100" s="4872" t="s">
        <v>8288</v>
      </c>
      <c r="H100" s="3694">
        <v>45447</v>
      </c>
      <c r="I100" s="3255" t="s">
        <v>495</v>
      </c>
      <c r="J100" s="5489" t="s">
        <v>551</v>
      </c>
      <c r="K100" s="4895" t="s">
        <v>8289</v>
      </c>
      <c r="L100" s="7">
        <v>1127</v>
      </c>
      <c r="M100" s="3704">
        <v>45443</v>
      </c>
      <c r="N100" s="3704">
        <v>45443</v>
      </c>
      <c r="O100" s="3704">
        <v>45448</v>
      </c>
      <c r="P100" s="4328" t="s">
        <v>8344</v>
      </c>
      <c r="Q100" s="4895" t="s">
        <v>862</v>
      </c>
      <c r="R100" s="3673" t="s">
        <v>36</v>
      </c>
      <c r="S100" s="3673">
        <v>1375</v>
      </c>
      <c r="T100" s="3255" t="s">
        <v>847</v>
      </c>
      <c r="U100" s="3255"/>
      <c r="V100" s="3255"/>
      <c r="W100" s="3255"/>
      <c r="X100" s="3255"/>
      <c r="Y100" s="3255"/>
      <c r="Z100" s="3256"/>
    </row>
    <row r="101" spans="1:26" s="707" customFormat="1">
      <c r="A101" s="3680" t="s">
        <v>1035</v>
      </c>
      <c r="B101" s="3357" t="s">
        <v>8345</v>
      </c>
      <c r="C101" s="4841" t="s">
        <v>28</v>
      </c>
      <c r="D101" s="3350">
        <v>45408</v>
      </c>
      <c r="E101" s="3383">
        <v>45424</v>
      </c>
      <c r="F101" s="3275" t="s">
        <v>151</v>
      </c>
      <c r="G101" s="4839" t="s">
        <v>46</v>
      </c>
      <c r="H101" s="3275" t="s">
        <v>8102</v>
      </c>
      <c r="I101" s="3275"/>
      <c r="J101" s="4854" t="s">
        <v>32</v>
      </c>
      <c r="K101" s="4839" t="s">
        <v>162</v>
      </c>
      <c r="L101" s="58">
        <v>123482</v>
      </c>
      <c r="M101" s="3279">
        <v>45427</v>
      </c>
      <c r="N101" s="3279">
        <v>45426</v>
      </c>
      <c r="O101" s="3279">
        <v>45426</v>
      </c>
      <c r="P101" s="3283" t="s">
        <v>8346</v>
      </c>
      <c r="Q101" s="4839" t="s">
        <v>6852</v>
      </c>
      <c r="R101" s="3284"/>
      <c r="S101" s="3275"/>
      <c r="T101" s="3258"/>
      <c r="U101" s="3258"/>
      <c r="V101" s="3258"/>
      <c r="W101" s="3258"/>
      <c r="X101" s="3258"/>
      <c r="Y101" s="3258"/>
      <c r="Z101" s="3259"/>
    </row>
    <row r="102" spans="1:26" s="707" customFormat="1">
      <c r="A102" s="3527" t="s">
        <v>639</v>
      </c>
      <c r="B102" s="3275" t="s">
        <v>8347</v>
      </c>
      <c r="C102" s="4839" t="s">
        <v>28</v>
      </c>
      <c r="D102" s="3674">
        <v>45424</v>
      </c>
      <c r="E102" s="3644">
        <v>45434</v>
      </c>
      <c r="F102" s="3275" t="s">
        <v>151</v>
      </c>
      <c r="G102" s="4839" t="s">
        <v>46</v>
      </c>
      <c r="H102" s="3534"/>
      <c r="I102" s="3246"/>
      <c r="J102" s="4854" t="s">
        <v>32</v>
      </c>
      <c r="K102" s="4870" t="s">
        <v>641</v>
      </c>
      <c r="L102" s="1" t="s">
        <v>8348</v>
      </c>
      <c r="M102" s="3682">
        <v>45438</v>
      </c>
      <c r="N102" s="3682">
        <v>45438</v>
      </c>
      <c r="O102" s="3682">
        <v>45441</v>
      </c>
      <c r="P102" s="3283" t="s">
        <v>8349</v>
      </c>
      <c r="Q102" s="5128" t="s">
        <v>6852</v>
      </c>
      <c r="R102" s="3261" t="s">
        <v>8350</v>
      </c>
      <c r="S102" s="3261"/>
      <c r="T102" s="3258"/>
      <c r="U102" s="3258"/>
      <c r="V102" s="3258"/>
      <c r="W102" s="3258"/>
      <c r="X102" s="3258"/>
      <c r="Y102" s="3258"/>
      <c r="Z102" s="3259"/>
    </row>
    <row r="103" spans="1:26" s="26" customFormat="1">
      <c r="A103" s="3684" t="s">
        <v>409</v>
      </c>
      <c r="B103" s="3261" t="s">
        <v>8351</v>
      </c>
      <c r="C103" s="4839" t="s">
        <v>28</v>
      </c>
      <c r="D103" s="3674">
        <v>45428</v>
      </c>
      <c r="E103" s="3644">
        <v>45438</v>
      </c>
      <c r="F103" s="3275" t="s">
        <v>151</v>
      </c>
      <c r="G103" s="4839" t="s">
        <v>46</v>
      </c>
      <c r="H103" s="3267"/>
      <c r="I103" s="3258"/>
      <c r="J103" s="5136" t="s">
        <v>32</v>
      </c>
      <c r="K103" s="4839" t="s">
        <v>47</v>
      </c>
      <c r="L103" s="4249" t="s">
        <v>8352</v>
      </c>
      <c r="M103" s="3682">
        <v>45441</v>
      </c>
      <c r="N103" s="3682">
        <v>45441</v>
      </c>
      <c r="O103" s="3682">
        <v>45443</v>
      </c>
      <c r="P103" s="3283" t="s">
        <v>8353</v>
      </c>
      <c r="Q103" s="5128" t="s">
        <v>6852</v>
      </c>
      <c r="R103" s="3261" t="s">
        <v>51</v>
      </c>
      <c r="S103" s="3261"/>
      <c r="T103" s="3258"/>
      <c r="U103" s="3258"/>
      <c r="V103" s="3258"/>
      <c r="W103" s="3258"/>
      <c r="X103" s="3258"/>
      <c r="Y103" s="3258"/>
      <c r="Z103" s="3259"/>
    </row>
    <row r="104" spans="1:26" s="707" customFormat="1">
      <c r="A104" s="3684" t="s">
        <v>4277</v>
      </c>
      <c r="B104" s="3261" t="s">
        <v>8354</v>
      </c>
      <c r="C104" s="4839" t="s">
        <v>28</v>
      </c>
      <c r="D104" s="3674">
        <v>45422</v>
      </c>
      <c r="E104" s="3644">
        <v>45437</v>
      </c>
      <c r="F104" s="3275" t="s">
        <v>45</v>
      </c>
      <c r="G104" s="4839" t="s">
        <v>46</v>
      </c>
      <c r="H104" s="3258"/>
      <c r="I104" s="3258"/>
      <c r="J104" s="4901" t="s">
        <v>32</v>
      </c>
      <c r="K104" s="4839" t="s">
        <v>47</v>
      </c>
      <c r="L104" s="3261" t="s">
        <v>8355</v>
      </c>
      <c r="M104" s="3261"/>
      <c r="N104" s="3674">
        <v>45438</v>
      </c>
      <c r="O104" s="3674">
        <v>45440</v>
      </c>
      <c r="P104" s="3283" t="s">
        <v>8356</v>
      </c>
      <c r="Q104" s="5128" t="s">
        <v>6852</v>
      </c>
      <c r="R104" s="3261" t="s">
        <v>36</v>
      </c>
      <c r="S104" s="3261"/>
      <c r="T104" s="3258"/>
      <c r="U104" s="3258"/>
      <c r="V104" s="3258"/>
      <c r="W104" s="3258"/>
      <c r="X104" s="3258"/>
      <c r="Y104" s="3258"/>
      <c r="Z104" s="3259"/>
    </row>
    <row r="105" spans="1:26" s="26" customFormat="1">
      <c r="A105" s="3700" t="s">
        <v>7322</v>
      </c>
      <c r="B105" s="3701" t="s">
        <v>8357</v>
      </c>
      <c r="C105" s="4895" t="s">
        <v>28</v>
      </c>
      <c r="D105" s="3675">
        <v>45429</v>
      </c>
      <c r="E105" s="3676">
        <v>45431</v>
      </c>
      <c r="F105" s="3241" t="s">
        <v>245</v>
      </c>
      <c r="G105" s="4895" t="s">
        <v>6204</v>
      </c>
      <c r="H105" s="3675">
        <v>45436</v>
      </c>
      <c r="I105" s="3241" t="s">
        <v>495</v>
      </c>
      <c r="J105" s="5489" t="s">
        <v>551</v>
      </c>
      <c r="K105" s="4895" t="s">
        <v>8074</v>
      </c>
      <c r="L105" s="7" t="s">
        <v>1677</v>
      </c>
      <c r="M105" s="3675">
        <v>45440</v>
      </c>
      <c r="N105" s="3675">
        <v>45435</v>
      </c>
      <c r="O105" s="3675">
        <v>45439</v>
      </c>
      <c r="P105" s="4328" t="s">
        <v>8087</v>
      </c>
      <c r="Q105" s="4895" t="s">
        <v>862</v>
      </c>
      <c r="R105" s="4374" t="s">
        <v>36</v>
      </c>
      <c r="S105" s="3673" t="s">
        <v>37</v>
      </c>
      <c r="T105" s="3255">
        <v>1580</v>
      </c>
      <c r="U105" s="3255">
        <v>1399.85</v>
      </c>
      <c r="V105" s="3255"/>
      <c r="W105" s="3255"/>
      <c r="X105" s="3255"/>
      <c r="Y105" s="3255"/>
      <c r="Z105" s="3256"/>
    </row>
    <row r="106" spans="1:26" s="26" customFormat="1">
      <c r="A106" s="3700" t="s">
        <v>7322</v>
      </c>
      <c r="B106" s="3368" t="s">
        <v>8358</v>
      </c>
      <c r="C106" s="4895" t="s">
        <v>28</v>
      </c>
      <c r="D106" s="3675">
        <v>45442</v>
      </c>
      <c r="E106" s="3676">
        <v>45445</v>
      </c>
      <c r="F106" s="3241" t="s">
        <v>151</v>
      </c>
      <c r="G106" s="4872" t="s">
        <v>8288</v>
      </c>
      <c r="H106" s="3702">
        <v>45449</v>
      </c>
      <c r="I106" s="4375" t="s">
        <v>445</v>
      </c>
      <c r="J106" s="3711" t="s">
        <v>1353</v>
      </c>
      <c r="K106" s="3241" t="s">
        <v>8289</v>
      </c>
      <c r="L106" s="361">
        <v>3914</v>
      </c>
      <c r="M106" s="3675">
        <v>45446</v>
      </c>
      <c r="N106" s="3675">
        <v>45446</v>
      </c>
      <c r="O106" s="3675">
        <v>45449</v>
      </c>
      <c r="P106" s="3622" t="s">
        <v>8359</v>
      </c>
      <c r="Q106" s="4895" t="s">
        <v>862</v>
      </c>
      <c r="R106" s="3673" t="s">
        <v>36</v>
      </c>
      <c r="S106" s="3673" t="s">
        <v>37</v>
      </c>
      <c r="T106" s="3255">
        <v>1475</v>
      </c>
      <c r="U106" s="3255">
        <v>1306</v>
      </c>
      <c r="V106" s="3255"/>
      <c r="W106" s="3255"/>
      <c r="X106" s="3255"/>
      <c r="Y106" s="3255"/>
      <c r="Z106" s="3256"/>
    </row>
    <row r="107" spans="1:26" s="26" customFormat="1">
      <c r="A107" s="3106" t="s">
        <v>1431</v>
      </c>
      <c r="B107" s="3241" t="s">
        <v>8360</v>
      </c>
      <c r="C107" s="4895" t="s">
        <v>28</v>
      </c>
      <c r="D107" s="3704">
        <v>45429</v>
      </c>
      <c r="E107" s="3705">
        <v>45433</v>
      </c>
      <c r="F107" s="3241" t="s">
        <v>29</v>
      </c>
      <c r="G107" s="4842" t="s">
        <v>1350</v>
      </c>
      <c r="H107" s="1547">
        <v>45435</v>
      </c>
      <c r="I107" s="3712"/>
      <c r="J107" s="5489" t="s">
        <v>32</v>
      </c>
      <c r="K107" s="2" t="s">
        <v>1433</v>
      </c>
      <c r="L107" s="4872">
        <v>9322171</v>
      </c>
      <c r="M107" s="3706">
        <v>45436</v>
      </c>
      <c r="N107" s="3707">
        <v>45434</v>
      </c>
      <c r="O107" s="3707">
        <v>45435</v>
      </c>
      <c r="P107" s="762" t="s">
        <v>8361</v>
      </c>
      <c r="Q107" s="4895" t="s">
        <v>862</v>
      </c>
      <c r="R107" s="4376" t="s">
        <v>51</v>
      </c>
      <c r="S107" s="4376" t="s">
        <v>8097</v>
      </c>
      <c r="T107" s="3255">
        <v>1665</v>
      </c>
      <c r="U107" s="3255">
        <v>1485</v>
      </c>
      <c r="V107" s="3255"/>
      <c r="W107" s="3255"/>
      <c r="X107" s="3255"/>
      <c r="Y107" s="3255"/>
      <c r="Z107" s="3256"/>
    </row>
    <row r="108" spans="1:26" s="117" customFormat="1">
      <c r="A108" s="5283" t="s">
        <v>1431</v>
      </c>
      <c r="B108" s="3241" t="s">
        <v>8362</v>
      </c>
      <c r="C108" s="3241" t="s">
        <v>28</v>
      </c>
      <c r="D108" s="5485">
        <v>45429</v>
      </c>
      <c r="E108" s="5486">
        <v>45433</v>
      </c>
      <c r="F108" s="4895" t="s">
        <v>29</v>
      </c>
      <c r="G108" s="4842" t="s">
        <v>1350</v>
      </c>
      <c r="H108" s="3713">
        <v>45436</v>
      </c>
      <c r="I108" s="5516"/>
      <c r="J108" s="5489" t="s">
        <v>32</v>
      </c>
      <c r="K108" s="4872" t="s">
        <v>1433</v>
      </c>
      <c r="L108" s="3673">
        <v>9322141</v>
      </c>
      <c r="M108" s="3706">
        <v>45436</v>
      </c>
      <c r="N108" s="3707">
        <v>45434</v>
      </c>
      <c r="O108" s="3707">
        <v>45436</v>
      </c>
      <c r="P108" s="3622" t="s">
        <v>8363</v>
      </c>
      <c r="Q108" s="4895" t="s">
        <v>862</v>
      </c>
      <c r="R108" s="4376" t="s">
        <v>51</v>
      </c>
      <c r="S108" s="5488" t="s">
        <v>37</v>
      </c>
      <c r="T108" s="3255">
        <v>1845</v>
      </c>
      <c r="U108" s="3255">
        <v>1625</v>
      </c>
      <c r="V108" s="3255"/>
      <c r="W108" s="3255"/>
      <c r="X108" s="3255"/>
      <c r="Y108" s="3255"/>
      <c r="Z108" s="3256"/>
    </row>
    <row r="109" spans="1:26" s="106" customFormat="1">
      <c r="A109" s="5283" t="s">
        <v>1431</v>
      </c>
      <c r="B109" s="3241" t="s">
        <v>8364</v>
      </c>
      <c r="C109" s="4895" t="s">
        <v>28</v>
      </c>
      <c r="D109" s="5485">
        <v>45429</v>
      </c>
      <c r="E109" s="5486">
        <v>45437</v>
      </c>
      <c r="F109" s="4895" t="s">
        <v>29</v>
      </c>
      <c r="G109" s="4842" t="s">
        <v>1350</v>
      </c>
      <c r="H109" s="3069">
        <v>45442</v>
      </c>
      <c r="I109" s="4874"/>
      <c r="J109" s="5489" t="s">
        <v>32</v>
      </c>
      <c r="K109" s="4872" t="s">
        <v>1433</v>
      </c>
      <c r="L109" s="3673">
        <v>9322169</v>
      </c>
      <c r="M109" s="3706">
        <v>45435</v>
      </c>
      <c r="N109" s="3707">
        <v>45439</v>
      </c>
      <c r="O109" s="3707">
        <v>45442</v>
      </c>
      <c r="P109" s="4219" t="s">
        <v>8365</v>
      </c>
      <c r="Q109" s="3241" t="s">
        <v>862</v>
      </c>
      <c r="R109" s="3673" t="s">
        <v>36</v>
      </c>
      <c r="S109" s="4872" t="s">
        <v>37</v>
      </c>
      <c r="T109" s="3255">
        <v>1993.5</v>
      </c>
      <c r="U109" s="3255">
        <v>1805</v>
      </c>
      <c r="V109" s="3255"/>
      <c r="W109" s="3255"/>
      <c r="X109" s="3255"/>
      <c r="Y109" s="3255"/>
      <c r="Z109" s="3256"/>
    </row>
    <row r="110" spans="1:26" s="106" customFormat="1">
      <c r="A110" s="4661" t="s">
        <v>1431</v>
      </c>
      <c r="B110" s="4213" t="s">
        <v>8366</v>
      </c>
      <c r="C110" s="3241" t="s">
        <v>28</v>
      </c>
      <c r="D110" s="3704">
        <v>45429</v>
      </c>
      <c r="E110" s="5486">
        <v>45437</v>
      </c>
      <c r="F110" s="3241" t="s">
        <v>29</v>
      </c>
      <c r="G110" s="4842" t="s">
        <v>1350</v>
      </c>
      <c r="H110" s="3069">
        <v>45441</v>
      </c>
      <c r="I110" s="3075"/>
      <c r="J110" s="3711" t="s">
        <v>32</v>
      </c>
      <c r="K110" s="4872" t="s">
        <v>1433</v>
      </c>
      <c r="L110" s="3673">
        <v>9322175</v>
      </c>
      <c r="M110" s="3706">
        <v>45435</v>
      </c>
      <c r="N110" s="3707">
        <v>45439</v>
      </c>
      <c r="O110" s="3707">
        <v>45441</v>
      </c>
      <c r="P110" s="4328" t="s">
        <v>8367</v>
      </c>
      <c r="Q110" s="4895" t="s">
        <v>862</v>
      </c>
      <c r="R110" s="3368" t="s">
        <v>51</v>
      </c>
      <c r="S110" s="3673">
        <v>1913.5</v>
      </c>
      <c r="T110" s="3255">
        <v>1740</v>
      </c>
      <c r="U110" s="3255"/>
      <c r="V110" s="3255"/>
      <c r="W110" s="3255"/>
      <c r="X110" s="3255"/>
      <c r="Y110" s="3255"/>
      <c r="Z110" s="3256"/>
    </row>
    <row r="111" spans="1:26" s="117" customFormat="1">
      <c r="A111" s="3700" t="s">
        <v>7322</v>
      </c>
      <c r="B111" s="3701" t="s">
        <v>8368</v>
      </c>
      <c r="C111" s="4895" t="s">
        <v>28</v>
      </c>
      <c r="D111" s="3675">
        <v>45427</v>
      </c>
      <c r="E111" s="3676">
        <v>45431</v>
      </c>
      <c r="F111" s="3241" t="s">
        <v>245</v>
      </c>
      <c r="G111" s="3241" t="s">
        <v>6204</v>
      </c>
      <c r="H111" s="3702">
        <v>45448</v>
      </c>
      <c r="I111" s="3241" t="s">
        <v>495</v>
      </c>
      <c r="J111" s="2786" t="s">
        <v>551</v>
      </c>
      <c r="K111" s="3241" t="s">
        <v>8074</v>
      </c>
      <c r="L111" s="3241" t="s">
        <v>1677</v>
      </c>
      <c r="M111" s="3675">
        <v>45439</v>
      </c>
      <c r="N111" s="3675">
        <v>45436</v>
      </c>
      <c r="O111" s="3675">
        <v>45449</v>
      </c>
      <c r="P111" s="3622" t="s">
        <v>8087</v>
      </c>
      <c r="Q111" s="4895" t="s">
        <v>862</v>
      </c>
      <c r="R111" s="3673" t="s">
        <v>36</v>
      </c>
      <c r="S111" s="3673" t="s">
        <v>37</v>
      </c>
      <c r="T111" s="3255">
        <v>2450</v>
      </c>
      <c r="U111" s="3255">
        <v>2114.85</v>
      </c>
      <c r="V111" s="3255"/>
      <c r="W111" s="3255"/>
      <c r="X111" s="3255"/>
      <c r="Y111" s="3255"/>
      <c r="Z111" s="3256"/>
    </row>
    <row r="112" spans="1:26" s="117" customFormat="1">
      <c r="A112" s="3684" t="s">
        <v>409</v>
      </c>
      <c r="B112" s="58" t="s">
        <v>8369</v>
      </c>
      <c r="C112" s="4839" t="s">
        <v>28</v>
      </c>
      <c r="D112" s="3674">
        <v>45429</v>
      </c>
      <c r="E112" s="3644">
        <v>45441</v>
      </c>
      <c r="F112" s="3275" t="s">
        <v>151</v>
      </c>
      <c r="G112" s="3275" t="s">
        <v>46</v>
      </c>
      <c r="H112" s="3534"/>
      <c r="I112" s="3246"/>
      <c r="J112" s="1144" t="s">
        <v>32</v>
      </c>
      <c r="K112" s="3275" t="s">
        <v>47</v>
      </c>
      <c r="L112" s="3261" t="s">
        <v>8370</v>
      </c>
      <c r="M112" s="3682">
        <v>45444</v>
      </c>
      <c r="N112" s="3682">
        <v>45444</v>
      </c>
      <c r="O112" s="3682">
        <v>45447</v>
      </c>
      <c r="P112" s="3283" t="s">
        <v>8371</v>
      </c>
      <c r="Q112" s="4839" t="s">
        <v>6852</v>
      </c>
      <c r="R112" s="3261" t="s">
        <v>51</v>
      </c>
      <c r="S112" s="3261"/>
      <c r="T112" s="3258"/>
      <c r="U112" s="3258"/>
      <c r="V112" s="3258"/>
      <c r="W112" s="3258"/>
      <c r="X112" s="3258"/>
      <c r="Y112" s="3258"/>
      <c r="Z112" s="3259"/>
    </row>
    <row r="113" spans="1:26" s="106" customFormat="1">
      <c r="A113" s="3684" t="s">
        <v>4277</v>
      </c>
      <c r="B113" s="3261" t="s">
        <v>8372</v>
      </c>
      <c r="C113" s="3275" t="s">
        <v>28</v>
      </c>
      <c r="D113" s="3674">
        <v>45422</v>
      </c>
      <c r="E113" s="3644">
        <v>45438</v>
      </c>
      <c r="F113" s="3275" t="s">
        <v>45</v>
      </c>
      <c r="G113" s="3275" t="s">
        <v>46</v>
      </c>
      <c r="H113" s="3258"/>
      <c r="I113" s="3258"/>
      <c r="J113" s="1144" t="s">
        <v>32</v>
      </c>
      <c r="K113" s="3275" t="s">
        <v>47</v>
      </c>
      <c r="L113" s="4249" t="s">
        <v>8373</v>
      </c>
      <c r="M113" s="3674">
        <v>45441</v>
      </c>
      <c r="N113" s="3674">
        <v>45440</v>
      </c>
      <c r="O113" s="3674">
        <v>45442</v>
      </c>
      <c r="P113" s="3283" t="s">
        <v>8374</v>
      </c>
      <c r="Q113" s="5128" t="s">
        <v>6852</v>
      </c>
      <c r="R113" s="3261" t="s">
        <v>36</v>
      </c>
      <c r="S113" s="3261"/>
      <c r="T113" s="3258"/>
      <c r="U113" s="3258"/>
      <c r="V113" s="3258"/>
      <c r="W113" s="3258"/>
      <c r="X113" s="3258"/>
      <c r="Y113" s="3258"/>
      <c r="Z113" s="3259"/>
    </row>
    <row r="114" spans="1:26" s="650" customFormat="1">
      <c r="A114" s="3417" t="s">
        <v>2847</v>
      </c>
      <c r="B114" s="4242" t="s">
        <v>8375</v>
      </c>
      <c r="C114" s="4845" t="s">
        <v>28</v>
      </c>
      <c r="D114" s="4906">
        <v>45421</v>
      </c>
      <c r="E114" s="4916">
        <v>45434</v>
      </c>
      <c r="F114" s="3268" t="s">
        <v>45</v>
      </c>
      <c r="G114" s="3268" t="s">
        <v>302</v>
      </c>
      <c r="H114" s="3366">
        <v>45437</v>
      </c>
      <c r="I114" s="3367" t="s">
        <v>115</v>
      </c>
      <c r="J114" s="3462" t="s">
        <v>32</v>
      </c>
      <c r="K114" s="4242" t="s">
        <v>1829</v>
      </c>
      <c r="L114" s="3619" t="s">
        <v>8376</v>
      </c>
      <c r="M114" s="3418">
        <v>45438</v>
      </c>
      <c r="N114" s="3366">
        <v>45437</v>
      </c>
      <c r="O114" s="3453">
        <v>45437</v>
      </c>
      <c r="P114" s="3273" t="s">
        <v>8377</v>
      </c>
      <c r="Q114" s="3678" t="s">
        <v>75</v>
      </c>
      <c r="R114" s="4242" t="s">
        <v>8378</v>
      </c>
      <c r="S114" s="3268"/>
      <c r="T114" s="3268">
        <v>700</v>
      </c>
      <c r="U114" s="3268">
        <v>530</v>
      </c>
      <c r="V114" s="3268">
        <v>1</v>
      </c>
      <c r="W114" s="3679">
        <f>表15[[#This Row],[Sales Amount]]-表15[[#This Row],[Cost]]</f>
        <v>170</v>
      </c>
      <c r="X114" s="3698">
        <f>表15[[#This Row],[Profit]]/表15[[#This Row],[Cost]]</f>
        <v>0.32075471698113206</v>
      </c>
      <c r="Y114" s="3268"/>
      <c r="Z114" s="3270"/>
    </row>
    <row r="115" spans="1:26" s="26" customFormat="1" ht="30">
      <c r="A115" s="3417" t="s">
        <v>2966</v>
      </c>
      <c r="B115" s="4242" t="s">
        <v>8379</v>
      </c>
      <c r="C115" s="4845" t="s">
        <v>28</v>
      </c>
      <c r="D115" s="3262">
        <v>45408</v>
      </c>
      <c r="E115" s="3264">
        <v>45419</v>
      </c>
      <c r="F115" s="3268" t="s">
        <v>45</v>
      </c>
      <c r="G115" s="4908" t="s">
        <v>302</v>
      </c>
      <c r="H115" s="1388" t="s">
        <v>8210</v>
      </c>
      <c r="I115" s="3272" t="s">
        <v>382</v>
      </c>
      <c r="J115" s="4915" t="s">
        <v>382</v>
      </c>
      <c r="K115" s="4915" t="s">
        <v>382</v>
      </c>
      <c r="L115" s="3633" t="s">
        <v>8380</v>
      </c>
      <c r="M115" s="3418">
        <v>45421</v>
      </c>
      <c r="N115" s="3418">
        <v>45421</v>
      </c>
      <c r="O115" s="3069">
        <v>45422</v>
      </c>
      <c r="P115" s="4280" t="s">
        <v>8381</v>
      </c>
      <c r="Q115" s="3714" t="s">
        <v>75</v>
      </c>
      <c r="R115" s="4246" t="s">
        <v>8382</v>
      </c>
      <c r="S115" s="4874" t="s">
        <v>2373</v>
      </c>
      <c r="T115" s="3075"/>
      <c r="U115" s="3075"/>
      <c r="V115" s="3075"/>
      <c r="W115" s="3075"/>
      <c r="X115" s="3075"/>
      <c r="Y115" s="3075"/>
      <c r="Z115" s="3250"/>
    </row>
    <row r="116" spans="1:26" s="26" customFormat="1">
      <c r="A116" s="3235" t="s">
        <v>3343</v>
      </c>
      <c r="B116" s="3275" t="s">
        <v>8383</v>
      </c>
      <c r="C116" s="4839" t="s">
        <v>28</v>
      </c>
      <c r="D116" s="3674">
        <v>45428</v>
      </c>
      <c r="E116" s="3644">
        <v>45438</v>
      </c>
      <c r="F116" s="3275" t="s">
        <v>45</v>
      </c>
      <c r="G116" s="4870" t="s">
        <v>46</v>
      </c>
      <c r="H116" s="912"/>
      <c r="I116" s="3246"/>
      <c r="J116" s="5136" t="s">
        <v>32</v>
      </c>
      <c r="K116" s="4839" t="s">
        <v>47</v>
      </c>
      <c r="L116" s="4249" t="s">
        <v>8384</v>
      </c>
      <c r="M116" s="3682">
        <v>45441</v>
      </c>
      <c r="N116" s="3682">
        <v>45441</v>
      </c>
      <c r="O116" s="3682">
        <v>45444</v>
      </c>
      <c r="P116" s="3283" t="s">
        <v>8385</v>
      </c>
      <c r="Q116" s="3715" t="s">
        <v>6852</v>
      </c>
      <c r="R116" s="3261" t="s">
        <v>36</v>
      </c>
      <c r="S116" s="4870"/>
      <c r="T116" s="3258"/>
      <c r="U116" s="3258"/>
      <c r="V116" s="3258"/>
      <c r="W116" s="3258"/>
      <c r="X116" s="3258"/>
      <c r="Y116" s="3258"/>
      <c r="Z116" s="3259"/>
    </row>
    <row r="117" spans="1:26" s="26" customFormat="1">
      <c r="A117" s="3684" t="s">
        <v>409</v>
      </c>
      <c r="B117" s="3261" t="s">
        <v>8386</v>
      </c>
      <c r="C117" s="4839" t="s">
        <v>28</v>
      </c>
      <c r="D117" s="3674">
        <v>45423</v>
      </c>
      <c r="E117" s="3644">
        <v>45438</v>
      </c>
      <c r="F117" s="3275" t="s">
        <v>151</v>
      </c>
      <c r="G117" s="4839" t="s">
        <v>46</v>
      </c>
      <c r="H117" s="4903"/>
      <c r="I117" s="3258"/>
      <c r="J117" s="5136" t="s">
        <v>32</v>
      </c>
      <c r="K117" s="4839" t="s">
        <v>47</v>
      </c>
      <c r="L117" s="3261" t="s">
        <v>8387</v>
      </c>
      <c r="M117" s="3682">
        <v>45442</v>
      </c>
      <c r="N117" s="3682">
        <v>45442</v>
      </c>
      <c r="O117" s="3682">
        <v>45444</v>
      </c>
      <c r="P117" s="3283" t="s">
        <v>8388</v>
      </c>
      <c r="Q117" s="3715" t="s">
        <v>6852</v>
      </c>
      <c r="R117" s="3261" t="s">
        <v>51</v>
      </c>
      <c r="S117" s="4870"/>
      <c r="T117" s="3258"/>
      <c r="U117" s="3258"/>
      <c r="V117" s="3258"/>
      <c r="W117" s="3258"/>
      <c r="X117" s="3258"/>
      <c r="Y117" s="3258"/>
      <c r="Z117" s="3259"/>
    </row>
    <row r="118" spans="1:26" s="707" customFormat="1">
      <c r="A118" s="3680" t="s">
        <v>1035</v>
      </c>
      <c r="B118" s="3261" t="s">
        <v>8389</v>
      </c>
      <c r="C118" s="4839" t="s">
        <v>28</v>
      </c>
      <c r="D118" s="3674">
        <v>45436</v>
      </c>
      <c r="E118" s="3674">
        <v>45442</v>
      </c>
      <c r="F118" s="3275" t="s">
        <v>151</v>
      </c>
      <c r="G118" s="3275" t="s">
        <v>46</v>
      </c>
      <c r="H118" s="3261" t="s">
        <v>8102</v>
      </c>
      <c r="I118" s="3258"/>
      <c r="J118" s="4854" t="s">
        <v>32</v>
      </c>
      <c r="K118" s="4839" t="s">
        <v>162</v>
      </c>
      <c r="L118" s="3261" t="s">
        <v>8390</v>
      </c>
      <c r="M118" s="3674">
        <v>45450</v>
      </c>
      <c r="N118" s="3261"/>
      <c r="O118" s="3261"/>
      <c r="P118" s="3283" t="s">
        <v>8181</v>
      </c>
      <c r="Q118" s="3715" t="s">
        <v>6852</v>
      </c>
      <c r="R118" s="3284"/>
      <c r="S118" s="3261"/>
      <c r="T118" s="3258"/>
      <c r="U118" s="3258"/>
      <c r="V118" s="3258"/>
      <c r="W118" s="3258"/>
      <c r="X118" s="3258"/>
      <c r="Y118" s="3258"/>
      <c r="Z118" s="3259"/>
    </row>
    <row r="119" spans="1:26" s="106" customFormat="1" ht="45">
      <c r="A119" s="4662" t="s">
        <v>68</v>
      </c>
      <c r="B119" s="4908" t="s">
        <v>8391</v>
      </c>
      <c r="C119" s="4845" t="s">
        <v>28</v>
      </c>
      <c r="D119" s="3262">
        <v>45431</v>
      </c>
      <c r="E119" s="3377">
        <v>45441</v>
      </c>
      <c r="F119" s="4845" t="s">
        <v>45</v>
      </c>
      <c r="G119" s="4845" t="s">
        <v>8298</v>
      </c>
      <c r="H119" s="4918">
        <v>45442</v>
      </c>
      <c r="I119" s="4929" t="s">
        <v>790</v>
      </c>
      <c r="J119" s="4934" t="s">
        <v>490</v>
      </c>
      <c r="K119" s="4915" t="s">
        <v>2671</v>
      </c>
      <c r="L119" s="4242" t="s">
        <v>8392</v>
      </c>
      <c r="M119" s="4906">
        <v>45443</v>
      </c>
      <c r="N119" s="4906">
        <v>45441</v>
      </c>
      <c r="O119" s="4906">
        <v>45442</v>
      </c>
      <c r="P119" s="4829" t="s">
        <v>8393</v>
      </c>
      <c r="Q119" s="4921" t="s">
        <v>75</v>
      </c>
      <c r="R119" s="4321" t="s">
        <v>8394</v>
      </c>
      <c r="S119" s="4921" t="s">
        <v>67</v>
      </c>
      <c r="T119" s="5174">
        <v>1010</v>
      </c>
      <c r="U119" s="5212">
        <f>576.25+75</f>
        <v>651.25</v>
      </c>
      <c r="V119" s="4845">
        <v>1</v>
      </c>
      <c r="W119" s="4845">
        <f>表15[[#This Row],[Sales Amount]]-表15[[#This Row],[Cost]]</f>
        <v>358.75</v>
      </c>
      <c r="X119" s="5060">
        <f>表15[[#This Row],[Profit]]/表15[[#This Row],[Cost]]</f>
        <v>0.55086372360844527</v>
      </c>
      <c r="Y119" s="4921"/>
      <c r="Z119" s="4765"/>
    </row>
    <row r="120" spans="1:26">
      <c r="A120" s="4599" t="s">
        <v>3343</v>
      </c>
      <c r="B120" s="58" t="s">
        <v>8395</v>
      </c>
      <c r="C120" s="4839" t="s">
        <v>28</v>
      </c>
      <c r="D120" s="4897">
        <v>45428</v>
      </c>
      <c r="E120" s="4912">
        <v>45439</v>
      </c>
      <c r="F120" s="4839" t="s">
        <v>45</v>
      </c>
      <c r="G120" s="4870" t="s">
        <v>46</v>
      </c>
      <c r="H120" s="4953"/>
      <c r="I120" s="4861"/>
      <c r="J120" s="1144" t="s">
        <v>32</v>
      </c>
      <c r="K120" s="4839" t="s">
        <v>47</v>
      </c>
      <c r="L120" s="4880" t="s">
        <v>8396</v>
      </c>
      <c r="M120" s="4877">
        <v>45444</v>
      </c>
      <c r="N120" s="4877">
        <v>45444</v>
      </c>
      <c r="O120" s="4877">
        <v>45446</v>
      </c>
      <c r="P120" s="4871" t="s">
        <v>8397</v>
      </c>
      <c r="Q120" s="5128" t="s">
        <v>6852</v>
      </c>
      <c r="R120" s="4870" t="s">
        <v>36</v>
      </c>
      <c r="S120" s="4870"/>
      <c r="T120" s="4882"/>
      <c r="U120" s="4882"/>
      <c r="V120" s="4882"/>
      <c r="W120" s="4882"/>
      <c r="X120" s="4882"/>
      <c r="Y120" s="4882"/>
      <c r="Z120" s="5055"/>
    </row>
    <row r="121" spans="1:26">
      <c r="A121" s="4622" t="s">
        <v>7885</v>
      </c>
      <c r="B121" s="3384" t="s">
        <v>8398</v>
      </c>
      <c r="C121" s="4996" t="s">
        <v>1508</v>
      </c>
      <c r="D121" s="5517"/>
      <c r="E121" s="5010">
        <v>45425</v>
      </c>
      <c r="F121" s="4996" t="s">
        <v>738</v>
      </c>
      <c r="G121" s="4996" t="s">
        <v>738</v>
      </c>
      <c r="H121" s="4997"/>
      <c r="I121" s="4911"/>
      <c r="J121" s="1456" t="s">
        <v>738</v>
      </c>
      <c r="K121" s="4996" t="s">
        <v>7907</v>
      </c>
      <c r="L121" s="5031"/>
      <c r="M121" s="5518"/>
      <c r="N121" s="5518">
        <v>45425</v>
      </c>
      <c r="O121" s="5518"/>
      <c r="P121" s="1721" t="s">
        <v>8399</v>
      </c>
      <c r="Q121" s="5519" t="s">
        <v>50</v>
      </c>
      <c r="R121" s="5031" t="s">
        <v>51</v>
      </c>
      <c r="S121" s="5031"/>
      <c r="T121" s="5007"/>
      <c r="U121" s="5007"/>
      <c r="V121" s="5007"/>
      <c r="W121" s="5007"/>
      <c r="X121" s="5007"/>
      <c r="Y121" s="5007"/>
      <c r="Z121" s="5458"/>
    </row>
    <row r="122" spans="1:26" s="709" customFormat="1">
      <c r="A122" s="4656" t="s">
        <v>409</v>
      </c>
      <c r="B122" s="4839" t="s">
        <v>8400</v>
      </c>
      <c r="C122" s="4839" t="s">
        <v>28</v>
      </c>
      <c r="D122" s="5520">
        <v>45437</v>
      </c>
      <c r="E122" s="4912">
        <v>45447</v>
      </c>
      <c r="F122" s="4839" t="s">
        <v>151</v>
      </c>
      <c r="G122" s="4839" t="s">
        <v>46</v>
      </c>
      <c r="H122" s="5406"/>
      <c r="I122" s="5277"/>
      <c r="J122" s="4841" t="s">
        <v>32</v>
      </c>
      <c r="K122" s="4841" t="s">
        <v>47</v>
      </c>
      <c r="L122" s="4943" t="s">
        <v>8401</v>
      </c>
      <c r="M122" s="4877">
        <v>45449</v>
      </c>
      <c r="N122" s="4877">
        <v>45449</v>
      </c>
      <c r="O122" s="4877">
        <v>45451</v>
      </c>
      <c r="P122" s="4871" t="s">
        <v>8402</v>
      </c>
      <c r="Q122" s="5128" t="s">
        <v>6852</v>
      </c>
      <c r="R122" s="4870" t="s">
        <v>534</v>
      </c>
      <c r="S122" s="4870"/>
      <c r="T122" s="4882"/>
      <c r="U122" s="4882"/>
      <c r="V122" s="4882"/>
      <c r="W122" s="4882"/>
      <c r="X122" s="5384"/>
      <c r="Y122" s="4882"/>
      <c r="Z122" s="5055"/>
    </row>
    <row r="123" spans="1:26">
      <c r="A123" s="4663" t="s">
        <v>409</v>
      </c>
      <c r="B123" s="4870" t="s">
        <v>8403</v>
      </c>
      <c r="C123" s="4839" t="s">
        <v>28</v>
      </c>
      <c r="D123" s="4897">
        <v>45428</v>
      </c>
      <c r="E123" s="4912">
        <v>45439</v>
      </c>
      <c r="F123" s="4839" t="s">
        <v>151</v>
      </c>
      <c r="G123" s="4839" t="s">
        <v>46</v>
      </c>
      <c r="H123" s="1635"/>
      <c r="I123" s="4882"/>
      <c r="J123" s="5136" t="s">
        <v>32</v>
      </c>
      <c r="K123" s="4839" t="s">
        <v>47</v>
      </c>
      <c r="L123" s="4880" t="s">
        <v>8404</v>
      </c>
      <c r="M123" s="4877">
        <v>45444</v>
      </c>
      <c r="N123" s="4877">
        <v>45444</v>
      </c>
      <c r="O123" s="4877">
        <v>45445</v>
      </c>
      <c r="P123" s="4871" t="s">
        <v>8405</v>
      </c>
      <c r="Q123" s="5128" t="s">
        <v>6852</v>
      </c>
      <c r="R123" s="4870" t="s">
        <v>51</v>
      </c>
      <c r="S123" s="4870"/>
      <c r="T123" s="4882"/>
      <c r="U123" s="4882"/>
      <c r="V123" s="4882"/>
      <c r="W123" s="4882"/>
      <c r="X123" s="4882"/>
      <c r="Y123" s="4882"/>
      <c r="Z123" s="5055"/>
    </row>
    <row r="124" spans="1:26" s="106" customFormat="1" ht="30">
      <c r="A124" s="4622" t="s">
        <v>7885</v>
      </c>
      <c r="B124" s="4996" t="s">
        <v>8406</v>
      </c>
      <c r="C124" s="4996" t="s">
        <v>1508</v>
      </c>
      <c r="D124" s="5517"/>
      <c r="E124" s="5521">
        <v>45425</v>
      </c>
      <c r="F124" s="4996" t="s">
        <v>738</v>
      </c>
      <c r="G124" s="4996" t="s">
        <v>738</v>
      </c>
      <c r="H124" s="4997">
        <v>45425</v>
      </c>
      <c r="I124" s="4911" t="s">
        <v>2026</v>
      </c>
      <c r="J124" s="4996" t="s">
        <v>738</v>
      </c>
      <c r="K124" s="4996" t="s">
        <v>7907</v>
      </c>
      <c r="L124" s="5031"/>
      <c r="M124" s="5518"/>
      <c r="N124" s="5518">
        <v>45425</v>
      </c>
      <c r="O124" s="5518"/>
      <c r="P124" s="5013" t="s">
        <v>8407</v>
      </c>
      <c r="Q124" s="5519" t="s">
        <v>50</v>
      </c>
      <c r="R124" s="5031" t="s">
        <v>51</v>
      </c>
      <c r="S124" s="5031"/>
      <c r="T124" s="5007"/>
      <c r="U124" s="5007"/>
      <c r="V124" s="5007"/>
      <c r="W124" s="5007"/>
      <c r="X124" s="5007"/>
      <c r="Y124" s="5007"/>
      <c r="Z124" s="5458"/>
    </row>
    <row r="125" spans="1:26" s="106" customFormat="1" ht="135">
      <c r="A125" s="4662" t="s">
        <v>7362</v>
      </c>
      <c r="B125" s="4908" t="s">
        <v>8408</v>
      </c>
      <c r="C125" s="4908" t="s">
        <v>28</v>
      </c>
      <c r="D125" s="4906">
        <v>45425</v>
      </c>
      <c r="E125" s="4916">
        <v>45425</v>
      </c>
      <c r="F125" s="4908" t="s">
        <v>98</v>
      </c>
      <c r="G125" s="4908" t="s">
        <v>3915</v>
      </c>
      <c r="H125" s="4961" t="s">
        <v>8409</v>
      </c>
      <c r="I125" s="4845"/>
      <c r="J125" s="5243" t="s">
        <v>125</v>
      </c>
      <c r="K125" s="4908" t="s">
        <v>8410</v>
      </c>
      <c r="L125" s="4845"/>
      <c r="M125" s="4906">
        <v>45432</v>
      </c>
      <c r="N125" s="4906">
        <v>45427</v>
      </c>
      <c r="O125" s="4906">
        <v>45428</v>
      </c>
      <c r="P125" s="4909" t="s">
        <v>8411</v>
      </c>
      <c r="Q125" s="5065" t="s">
        <v>75</v>
      </c>
      <c r="R125" s="4908" t="s">
        <v>8412</v>
      </c>
      <c r="S125" s="4845"/>
      <c r="T125" s="4845"/>
      <c r="U125" s="4845"/>
      <c r="V125" s="4845"/>
      <c r="W125" s="4845"/>
      <c r="X125" s="4845"/>
      <c r="Y125" s="4845"/>
      <c r="Z125" s="5056"/>
    </row>
    <row r="126" spans="1:26" s="106" customFormat="1" ht="45">
      <c r="A126" s="4664" t="s">
        <v>165</v>
      </c>
      <c r="B126" s="4845" t="s">
        <v>8413</v>
      </c>
      <c r="C126" s="4908" t="s">
        <v>200</v>
      </c>
      <c r="D126" s="4906">
        <v>45424</v>
      </c>
      <c r="E126" s="4916">
        <v>45434</v>
      </c>
      <c r="F126" s="4908" t="s">
        <v>167</v>
      </c>
      <c r="G126" s="4908" t="s">
        <v>302</v>
      </c>
      <c r="H126" s="4918">
        <v>45437</v>
      </c>
      <c r="I126" s="5506" t="s">
        <v>672</v>
      </c>
      <c r="J126" s="5243" t="s">
        <v>32</v>
      </c>
      <c r="K126" s="4908" t="s">
        <v>2013</v>
      </c>
      <c r="L126" s="845" t="s">
        <v>8414</v>
      </c>
      <c r="M126" s="4918">
        <v>45437</v>
      </c>
      <c r="N126" s="4906">
        <v>45436</v>
      </c>
      <c r="O126" s="4906">
        <v>45437</v>
      </c>
      <c r="P126" s="4909" t="s">
        <v>8222</v>
      </c>
      <c r="Q126" s="4845" t="s">
        <v>75</v>
      </c>
      <c r="R126" s="4845" t="s">
        <v>8415</v>
      </c>
      <c r="S126" s="4845"/>
      <c r="T126" s="4845">
        <v>1150</v>
      </c>
      <c r="U126" s="4845">
        <v>919</v>
      </c>
      <c r="V126" s="4845">
        <v>1</v>
      </c>
      <c r="W126" s="4845">
        <f>表15[[#This Row],[Sales Amount]]-表15[[#This Row],[Cost]]</f>
        <v>231</v>
      </c>
      <c r="X126" s="5060">
        <f>表15[[#This Row],[Profit]]/表15[[#This Row],[Cost]]</f>
        <v>0.25136017410228512</v>
      </c>
      <c r="Y126" s="4845"/>
      <c r="Z126" s="5056"/>
    </row>
    <row r="127" spans="1:26" s="106" customFormat="1">
      <c r="A127" s="4599" t="s">
        <v>7885</v>
      </c>
      <c r="B127" s="4839" t="s">
        <v>8416</v>
      </c>
      <c r="C127" s="4839" t="s">
        <v>1508</v>
      </c>
      <c r="D127" s="4897"/>
      <c r="E127" s="4897"/>
      <c r="F127" s="4839" t="s">
        <v>738</v>
      </c>
      <c r="G127" s="4839" t="s">
        <v>738</v>
      </c>
      <c r="H127" s="4953"/>
      <c r="I127" s="4861"/>
      <c r="J127" s="4839" t="s">
        <v>738</v>
      </c>
      <c r="K127" s="4839" t="s">
        <v>7907</v>
      </c>
      <c r="L127" s="4870"/>
      <c r="M127" s="4877"/>
      <c r="N127" s="4877">
        <v>45436</v>
      </c>
      <c r="O127" s="4877"/>
      <c r="P127" s="4871" t="s">
        <v>8417</v>
      </c>
      <c r="Q127" s="5128" t="s">
        <v>50</v>
      </c>
      <c r="R127" s="4870" t="s">
        <v>51</v>
      </c>
      <c r="S127" s="4870"/>
      <c r="T127" s="4882"/>
      <c r="U127" s="4882"/>
      <c r="V127" s="4882"/>
      <c r="W127" s="4882"/>
      <c r="X127" s="4882"/>
      <c r="Y127" s="4882"/>
      <c r="Z127" s="5055"/>
    </row>
    <row r="128" spans="1:26" s="106" customFormat="1">
      <c r="A128" s="4599" t="s">
        <v>409</v>
      </c>
      <c r="B128" s="4839" t="s">
        <v>8418</v>
      </c>
      <c r="C128" s="4839" t="s">
        <v>28</v>
      </c>
      <c r="D128" s="4897">
        <v>45439</v>
      </c>
      <c r="E128" s="4912">
        <v>45449</v>
      </c>
      <c r="F128" s="4839" t="s">
        <v>260</v>
      </c>
      <c r="G128" s="4852" t="s">
        <v>46</v>
      </c>
      <c r="H128" s="4953"/>
      <c r="I128" s="4861"/>
      <c r="J128" s="4841" t="s">
        <v>32</v>
      </c>
      <c r="K128" s="4839" t="s">
        <v>47</v>
      </c>
      <c r="L128" s="4943" t="s">
        <v>8419</v>
      </c>
      <c r="M128" s="4877">
        <v>45449</v>
      </c>
      <c r="N128" s="4877">
        <v>45447</v>
      </c>
      <c r="O128" s="4877">
        <v>45449</v>
      </c>
      <c r="P128" s="1019" t="s">
        <v>8420</v>
      </c>
      <c r="Q128" s="5128" t="s">
        <v>6852</v>
      </c>
      <c r="R128" s="4870" t="s">
        <v>534</v>
      </c>
      <c r="S128" s="4870"/>
      <c r="T128" s="4882"/>
      <c r="U128" s="4882"/>
      <c r="V128" s="4882"/>
      <c r="W128" s="4882"/>
      <c r="X128" s="4882"/>
      <c r="Y128" s="4882"/>
      <c r="Z128" s="5055"/>
    </row>
    <row r="129" spans="1:26" s="709" customFormat="1">
      <c r="A129" s="4870" t="s">
        <v>4277</v>
      </c>
      <c r="B129" s="4870" t="s">
        <v>8421</v>
      </c>
      <c r="C129" s="4839" t="s">
        <v>28</v>
      </c>
      <c r="D129" s="4897">
        <v>45422</v>
      </c>
      <c r="E129" s="4912">
        <v>45438</v>
      </c>
      <c r="F129" s="4839" t="s">
        <v>45</v>
      </c>
      <c r="G129" s="4839" t="s">
        <v>46</v>
      </c>
      <c r="H129" s="4882"/>
      <c r="I129" s="4882"/>
      <c r="J129" s="5136" t="s">
        <v>32</v>
      </c>
      <c r="K129" s="4839" t="s">
        <v>47</v>
      </c>
      <c r="L129" s="4161" t="s">
        <v>8422</v>
      </c>
      <c r="M129" s="4897">
        <v>45441</v>
      </c>
      <c r="N129" s="4897">
        <v>45440</v>
      </c>
      <c r="O129" s="4897">
        <v>45441</v>
      </c>
      <c r="P129" s="4871" t="s">
        <v>8423</v>
      </c>
      <c r="Q129" s="5128" t="s">
        <v>6852</v>
      </c>
      <c r="R129" s="4870" t="s">
        <v>36</v>
      </c>
      <c r="S129" s="4870"/>
      <c r="T129" s="4882"/>
      <c r="U129" s="4882"/>
      <c r="V129" s="4882"/>
      <c r="W129" s="4882"/>
      <c r="X129" s="4882"/>
      <c r="Y129" s="4882"/>
      <c r="Z129" s="5055"/>
    </row>
    <row r="130" spans="1:26" s="709" customFormat="1">
      <c r="A130" s="4663" t="s">
        <v>4277</v>
      </c>
      <c r="B130" s="1" t="s">
        <v>8424</v>
      </c>
      <c r="C130" s="4839" t="s">
        <v>28</v>
      </c>
      <c r="D130" s="4897">
        <v>45414</v>
      </c>
      <c r="E130" s="4912">
        <v>45425</v>
      </c>
      <c r="F130" s="4839" t="s">
        <v>45</v>
      </c>
      <c r="G130" s="4870" t="s">
        <v>46</v>
      </c>
      <c r="H130" s="4882"/>
      <c r="I130" s="4882"/>
      <c r="J130" s="913" t="s">
        <v>32</v>
      </c>
      <c r="K130" s="4841" t="s">
        <v>47</v>
      </c>
      <c r="L130" s="4869" t="s">
        <v>8425</v>
      </c>
      <c r="M130" s="4897">
        <v>45428</v>
      </c>
      <c r="N130" s="4897">
        <v>45427</v>
      </c>
      <c r="O130" s="4897">
        <v>45429</v>
      </c>
      <c r="P130" s="4871" t="s">
        <v>8426</v>
      </c>
      <c r="Q130" s="4870" t="s">
        <v>6852</v>
      </c>
      <c r="R130" s="4870" t="s">
        <v>51</v>
      </c>
      <c r="S130" s="4870"/>
      <c r="T130" s="4882"/>
      <c r="U130" s="4882"/>
      <c r="V130" s="4882"/>
      <c r="W130" s="4882"/>
      <c r="X130" s="4882"/>
      <c r="Y130" s="4882"/>
      <c r="Z130" s="5055"/>
    </row>
    <row r="131" spans="1:26" s="1350" customFormat="1">
      <c r="A131" s="4663" t="s">
        <v>8244</v>
      </c>
      <c r="B131" s="4839" t="s">
        <v>8427</v>
      </c>
      <c r="C131" s="4839" t="s">
        <v>28</v>
      </c>
      <c r="D131" s="4897">
        <v>45418</v>
      </c>
      <c r="E131" s="4912">
        <v>45451</v>
      </c>
      <c r="F131" s="4839" t="s">
        <v>98</v>
      </c>
      <c r="G131" s="4870" t="s">
        <v>46</v>
      </c>
      <c r="H131" s="5053" t="s">
        <v>844</v>
      </c>
      <c r="I131" s="709"/>
      <c r="J131" s="913" t="s">
        <v>32</v>
      </c>
      <c r="K131" s="4839" t="s">
        <v>8246</v>
      </c>
      <c r="L131" s="2841" t="s">
        <v>8428</v>
      </c>
      <c r="M131" s="4877"/>
      <c r="N131" s="4877">
        <v>45452</v>
      </c>
      <c r="O131" s="4877"/>
      <c r="P131" s="4871" t="s">
        <v>8429</v>
      </c>
      <c r="Q131" s="5128" t="s">
        <v>50</v>
      </c>
      <c r="R131" s="4870" t="s">
        <v>51</v>
      </c>
      <c r="S131" s="4870"/>
      <c r="T131" s="4882"/>
      <c r="U131" s="4882"/>
      <c r="V131" s="4882"/>
      <c r="W131" s="4882"/>
      <c r="X131" s="4882"/>
      <c r="Y131" s="4882"/>
      <c r="Z131" s="5055"/>
    </row>
    <row r="132" spans="1:26" s="117" customFormat="1">
      <c r="A132" s="4599" t="s">
        <v>409</v>
      </c>
      <c r="B132" s="4839" t="s">
        <v>8430</v>
      </c>
      <c r="C132" s="4839" t="s">
        <v>28</v>
      </c>
      <c r="D132" s="4897">
        <v>45439</v>
      </c>
      <c r="E132" s="4912">
        <v>45446</v>
      </c>
      <c r="F132" s="4839" t="s">
        <v>260</v>
      </c>
      <c r="G132" s="4852" t="s">
        <v>46</v>
      </c>
      <c r="H132" s="4953"/>
      <c r="I132" s="709"/>
      <c r="J132" s="4841" t="s">
        <v>32</v>
      </c>
      <c r="K132" s="4839" t="s">
        <v>47</v>
      </c>
      <c r="L132" s="1" t="s">
        <v>8431</v>
      </c>
      <c r="M132" s="4877">
        <v>45449</v>
      </c>
      <c r="N132" s="4877">
        <v>45448</v>
      </c>
      <c r="O132" s="4877">
        <v>45450</v>
      </c>
      <c r="P132" s="4871" t="s">
        <v>8432</v>
      </c>
      <c r="Q132" s="5128" t="s">
        <v>6852</v>
      </c>
      <c r="R132" s="4870" t="s">
        <v>534</v>
      </c>
      <c r="S132" s="4870"/>
      <c r="T132" s="4882"/>
      <c r="U132" s="4882"/>
      <c r="V132" s="4882"/>
      <c r="W132" s="4882"/>
      <c r="X132" s="4882"/>
      <c r="Y132" s="4882"/>
      <c r="Z132" s="5055"/>
    </row>
    <row r="133" spans="1:26" s="117" customFormat="1">
      <c r="A133" s="4599" t="s">
        <v>7885</v>
      </c>
      <c r="B133" s="58" t="s">
        <v>8433</v>
      </c>
      <c r="C133" s="4839" t="s">
        <v>1508</v>
      </c>
      <c r="D133" s="4897"/>
      <c r="E133" s="4897"/>
      <c r="F133" s="4839" t="s">
        <v>738</v>
      </c>
      <c r="G133" s="4839" t="s">
        <v>738</v>
      </c>
      <c r="H133" s="4953"/>
      <c r="I133" s="709"/>
      <c r="J133" s="4839" t="s">
        <v>738</v>
      </c>
      <c r="K133" s="4839" t="s">
        <v>7907</v>
      </c>
      <c r="L133" s="4870"/>
      <c r="M133" s="4877"/>
      <c r="N133" s="4877">
        <v>45436</v>
      </c>
      <c r="O133" s="4877"/>
      <c r="P133" s="4871" t="s">
        <v>8434</v>
      </c>
      <c r="Q133" s="5128" t="s">
        <v>50</v>
      </c>
      <c r="R133" s="4870" t="s">
        <v>51</v>
      </c>
      <c r="S133" s="4870"/>
      <c r="T133" s="4882"/>
      <c r="U133" s="4882"/>
      <c r="V133" s="4882"/>
      <c r="W133" s="4882"/>
      <c r="X133" s="4882"/>
      <c r="Y133" s="4882"/>
      <c r="Z133" s="5055"/>
    </row>
    <row r="134" spans="1:26" s="117" customFormat="1">
      <c r="A134" s="4663" t="s">
        <v>409</v>
      </c>
      <c r="B134" s="4870" t="s">
        <v>8435</v>
      </c>
      <c r="C134" s="4839" t="s">
        <v>28</v>
      </c>
      <c r="D134" s="4897">
        <v>45428</v>
      </c>
      <c r="E134" s="4912">
        <v>45444</v>
      </c>
      <c r="F134" s="4839" t="s">
        <v>151</v>
      </c>
      <c r="G134" s="4839" t="s">
        <v>46</v>
      </c>
      <c r="H134" s="4903"/>
      <c r="I134" s="707"/>
      <c r="J134" s="5136" t="s">
        <v>32</v>
      </c>
      <c r="K134" s="4839" t="s">
        <v>47</v>
      </c>
      <c r="L134" s="1" t="s">
        <v>8436</v>
      </c>
      <c r="M134" s="4877">
        <v>45446</v>
      </c>
      <c r="N134" s="4877">
        <v>45446</v>
      </c>
      <c r="O134" s="4877">
        <v>45447</v>
      </c>
      <c r="P134" s="4871" t="s">
        <v>8437</v>
      </c>
      <c r="Q134" s="5128" t="s">
        <v>6852</v>
      </c>
      <c r="R134" s="1" t="s">
        <v>51</v>
      </c>
      <c r="S134" s="4870"/>
      <c r="T134" s="4882"/>
      <c r="U134" s="4882"/>
      <c r="V134" s="4882"/>
      <c r="W134" s="4882"/>
      <c r="X134" s="4882"/>
      <c r="Y134" s="4882"/>
      <c r="Z134" s="5055"/>
    </row>
    <row r="135" spans="1:26" s="117" customFormat="1">
      <c r="A135" s="4665"/>
      <c r="B135" s="5483"/>
      <c r="C135" s="5483"/>
      <c r="D135" s="5522"/>
      <c r="E135" s="5522"/>
      <c r="F135" s="5483"/>
      <c r="G135" s="5483"/>
      <c r="H135" s="5390"/>
      <c r="I135" s="52"/>
      <c r="J135" s="5283"/>
      <c r="K135" s="5483"/>
      <c r="L135"/>
      <c r="M135" s="5523"/>
      <c r="N135" s="5523"/>
      <c r="O135" s="5523"/>
      <c r="P135" s="5524"/>
      <c r="Q135" s="5525"/>
      <c r="R135" s="4892"/>
      <c r="S135" s="4892"/>
      <c r="T135" s="4892"/>
      <c r="U135" s="4892"/>
      <c r="V135" s="4892"/>
      <c r="W135" s="4892"/>
      <c r="X135" s="4892"/>
      <c r="Y135" s="4892"/>
      <c r="Z135" s="5526"/>
    </row>
    <row r="136" spans="1:26" s="117" customFormat="1" ht="45">
      <c r="A136" s="4664" t="s">
        <v>165</v>
      </c>
      <c r="B136" s="117" t="s">
        <v>8438</v>
      </c>
      <c r="C136" s="4908" t="s">
        <v>200</v>
      </c>
      <c r="D136" s="4906">
        <v>45424</v>
      </c>
      <c r="E136" s="4916">
        <v>45434</v>
      </c>
      <c r="F136" s="4908" t="s">
        <v>167</v>
      </c>
      <c r="G136" s="4908" t="s">
        <v>302</v>
      </c>
      <c r="H136" s="4918">
        <v>45436</v>
      </c>
      <c r="I136" s="1565" t="s">
        <v>672</v>
      </c>
      <c r="J136" s="5243" t="s">
        <v>32</v>
      </c>
      <c r="K136" s="4908" t="s">
        <v>2013</v>
      </c>
      <c r="L136" s="845" t="s">
        <v>8439</v>
      </c>
      <c r="M136" s="4918">
        <v>45437</v>
      </c>
      <c r="N136" s="4906">
        <v>45435</v>
      </c>
      <c r="O136" s="4906">
        <v>45436</v>
      </c>
      <c r="P136" s="4909" t="s">
        <v>8222</v>
      </c>
      <c r="Q136" s="4845" t="s">
        <v>75</v>
      </c>
      <c r="R136" s="117" t="s">
        <v>8440</v>
      </c>
      <c r="S136" s="4845"/>
      <c r="T136" s="4845">
        <v>1150</v>
      </c>
      <c r="U136" s="4845">
        <v>919</v>
      </c>
      <c r="V136" s="4845">
        <v>1</v>
      </c>
      <c r="W136" s="4845">
        <f>表15[[#This Row],[Sales Amount]]-表15[[#This Row],[Cost]]</f>
        <v>231</v>
      </c>
      <c r="X136" s="3269">
        <f>表15[[#This Row],[Profit]]/表15[[#This Row],[Cost]]</f>
        <v>0.25136017410228512</v>
      </c>
      <c r="Y136" s="4845"/>
      <c r="Z136" s="5056"/>
    </row>
    <row r="137" spans="1:26">
      <c r="A137" s="4663" t="s">
        <v>4277</v>
      </c>
      <c r="B137" s="4870" t="s">
        <v>8441</v>
      </c>
      <c r="C137" s="4839" t="s">
        <v>28</v>
      </c>
      <c r="D137" s="4897">
        <v>45422</v>
      </c>
      <c r="E137" s="4912">
        <v>45438</v>
      </c>
      <c r="F137" s="4839" t="s">
        <v>45</v>
      </c>
      <c r="G137" s="4839" t="s">
        <v>46</v>
      </c>
      <c r="H137" s="4882"/>
      <c r="I137" s="4882"/>
      <c r="J137" s="5136" t="s">
        <v>32</v>
      </c>
      <c r="K137" s="4839" t="s">
        <v>47</v>
      </c>
      <c r="L137" s="4880" t="s">
        <v>8442</v>
      </c>
      <c r="M137" s="4897">
        <v>45441</v>
      </c>
      <c r="N137" s="4897">
        <v>45441</v>
      </c>
      <c r="O137" s="4897">
        <v>45442</v>
      </c>
      <c r="P137" s="4871" t="s">
        <v>8443</v>
      </c>
      <c r="Q137" s="5128" t="s">
        <v>6852</v>
      </c>
      <c r="R137" s="4870" t="s">
        <v>36</v>
      </c>
      <c r="S137" s="4870"/>
      <c r="T137" s="4882"/>
      <c r="U137" s="4882"/>
      <c r="V137" s="4882"/>
      <c r="W137" s="4882"/>
      <c r="X137" s="4882"/>
      <c r="Y137" s="4882"/>
      <c r="Z137" s="5055"/>
    </row>
    <row r="138" spans="1:26">
      <c r="A138" s="4663" t="s">
        <v>409</v>
      </c>
      <c r="B138" s="4870" t="s">
        <v>8444</v>
      </c>
      <c r="C138" s="4839" t="s">
        <v>28</v>
      </c>
      <c r="D138" s="4897">
        <v>45425</v>
      </c>
      <c r="E138" s="4912">
        <v>45433</v>
      </c>
      <c r="F138" s="4839" t="s">
        <v>260</v>
      </c>
      <c r="G138" s="4839" t="s">
        <v>46</v>
      </c>
      <c r="H138" s="4903"/>
      <c r="I138" s="4882"/>
      <c r="J138" s="913" t="s">
        <v>32</v>
      </c>
      <c r="K138" s="4839" t="s">
        <v>47</v>
      </c>
      <c r="L138" s="4870" t="s">
        <v>8445</v>
      </c>
      <c r="M138" s="4877">
        <v>45434</v>
      </c>
      <c r="N138" s="4877">
        <v>45433</v>
      </c>
      <c r="O138" s="4877">
        <v>45434</v>
      </c>
      <c r="P138" s="4871" t="s">
        <v>8446</v>
      </c>
      <c r="Q138" s="5128" t="s">
        <v>6852</v>
      </c>
      <c r="R138" s="4870" t="s">
        <v>8447</v>
      </c>
      <c r="S138" s="4870"/>
      <c r="T138" s="4882"/>
      <c r="U138" s="4882"/>
      <c r="V138" s="4882"/>
      <c r="W138" s="4882"/>
      <c r="X138" s="4882"/>
      <c r="Y138" s="4882"/>
      <c r="Z138" s="5055"/>
    </row>
    <row r="139" spans="1:26" s="106" customFormat="1">
      <c r="A139" s="3684" t="s">
        <v>3866</v>
      </c>
      <c r="B139" s="3261" t="s">
        <v>8448</v>
      </c>
      <c r="C139" s="3275" t="s">
        <v>28</v>
      </c>
      <c r="D139" s="4897">
        <v>45422</v>
      </c>
      <c r="E139" s="4912">
        <v>45438</v>
      </c>
      <c r="F139" s="3275" t="s">
        <v>45</v>
      </c>
      <c r="G139" s="3275" t="s">
        <v>46</v>
      </c>
      <c r="H139" s="3258"/>
      <c r="I139" s="3258"/>
      <c r="J139" s="3331" t="s">
        <v>32</v>
      </c>
      <c r="K139" s="3275" t="s">
        <v>47</v>
      </c>
      <c r="L139" s="4249" t="s">
        <v>8449</v>
      </c>
      <c r="M139" s="3682">
        <v>45441</v>
      </c>
      <c r="N139" s="3674">
        <v>45441</v>
      </c>
      <c r="O139" s="3674">
        <v>45445</v>
      </c>
      <c r="P139" s="3283" t="s">
        <v>8450</v>
      </c>
      <c r="Q139" s="3715" t="s">
        <v>6852</v>
      </c>
      <c r="R139" s="3261" t="s">
        <v>36</v>
      </c>
      <c r="S139" s="4870"/>
      <c r="T139" s="3258"/>
      <c r="U139" s="3258"/>
      <c r="V139" s="3258"/>
      <c r="W139" s="3258"/>
      <c r="X139" s="3258"/>
      <c r="Y139" s="3258"/>
      <c r="Z139" s="3259"/>
    </row>
    <row r="140" spans="1:26" s="707" customFormat="1">
      <c r="A140" s="3527" t="s">
        <v>7678</v>
      </c>
      <c r="B140" s="58" t="s">
        <v>8451</v>
      </c>
      <c r="C140" s="3275" t="s">
        <v>28</v>
      </c>
      <c r="D140" s="3674">
        <v>45431</v>
      </c>
      <c r="E140" s="3674">
        <v>45431</v>
      </c>
      <c r="F140" s="3275" t="s">
        <v>173</v>
      </c>
      <c r="G140" s="3275" t="s">
        <v>7692</v>
      </c>
      <c r="H140" s="3261" t="s">
        <v>8102</v>
      </c>
      <c r="I140" s="3275"/>
      <c r="J140" s="4854"/>
      <c r="K140" s="4839" t="s">
        <v>382</v>
      </c>
      <c r="L140" s="1" t="s">
        <v>382</v>
      </c>
      <c r="M140" s="3674">
        <v>45435</v>
      </c>
      <c r="N140" s="3674">
        <v>45434</v>
      </c>
      <c r="O140" s="3674">
        <v>45435</v>
      </c>
      <c r="P140" s="4334" t="s">
        <v>8452</v>
      </c>
      <c r="Q140" s="3715" t="s">
        <v>6852</v>
      </c>
      <c r="R140" s="3284" t="s">
        <v>8342</v>
      </c>
      <c r="S140" s="3261" t="s">
        <v>2373</v>
      </c>
      <c r="T140" s="3258"/>
      <c r="U140" s="3258"/>
      <c r="V140" s="3258"/>
      <c r="W140" s="3258"/>
      <c r="X140" s="3258"/>
      <c r="Y140" s="3258"/>
      <c r="Z140" s="3259"/>
    </row>
    <row r="141" spans="1:26" s="507" customFormat="1">
      <c r="A141" s="3417" t="s">
        <v>622</v>
      </c>
      <c r="B141" s="4246" t="s">
        <v>8453</v>
      </c>
      <c r="C141" s="4242" t="s">
        <v>28</v>
      </c>
      <c r="D141" s="3262">
        <v>45425</v>
      </c>
      <c r="E141" s="3264">
        <v>45437</v>
      </c>
      <c r="F141" s="3268" t="s">
        <v>45</v>
      </c>
      <c r="G141" s="4242" t="s">
        <v>801</v>
      </c>
      <c r="H141" s="3262">
        <v>45441</v>
      </c>
      <c r="I141" s="3268"/>
      <c r="J141" s="4242" t="s">
        <v>32</v>
      </c>
      <c r="K141" s="3272" t="s">
        <v>1445</v>
      </c>
      <c r="L141" s="4246">
        <v>170334</v>
      </c>
      <c r="M141" s="822">
        <v>45441</v>
      </c>
      <c r="N141" s="3262">
        <v>45441</v>
      </c>
      <c r="O141" s="3262">
        <v>45441</v>
      </c>
      <c r="P141" s="4246" t="s">
        <v>8454</v>
      </c>
      <c r="Q141" s="3678" t="s">
        <v>75</v>
      </c>
      <c r="R141" s="3" t="s">
        <v>8455</v>
      </c>
      <c r="S141" s="3268" t="s">
        <v>67</v>
      </c>
      <c r="T141" s="3268">
        <v>5380</v>
      </c>
      <c r="U141" s="3268">
        <f>50+75+4470.7+550</f>
        <v>5145.7</v>
      </c>
      <c r="V141" s="4845">
        <v>1</v>
      </c>
      <c r="W141" s="4845">
        <f>表15[[#This Row],[Sales Amount]]-表15[[#This Row],[Cost]]</f>
        <v>234.30000000000018</v>
      </c>
      <c r="X141" s="5060">
        <f>表15[[#This Row],[Profit]]/表15[[#This Row],[Cost]]</f>
        <v>4.5533163612336551E-2</v>
      </c>
      <c r="Y141" s="4845"/>
      <c r="Z141" s="3270"/>
    </row>
    <row r="142" spans="1:26">
      <c r="A142" s="5173"/>
      <c r="B142" s="4148"/>
      <c r="C142" s="4377"/>
      <c r="D142" s="5390"/>
      <c r="E142" s="5390"/>
      <c r="F142" s="5483"/>
      <c r="G142" s="5527"/>
      <c r="H142" s="5390"/>
      <c r="I142" s="5283"/>
      <c r="J142" s="5483"/>
      <c r="K142" s="5483"/>
      <c r="L142" s="4892"/>
      <c r="M142" s="5523"/>
      <c r="N142" s="5523"/>
      <c r="O142" s="5523"/>
      <c r="P142" s="5524"/>
      <c r="Q142" s="5283"/>
      <c r="R142" s="4892"/>
      <c r="S142" s="4892"/>
      <c r="T142" s="4892"/>
      <c r="U142" s="4892"/>
      <c r="V142" s="4892"/>
      <c r="W142" s="4892"/>
      <c r="X142" s="4892"/>
      <c r="Y142" s="4892"/>
      <c r="Z142" s="2774"/>
    </row>
    <row r="143" spans="1:26" s="36" customFormat="1" ht="30">
      <c r="A143" s="4915" t="s">
        <v>8311</v>
      </c>
      <c r="B143" s="4908" t="s">
        <v>8456</v>
      </c>
      <c r="C143" s="4845" t="s">
        <v>28</v>
      </c>
      <c r="D143" s="4906">
        <v>45432</v>
      </c>
      <c r="E143" s="4916">
        <v>45432</v>
      </c>
      <c r="F143" s="4845" t="s">
        <v>167</v>
      </c>
      <c r="G143" s="5059" t="s">
        <v>8313</v>
      </c>
      <c r="H143" s="4906">
        <v>45441</v>
      </c>
      <c r="I143" s="4845">
        <v>900</v>
      </c>
      <c r="J143" s="908" t="s">
        <v>859</v>
      </c>
      <c r="K143" s="4915" t="s">
        <v>6101</v>
      </c>
      <c r="L143" s="4845"/>
      <c r="M143" s="4988">
        <v>45440</v>
      </c>
      <c r="N143" s="4988">
        <v>45440</v>
      </c>
      <c r="O143" s="4906">
        <v>45443</v>
      </c>
      <c r="P143" s="4829" t="s">
        <v>8457</v>
      </c>
      <c r="Q143" s="5515" t="s">
        <v>75</v>
      </c>
      <c r="R143" s="3" t="s">
        <v>8458</v>
      </c>
      <c r="S143" s="3268" t="s">
        <v>67</v>
      </c>
      <c r="T143" s="5174">
        <v>2949</v>
      </c>
      <c r="U143" s="4921"/>
      <c r="V143" s="4921">
        <f>2130+180</f>
        <v>2310</v>
      </c>
      <c r="W143" s="4921"/>
      <c r="X143" s="4921"/>
      <c r="Y143" s="4921"/>
      <c r="Z143" s="2804"/>
    </row>
    <row r="144" spans="1:26" s="1350" customFormat="1">
      <c r="A144" s="4882" t="s">
        <v>4277</v>
      </c>
      <c r="B144" s="1" t="s">
        <v>8459</v>
      </c>
      <c r="C144" s="4861" t="s">
        <v>28</v>
      </c>
      <c r="D144" s="3266">
        <v>45419</v>
      </c>
      <c r="E144" s="3716">
        <v>45433</v>
      </c>
      <c r="F144" s="709" t="s">
        <v>45</v>
      </c>
      <c r="G144" s="58" t="s">
        <v>46</v>
      </c>
      <c r="H144" s="3258"/>
      <c r="I144" s="3258"/>
      <c r="J144" s="4901" t="s">
        <v>32</v>
      </c>
      <c r="K144" s="915" t="s">
        <v>47</v>
      </c>
      <c r="L144" s="3281" t="s">
        <v>8460</v>
      </c>
      <c r="M144" s="3674">
        <v>45435</v>
      </c>
      <c r="N144" s="3674">
        <v>45434</v>
      </c>
      <c r="O144" s="4897">
        <v>45436</v>
      </c>
      <c r="P144" s="3283" t="s">
        <v>8461</v>
      </c>
      <c r="Q144" s="5128" t="s">
        <v>6852</v>
      </c>
      <c r="R144" s="3261" t="s">
        <v>51</v>
      </c>
      <c r="S144" s="3261"/>
      <c r="T144" s="3258"/>
      <c r="U144" s="3258"/>
      <c r="V144" s="3258"/>
      <c r="W144" s="3258"/>
      <c r="X144" s="3258"/>
      <c r="Y144" s="3258"/>
      <c r="Z144" s="3259"/>
    </row>
    <row r="145" spans="1:26" s="1569" customFormat="1">
      <c r="A145" s="3717" t="s">
        <v>7322</v>
      </c>
      <c r="B145" s="3275" t="s">
        <v>8462</v>
      </c>
      <c r="C145" s="4839" t="s">
        <v>28</v>
      </c>
      <c r="D145" s="3279">
        <v>45433</v>
      </c>
      <c r="E145" s="3383">
        <v>45442</v>
      </c>
      <c r="F145" s="3275" t="s">
        <v>29</v>
      </c>
      <c r="G145" s="3275" t="s">
        <v>6204</v>
      </c>
      <c r="H145" s="3279" t="s">
        <v>8463</v>
      </c>
      <c r="I145" s="3275" t="s">
        <v>532</v>
      </c>
      <c r="J145" s="2814" t="s">
        <v>551</v>
      </c>
      <c r="K145" s="1325" t="s">
        <v>8074</v>
      </c>
      <c r="L145" s="58" t="s">
        <v>1677</v>
      </c>
      <c r="M145" s="3279">
        <v>45447</v>
      </c>
      <c r="N145" s="3275"/>
      <c r="O145" s="3275"/>
      <c r="P145" s="3348" t="s">
        <v>8464</v>
      </c>
      <c r="Q145" s="3275" t="s">
        <v>862</v>
      </c>
      <c r="R145" s="3261" t="s">
        <v>51</v>
      </c>
      <c r="S145" s="3261" t="s">
        <v>37</v>
      </c>
      <c r="T145" s="3255"/>
      <c r="U145" s="3255"/>
      <c r="V145" s="3255"/>
      <c r="W145" s="3255"/>
      <c r="X145" s="3255"/>
      <c r="Y145" s="3255"/>
      <c r="Z145" s="3256"/>
    </row>
    <row r="146" spans="1:26" s="1569" customFormat="1">
      <c r="A146" s="3684" t="s">
        <v>409</v>
      </c>
      <c r="B146" s="3275" t="s">
        <v>8465</v>
      </c>
      <c r="C146" s="4839" t="s">
        <v>28</v>
      </c>
      <c r="D146" s="3674">
        <v>45437</v>
      </c>
      <c r="E146" s="2396">
        <v>45447</v>
      </c>
      <c r="F146" s="3275" t="s">
        <v>151</v>
      </c>
      <c r="G146" s="3261" t="s">
        <v>46</v>
      </c>
      <c r="H146" s="3534"/>
      <c r="I146" s="3246"/>
      <c r="J146" s="2177" t="s">
        <v>32</v>
      </c>
      <c r="K146" s="1325" t="s">
        <v>47</v>
      </c>
      <c r="L146" s="2824" t="s">
        <v>8466</v>
      </c>
      <c r="M146" s="3682">
        <v>45449</v>
      </c>
      <c r="N146" s="3682">
        <v>45449</v>
      </c>
      <c r="O146" s="3682">
        <v>45451</v>
      </c>
      <c r="P146" s="3283" t="s">
        <v>8467</v>
      </c>
      <c r="Q146" s="3715" t="s">
        <v>6852</v>
      </c>
      <c r="R146" s="3261" t="s">
        <v>534</v>
      </c>
      <c r="S146" s="3261"/>
      <c r="T146" s="3258"/>
      <c r="U146" s="3258"/>
      <c r="V146" s="3258"/>
      <c r="W146" s="3258"/>
      <c r="X146" s="3258"/>
      <c r="Y146" s="3258"/>
      <c r="Z146" s="3259"/>
    </row>
    <row r="147" spans="1:26" s="1569" customFormat="1" ht="60">
      <c r="A147" s="3417" t="s">
        <v>788</v>
      </c>
      <c r="B147" s="4242" t="s">
        <v>8468</v>
      </c>
      <c r="C147" s="4845" t="s">
        <v>28</v>
      </c>
      <c r="D147" s="3262">
        <v>45407</v>
      </c>
      <c r="E147" s="3264">
        <v>45422</v>
      </c>
      <c r="F147" s="3268" t="s">
        <v>245</v>
      </c>
      <c r="G147" s="3268" t="s">
        <v>8469</v>
      </c>
      <c r="H147" s="3262" t="s">
        <v>8470</v>
      </c>
      <c r="I147" s="3268" t="s">
        <v>8470</v>
      </c>
      <c r="J147" s="2801" t="s">
        <v>8470</v>
      </c>
      <c r="K147" s="182" t="s">
        <v>8471</v>
      </c>
      <c r="L147" s="825" t="s">
        <v>8472</v>
      </c>
      <c r="M147" s="3262">
        <v>45425</v>
      </c>
      <c r="N147" s="3262">
        <v>45425</v>
      </c>
      <c r="O147" s="3262">
        <v>45426</v>
      </c>
      <c r="P147" s="4246" t="s">
        <v>8473</v>
      </c>
      <c r="Q147" s="3678" t="s">
        <v>75</v>
      </c>
      <c r="R147" s="4242" t="s">
        <v>8474</v>
      </c>
      <c r="S147" s="3268"/>
      <c r="T147" s="3268">
        <v>35</v>
      </c>
      <c r="U147" s="3268"/>
      <c r="V147" s="3268"/>
      <c r="W147" s="3268"/>
      <c r="X147" s="3268"/>
      <c r="Y147" s="3268"/>
      <c r="Z147" s="3270"/>
    </row>
    <row r="148" spans="1:26" s="507" customFormat="1">
      <c r="A148" s="3663" t="s">
        <v>4277</v>
      </c>
      <c r="B148" s="3261" t="s">
        <v>8475</v>
      </c>
      <c r="C148" s="4861" t="s">
        <v>28</v>
      </c>
      <c r="D148" s="3266">
        <v>45422</v>
      </c>
      <c r="E148" s="3716">
        <v>45435</v>
      </c>
      <c r="F148" s="3246" t="s">
        <v>45</v>
      </c>
      <c r="G148" s="4839" t="s">
        <v>46</v>
      </c>
      <c r="H148" s="3258"/>
      <c r="I148" s="3258"/>
      <c r="J148" s="3347" t="s">
        <v>32</v>
      </c>
      <c r="K148" s="3357" t="s">
        <v>47</v>
      </c>
      <c r="L148" s="3281" t="s">
        <v>8476</v>
      </c>
      <c r="M148" s="3674">
        <v>45437</v>
      </c>
      <c r="N148" s="3674">
        <v>45436</v>
      </c>
      <c r="O148" s="3674">
        <v>45438</v>
      </c>
      <c r="P148" s="3283" t="s">
        <v>8477</v>
      </c>
      <c r="Q148" s="3715" t="s">
        <v>6852</v>
      </c>
      <c r="R148" s="1" t="s">
        <v>36</v>
      </c>
      <c r="S148" s="3261"/>
      <c r="T148" s="3258"/>
      <c r="U148" s="3258"/>
      <c r="V148" s="3258"/>
      <c r="W148" s="3258"/>
      <c r="X148" s="3258"/>
      <c r="Y148" s="3258"/>
      <c r="Z148" s="3259"/>
    </row>
    <row r="149" spans="1:26" s="26" customFormat="1">
      <c r="A149" s="3680" t="s">
        <v>1035</v>
      </c>
      <c r="B149" s="3261" t="s">
        <v>8478</v>
      </c>
      <c r="C149" s="4839" t="s">
        <v>28</v>
      </c>
      <c r="D149" s="3674">
        <v>45415</v>
      </c>
      <c r="E149" s="3644">
        <v>45433</v>
      </c>
      <c r="F149" s="3261" t="s">
        <v>151</v>
      </c>
      <c r="G149" s="4870" t="s">
        <v>46</v>
      </c>
      <c r="H149" s="3261" t="s">
        <v>8102</v>
      </c>
      <c r="I149" s="3258"/>
      <c r="J149" s="3286" t="s">
        <v>32</v>
      </c>
      <c r="K149" s="3275" t="s">
        <v>162</v>
      </c>
      <c r="L149" s="4870" t="s">
        <v>8479</v>
      </c>
      <c r="M149" s="3674">
        <v>45436</v>
      </c>
      <c r="N149" s="3674">
        <v>45435</v>
      </c>
      <c r="O149" s="3674">
        <v>45435</v>
      </c>
      <c r="P149" s="3283" t="s">
        <v>8480</v>
      </c>
      <c r="Q149" s="3275" t="s">
        <v>6852</v>
      </c>
      <c r="R149" s="3284"/>
      <c r="S149" s="3261"/>
      <c r="T149" s="3258"/>
      <c r="U149" s="3258"/>
      <c r="V149" s="3258"/>
      <c r="W149" s="3258"/>
      <c r="X149" s="3258"/>
      <c r="Y149" s="3258"/>
      <c r="Z149" s="3259"/>
    </row>
    <row r="150" spans="1:26" s="707" customFormat="1">
      <c r="A150" s="3680" t="s">
        <v>1035</v>
      </c>
      <c r="B150" s="3261" t="s">
        <v>8481</v>
      </c>
      <c r="C150" s="4839" t="s">
        <v>28</v>
      </c>
      <c r="D150" s="3674">
        <v>45436</v>
      </c>
      <c r="E150" s="3674">
        <v>45442</v>
      </c>
      <c r="F150" s="3275" t="s">
        <v>151</v>
      </c>
      <c r="G150" s="4839" t="s">
        <v>46</v>
      </c>
      <c r="H150" s="3261" t="s">
        <v>8102</v>
      </c>
      <c r="I150" s="3246"/>
      <c r="J150" s="3286" t="s">
        <v>32</v>
      </c>
      <c r="K150" s="3275" t="s">
        <v>162</v>
      </c>
      <c r="L150" s="3261" t="s">
        <v>8482</v>
      </c>
      <c r="M150" s="3674">
        <v>45446</v>
      </c>
      <c r="N150" s="3682"/>
      <c r="O150" s="3682"/>
      <c r="P150" s="3283" t="s">
        <v>8104</v>
      </c>
      <c r="Q150" s="3715" t="s">
        <v>6852</v>
      </c>
      <c r="R150" s="3284"/>
      <c r="S150" s="3261"/>
      <c r="T150" s="3258"/>
      <c r="U150" s="3258"/>
      <c r="V150" s="3258"/>
      <c r="W150" s="3258"/>
      <c r="X150" s="3258"/>
      <c r="Y150" s="3258"/>
      <c r="Z150" s="3259"/>
    </row>
    <row r="151" spans="1:26" s="1569" customFormat="1">
      <c r="A151" s="3688" t="s">
        <v>409</v>
      </c>
      <c r="B151" s="3275" t="s">
        <v>8483</v>
      </c>
      <c r="C151" s="4839" t="s">
        <v>28</v>
      </c>
      <c r="D151" s="3674">
        <v>45414</v>
      </c>
      <c r="E151" s="3644">
        <v>45434</v>
      </c>
      <c r="F151" s="3275" t="s">
        <v>151</v>
      </c>
      <c r="G151" s="3261" t="s">
        <v>46</v>
      </c>
      <c r="H151" s="3258"/>
      <c r="I151" s="3258"/>
      <c r="J151" s="3347" t="s">
        <v>32</v>
      </c>
      <c r="K151" s="3357" t="s">
        <v>47</v>
      </c>
      <c r="L151" s="1589" t="s">
        <v>8484</v>
      </c>
      <c r="M151" s="3674">
        <v>45437</v>
      </c>
      <c r="N151" s="3674">
        <v>45435</v>
      </c>
      <c r="O151" s="3674">
        <v>45437</v>
      </c>
      <c r="P151" s="3283" t="s">
        <v>8485</v>
      </c>
      <c r="Q151" s="3715" t="s">
        <v>6852</v>
      </c>
      <c r="R151" s="3261" t="s">
        <v>51</v>
      </c>
      <c r="S151" s="3261"/>
      <c r="T151" s="3258"/>
      <c r="U151" s="3258"/>
      <c r="V151" s="3258"/>
      <c r="W151" s="3258"/>
      <c r="X151" s="3258"/>
      <c r="Y151" s="3258"/>
      <c r="Z151" s="3259"/>
    </row>
    <row r="152" spans="1:26" s="26" customFormat="1">
      <c r="A152" s="3688" t="s">
        <v>409</v>
      </c>
      <c r="B152" s="3261" t="s">
        <v>8486</v>
      </c>
      <c r="C152" s="4839" t="s">
        <v>28</v>
      </c>
      <c r="D152" s="3674">
        <v>45418</v>
      </c>
      <c r="E152" s="3689">
        <v>45424</v>
      </c>
      <c r="F152" s="3275" t="s">
        <v>260</v>
      </c>
      <c r="G152" s="3261" t="s">
        <v>46</v>
      </c>
      <c r="H152" s="3258"/>
      <c r="I152" s="3258"/>
      <c r="J152" s="3347" t="s">
        <v>32</v>
      </c>
      <c r="K152" s="4221" t="s">
        <v>47</v>
      </c>
      <c r="L152" s="3261" t="s">
        <v>8487</v>
      </c>
      <c r="M152" s="3674">
        <v>45426</v>
      </c>
      <c r="N152" s="3674">
        <v>45425</v>
      </c>
      <c r="O152" s="3674">
        <v>45427</v>
      </c>
      <c r="P152" s="3283" t="s">
        <v>8488</v>
      </c>
      <c r="Q152" s="3715" t="s">
        <v>6852</v>
      </c>
      <c r="R152" s="3261" t="s">
        <v>8489</v>
      </c>
      <c r="S152" s="3261"/>
      <c r="T152" s="3258"/>
      <c r="U152" s="3258"/>
      <c r="V152" s="3258"/>
      <c r="W152" s="3258"/>
      <c r="X152" s="3258"/>
      <c r="Y152" s="3258"/>
      <c r="Z152" s="3259"/>
    </row>
    <row r="153" spans="1:26" s="26" customFormat="1">
      <c r="A153" s="3527" t="s">
        <v>799</v>
      </c>
      <c r="B153" s="3246" t="s">
        <v>8490</v>
      </c>
      <c r="C153" s="4861" t="s">
        <v>28</v>
      </c>
      <c r="D153" s="3266">
        <v>45417</v>
      </c>
      <c r="E153" s="3716">
        <v>45429</v>
      </c>
      <c r="F153" s="3246" t="s">
        <v>135</v>
      </c>
      <c r="G153" s="3275" t="s">
        <v>46</v>
      </c>
      <c r="H153" s="3534"/>
      <c r="I153" s="3246"/>
      <c r="J153" s="3347" t="s">
        <v>32</v>
      </c>
      <c r="K153" s="3357" t="s">
        <v>47</v>
      </c>
      <c r="L153" s="3281" t="s">
        <v>8491</v>
      </c>
      <c r="M153" s="3682">
        <v>45431</v>
      </c>
      <c r="N153" s="3682">
        <v>45429</v>
      </c>
      <c r="O153" s="3682">
        <v>45432</v>
      </c>
      <c r="P153" s="3283" t="s">
        <v>8492</v>
      </c>
      <c r="Q153" s="3715" t="s">
        <v>6852</v>
      </c>
      <c r="R153" s="3261" t="s">
        <v>51</v>
      </c>
      <c r="S153" s="3261"/>
      <c r="T153" s="3258"/>
      <c r="U153" s="3258"/>
      <c r="V153" s="3258"/>
      <c r="W153" s="3258"/>
      <c r="X153" s="3258"/>
      <c r="Y153" s="3258"/>
      <c r="Z153" s="3259"/>
    </row>
    <row r="154" spans="1:26" s="26" customFormat="1">
      <c r="A154" s="3680" t="s">
        <v>1035</v>
      </c>
      <c r="B154" s="3261" t="s">
        <v>8493</v>
      </c>
      <c r="C154" s="4839" t="s">
        <v>28</v>
      </c>
      <c r="D154" s="3674">
        <v>45428</v>
      </c>
      <c r="E154" s="3644">
        <v>45443</v>
      </c>
      <c r="F154" s="3275" t="s">
        <v>151</v>
      </c>
      <c r="G154" s="3275" t="s">
        <v>46</v>
      </c>
      <c r="H154" s="3261" t="s">
        <v>8102</v>
      </c>
      <c r="I154" s="3258"/>
      <c r="J154" s="3286" t="s">
        <v>32</v>
      </c>
      <c r="K154" s="3275" t="s">
        <v>162</v>
      </c>
      <c r="L154" s="3261" t="s">
        <v>8494</v>
      </c>
      <c r="M154" s="3674">
        <v>45446</v>
      </c>
      <c r="N154" s="3261"/>
      <c r="O154" s="3261"/>
      <c r="P154" s="3283" t="s">
        <v>8495</v>
      </c>
      <c r="Q154" s="3715" t="s">
        <v>6852</v>
      </c>
      <c r="R154" s="3284"/>
      <c r="S154" s="3261"/>
      <c r="T154" s="3258"/>
      <c r="U154" s="3258"/>
      <c r="V154" s="3258"/>
      <c r="W154" s="3258"/>
      <c r="X154" s="3258"/>
      <c r="Y154" s="3258"/>
      <c r="Z154" s="3259"/>
    </row>
    <row r="155" spans="1:26" s="26" customFormat="1" ht="30">
      <c r="A155" s="3718" t="s">
        <v>409</v>
      </c>
      <c r="B155" s="4307" t="s">
        <v>8496</v>
      </c>
      <c r="C155" s="4970" t="s">
        <v>28</v>
      </c>
      <c r="D155" s="4378">
        <v>45434</v>
      </c>
      <c r="E155" s="3719">
        <v>45443</v>
      </c>
      <c r="F155" s="4307" t="s">
        <v>167</v>
      </c>
      <c r="G155" s="4970" t="s">
        <v>302</v>
      </c>
      <c r="H155" s="3720">
        <v>45446</v>
      </c>
      <c r="I155" s="4307" t="s">
        <v>899</v>
      </c>
      <c r="J155" s="3721" t="s">
        <v>32</v>
      </c>
      <c r="K155" s="4307" t="s">
        <v>8497</v>
      </c>
      <c r="L155" s="3364" t="s">
        <v>8498</v>
      </c>
      <c r="M155" s="3467">
        <v>45446</v>
      </c>
      <c r="N155" s="3467">
        <v>45446</v>
      </c>
      <c r="O155" s="3321">
        <v>45447</v>
      </c>
      <c r="P155" s="4321" t="s">
        <v>8499</v>
      </c>
      <c r="Q155" s="3722" t="s">
        <v>75</v>
      </c>
      <c r="R155" s="3364" t="s">
        <v>8500</v>
      </c>
      <c r="S155" s="3364"/>
      <c r="T155" s="3723">
        <v>1085</v>
      </c>
      <c r="U155" s="3364">
        <v>880</v>
      </c>
      <c r="V155" s="3364">
        <v>1</v>
      </c>
      <c r="W155" s="3723">
        <f>表15[[#This Row],[Sales Amount]]-表15[[#This Row],[Cost]]</f>
        <v>205</v>
      </c>
      <c r="X155" s="3724">
        <f>表15[[#This Row],[Profit]]/表15[[#This Row],[Cost]]</f>
        <v>0.23295454545454544</v>
      </c>
      <c r="Y155" s="3364"/>
      <c r="Z155" s="3708"/>
    </row>
    <row r="156" spans="1:26" s="707" customFormat="1" ht="15.75">
      <c r="A156" s="3690" t="s">
        <v>8244</v>
      </c>
      <c r="B156" s="3518" t="s">
        <v>8501</v>
      </c>
      <c r="C156" s="4848" t="s">
        <v>28</v>
      </c>
      <c r="D156" s="3338">
        <v>45413</v>
      </c>
      <c r="E156" s="3693">
        <v>45420</v>
      </c>
      <c r="F156" s="3265" t="s">
        <v>734</v>
      </c>
      <c r="G156" s="4944" t="s">
        <v>829</v>
      </c>
      <c r="H156" s="3658"/>
      <c r="I156" s="3274"/>
      <c r="J156" s="3491" t="s">
        <v>168</v>
      </c>
      <c r="K156" s="3486" t="s">
        <v>7887</v>
      </c>
      <c r="L156" s="3725" t="s">
        <v>8502</v>
      </c>
      <c r="M156" s="3691">
        <v>45422</v>
      </c>
      <c r="N156" s="3691">
        <v>45420</v>
      </c>
      <c r="O156" s="3691">
        <v>45421</v>
      </c>
      <c r="P156" s="3542" t="s">
        <v>8503</v>
      </c>
      <c r="Q156" s="3696" t="s">
        <v>50</v>
      </c>
      <c r="R156" s="3518" t="s">
        <v>51</v>
      </c>
      <c r="S156" s="3518"/>
      <c r="T156" s="3274"/>
      <c r="U156" s="3274"/>
      <c r="V156" s="3274"/>
      <c r="W156" s="3274"/>
      <c r="X156" s="3274"/>
      <c r="Y156" s="3274"/>
      <c r="Z156" s="3692"/>
    </row>
    <row r="157" spans="1:26" s="707" customFormat="1">
      <c r="A157" s="3527" t="s">
        <v>639</v>
      </c>
      <c r="B157" s="3275" t="s">
        <v>8504</v>
      </c>
      <c r="C157" s="4839" t="s">
        <v>28</v>
      </c>
      <c r="D157" s="3674">
        <v>45428</v>
      </c>
      <c r="E157" s="3644">
        <v>45439</v>
      </c>
      <c r="F157" s="3275" t="s">
        <v>151</v>
      </c>
      <c r="G157" s="4870" t="s">
        <v>46</v>
      </c>
      <c r="H157" s="3534"/>
      <c r="I157" s="3246"/>
      <c r="J157" s="3286" t="s">
        <v>32</v>
      </c>
      <c r="K157" s="3275" t="s">
        <v>641</v>
      </c>
      <c r="L157" s="3261" t="s">
        <v>8505</v>
      </c>
      <c r="M157" s="3682">
        <v>45442</v>
      </c>
      <c r="N157" s="3682">
        <v>45441</v>
      </c>
      <c r="O157" s="3682">
        <v>45442</v>
      </c>
      <c r="P157" s="3283" t="s">
        <v>8506</v>
      </c>
      <c r="Q157" s="3715" t="s">
        <v>6852</v>
      </c>
      <c r="R157" s="3261" t="s">
        <v>51</v>
      </c>
      <c r="S157" s="3261"/>
      <c r="T157" s="3258"/>
      <c r="U157" s="3258"/>
      <c r="V157" s="3258"/>
      <c r="W157" s="3258"/>
      <c r="X157" s="3258"/>
      <c r="Y157" s="3258"/>
      <c r="Z157" s="3259"/>
    </row>
    <row r="158" spans="1:26" s="707" customFormat="1">
      <c r="A158" s="3684" t="s">
        <v>409</v>
      </c>
      <c r="B158" s="3261" t="s">
        <v>8507</v>
      </c>
      <c r="C158" s="4839" t="s">
        <v>28</v>
      </c>
      <c r="D158" s="3674">
        <v>45425</v>
      </c>
      <c r="E158" s="3644">
        <v>45434</v>
      </c>
      <c r="F158" s="3275" t="s">
        <v>260</v>
      </c>
      <c r="G158" s="4839" t="s">
        <v>46</v>
      </c>
      <c r="H158" s="3267"/>
      <c r="I158" s="3258"/>
      <c r="J158" s="3347" t="s">
        <v>32</v>
      </c>
      <c r="K158" s="3275" t="s">
        <v>47</v>
      </c>
      <c r="L158" s="3261" t="s">
        <v>8508</v>
      </c>
      <c r="M158" s="3682"/>
      <c r="N158" s="3682">
        <v>45433</v>
      </c>
      <c r="O158" s="3682">
        <v>45434</v>
      </c>
      <c r="P158" s="3283" t="s">
        <v>8509</v>
      </c>
      <c r="Q158" s="3715" t="s">
        <v>6852</v>
      </c>
      <c r="R158" s="3261" t="s">
        <v>51</v>
      </c>
      <c r="S158" s="3261"/>
      <c r="T158" s="3258"/>
      <c r="U158" s="3258"/>
      <c r="V158" s="3258"/>
      <c r="W158" s="3258"/>
      <c r="X158" s="3258"/>
      <c r="Y158" s="3258"/>
      <c r="Z158" s="3259"/>
    </row>
    <row r="159" spans="1:26" s="707" customFormat="1" ht="120">
      <c r="A159" s="3466" t="s">
        <v>468</v>
      </c>
      <c r="B159" s="4307" t="s">
        <v>8510</v>
      </c>
      <c r="C159" s="4921" t="s">
        <v>200</v>
      </c>
      <c r="D159" s="3467">
        <v>45412</v>
      </c>
      <c r="E159" s="3719">
        <v>45427</v>
      </c>
      <c r="F159" s="3364" t="s">
        <v>1828</v>
      </c>
      <c r="G159" s="4970" t="s">
        <v>3015</v>
      </c>
      <c r="H159" s="4379" t="s">
        <v>8511</v>
      </c>
      <c r="I159" s="3364"/>
      <c r="J159" s="3726" t="s">
        <v>2439</v>
      </c>
      <c r="K159" s="3727" t="s">
        <v>8512</v>
      </c>
      <c r="L159" s="3364">
        <v>278954</v>
      </c>
      <c r="M159" s="3321">
        <v>45429</v>
      </c>
      <c r="N159" s="3321" t="s">
        <v>8513</v>
      </c>
      <c r="O159" s="3319" t="s">
        <v>8514</v>
      </c>
      <c r="P159" s="4321" t="s">
        <v>8515</v>
      </c>
      <c r="Q159" s="3722" t="s">
        <v>75</v>
      </c>
      <c r="R159" s="3376" t="s">
        <v>8516</v>
      </c>
      <c r="S159" s="3364"/>
      <c r="T159" s="3723">
        <v>1000</v>
      </c>
      <c r="U159" s="3364">
        <v>770</v>
      </c>
      <c r="V159" s="3364">
        <v>1</v>
      </c>
      <c r="W159" s="3723">
        <f>表15[[#This Row],[Sales Amount]]-表15[[#This Row],[Cost]]</f>
        <v>230</v>
      </c>
      <c r="X159" s="3724">
        <f>表15[[#This Row],[Profit]]/表15[[#This Row],[Cost]]</f>
        <v>0.29870129870129869</v>
      </c>
      <c r="Y159" s="3364"/>
      <c r="Z159" s="3708"/>
    </row>
    <row r="160" spans="1:26" s="707" customFormat="1">
      <c r="A160" s="3684" t="s">
        <v>409</v>
      </c>
      <c r="B160" s="3261" t="s">
        <v>8517</v>
      </c>
      <c r="C160" s="4839" t="s">
        <v>28</v>
      </c>
      <c r="D160" s="3674">
        <v>45425</v>
      </c>
      <c r="E160" s="3644">
        <v>45433</v>
      </c>
      <c r="F160" s="3275" t="s">
        <v>260</v>
      </c>
      <c r="G160" s="4870" t="s">
        <v>46</v>
      </c>
      <c r="H160" s="3267"/>
      <c r="I160" s="3258"/>
      <c r="J160" s="3347" t="s">
        <v>32</v>
      </c>
      <c r="K160" s="3275" t="s">
        <v>47</v>
      </c>
      <c r="L160" s="3261" t="s">
        <v>8518</v>
      </c>
      <c r="M160" s="3682">
        <v>45436</v>
      </c>
      <c r="N160" s="3682">
        <v>45435</v>
      </c>
      <c r="O160" s="3682">
        <v>45436</v>
      </c>
      <c r="P160" s="3283" t="s">
        <v>8519</v>
      </c>
      <c r="Q160" s="3715" t="s">
        <v>6852</v>
      </c>
      <c r="R160" s="3261" t="s">
        <v>51</v>
      </c>
      <c r="S160" s="3261"/>
      <c r="T160" s="3258"/>
      <c r="U160" s="3258"/>
      <c r="V160" s="3258"/>
      <c r="W160" s="3258"/>
      <c r="X160" s="3258"/>
      <c r="Y160" s="3258"/>
      <c r="Z160" s="3259"/>
    </row>
    <row r="161" spans="1:26" s="26" customFormat="1">
      <c r="A161" s="3663" t="s">
        <v>8520</v>
      </c>
      <c r="B161" s="3258" t="s">
        <v>8521</v>
      </c>
      <c r="C161" s="4861" t="s">
        <v>28</v>
      </c>
      <c r="D161" s="3266">
        <v>45419</v>
      </c>
      <c r="E161" s="3716">
        <v>45433</v>
      </c>
      <c r="F161" s="3246" t="s">
        <v>45</v>
      </c>
      <c r="G161" s="4839" t="s">
        <v>46</v>
      </c>
      <c r="H161" s="3258"/>
      <c r="I161" s="3258"/>
      <c r="J161" s="3281" t="s">
        <v>168</v>
      </c>
      <c r="K161" s="3281" t="s">
        <v>310</v>
      </c>
      <c r="L161" s="3281" t="s">
        <v>8522</v>
      </c>
      <c r="M161" s="3674">
        <v>45433</v>
      </c>
      <c r="N161" s="3674">
        <v>45433</v>
      </c>
      <c r="O161" s="3674">
        <v>45434</v>
      </c>
      <c r="P161" s="3283" t="s">
        <v>8523</v>
      </c>
      <c r="Q161" s="3715" t="s">
        <v>6852</v>
      </c>
      <c r="R161" s="3261" t="s">
        <v>51</v>
      </c>
      <c r="S161" s="3261"/>
      <c r="T161" s="3258"/>
      <c r="U161" s="3258"/>
      <c r="V161" s="3258"/>
      <c r="W161" s="3258"/>
      <c r="X161" s="3258"/>
      <c r="Y161" s="3258"/>
      <c r="Z161" s="3259"/>
    </row>
    <row r="162" spans="1:26" s="26" customFormat="1" ht="30">
      <c r="A162" s="3700" t="s">
        <v>7322</v>
      </c>
      <c r="B162" s="3701" t="s">
        <v>8524</v>
      </c>
      <c r="C162" s="4895" t="s">
        <v>28</v>
      </c>
      <c r="D162" s="3675">
        <v>45421</v>
      </c>
      <c r="E162" s="2783">
        <v>45424</v>
      </c>
      <c r="F162" s="3241" t="s">
        <v>151</v>
      </c>
      <c r="G162" s="4895" t="s">
        <v>6204</v>
      </c>
      <c r="H162" s="3675">
        <v>45432</v>
      </c>
      <c r="I162" s="4213" t="s">
        <v>495</v>
      </c>
      <c r="J162" s="3711" t="s">
        <v>551</v>
      </c>
      <c r="K162" s="3241" t="s">
        <v>8074</v>
      </c>
      <c r="L162" s="3241" t="s">
        <v>1677</v>
      </c>
      <c r="M162" s="3675">
        <v>45429</v>
      </c>
      <c r="N162" s="3675">
        <v>45429</v>
      </c>
      <c r="O162" s="3675">
        <v>45434</v>
      </c>
      <c r="P162" s="4328" t="s">
        <v>8525</v>
      </c>
      <c r="Q162" s="3241" t="s">
        <v>862</v>
      </c>
      <c r="R162" s="3703" t="s">
        <v>36</v>
      </c>
      <c r="S162" s="3673" t="s">
        <v>37</v>
      </c>
      <c r="T162" s="3255">
        <v>2075</v>
      </c>
      <c r="U162" s="3255">
        <v>1849.2</v>
      </c>
      <c r="V162" s="3255"/>
      <c r="W162" s="3255"/>
      <c r="X162" s="3255"/>
      <c r="Y162" s="3255"/>
      <c r="Z162" s="3256"/>
    </row>
    <row r="163" spans="1:26" s="26" customFormat="1">
      <c r="A163" s="3684" t="s">
        <v>409</v>
      </c>
      <c r="B163" s="3261" t="s">
        <v>8526</v>
      </c>
      <c r="C163" s="4839" t="s">
        <v>28</v>
      </c>
      <c r="D163" s="3674">
        <v>45428</v>
      </c>
      <c r="E163" s="3644">
        <v>45438</v>
      </c>
      <c r="F163" s="3275" t="s">
        <v>151</v>
      </c>
      <c r="G163" s="4839" t="s">
        <v>46</v>
      </c>
      <c r="H163" s="3267"/>
      <c r="I163" s="3258"/>
      <c r="J163" s="3331" t="s">
        <v>32</v>
      </c>
      <c r="K163" s="3275" t="s">
        <v>47</v>
      </c>
      <c r="L163" s="4249" t="s">
        <v>8527</v>
      </c>
      <c r="M163" s="3682">
        <v>45441</v>
      </c>
      <c r="N163" s="3682">
        <v>45441</v>
      </c>
      <c r="O163" s="3682">
        <v>45443</v>
      </c>
      <c r="P163" s="3283" t="s">
        <v>8528</v>
      </c>
      <c r="Q163" s="3715" t="s">
        <v>6852</v>
      </c>
      <c r="R163" s="3261" t="s">
        <v>51</v>
      </c>
      <c r="S163" s="3261"/>
      <c r="T163" s="3258"/>
      <c r="U163" s="3258"/>
      <c r="V163" s="3258"/>
      <c r="W163" s="3258"/>
      <c r="X163" s="3258"/>
      <c r="Y163" s="3258"/>
      <c r="Z163" s="3259"/>
    </row>
    <row r="164" spans="1:26" s="707" customFormat="1">
      <c r="A164" s="3684" t="s">
        <v>3866</v>
      </c>
      <c r="B164" s="3261" t="s">
        <v>8529</v>
      </c>
      <c r="C164" s="3275" t="s">
        <v>28</v>
      </c>
      <c r="D164" s="3674">
        <v>45422</v>
      </c>
      <c r="E164" s="3644">
        <v>45437</v>
      </c>
      <c r="F164" s="3275" t="s">
        <v>45</v>
      </c>
      <c r="G164" s="3275" t="s">
        <v>46</v>
      </c>
      <c r="H164" s="3258"/>
      <c r="I164" s="3258"/>
      <c r="J164" s="3331" t="s">
        <v>32</v>
      </c>
      <c r="K164" s="3275" t="s">
        <v>47</v>
      </c>
      <c r="L164" s="4161" t="s">
        <v>8530</v>
      </c>
      <c r="M164" s="3674">
        <v>45441</v>
      </c>
      <c r="N164" s="3674">
        <v>45439</v>
      </c>
      <c r="O164" s="3674">
        <v>45441</v>
      </c>
      <c r="P164" s="3283" t="s">
        <v>8531</v>
      </c>
      <c r="Q164" s="3715" t="s">
        <v>6852</v>
      </c>
      <c r="R164" s="3261" t="s">
        <v>51</v>
      </c>
      <c r="S164" s="3261"/>
      <c r="T164" s="3258"/>
      <c r="U164" s="3258"/>
      <c r="V164" s="3258"/>
      <c r="W164" s="3258"/>
      <c r="X164" s="3258"/>
      <c r="Y164" s="3258"/>
      <c r="Z164" s="3259"/>
    </row>
    <row r="165" spans="1:26">
      <c r="A165" s="4663" t="s">
        <v>409</v>
      </c>
      <c r="B165" s="4221" t="s">
        <v>8532</v>
      </c>
      <c r="C165" s="3275" t="s">
        <v>28</v>
      </c>
      <c r="D165" s="4897">
        <v>45429</v>
      </c>
      <c r="E165" s="4912">
        <v>45442</v>
      </c>
      <c r="F165" s="3275" t="s">
        <v>151</v>
      </c>
      <c r="G165" s="3275" t="s">
        <v>46</v>
      </c>
      <c r="H165" s="3534"/>
      <c r="I165" s="3246"/>
      <c r="J165" s="3331" t="s">
        <v>32</v>
      </c>
      <c r="K165" s="4839" t="s">
        <v>8533</v>
      </c>
      <c r="L165" s="3261" t="s">
        <v>8534</v>
      </c>
      <c r="M165" s="1380">
        <v>45444</v>
      </c>
      <c r="N165" s="3682">
        <v>45444</v>
      </c>
      <c r="O165" s="3682">
        <v>45449</v>
      </c>
      <c r="P165" s="3283" t="s">
        <v>8535</v>
      </c>
      <c r="Q165" s="5128" t="s">
        <v>6852</v>
      </c>
      <c r="R165" s="3261" t="s">
        <v>51</v>
      </c>
      <c r="S165" s="3261"/>
      <c r="T165" s="3258"/>
      <c r="U165" s="3258"/>
      <c r="V165" s="3258"/>
      <c r="W165" s="3258"/>
      <c r="X165" s="3258"/>
      <c r="Y165" s="3258"/>
      <c r="Z165" s="3259"/>
    </row>
    <row r="166" spans="1:26" s="1350" customFormat="1">
      <c r="A166" s="3681" t="s">
        <v>8244</v>
      </c>
      <c r="B166" s="3261" t="s">
        <v>8536</v>
      </c>
      <c r="C166" s="3348" t="s">
        <v>28</v>
      </c>
      <c r="D166" s="4897">
        <v>45424</v>
      </c>
      <c r="E166" s="4912">
        <v>45449</v>
      </c>
      <c r="F166" s="3348" t="s">
        <v>98</v>
      </c>
      <c r="G166" s="3261" t="s">
        <v>46</v>
      </c>
      <c r="H166" s="3534"/>
      <c r="I166" s="3246"/>
      <c r="J166" s="3281" t="s">
        <v>32</v>
      </c>
      <c r="K166" s="3261" t="s">
        <v>47</v>
      </c>
      <c r="L166" s="3261" t="s">
        <v>8537</v>
      </c>
      <c r="M166" s="3682">
        <v>45448</v>
      </c>
      <c r="N166" s="3682">
        <v>45447</v>
      </c>
      <c r="O166" s="3682">
        <v>45449</v>
      </c>
      <c r="P166" s="3348" t="s">
        <v>8538</v>
      </c>
      <c r="Q166" s="5128" t="s">
        <v>6852</v>
      </c>
      <c r="R166" s="3261" t="s">
        <v>51</v>
      </c>
      <c r="S166" s="3261"/>
      <c r="T166" s="3258"/>
      <c r="U166" s="3258"/>
      <c r="V166" s="3258"/>
      <c r="W166" s="3258"/>
      <c r="X166" s="3258"/>
      <c r="Y166" s="3258"/>
      <c r="Z166" s="3259"/>
    </row>
    <row r="167" spans="1:26" s="106" customFormat="1">
      <c r="A167" s="3688" t="s">
        <v>409</v>
      </c>
      <c r="B167" s="1" t="s">
        <v>8539</v>
      </c>
      <c r="C167" s="3275" t="s">
        <v>28</v>
      </c>
      <c r="D167" s="4897">
        <v>45422</v>
      </c>
      <c r="E167" s="4912">
        <v>45438</v>
      </c>
      <c r="F167" s="3275" t="s">
        <v>151</v>
      </c>
      <c r="G167" s="58" t="s">
        <v>46</v>
      </c>
      <c r="H167" s="3258"/>
      <c r="I167" s="3258"/>
      <c r="J167" s="4901" t="s">
        <v>32</v>
      </c>
      <c r="K167" s="3275" t="s">
        <v>47</v>
      </c>
      <c r="L167" s="3261" t="s">
        <v>8540</v>
      </c>
      <c r="M167" s="3674">
        <v>45442</v>
      </c>
      <c r="N167" s="3674">
        <v>45440</v>
      </c>
      <c r="O167" s="3674">
        <v>45442</v>
      </c>
      <c r="P167" s="3283" t="s">
        <v>8541</v>
      </c>
      <c r="Q167" s="5128" t="s">
        <v>6852</v>
      </c>
      <c r="R167" s="3261" t="s">
        <v>51</v>
      </c>
      <c r="S167" s="3261"/>
      <c r="T167" s="3258"/>
      <c r="U167" s="3258"/>
      <c r="V167" s="3258"/>
      <c r="W167" s="3258"/>
      <c r="X167" s="3258"/>
      <c r="Y167" s="3258"/>
      <c r="Z167" s="3259"/>
    </row>
    <row r="168" spans="1:26">
      <c r="A168" s="3684" t="s">
        <v>409</v>
      </c>
      <c r="B168" s="1" t="s">
        <v>8542</v>
      </c>
      <c r="C168" s="3275" t="s">
        <v>28</v>
      </c>
      <c r="D168" s="4897">
        <v>45428</v>
      </c>
      <c r="E168" s="2396">
        <v>45443</v>
      </c>
      <c r="F168" s="3275" t="s">
        <v>151</v>
      </c>
      <c r="G168" s="3275" t="s">
        <v>46</v>
      </c>
      <c r="H168" s="3267"/>
      <c r="I168" s="3258"/>
      <c r="J168" s="5136" t="s">
        <v>32</v>
      </c>
      <c r="K168" s="3275" t="s">
        <v>47</v>
      </c>
      <c r="L168" s="4870" t="s">
        <v>8543</v>
      </c>
      <c r="M168" s="3682">
        <v>45445</v>
      </c>
      <c r="N168" s="3682">
        <v>45445</v>
      </c>
      <c r="O168" s="3682">
        <v>45447</v>
      </c>
      <c r="P168" s="3283" t="s">
        <v>8544</v>
      </c>
      <c r="Q168" s="5128" t="s">
        <v>6852</v>
      </c>
      <c r="R168" s="3261" t="s">
        <v>51</v>
      </c>
      <c r="S168" s="3261"/>
      <c r="T168" s="3258"/>
      <c r="U168" s="3258"/>
      <c r="V168" s="3258"/>
      <c r="W168" s="3258"/>
      <c r="X168" s="3258"/>
      <c r="Y168" s="3258"/>
      <c r="Z168" s="3259"/>
    </row>
    <row r="169" spans="1:26" s="117" customFormat="1" ht="45">
      <c r="A169" s="4319" t="s">
        <v>3866</v>
      </c>
      <c r="B169" s="3728" t="s">
        <v>8545</v>
      </c>
      <c r="C169" s="4242" t="s">
        <v>28</v>
      </c>
      <c r="D169" s="4906">
        <v>45435</v>
      </c>
      <c r="E169" s="4916">
        <v>45435</v>
      </c>
      <c r="F169" s="4242" t="s">
        <v>8546</v>
      </c>
      <c r="G169" s="3273" t="s">
        <v>8547</v>
      </c>
      <c r="H169" s="3262">
        <v>45443</v>
      </c>
      <c r="I169" s="3268" t="s">
        <v>445</v>
      </c>
      <c r="J169" s="4242" t="s">
        <v>510</v>
      </c>
      <c r="K169" s="4242" t="s">
        <v>8548</v>
      </c>
      <c r="L169" s="3268"/>
      <c r="M169" s="3262">
        <v>45440</v>
      </c>
      <c r="N169" s="3262">
        <v>45440</v>
      </c>
      <c r="O169" s="3262">
        <v>45446</v>
      </c>
      <c r="P169" s="4087" t="s">
        <v>8549</v>
      </c>
      <c r="Q169" s="4970" t="s">
        <v>75</v>
      </c>
      <c r="R169" s="4307" t="s">
        <v>8550</v>
      </c>
      <c r="S169" s="4921"/>
      <c r="T169" s="3723">
        <v>2005</v>
      </c>
      <c r="U169" s="3723">
        <v>1636.5</v>
      </c>
      <c r="V169" s="3364">
        <v>1</v>
      </c>
      <c r="W169" s="3723">
        <f>表15[[#This Row],[Sales Amount]]-表15[[#This Row],[Cost]]</f>
        <v>368.5</v>
      </c>
      <c r="X169" s="3724">
        <f>表15[[#This Row],[Profit]]/表15[[#This Row],[Cost]]</f>
        <v>0.22517567980446074</v>
      </c>
      <c r="Y169" s="3364"/>
      <c r="Z169" s="3708"/>
    </row>
    <row r="170" spans="1:26" s="26" customFormat="1">
      <c r="A170" s="3684" t="s">
        <v>4321</v>
      </c>
      <c r="B170" s="4870" t="s">
        <v>8551</v>
      </c>
      <c r="C170" s="4839" t="s">
        <v>28</v>
      </c>
      <c r="D170" s="3674">
        <v>45426</v>
      </c>
      <c r="E170" s="3644">
        <v>45436</v>
      </c>
      <c r="F170" s="3275" t="s">
        <v>93</v>
      </c>
      <c r="G170" s="4839" t="s">
        <v>46</v>
      </c>
      <c r="H170" s="3267"/>
      <c r="I170" s="3258"/>
      <c r="J170" s="3347" t="s">
        <v>32</v>
      </c>
      <c r="K170" s="3275" t="s">
        <v>47</v>
      </c>
      <c r="L170" s="4249" t="s">
        <v>8552</v>
      </c>
      <c r="M170" s="3682"/>
      <c r="N170" s="3682">
        <v>45438</v>
      </c>
      <c r="O170" s="3682">
        <v>45442</v>
      </c>
      <c r="P170" s="3267" t="s">
        <v>8553</v>
      </c>
      <c r="Q170" s="4839" t="s">
        <v>6852</v>
      </c>
      <c r="R170" s="3261" t="s">
        <v>534</v>
      </c>
      <c r="S170" s="3261"/>
      <c r="T170" s="3258"/>
      <c r="U170" s="3258"/>
      <c r="V170" s="3258"/>
      <c r="W170" s="3258"/>
      <c r="X170" s="3258"/>
      <c r="Y170" s="3258"/>
      <c r="Z170" s="3259"/>
    </row>
    <row r="171" spans="1:26" s="106" customFormat="1">
      <c r="A171" s="3684" t="s">
        <v>409</v>
      </c>
      <c r="B171" s="3275" t="s">
        <v>8554</v>
      </c>
      <c r="C171" s="4839" t="s">
        <v>28</v>
      </c>
      <c r="D171" s="3674">
        <v>45432</v>
      </c>
      <c r="E171" s="3644">
        <v>45438</v>
      </c>
      <c r="F171" s="3275" t="s">
        <v>260</v>
      </c>
      <c r="G171" s="4852" t="s">
        <v>46</v>
      </c>
      <c r="H171" s="3534"/>
      <c r="I171" s="3246"/>
      <c r="J171" s="3331" t="s">
        <v>32</v>
      </c>
      <c r="K171" s="3275" t="s">
        <v>47</v>
      </c>
      <c r="L171" s="1" t="s">
        <v>8555</v>
      </c>
      <c r="M171" s="3682">
        <v>45442</v>
      </c>
      <c r="N171" s="3682">
        <v>45441</v>
      </c>
      <c r="O171" s="3682">
        <v>45447</v>
      </c>
      <c r="P171" s="3283" t="s">
        <v>8556</v>
      </c>
      <c r="Q171" s="5128" t="s">
        <v>6852</v>
      </c>
      <c r="R171" s="3261" t="s">
        <v>51</v>
      </c>
      <c r="S171" s="3261"/>
      <c r="T171" s="3258"/>
      <c r="U171" s="3258"/>
      <c r="V171" s="3258"/>
      <c r="W171" s="3258"/>
      <c r="X171" s="3258"/>
      <c r="Y171" s="3258"/>
      <c r="Z171" s="3259"/>
    </row>
    <row r="172" spans="1:26" s="709" customFormat="1">
      <c r="A172" s="4663" t="s">
        <v>409</v>
      </c>
      <c r="B172" s="3275" t="s">
        <v>8557</v>
      </c>
      <c r="C172" s="3275" t="s">
        <v>28</v>
      </c>
      <c r="D172" s="3674">
        <v>45440</v>
      </c>
      <c r="E172" s="2396">
        <v>45451</v>
      </c>
      <c r="F172" s="4221" t="s">
        <v>151</v>
      </c>
      <c r="G172" s="3275" t="s">
        <v>8558</v>
      </c>
      <c r="H172" s="3534"/>
      <c r="I172" s="3246"/>
      <c r="J172" s="3331" t="s">
        <v>32</v>
      </c>
      <c r="K172" s="3275" t="s">
        <v>47</v>
      </c>
      <c r="L172" s="4870">
        <v>889069</v>
      </c>
      <c r="M172" s="3682">
        <v>45454</v>
      </c>
      <c r="N172" s="3682">
        <v>45454</v>
      </c>
      <c r="O172" s="3682">
        <v>45457</v>
      </c>
      <c r="P172" s="3283" t="s">
        <v>8559</v>
      </c>
      <c r="Q172" s="5128" t="s">
        <v>6852</v>
      </c>
      <c r="R172" s="3261" t="s">
        <v>51</v>
      </c>
      <c r="S172" s="3261"/>
      <c r="T172" s="3258"/>
      <c r="U172" s="3258"/>
      <c r="V172" s="3258"/>
      <c r="W172" s="3258"/>
      <c r="X172" s="3258"/>
      <c r="Y172" s="3258"/>
      <c r="Z172" s="3259"/>
    </row>
    <row r="173" spans="1:26" s="117" customFormat="1" ht="120">
      <c r="A173" s="3417" t="s">
        <v>788</v>
      </c>
      <c r="B173" s="4242" t="s">
        <v>8560</v>
      </c>
      <c r="C173" s="3268" t="s">
        <v>28</v>
      </c>
      <c r="D173" s="3262">
        <v>45426</v>
      </c>
      <c r="E173" s="879">
        <v>45435</v>
      </c>
      <c r="F173" s="3268" t="s">
        <v>167</v>
      </c>
      <c r="G173" s="3380" t="s">
        <v>8174</v>
      </c>
      <c r="H173" s="3262">
        <v>45440</v>
      </c>
      <c r="I173" s="3268" t="s">
        <v>1541</v>
      </c>
      <c r="J173" s="3462" t="s">
        <v>3206</v>
      </c>
      <c r="K173" s="3293" t="s">
        <v>8263</v>
      </c>
      <c r="L173" s="3367" t="s">
        <v>8561</v>
      </c>
      <c r="M173" s="4241">
        <v>45438</v>
      </c>
      <c r="N173" s="3262">
        <v>45436</v>
      </c>
      <c r="O173" s="3262">
        <v>45442</v>
      </c>
      <c r="P173" s="4280" t="s">
        <v>8562</v>
      </c>
      <c r="Q173" s="3678" t="s">
        <v>75</v>
      </c>
      <c r="R173" s="36" t="s">
        <v>8563</v>
      </c>
      <c r="S173" s="3268"/>
      <c r="T173" s="3679">
        <v>3547.5</v>
      </c>
      <c r="U173" s="3393">
        <f>2547-270+110</f>
        <v>2387</v>
      </c>
      <c r="V173" s="3268">
        <v>1</v>
      </c>
      <c r="W173" s="3679">
        <f>表15[[#This Row],[Sales Amount]]-表15[[#This Row],[Cost]]</f>
        <v>1160.5</v>
      </c>
      <c r="X173" s="3269">
        <f>表15[[#This Row],[Profit]]/表15[[#This Row],[Cost]]</f>
        <v>0.48617511520737328</v>
      </c>
      <c r="Y173" s="3268"/>
      <c r="Z173" s="3270"/>
    </row>
    <row r="174" spans="1:26" s="709" customFormat="1">
      <c r="A174" s="3684" t="s">
        <v>409</v>
      </c>
      <c r="B174" s="3275" t="s">
        <v>8564</v>
      </c>
      <c r="C174" s="4839" t="s">
        <v>28</v>
      </c>
      <c r="D174" s="3674">
        <v>45432</v>
      </c>
      <c r="E174" s="3644">
        <v>45437</v>
      </c>
      <c r="F174" s="3275" t="s">
        <v>260</v>
      </c>
      <c r="G174" s="4839" t="s">
        <v>46</v>
      </c>
      <c r="H174" s="3534"/>
      <c r="I174" s="3246"/>
      <c r="J174" s="3331" t="s">
        <v>32</v>
      </c>
      <c r="K174" s="3275" t="s">
        <v>47</v>
      </c>
      <c r="L174" s="4249" t="s">
        <v>8565</v>
      </c>
      <c r="M174" s="3682">
        <v>45442</v>
      </c>
      <c r="N174" s="3682">
        <v>45440</v>
      </c>
      <c r="O174" s="3682">
        <v>45442</v>
      </c>
      <c r="P174" s="3283" t="s">
        <v>8566</v>
      </c>
      <c r="Q174" s="5128" t="s">
        <v>6852</v>
      </c>
      <c r="R174" s="3261" t="s">
        <v>51</v>
      </c>
      <c r="S174" s="3261"/>
      <c r="T174" s="3258"/>
      <c r="U174" s="3258"/>
      <c r="V174" s="3258"/>
      <c r="W174" s="3258"/>
      <c r="X174" s="3258"/>
      <c r="Y174" s="3258"/>
      <c r="Z174" s="3259"/>
    </row>
    <row r="175" spans="1:26" s="106" customFormat="1">
      <c r="A175" s="3684" t="s">
        <v>409</v>
      </c>
      <c r="B175" s="3729" t="s">
        <v>8567</v>
      </c>
      <c r="C175" s="4839" t="s">
        <v>28</v>
      </c>
      <c r="D175" s="3674">
        <v>45432</v>
      </c>
      <c r="E175" s="3644">
        <v>45439</v>
      </c>
      <c r="F175" s="3275" t="s">
        <v>260</v>
      </c>
      <c r="G175" s="4870" t="s">
        <v>46</v>
      </c>
      <c r="H175" s="3534"/>
      <c r="I175" s="3246"/>
      <c r="J175" s="3331" t="s">
        <v>32</v>
      </c>
      <c r="K175" s="3275" t="s">
        <v>47</v>
      </c>
      <c r="L175" s="3261">
        <v>213406</v>
      </c>
      <c r="M175" s="1380">
        <v>45442</v>
      </c>
      <c r="N175" s="3682">
        <v>45441</v>
      </c>
      <c r="O175" s="3682">
        <v>45446</v>
      </c>
      <c r="P175" s="3283" t="s">
        <v>8568</v>
      </c>
      <c r="Q175" s="5128" t="s">
        <v>6852</v>
      </c>
      <c r="R175" s="3261" t="s">
        <v>51</v>
      </c>
      <c r="S175" s="3261"/>
      <c r="T175" s="3258"/>
      <c r="U175" s="3258"/>
      <c r="V175" s="3258"/>
      <c r="W175" s="3258"/>
      <c r="X175" s="3258"/>
      <c r="Y175" s="3258"/>
      <c r="Z175" s="3259"/>
    </row>
    <row r="176" spans="1:26" s="106" customFormat="1">
      <c r="A176" s="3684" t="s">
        <v>409</v>
      </c>
      <c r="B176" s="3275" t="s">
        <v>8569</v>
      </c>
      <c r="C176" s="4839" t="s">
        <v>28</v>
      </c>
      <c r="D176" s="3674">
        <v>45432</v>
      </c>
      <c r="E176" s="3644">
        <v>45439</v>
      </c>
      <c r="F176" s="3275" t="s">
        <v>260</v>
      </c>
      <c r="G176" s="4852" t="s">
        <v>46</v>
      </c>
      <c r="H176" s="3534"/>
      <c r="I176" s="3246"/>
      <c r="J176" s="3331" t="s">
        <v>32</v>
      </c>
      <c r="K176" s="3275" t="s">
        <v>47</v>
      </c>
      <c r="L176" s="3261" t="s">
        <v>8570</v>
      </c>
      <c r="M176" s="3682">
        <v>45442</v>
      </c>
      <c r="N176" s="3682">
        <v>45442</v>
      </c>
      <c r="O176" s="3682">
        <v>45446</v>
      </c>
      <c r="P176" s="3283" t="s">
        <v>8556</v>
      </c>
      <c r="Q176" s="5128" t="s">
        <v>6852</v>
      </c>
      <c r="R176" s="3261" t="s">
        <v>51</v>
      </c>
      <c r="S176" s="3261"/>
      <c r="T176" s="3258"/>
      <c r="U176" s="3258"/>
      <c r="V176" s="3258"/>
      <c r="W176" s="3258"/>
      <c r="X176" s="3258"/>
      <c r="Y176" s="3258"/>
      <c r="Z176" s="3259"/>
    </row>
    <row r="177" spans="1:26" s="106" customFormat="1">
      <c r="A177" s="3717" t="s">
        <v>7322</v>
      </c>
      <c r="B177" s="3275" t="s">
        <v>8571</v>
      </c>
      <c r="C177" s="4839" t="s">
        <v>28</v>
      </c>
      <c r="D177" s="3279">
        <v>45433</v>
      </c>
      <c r="E177" s="3383">
        <v>45442</v>
      </c>
      <c r="F177" s="3275" t="s">
        <v>29</v>
      </c>
      <c r="G177" s="4839" t="s">
        <v>6204</v>
      </c>
      <c r="H177" s="3279" t="s">
        <v>8463</v>
      </c>
      <c r="I177" s="3275" t="s">
        <v>532</v>
      </c>
      <c r="J177" s="3730" t="s">
        <v>551</v>
      </c>
      <c r="K177" s="3275" t="s">
        <v>8074</v>
      </c>
      <c r="L177" s="3275" t="s">
        <v>1677</v>
      </c>
      <c r="M177" s="3279">
        <v>45446</v>
      </c>
      <c r="N177" s="3275"/>
      <c r="O177" s="3275"/>
      <c r="P177" s="3283" t="s">
        <v>8464</v>
      </c>
      <c r="Q177" s="4839" t="s">
        <v>862</v>
      </c>
      <c r="R177" s="3261" t="s">
        <v>51</v>
      </c>
      <c r="S177" s="3261" t="s">
        <v>37</v>
      </c>
      <c r="T177" s="3255"/>
      <c r="U177" s="3255"/>
      <c r="V177" s="3255"/>
      <c r="W177" s="3255"/>
      <c r="X177" s="3255"/>
      <c r="Y177" s="3255"/>
      <c r="Z177" s="3256"/>
    </row>
    <row r="178" spans="1:26" s="106" customFormat="1">
      <c r="A178" s="3700" t="s">
        <v>7322</v>
      </c>
      <c r="B178" s="3701" t="s">
        <v>8572</v>
      </c>
      <c r="C178" s="4895" t="s">
        <v>200</v>
      </c>
      <c r="D178" s="3675">
        <v>45421</v>
      </c>
      <c r="E178" s="3676">
        <v>45424</v>
      </c>
      <c r="F178" s="3241" t="s">
        <v>151</v>
      </c>
      <c r="G178" s="4895" t="s">
        <v>6204</v>
      </c>
      <c r="H178" s="338">
        <v>45429</v>
      </c>
      <c r="I178" s="4213" t="s">
        <v>495</v>
      </c>
      <c r="J178" s="5489" t="s">
        <v>551</v>
      </c>
      <c r="K178" s="4895" t="s">
        <v>8074</v>
      </c>
      <c r="L178" s="3241" t="s">
        <v>1677</v>
      </c>
      <c r="M178" s="3675">
        <v>45429</v>
      </c>
      <c r="N178" s="3675">
        <v>45428</v>
      </c>
      <c r="O178" s="3675">
        <v>45432</v>
      </c>
      <c r="P178" s="3622" t="s">
        <v>8203</v>
      </c>
      <c r="Q178" s="3241" t="s">
        <v>862</v>
      </c>
      <c r="R178" s="3703" t="s">
        <v>51</v>
      </c>
      <c r="S178" s="4872" t="s">
        <v>37</v>
      </c>
      <c r="T178" s="3255">
        <v>1705</v>
      </c>
      <c r="U178" s="3255">
        <v>1409.2</v>
      </c>
      <c r="V178" s="3255"/>
      <c r="W178" s="3255"/>
      <c r="X178" s="3255"/>
      <c r="Y178" s="3255"/>
      <c r="Z178" s="3256"/>
    </row>
    <row r="179" spans="1:26" s="106" customFormat="1">
      <c r="A179" s="3688" t="s">
        <v>409</v>
      </c>
      <c r="B179" s="3261" t="s">
        <v>8573</v>
      </c>
      <c r="C179" s="4839" t="s">
        <v>28</v>
      </c>
      <c r="D179" s="3674">
        <v>45425</v>
      </c>
      <c r="E179" s="3644">
        <v>45433</v>
      </c>
      <c r="F179" s="3275" t="s">
        <v>260</v>
      </c>
      <c r="G179" s="4870" t="s">
        <v>46</v>
      </c>
      <c r="H179" s="707"/>
      <c r="I179" s="3258"/>
      <c r="J179" s="4901" t="s">
        <v>32</v>
      </c>
      <c r="K179" s="4839" t="s">
        <v>47</v>
      </c>
      <c r="L179" s="3261" t="s">
        <v>8574</v>
      </c>
      <c r="M179" s="3674">
        <v>45434</v>
      </c>
      <c r="N179" s="3674">
        <v>45432</v>
      </c>
      <c r="O179" s="3674">
        <v>45433</v>
      </c>
      <c r="P179" s="3283" t="s">
        <v>8575</v>
      </c>
      <c r="Q179" s="3715" t="s">
        <v>6852</v>
      </c>
      <c r="R179" s="1" t="s">
        <v>51</v>
      </c>
      <c r="S179" s="4870"/>
      <c r="T179" s="3258"/>
      <c r="U179" s="3258"/>
      <c r="V179" s="707"/>
      <c r="W179" s="707"/>
      <c r="X179" s="707"/>
      <c r="Y179" s="3258"/>
      <c r="Z179" s="3259"/>
    </row>
    <row r="180" spans="1:26" s="709" customFormat="1" ht="60">
      <c r="A180" s="3731" t="s">
        <v>409</v>
      </c>
      <c r="B180" s="4380" t="s">
        <v>8576</v>
      </c>
      <c r="C180" s="4970" t="s">
        <v>200</v>
      </c>
      <c r="D180" s="3467">
        <v>45431</v>
      </c>
      <c r="E180" s="3719">
        <v>45442</v>
      </c>
      <c r="F180" s="4307" t="s">
        <v>1357</v>
      </c>
      <c r="G180" s="4970" t="s">
        <v>8577</v>
      </c>
      <c r="H180" s="4378">
        <v>45455</v>
      </c>
      <c r="I180" s="4307"/>
      <c r="J180" s="3364" t="s">
        <v>6713</v>
      </c>
      <c r="K180" s="4307" t="s">
        <v>8578</v>
      </c>
      <c r="L180" s="4307" t="s">
        <v>8579</v>
      </c>
      <c r="M180" s="1241">
        <v>45447</v>
      </c>
      <c r="N180" s="3321">
        <v>45447</v>
      </c>
      <c r="O180" s="3467">
        <v>45455</v>
      </c>
      <c r="P180" s="4321" t="s">
        <v>8580</v>
      </c>
      <c r="Q180" s="3722" t="s">
        <v>75</v>
      </c>
      <c r="R180" s="4380" t="s">
        <v>8581</v>
      </c>
      <c r="S180" s="3364"/>
      <c r="T180" s="3723">
        <v>1975</v>
      </c>
      <c r="U180" s="3723">
        <v>1927.22</v>
      </c>
      <c r="V180" s="3364">
        <v>1</v>
      </c>
      <c r="W180" s="3723">
        <f>表15[[#This Row],[Sales Amount]]-表15[[#This Row],[Cost]]</f>
        <v>47.779999999999973</v>
      </c>
      <c r="X180" s="3732">
        <f>表15[[#This Row],[Profit]]/表15[[#This Row],[Cost]]</f>
        <v>2.4792187710795846E-2</v>
      </c>
      <c r="Y180" s="3364"/>
      <c r="Z180" s="3708"/>
    </row>
    <row r="181" spans="1:26" s="106" customFormat="1">
      <c r="A181" s="3684" t="s">
        <v>409</v>
      </c>
      <c r="B181" s="3235" t="s">
        <v>8582</v>
      </c>
      <c r="C181" s="4839" t="s">
        <v>28</v>
      </c>
      <c r="D181" s="3674">
        <v>45432</v>
      </c>
      <c r="E181" s="3644">
        <v>45439</v>
      </c>
      <c r="F181" s="3275" t="s">
        <v>260</v>
      </c>
      <c r="G181" s="4852" t="s">
        <v>46</v>
      </c>
      <c r="H181" s="3534"/>
      <c r="I181" s="3246"/>
      <c r="J181" s="3331" t="s">
        <v>32</v>
      </c>
      <c r="K181" s="3275" t="s">
        <v>47</v>
      </c>
      <c r="L181" s="1" t="s">
        <v>8583</v>
      </c>
      <c r="M181" s="3682">
        <v>45442</v>
      </c>
      <c r="N181" s="3682">
        <v>45442</v>
      </c>
      <c r="O181" s="3682">
        <v>45446</v>
      </c>
      <c r="P181" s="3283" t="s">
        <v>8584</v>
      </c>
      <c r="Q181" s="3715" t="s">
        <v>6852</v>
      </c>
      <c r="R181" s="3261" t="s">
        <v>51</v>
      </c>
      <c r="S181" s="3261"/>
      <c r="T181" s="3258"/>
      <c r="U181" s="3258"/>
      <c r="V181" s="3258"/>
      <c r="W181" s="3258"/>
      <c r="X181" s="3258"/>
      <c r="Y181" s="3258"/>
      <c r="Z181" s="3259"/>
    </row>
    <row r="182" spans="1:26" s="709" customFormat="1">
      <c r="A182" s="3239" t="s">
        <v>681</v>
      </c>
      <c r="B182" s="3241">
        <v>6384005230</v>
      </c>
      <c r="C182" s="4895" t="s">
        <v>28</v>
      </c>
      <c r="D182" s="3704">
        <v>45441</v>
      </c>
      <c r="E182" s="5485">
        <v>45457</v>
      </c>
      <c r="F182" s="3241" t="s">
        <v>45</v>
      </c>
      <c r="G182" s="4895" t="s">
        <v>302</v>
      </c>
      <c r="H182" s="3069">
        <v>45426</v>
      </c>
      <c r="I182" s="3075" t="s">
        <v>40</v>
      </c>
      <c r="J182" s="3241" t="s">
        <v>32</v>
      </c>
      <c r="K182" s="3241" t="s">
        <v>302</v>
      </c>
      <c r="L182" s="2"/>
      <c r="M182" s="6" t="s">
        <v>8585</v>
      </c>
      <c r="N182" s="3707"/>
      <c r="O182" s="3707"/>
      <c r="P182" s="4328" t="s">
        <v>8586</v>
      </c>
      <c r="Q182" s="3733" t="s">
        <v>862</v>
      </c>
      <c r="R182" s="4376" t="s">
        <v>51</v>
      </c>
      <c r="S182" s="4376" t="s">
        <v>8097</v>
      </c>
      <c r="T182" s="3255">
        <v>1080</v>
      </c>
      <c r="U182" s="3255">
        <v>980</v>
      </c>
      <c r="V182" s="3255"/>
      <c r="W182" s="3255"/>
      <c r="X182" s="3255"/>
      <c r="Y182" s="3255"/>
      <c r="Z182" s="3256"/>
    </row>
    <row r="183" spans="1:26" s="709" customFormat="1" ht="30">
      <c r="A183" s="3686" t="s">
        <v>165</v>
      </c>
      <c r="B183" s="4242" t="s">
        <v>8587</v>
      </c>
      <c r="C183" s="4845" t="s">
        <v>28</v>
      </c>
      <c r="D183" s="3262">
        <v>45419</v>
      </c>
      <c r="E183" s="3377">
        <v>45419</v>
      </c>
      <c r="F183" s="4242" t="s">
        <v>151</v>
      </c>
      <c r="G183" s="4947" t="s">
        <v>4355</v>
      </c>
      <c r="H183" s="3366">
        <v>45425</v>
      </c>
      <c r="I183" s="4242" t="s">
        <v>6861</v>
      </c>
      <c r="J183" s="3462" t="s">
        <v>322</v>
      </c>
      <c r="K183" s="4242" t="s">
        <v>4357</v>
      </c>
      <c r="L183" s="117"/>
      <c r="M183" s="839">
        <v>45425</v>
      </c>
      <c r="N183" s="3262">
        <v>45425</v>
      </c>
      <c r="O183" s="4241">
        <v>45429</v>
      </c>
      <c r="P183" s="4246" t="s">
        <v>8588</v>
      </c>
      <c r="Q183" s="3268" t="s">
        <v>75</v>
      </c>
      <c r="R183" s="3376" t="s">
        <v>8589</v>
      </c>
      <c r="S183" s="3268"/>
      <c r="T183" s="3268">
        <v>1185</v>
      </c>
      <c r="U183" s="3268">
        <v>997.8</v>
      </c>
      <c r="V183" s="3268">
        <v>1</v>
      </c>
      <c r="W183" s="3268">
        <f>表15[[#This Row],[Sales Amount]]-表15[[#This Row],[Cost]]</f>
        <v>187.20000000000005</v>
      </c>
      <c r="X183" s="3269">
        <f>表15[[#This Row],[Profit]]/表15[[#This Row],[Cost]]</f>
        <v>0.18761274804570061</v>
      </c>
      <c r="Y183" s="3268"/>
      <c r="Z183" s="3270"/>
    </row>
    <row r="184" spans="1:26" s="1442" customFormat="1">
      <c r="A184" s="3239" t="s">
        <v>3343</v>
      </c>
      <c r="B184" s="3734" t="s">
        <v>8590</v>
      </c>
      <c r="C184" s="4895" t="s">
        <v>28</v>
      </c>
      <c r="D184" s="3704">
        <v>45437</v>
      </c>
      <c r="E184" s="3705">
        <v>45444</v>
      </c>
      <c r="F184" s="3241" t="s">
        <v>45</v>
      </c>
      <c r="G184" s="4872" t="s">
        <v>46</v>
      </c>
      <c r="H184" s="3069"/>
      <c r="I184" s="3075"/>
      <c r="J184" s="3241" t="s">
        <v>32</v>
      </c>
      <c r="K184" s="3241" t="s">
        <v>47</v>
      </c>
      <c r="L184" s="2" t="s">
        <v>8591</v>
      </c>
      <c r="M184" s="3707">
        <v>45446</v>
      </c>
      <c r="N184" s="3707">
        <v>45446</v>
      </c>
      <c r="O184" s="3707">
        <v>45447</v>
      </c>
      <c r="P184" s="3622" t="s">
        <v>8592</v>
      </c>
      <c r="Q184" s="3733" t="s">
        <v>6852</v>
      </c>
      <c r="R184" s="3673" t="s">
        <v>51</v>
      </c>
      <c r="S184" s="3673"/>
      <c r="T184" s="3255">
        <v>3103.8</v>
      </c>
      <c r="U184" s="3255"/>
      <c r="V184" s="3255"/>
      <c r="W184" s="3255"/>
      <c r="X184" s="3255"/>
      <c r="Y184" s="3255"/>
      <c r="Z184" s="3256"/>
    </row>
    <row r="185" spans="1:26" s="709" customFormat="1">
      <c r="A185" s="3684" t="s">
        <v>409</v>
      </c>
      <c r="B185" s="3275" t="s">
        <v>8593</v>
      </c>
      <c r="C185" s="4839" t="s">
        <v>28</v>
      </c>
      <c r="D185" s="3674">
        <v>45434</v>
      </c>
      <c r="E185" s="1668">
        <v>45452</v>
      </c>
      <c r="F185" s="3275" t="s">
        <v>151</v>
      </c>
      <c r="G185" s="4870" t="s">
        <v>46</v>
      </c>
      <c r="H185" s="3534"/>
      <c r="I185" s="3246"/>
      <c r="J185" s="913" t="s">
        <v>32</v>
      </c>
      <c r="K185" s="3357" t="s">
        <v>47</v>
      </c>
      <c r="L185" s="2824" t="s">
        <v>8594</v>
      </c>
      <c r="M185" s="3682"/>
      <c r="N185" s="3682">
        <v>45452</v>
      </c>
      <c r="O185" s="3682">
        <v>45455</v>
      </c>
      <c r="P185" s="3283" t="s">
        <v>8595</v>
      </c>
      <c r="Q185" s="3715" t="s">
        <v>6852</v>
      </c>
      <c r="R185" s="3261" t="s">
        <v>36</v>
      </c>
      <c r="S185" s="3261"/>
      <c r="T185" s="3258"/>
      <c r="U185" s="3258"/>
      <c r="V185" s="3258"/>
      <c r="W185" s="3258"/>
      <c r="X185" s="3258"/>
      <c r="Y185" s="3258"/>
      <c r="Z185" s="3259"/>
    </row>
    <row r="186" spans="1:26" s="709" customFormat="1">
      <c r="A186" s="3235" t="s">
        <v>3343</v>
      </c>
      <c r="B186" s="58" t="s">
        <v>8596</v>
      </c>
      <c r="C186" s="58" t="s">
        <v>28</v>
      </c>
      <c r="D186" s="3674">
        <v>45428</v>
      </c>
      <c r="E186" s="3644">
        <v>45438</v>
      </c>
      <c r="F186" s="58" t="s">
        <v>45</v>
      </c>
      <c r="G186" s="1" t="s">
        <v>46</v>
      </c>
      <c r="H186" s="3534"/>
      <c r="I186" s="3246"/>
      <c r="J186" s="1144" t="s">
        <v>32</v>
      </c>
      <c r="K186" s="58" t="s">
        <v>47</v>
      </c>
      <c r="L186" s="3261" t="s">
        <v>8597</v>
      </c>
      <c r="M186" s="3682">
        <v>45441</v>
      </c>
      <c r="N186" s="3682">
        <v>45441</v>
      </c>
      <c r="O186" s="3682">
        <v>45444</v>
      </c>
      <c r="P186" s="1019" t="s">
        <v>8598</v>
      </c>
      <c r="Q186" s="3715" t="s">
        <v>6852</v>
      </c>
      <c r="R186" s="3261" t="s">
        <v>36</v>
      </c>
      <c r="S186" s="3261"/>
      <c r="T186" s="3258"/>
      <c r="U186" s="3258"/>
      <c r="V186" s="3258"/>
      <c r="W186" s="3258"/>
      <c r="X186" s="3258"/>
      <c r="Y186" s="3258"/>
      <c r="Z186" s="3259"/>
    </row>
    <row r="187" spans="1:26" s="727" customFormat="1">
      <c r="A187" s="4599" t="s">
        <v>3343</v>
      </c>
      <c r="B187" s="4839" t="s">
        <v>8599</v>
      </c>
      <c r="C187" s="4839" t="s">
        <v>28</v>
      </c>
      <c r="D187" s="4897">
        <v>45437</v>
      </c>
      <c r="E187" s="4912">
        <v>45447</v>
      </c>
      <c r="F187" s="4839" t="s">
        <v>45</v>
      </c>
      <c r="G187" s="4870" t="s">
        <v>46</v>
      </c>
      <c r="H187" s="4953"/>
      <c r="I187" s="4861"/>
      <c r="J187" s="4839" t="s">
        <v>32</v>
      </c>
      <c r="K187" s="4839" t="s">
        <v>47</v>
      </c>
      <c r="L187" s="4943" t="s">
        <v>8600</v>
      </c>
      <c r="M187" s="4877">
        <v>45449</v>
      </c>
      <c r="N187" s="4877">
        <v>45449</v>
      </c>
      <c r="O187" s="4877">
        <v>45452</v>
      </c>
      <c r="P187" s="4871" t="s">
        <v>8601</v>
      </c>
      <c r="Q187" s="5128" t="s">
        <v>6852</v>
      </c>
      <c r="R187" s="4870" t="s">
        <v>51</v>
      </c>
      <c r="S187" s="4870"/>
      <c r="T187" s="4882"/>
      <c r="U187" s="4882"/>
      <c r="V187" s="4882"/>
      <c r="W187" s="4882"/>
      <c r="X187" s="4882"/>
      <c r="Y187" s="4882"/>
      <c r="Z187" s="5055"/>
    </row>
    <row r="188" spans="1:26" s="727" customFormat="1">
      <c r="A188" s="4599" t="s">
        <v>409</v>
      </c>
      <c r="B188" s="4839" t="s">
        <v>8602</v>
      </c>
      <c r="C188" s="4839" t="s">
        <v>28</v>
      </c>
      <c r="D188" s="4897">
        <v>45441</v>
      </c>
      <c r="E188" s="4912">
        <f>7+表15[[#This Row],[ETA PORT]]</f>
        <v>45448</v>
      </c>
      <c r="F188" s="4839" t="s">
        <v>2225</v>
      </c>
      <c r="G188" s="4839" t="s">
        <v>1350</v>
      </c>
      <c r="H188" s="4953"/>
      <c r="I188" s="4861"/>
      <c r="J188" s="4870" t="s">
        <v>32</v>
      </c>
      <c r="K188" s="4839">
        <v>297667</v>
      </c>
      <c r="L188" s="4870">
        <v>297667</v>
      </c>
      <c r="M188" s="4877">
        <v>45452</v>
      </c>
      <c r="N188" s="4877">
        <v>45451</v>
      </c>
      <c r="O188" s="4877">
        <v>45452</v>
      </c>
      <c r="P188" s="1019" t="s">
        <v>8603</v>
      </c>
      <c r="Q188" s="5128" t="s">
        <v>6852</v>
      </c>
      <c r="R188" s="1" t="s">
        <v>51</v>
      </c>
      <c r="S188" s="1"/>
      <c r="T188" s="4882"/>
      <c r="U188" s="4882"/>
      <c r="V188" s="4882"/>
      <c r="W188" s="4882"/>
      <c r="X188" s="4882"/>
      <c r="Y188" s="4882"/>
      <c r="Z188" s="5055"/>
    </row>
    <row r="189" spans="1:26" s="152" customFormat="1">
      <c r="A189" s="4666" t="s">
        <v>4277</v>
      </c>
      <c r="B189" s="4872" t="s">
        <v>8604</v>
      </c>
      <c r="C189" s="4895" t="s">
        <v>28</v>
      </c>
      <c r="D189" s="5485">
        <v>45414</v>
      </c>
      <c r="E189" s="5486">
        <v>45437</v>
      </c>
      <c r="F189" s="4895" t="s">
        <v>45</v>
      </c>
      <c r="G189" s="4895" t="s">
        <v>46</v>
      </c>
      <c r="H189" s="4873"/>
      <c r="I189" s="4873"/>
      <c r="J189" s="5171" t="s">
        <v>32</v>
      </c>
      <c r="K189" s="4895" t="s">
        <v>47</v>
      </c>
      <c r="L189" s="5488" t="s">
        <v>8605</v>
      </c>
      <c r="M189" s="5485">
        <v>45441</v>
      </c>
      <c r="N189" s="5485">
        <v>45439</v>
      </c>
      <c r="O189" s="5485">
        <v>45440</v>
      </c>
      <c r="P189" s="5087" t="s">
        <v>8606</v>
      </c>
      <c r="Q189" s="5501" t="s">
        <v>6852</v>
      </c>
      <c r="R189" s="2" t="s">
        <v>36</v>
      </c>
      <c r="S189" s="2"/>
      <c r="T189" s="4873">
        <v>3850</v>
      </c>
      <c r="U189" s="4873"/>
      <c r="V189" s="4873"/>
      <c r="W189" s="4873"/>
      <c r="X189" s="4873"/>
      <c r="Y189" s="4873"/>
      <c r="Z189" s="5074"/>
    </row>
    <row r="190" spans="1:26" s="718" customFormat="1">
      <c r="A190" s="3235" t="s">
        <v>3343</v>
      </c>
      <c r="B190" s="3275" t="s">
        <v>8607</v>
      </c>
      <c r="C190" s="3275" t="s">
        <v>28</v>
      </c>
      <c r="D190" s="3674">
        <v>45437</v>
      </c>
      <c r="E190" s="3644">
        <v>45447</v>
      </c>
      <c r="F190" s="3275" t="s">
        <v>45</v>
      </c>
      <c r="G190" s="3261" t="s">
        <v>46</v>
      </c>
      <c r="H190" s="3534"/>
      <c r="I190" s="3246"/>
      <c r="J190" s="4839" t="s">
        <v>32</v>
      </c>
      <c r="K190" s="3275" t="s">
        <v>47</v>
      </c>
      <c r="L190" s="3735" t="s">
        <v>8608</v>
      </c>
      <c r="M190" s="3682">
        <v>45449</v>
      </c>
      <c r="N190" s="3682">
        <v>45448</v>
      </c>
      <c r="O190" s="3682">
        <v>45449</v>
      </c>
      <c r="P190" s="3283" t="s">
        <v>8609</v>
      </c>
      <c r="Q190" s="5128" t="s">
        <v>6852</v>
      </c>
      <c r="R190" s="3261" t="s">
        <v>51</v>
      </c>
      <c r="S190" s="3261"/>
      <c r="T190" s="3258"/>
      <c r="U190" s="3258"/>
      <c r="V190" s="3258"/>
      <c r="W190" s="3258"/>
      <c r="X190" s="3258"/>
      <c r="Y190" s="3258"/>
      <c r="Z190" s="3259"/>
    </row>
    <row r="191" spans="1:26" s="709" customFormat="1" ht="15.75">
      <c r="A191" s="3548" t="s">
        <v>4277</v>
      </c>
      <c r="B191" s="3736" t="s">
        <v>8610</v>
      </c>
      <c r="C191" s="3075" t="s">
        <v>28</v>
      </c>
      <c r="D191" s="3694">
        <v>45414</v>
      </c>
      <c r="E191" s="3737">
        <v>45430</v>
      </c>
      <c r="F191" s="3075" t="s">
        <v>151</v>
      </c>
      <c r="G191" s="3241" t="s">
        <v>46</v>
      </c>
      <c r="H191" s="3255"/>
      <c r="I191" s="3255"/>
      <c r="J191" s="3332" t="s">
        <v>32</v>
      </c>
      <c r="K191" s="3241" t="s">
        <v>47</v>
      </c>
      <c r="L191" s="2897" t="s">
        <v>8611</v>
      </c>
      <c r="M191" s="3673"/>
      <c r="N191" s="3704">
        <v>45430</v>
      </c>
      <c r="O191" s="3704">
        <v>45432</v>
      </c>
      <c r="P191" s="3622" t="s">
        <v>8612</v>
      </c>
      <c r="Q191" s="3733" t="s">
        <v>6852</v>
      </c>
      <c r="R191" s="3673" t="s">
        <v>36</v>
      </c>
      <c r="S191" s="3673"/>
      <c r="T191" s="3255">
        <v>3565</v>
      </c>
      <c r="U191" s="3255"/>
      <c r="V191" s="3255"/>
      <c r="W191" s="3255"/>
      <c r="X191" s="3255"/>
      <c r="Y191" s="3255"/>
      <c r="Z191" s="3256"/>
    </row>
    <row r="192" spans="1:26" s="709" customFormat="1">
      <c r="A192" s="3684" t="s">
        <v>4277</v>
      </c>
      <c r="B192" s="3261" t="s">
        <v>8613</v>
      </c>
      <c r="C192" s="3275" t="s">
        <v>28</v>
      </c>
      <c r="D192" s="3674">
        <v>45422</v>
      </c>
      <c r="E192" s="3644">
        <v>45438</v>
      </c>
      <c r="F192" s="3275" t="s">
        <v>45</v>
      </c>
      <c r="G192" s="3275" t="s">
        <v>46</v>
      </c>
      <c r="H192" s="3258"/>
      <c r="I192" s="3258"/>
      <c r="J192" s="3331" t="s">
        <v>32</v>
      </c>
      <c r="K192" s="3275" t="s">
        <v>47</v>
      </c>
      <c r="L192" s="4161" t="s">
        <v>8614</v>
      </c>
      <c r="M192" s="1607">
        <v>45441</v>
      </c>
      <c r="N192" s="3674">
        <v>45441</v>
      </c>
      <c r="O192" s="3674">
        <v>45442</v>
      </c>
      <c r="P192" s="3283" t="s">
        <v>8615</v>
      </c>
      <c r="Q192" s="3715" t="s">
        <v>6852</v>
      </c>
      <c r="R192" s="3261" t="s">
        <v>51</v>
      </c>
      <c r="S192" s="3261"/>
      <c r="T192" s="3258">
        <v>4292</v>
      </c>
      <c r="U192" s="3258"/>
      <c r="V192" s="3258"/>
      <c r="W192" s="3258"/>
      <c r="X192" s="3258"/>
      <c r="Y192" s="3258"/>
      <c r="Z192" s="3259"/>
    </row>
    <row r="193" spans="1:26" s="117" customFormat="1" ht="30">
      <c r="A193" s="3738" t="s">
        <v>165</v>
      </c>
      <c r="B193" s="4970" t="s">
        <v>8616</v>
      </c>
      <c r="C193" s="4307" t="s">
        <v>28</v>
      </c>
      <c r="D193" s="3262">
        <v>45435</v>
      </c>
      <c r="E193" s="3264">
        <v>45435</v>
      </c>
      <c r="F193" s="4242" t="s">
        <v>151</v>
      </c>
      <c r="G193" s="3273" t="s">
        <v>4355</v>
      </c>
      <c r="H193" s="5069">
        <v>45441</v>
      </c>
      <c r="I193" s="4908" t="s">
        <v>8617</v>
      </c>
      <c r="J193" s="3462" t="s">
        <v>322</v>
      </c>
      <c r="K193" s="3364" t="s">
        <v>4357</v>
      </c>
      <c r="L193" s="5207" t="s">
        <v>162</v>
      </c>
      <c r="M193" s="5210">
        <v>45441</v>
      </c>
      <c r="N193" s="5210">
        <v>45441</v>
      </c>
      <c r="O193" s="5210">
        <v>45449</v>
      </c>
      <c r="P193" s="4829" t="s">
        <v>8618</v>
      </c>
      <c r="Q193" s="4921" t="s">
        <v>75</v>
      </c>
      <c r="R193" s="4989" t="s">
        <v>8619</v>
      </c>
      <c r="S193" s="4837"/>
      <c r="T193" s="3268">
        <v>1365</v>
      </c>
      <c r="U193" s="3268">
        <v>1177.8</v>
      </c>
      <c r="V193" s="3268">
        <v>1</v>
      </c>
      <c r="W193" s="3268">
        <f>表15[[#This Row],[Sales Amount]]-表15[[#This Row],[Cost]]</f>
        <v>187.20000000000005</v>
      </c>
      <c r="X193" s="3269">
        <f>表15[[#This Row],[Profit]]/表15[[#This Row],[Cost]]</f>
        <v>0.15894039735099341</v>
      </c>
      <c r="Y193" s="4837"/>
      <c r="Z193" s="5528"/>
    </row>
    <row r="194" spans="1:26">
      <c r="A194" s="3239" t="s">
        <v>3343</v>
      </c>
      <c r="B194" s="5529" t="s">
        <v>8620</v>
      </c>
      <c r="C194" s="3241" t="s">
        <v>28</v>
      </c>
      <c r="D194" s="5485">
        <v>45428</v>
      </c>
      <c r="E194" s="5486">
        <v>45439</v>
      </c>
      <c r="F194" s="3241" t="s">
        <v>45</v>
      </c>
      <c r="G194" s="3673" t="s">
        <v>46</v>
      </c>
      <c r="H194" s="3069"/>
      <c r="I194" s="3075"/>
      <c r="J194" s="5530" t="s">
        <v>32</v>
      </c>
      <c r="K194" s="7" t="s">
        <v>47</v>
      </c>
      <c r="L194" s="4872" t="s">
        <v>8621</v>
      </c>
      <c r="M194" s="3707">
        <v>45444</v>
      </c>
      <c r="N194" s="3707">
        <v>45444</v>
      </c>
      <c r="O194" s="3707">
        <v>45446</v>
      </c>
      <c r="P194" s="5087" t="s">
        <v>8622</v>
      </c>
      <c r="Q194" s="3733" t="s">
        <v>6852</v>
      </c>
      <c r="R194" s="3673" t="s">
        <v>51</v>
      </c>
      <c r="S194" s="3673"/>
      <c r="T194" s="3255">
        <v>3480</v>
      </c>
      <c r="U194" s="3255"/>
      <c r="V194" s="3255"/>
      <c r="W194" s="3255"/>
      <c r="X194" s="3255"/>
      <c r="Y194" s="3255"/>
      <c r="Z194" s="3256"/>
    </row>
    <row r="195" spans="1:26" s="106" customFormat="1">
      <c r="A195" s="3688" t="s">
        <v>409</v>
      </c>
      <c r="B195" s="3261" t="s">
        <v>8623</v>
      </c>
      <c r="C195" s="3275" t="s">
        <v>28</v>
      </c>
      <c r="D195" s="3674">
        <v>45419</v>
      </c>
      <c r="E195" s="3644">
        <v>45426</v>
      </c>
      <c r="F195" s="3275" t="s">
        <v>2225</v>
      </c>
      <c r="G195" s="3261" t="s">
        <v>57</v>
      </c>
      <c r="H195" s="3258"/>
      <c r="I195" s="3258"/>
      <c r="J195" s="4901" t="s">
        <v>32</v>
      </c>
      <c r="K195" s="3357" t="s">
        <v>47</v>
      </c>
      <c r="L195" s="3281">
        <v>8420219</v>
      </c>
      <c r="M195" s="3674">
        <v>45429</v>
      </c>
      <c r="N195" s="3674">
        <v>45427</v>
      </c>
      <c r="O195" s="3674">
        <v>45430</v>
      </c>
      <c r="P195" s="3283" t="s">
        <v>8624</v>
      </c>
      <c r="Q195" s="3715" t="s">
        <v>6852</v>
      </c>
      <c r="R195" s="3261" t="s">
        <v>8625</v>
      </c>
      <c r="S195" s="3261"/>
      <c r="T195" s="3258"/>
      <c r="U195" s="3258"/>
      <c r="V195" s="3258"/>
      <c r="W195" s="3258"/>
      <c r="X195" s="3258"/>
      <c r="Y195" s="3258"/>
      <c r="Z195" s="3259"/>
    </row>
    <row r="196" spans="1:26" s="1350" customFormat="1">
      <c r="A196" s="3235" t="s">
        <v>409</v>
      </c>
      <c r="B196" s="3275" t="s">
        <v>8626</v>
      </c>
      <c r="C196" s="4839" t="s">
        <v>28</v>
      </c>
      <c r="D196" s="3674">
        <v>45444</v>
      </c>
      <c r="E196" s="3644">
        <v>45450</v>
      </c>
      <c r="F196" s="3275" t="s">
        <v>2225</v>
      </c>
      <c r="G196" s="3275" t="s">
        <v>1350</v>
      </c>
      <c r="H196" s="3534"/>
      <c r="I196" s="3246"/>
      <c r="J196" s="3261" t="s">
        <v>32</v>
      </c>
      <c r="K196" s="4839" t="s">
        <v>47</v>
      </c>
      <c r="L196" s="4943" t="s">
        <v>8627</v>
      </c>
      <c r="M196" s="4877">
        <v>45453</v>
      </c>
      <c r="N196" s="4877">
        <v>45450</v>
      </c>
      <c r="O196" s="3682">
        <v>45453</v>
      </c>
      <c r="P196" s="3283" t="s">
        <v>8628</v>
      </c>
      <c r="Q196" s="3715" t="s">
        <v>6852</v>
      </c>
      <c r="R196" s="3261" t="s">
        <v>36</v>
      </c>
      <c r="S196" s="3261"/>
      <c r="T196" s="3258"/>
      <c r="U196" s="3258"/>
      <c r="V196" s="3258"/>
      <c r="W196" s="3258"/>
      <c r="X196" s="3258"/>
      <c r="Y196" s="3258"/>
      <c r="Z196" s="3259"/>
    </row>
    <row r="197" spans="1:26" s="106" customFormat="1">
      <c r="A197" s="3684" t="s">
        <v>409</v>
      </c>
      <c r="B197" s="3275" t="s">
        <v>8629</v>
      </c>
      <c r="C197" s="4839" t="s">
        <v>28</v>
      </c>
      <c r="D197" s="3674">
        <v>45415</v>
      </c>
      <c r="E197" s="3644">
        <v>45424</v>
      </c>
      <c r="F197" s="4839" t="s">
        <v>2225</v>
      </c>
      <c r="G197" s="4839" t="s">
        <v>57</v>
      </c>
      <c r="H197" s="3650"/>
      <c r="I197" s="3439"/>
      <c r="J197" s="4901" t="s">
        <v>32</v>
      </c>
      <c r="K197" s="1145" t="s">
        <v>47</v>
      </c>
      <c r="L197" s="2787">
        <v>8420186</v>
      </c>
      <c r="M197" s="844">
        <v>45426</v>
      </c>
      <c r="N197" s="1785">
        <v>45425</v>
      </c>
      <c r="O197" s="3280">
        <v>45426</v>
      </c>
      <c r="P197" s="3289" t="s">
        <v>8630</v>
      </c>
      <c r="Q197" s="3275" t="s">
        <v>6852</v>
      </c>
      <c r="R197" s="3275" t="s">
        <v>8631</v>
      </c>
      <c r="S197" s="3439"/>
      <c r="T197" s="3439"/>
      <c r="U197" s="3439"/>
      <c r="V197" s="3439"/>
      <c r="W197" s="3439"/>
      <c r="X197" s="3439"/>
      <c r="Y197" s="3439"/>
      <c r="Z197" s="3739"/>
    </row>
    <row r="198" spans="1:26" s="1350" customFormat="1">
      <c r="A198" s="3684" t="s">
        <v>409</v>
      </c>
      <c r="B198" s="3261" t="s">
        <v>8632</v>
      </c>
      <c r="C198" s="4839" t="s">
        <v>28</v>
      </c>
      <c r="D198" s="3674">
        <v>45426</v>
      </c>
      <c r="E198" s="3644">
        <v>45435</v>
      </c>
      <c r="F198" s="3275" t="s">
        <v>885</v>
      </c>
      <c r="G198" s="3261" t="s">
        <v>57</v>
      </c>
      <c r="H198" s="3267"/>
      <c r="I198" s="3258"/>
      <c r="J198" s="3347" t="s">
        <v>32</v>
      </c>
      <c r="K198" s="58" t="s">
        <v>47</v>
      </c>
      <c r="L198" s="3261">
        <v>9405191</v>
      </c>
      <c r="M198" s="3682"/>
      <c r="N198" s="3682">
        <v>45435</v>
      </c>
      <c r="O198" s="3682">
        <v>45436</v>
      </c>
      <c r="P198" s="3283" t="s">
        <v>8633</v>
      </c>
      <c r="Q198" s="3715" t="s">
        <v>6852</v>
      </c>
      <c r="R198" s="3261" t="s">
        <v>51</v>
      </c>
      <c r="S198" s="3261"/>
      <c r="T198" s="3258"/>
      <c r="U198" s="3258"/>
      <c r="V198" s="3258"/>
      <c r="W198" s="3258"/>
      <c r="X198" s="3258"/>
      <c r="Y198" s="3258"/>
      <c r="Z198" s="3259"/>
    </row>
    <row r="199" spans="1:26" s="117" customFormat="1" ht="45">
      <c r="A199" s="3740" t="s">
        <v>8311</v>
      </c>
      <c r="B199" s="4307" t="s">
        <v>8634</v>
      </c>
      <c r="C199" s="4921" t="s">
        <v>28</v>
      </c>
      <c r="D199" s="3467">
        <v>45440</v>
      </c>
      <c r="E199" s="3719">
        <v>45440</v>
      </c>
      <c r="F199" s="4921" t="s">
        <v>2225</v>
      </c>
      <c r="G199" s="4970" t="s">
        <v>8635</v>
      </c>
      <c r="H199" s="3467">
        <v>45447</v>
      </c>
      <c r="I199" s="4307" t="s">
        <v>8636</v>
      </c>
      <c r="J199" s="5531" t="s">
        <v>859</v>
      </c>
      <c r="K199" s="4915" t="s">
        <v>8637</v>
      </c>
      <c r="L199" s="3467" t="s">
        <v>162</v>
      </c>
      <c r="M199" s="3467">
        <v>45447</v>
      </c>
      <c r="N199" s="3467">
        <v>45446</v>
      </c>
      <c r="O199" s="3467">
        <v>45448</v>
      </c>
      <c r="P199" s="4321" t="s">
        <v>8638</v>
      </c>
      <c r="Q199" s="3722" t="s">
        <v>75</v>
      </c>
      <c r="R199" s="4098" t="s">
        <v>8639</v>
      </c>
      <c r="S199" s="3268" t="s">
        <v>67</v>
      </c>
      <c r="T199" s="3723">
        <v>3006.5</v>
      </c>
      <c r="U199" s="3364">
        <f>2257.5+90</f>
        <v>2347.5</v>
      </c>
      <c r="V199" s="3364">
        <v>1</v>
      </c>
      <c r="W199" s="3723">
        <f>表15[[#This Row],[Sales Amount]]-表15[[#This Row],[Cost]]</f>
        <v>659</v>
      </c>
      <c r="X199" s="3724">
        <f>表15[[#This Row],[Profit]]/表15[[#This Row],[Cost]]</f>
        <v>0.2807241746538871</v>
      </c>
      <c r="Y199" s="3364"/>
      <c r="Z199" s="3708"/>
    </row>
    <row r="200" spans="1:26" s="709" customFormat="1">
      <c r="A200" s="4190" t="s">
        <v>409</v>
      </c>
      <c r="B200" s="4221" t="s">
        <v>8640</v>
      </c>
      <c r="C200" s="4852" t="s">
        <v>28</v>
      </c>
      <c r="D200" s="3674">
        <v>45443</v>
      </c>
      <c r="E200" s="3644">
        <v>45453</v>
      </c>
      <c r="F200" s="4852" t="s">
        <v>2225</v>
      </c>
      <c r="G200" s="4839" t="s">
        <v>1350</v>
      </c>
      <c r="H200" s="3534"/>
      <c r="I200" s="3246"/>
      <c r="J200" s="4852" t="s">
        <v>32</v>
      </c>
      <c r="K200" s="4852" t="s">
        <v>47</v>
      </c>
      <c r="L200" s="3261">
        <v>301268</v>
      </c>
      <c r="M200" s="1380">
        <v>45456</v>
      </c>
      <c r="N200" s="3682">
        <v>45456</v>
      </c>
      <c r="O200" s="3682">
        <v>45458</v>
      </c>
      <c r="P200" s="4334" t="s">
        <v>8641</v>
      </c>
      <c r="Q200" s="3715" t="s">
        <v>6852</v>
      </c>
      <c r="R200" s="3261" t="s">
        <v>36</v>
      </c>
      <c r="S200" s="3261"/>
      <c r="T200" s="3258"/>
      <c r="U200" s="3258"/>
      <c r="V200" s="3258"/>
      <c r="W200" s="3258"/>
      <c r="X200" s="3683"/>
      <c r="Y200" s="3258"/>
      <c r="Z200" s="3259"/>
    </row>
    <row r="201" spans="1:26" s="709" customFormat="1">
      <c r="A201" s="3688" t="s">
        <v>409</v>
      </c>
      <c r="B201" s="3261" t="s">
        <v>8642</v>
      </c>
      <c r="C201" s="4839" t="s">
        <v>28</v>
      </c>
      <c r="D201" s="3674">
        <v>45415</v>
      </c>
      <c r="E201" s="3689">
        <v>45424</v>
      </c>
      <c r="F201" s="3275" t="s">
        <v>2225</v>
      </c>
      <c r="G201" s="4870" t="s">
        <v>57</v>
      </c>
      <c r="H201" s="3258"/>
      <c r="I201" s="3258"/>
      <c r="J201" s="3347" t="s">
        <v>32</v>
      </c>
      <c r="K201" s="3275" t="s">
        <v>47</v>
      </c>
      <c r="L201" s="1">
        <v>8420270</v>
      </c>
      <c r="M201" s="3674">
        <v>45426</v>
      </c>
      <c r="N201" s="3674">
        <v>45426</v>
      </c>
      <c r="O201" s="3674">
        <v>45428</v>
      </c>
      <c r="P201" s="3283" t="s">
        <v>8643</v>
      </c>
      <c r="Q201" s="3715" t="s">
        <v>6852</v>
      </c>
      <c r="R201" s="3261" t="s">
        <v>51</v>
      </c>
      <c r="S201" s="3261"/>
      <c r="T201" s="3258"/>
      <c r="U201" s="3258"/>
      <c r="V201" s="3258"/>
      <c r="W201" s="3258"/>
      <c r="X201" s="3258"/>
      <c r="Y201" s="3258"/>
      <c r="Z201" s="3259"/>
    </row>
    <row r="202" spans="1:26" s="106" customFormat="1">
      <c r="A202" s="3688" t="s">
        <v>409</v>
      </c>
      <c r="B202" s="3261" t="s">
        <v>8644</v>
      </c>
      <c r="C202" s="4839" t="s">
        <v>28</v>
      </c>
      <c r="D202" s="3674">
        <v>45415</v>
      </c>
      <c r="E202" s="4912">
        <v>45424</v>
      </c>
      <c r="F202" s="3275" t="s">
        <v>2225</v>
      </c>
      <c r="G202" s="4870" t="s">
        <v>57</v>
      </c>
      <c r="H202" s="3258"/>
      <c r="I202" s="3258"/>
      <c r="J202" s="3347" t="s">
        <v>32</v>
      </c>
      <c r="K202" s="3275" t="s">
        <v>47</v>
      </c>
      <c r="L202" s="3261">
        <v>8420453</v>
      </c>
      <c r="M202" s="1607">
        <v>45426</v>
      </c>
      <c r="N202" s="3674">
        <v>45426</v>
      </c>
      <c r="O202" s="3674">
        <v>45429</v>
      </c>
      <c r="P202" s="3283" t="s">
        <v>8645</v>
      </c>
      <c r="Q202" s="3715" t="s">
        <v>6852</v>
      </c>
      <c r="R202" s="3261" t="s">
        <v>8646</v>
      </c>
      <c r="S202" s="3261"/>
      <c r="T202" s="3258"/>
      <c r="U202" s="3258"/>
      <c r="V202" s="3258"/>
      <c r="W202" s="3258"/>
      <c r="X202" s="3258"/>
      <c r="Y202" s="3258"/>
      <c r="Z202" s="3259"/>
    </row>
    <row r="203" spans="1:26" s="1350" customFormat="1">
      <c r="A203" s="3684" t="s">
        <v>409</v>
      </c>
      <c r="B203" s="3261" t="s">
        <v>8647</v>
      </c>
      <c r="C203" s="4839" t="s">
        <v>28</v>
      </c>
      <c r="D203" s="3674">
        <v>45426</v>
      </c>
      <c r="E203" s="3644">
        <v>45435</v>
      </c>
      <c r="F203" s="3275" t="s">
        <v>885</v>
      </c>
      <c r="G203" s="3261" t="s">
        <v>57</v>
      </c>
      <c r="H203" s="3267"/>
      <c r="I203" s="3258"/>
      <c r="J203" s="3347" t="s">
        <v>32</v>
      </c>
      <c r="K203" s="4839" t="s">
        <v>47</v>
      </c>
      <c r="L203" s="4870">
        <v>9405292</v>
      </c>
      <c r="M203" s="4877"/>
      <c r="N203" s="4877">
        <v>45435</v>
      </c>
      <c r="O203" s="3682">
        <v>45437</v>
      </c>
      <c r="P203" s="3283" t="s">
        <v>8648</v>
      </c>
      <c r="Q203" s="3715" t="s">
        <v>6852</v>
      </c>
      <c r="R203" s="3261" t="s">
        <v>51</v>
      </c>
      <c r="S203" s="3261"/>
      <c r="T203" s="3258"/>
      <c r="U203" s="3258"/>
      <c r="V203" s="3258"/>
      <c r="W203" s="3258"/>
      <c r="X203" s="3258"/>
      <c r="Y203" s="3258"/>
      <c r="Z203" s="3259"/>
    </row>
    <row r="204" spans="1:26" s="709" customFormat="1">
      <c r="A204" s="3688" t="s">
        <v>409</v>
      </c>
      <c r="B204" s="3261" t="s">
        <v>8649</v>
      </c>
      <c r="C204" s="4839" t="s">
        <v>28</v>
      </c>
      <c r="D204" s="3674">
        <v>45415</v>
      </c>
      <c r="E204" s="3644">
        <v>45435</v>
      </c>
      <c r="F204" s="3275" t="s">
        <v>2225</v>
      </c>
      <c r="G204" s="4870" t="s">
        <v>57</v>
      </c>
      <c r="H204" s="3258"/>
      <c r="I204" s="3258"/>
      <c r="J204" s="3347" t="s">
        <v>32</v>
      </c>
      <c r="K204" s="739" t="s">
        <v>47</v>
      </c>
      <c r="L204" s="1757">
        <v>8420416</v>
      </c>
      <c r="M204" s="1757"/>
      <c r="N204" s="2831">
        <v>45435</v>
      </c>
      <c r="O204" s="3674">
        <v>45436</v>
      </c>
      <c r="P204" s="3283" t="s">
        <v>8650</v>
      </c>
      <c r="Q204" s="3715" t="s">
        <v>6852</v>
      </c>
      <c r="R204" s="3261" t="s">
        <v>51</v>
      </c>
      <c r="S204" s="3261"/>
      <c r="T204" s="3258"/>
      <c r="U204" s="3258"/>
      <c r="V204" s="3258"/>
      <c r="W204" s="3258"/>
      <c r="X204" s="3258"/>
      <c r="Y204" s="3258"/>
      <c r="Z204" s="3259"/>
    </row>
    <row r="205" spans="1:26" s="106" customFormat="1">
      <c r="A205" s="3717" t="s">
        <v>7322</v>
      </c>
      <c r="B205" s="4839" t="s">
        <v>8651</v>
      </c>
      <c r="C205" s="4839" t="s">
        <v>28</v>
      </c>
      <c r="D205" s="4957">
        <v>45433</v>
      </c>
      <c r="E205" s="5071">
        <v>45442</v>
      </c>
      <c r="F205" s="4839" t="s">
        <v>29</v>
      </c>
      <c r="G205" s="4839" t="s">
        <v>6204</v>
      </c>
      <c r="H205" s="4957" t="s">
        <v>8463</v>
      </c>
      <c r="I205" s="4839" t="s">
        <v>532</v>
      </c>
      <c r="J205" s="3730" t="s">
        <v>551</v>
      </c>
      <c r="K205" s="3275" t="s">
        <v>8074</v>
      </c>
      <c r="L205" s="4839" t="s">
        <v>1677</v>
      </c>
      <c r="M205" s="4957">
        <v>45447</v>
      </c>
      <c r="N205" s="4839"/>
      <c r="O205" s="4839"/>
      <c r="P205" s="4871" t="s">
        <v>8464</v>
      </c>
      <c r="Q205" s="3275" t="s">
        <v>862</v>
      </c>
      <c r="R205" s="4870" t="s">
        <v>51</v>
      </c>
      <c r="S205" s="4870" t="s">
        <v>37</v>
      </c>
      <c r="T205" s="4873"/>
      <c r="U205" s="4873"/>
      <c r="V205" s="4873"/>
      <c r="W205" s="4873"/>
      <c r="X205" s="4873"/>
      <c r="Y205" s="4873"/>
      <c r="Z205" s="5074"/>
    </row>
    <row r="206" spans="1:26" s="106" customFormat="1">
      <c r="A206" s="3717" t="s">
        <v>7322</v>
      </c>
      <c r="B206" s="3275" t="s">
        <v>8652</v>
      </c>
      <c r="C206" s="4839" t="s">
        <v>28</v>
      </c>
      <c r="D206" s="3279">
        <v>45433</v>
      </c>
      <c r="E206" s="3383">
        <v>45442</v>
      </c>
      <c r="F206" s="3275" t="s">
        <v>29</v>
      </c>
      <c r="G206" s="4839" t="s">
        <v>6204</v>
      </c>
      <c r="H206" s="3279" t="s">
        <v>8463</v>
      </c>
      <c r="I206" s="3275" t="s">
        <v>532</v>
      </c>
      <c r="J206" s="3730" t="s">
        <v>551</v>
      </c>
      <c r="K206" s="3275" t="s">
        <v>8074</v>
      </c>
      <c r="L206" s="3275" t="s">
        <v>1677</v>
      </c>
      <c r="M206" s="3279">
        <v>45447</v>
      </c>
      <c r="N206" s="3275"/>
      <c r="O206" s="3275"/>
      <c r="P206" s="3283" t="s">
        <v>8464</v>
      </c>
      <c r="Q206" s="3275" t="s">
        <v>862</v>
      </c>
      <c r="R206" s="3261" t="s">
        <v>51</v>
      </c>
      <c r="S206" s="3261" t="s">
        <v>37</v>
      </c>
      <c r="T206" s="3255"/>
      <c r="U206" s="3255"/>
      <c r="V206" s="3255"/>
      <c r="W206" s="3255"/>
      <c r="X206" s="3255"/>
      <c r="Y206" s="3255"/>
      <c r="Z206" s="3256"/>
    </row>
    <row r="207" spans="1:26" s="106" customFormat="1">
      <c r="A207" s="3741" t="s">
        <v>7322</v>
      </c>
      <c r="B207" s="3673" t="s">
        <v>8653</v>
      </c>
      <c r="C207" s="4895" t="s">
        <v>85</v>
      </c>
      <c r="D207" s="3704">
        <v>45431</v>
      </c>
      <c r="E207" s="3705">
        <v>45432</v>
      </c>
      <c r="F207" s="3241" t="s">
        <v>260</v>
      </c>
      <c r="G207" s="4895" t="s">
        <v>8654</v>
      </c>
      <c r="H207" s="3694">
        <v>45436</v>
      </c>
      <c r="I207" s="3255" t="s">
        <v>3427</v>
      </c>
      <c r="J207" s="3742" t="s">
        <v>297</v>
      </c>
      <c r="K207" s="3241" t="s">
        <v>8655</v>
      </c>
      <c r="L207" s="3241" t="s">
        <v>1677</v>
      </c>
      <c r="M207" s="2772">
        <v>45440</v>
      </c>
      <c r="N207" s="3704">
        <v>45436</v>
      </c>
      <c r="O207" s="3704">
        <v>45440</v>
      </c>
      <c r="P207" s="3368" t="s">
        <v>8656</v>
      </c>
      <c r="Q207" s="3241" t="s">
        <v>862</v>
      </c>
      <c r="R207" s="3703" t="s">
        <v>51</v>
      </c>
      <c r="S207" s="3673" t="s">
        <v>37</v>
      </c>
      <c r="T207" s="3255">
        <v>1400</v>
      </c>
      <c r="U207" s="3255">
        <v>1182</v>
      </c>
      <c r="V207" s="3255"/>
      <c r="W207" s="3255"/>
      <c r="X207" s="3255"/>
      <c r="Y207" s="3255"/>
      <c r="Z207" s="3256"/>
    </row>
    <row r="208" spans="1:26" s="709" customFormat="1">
      <c r="A208" s="3235" t="s">
        <v>3343</v>
      </c>
      <c r="B208" s="4839" t="s">
        <v>8657</v>
      </c>
      <c r="C208" s="4839" t="s">
        <v>28</v>
      </c>
      <c r="D208" s="3674">
        <v>45427</v>
      </c>
      <c r="E208" s="3644">
        <v>45438</v>
      </c>
      <c r="F208" s="3275" t="s">
        <v>45</v>
      </c>
      <c r="G208" s="4839" t="s">
        <v>46</v>
      </c>
      <c r="H208" s="4953"/>
      <c r="I208" s="4861"/>
      <c r="J208" s="3331" t="s">
        <v>32</v>
      </c>
      <c r="K208" s="3275" t="s">
        <v>47</v>
      </c>
      <c r="L208" s="4880" t="s">
        <v>8658</v>
      </c>
      <c r="M208" s="4877">
        <v>45441</v>
      </c>
      <c r="N208" s="4877">
        <v>45441</v>
      </c>
      <c r="O208" s="4877">
        <v>45444</v>
      </c>
      <c r="P208" s="4871" t="s">
        <v>8659</v>
      </c>
      <c r="Q208" s="3715" t="s">
        <v>6852</v>
      </c>
      <c r="R208" s="4870" t="s">
        <v>51</v>
      </c>
      <c r="S208" s="4870"/>
      <c r="T208" s="4882">
        <v>4042.4</v>
      </c>
      <c r="U208" s="4882"/>
      <c r="V208" s="4882"/>
      <c r="W208" s="4882"/>
      <c r="X208" s="4882"/>
      <c r="Y208" s="4882"/>
      <c r="Z208" s="5055"/>
    </row>
    <row r="209" spans="1:26" s="709" customFormat="1">
      <c r="A209" s="3239" t="s">
        <v>3343</v>
      </c>
      <c r="B209" s="2788" t="s">
        <v>8660</v>
      </c>
      <c r="C209" s="4895" t="s">
        <v>28</v>
      </c>
      <c r="D209" s="3704">
        <v>45439</v>
      </c>
      <c r="E209" s="3743">
        <v>45446</v>
      </c>
      <c r="F209" s="3241" t="s">
        <v>45</v>
      </c>
      <c r="G209" s="4872" t="s">
        <v>46</v>
      </c>
      <c r="H209" s="3069"/>
      <c r="I209" s="3075"/>
      <c r="J209" s="3446" t="s">
        <v>32</v>
      </c>
      <c r="K209" s="3241" t="s">
        <v>47</v>
      </c>
      <c r="L209" s="3744" t="s">
        <v>8661</v>
      </c>
      <c r="M209" s="3707">
        <v>45448</v>
      </c>
      <c r="N209" s="3707">
        <v>45447</v>
      </c>
      <c r="O209" s="3707">
        <v>45449</v>
      </c>
      <c r="P209" s="3622" t="s">
        <v>8662</v>
      </c>
      <c r="Q209" s="3733" t="s">
        <v>6852</v>
      </c>
      <c r="R209" s="3673" t="s">
        <v>51</v>
      </c>
      <c r="S209" s="3673"/>
      <c r="T209" s="3255">
        <v>3440</v>
      </c>
      <c r="U209" s="3255"/>
      <c r="V209" s="3255"/>
      <c r="W209" s="3255"/>
      <c r="X209" s="3255"/>
      <c r="Y209" s="3255"/>
      <c r="Z209" s="3256"/>
    </row>
    <row r="210" spans="1:26" s="709" customFormat="1">
      <c r="A210" s="3235" t="s">
        <v>3343</v>
      </c>
      <c r="B210" s="3275" t="s">
        <v>8663</v>
      </c>
      <c r="C210" s="4839" t="s">
        <v>28</v>
      </c>
      <c r="D210" s="3674">
        <v>45428</v>
      </c>
      <c r="E210" s="3644">
        <v>45442</v>
      </c>
      <c r="F210" s="3275" t="s">
        <v>45</v>
      </c>
      <c r="G210" s="4870" t="s">
        <v>46</v>
      </c>
      <c r="H210" s="3534"/>
      <c r="I210" s="3246"/>
      <c r="J210" s="3331" t="s">
        <v>32</v>
      </c>
      <c r="K210" s="3275" t="s">
        <v>47</v>
      </c>
      <c r="L210" s="1" t="s">
        <v>8664</v>
      </c>
      <c r="M210" s="3682">
        <v>45444</v>
      </c>
      <c r="N210" s="3682">
        <v>45443</v>
      </c>
      <c r="O210" s="3682">
        <v>45445</v>
      </c>
      <c r="P210" s="3283" t="s">
        <v>8665</v>
      </c>
      <c r="Q210" s="3715" t="s">
        <v>6852</v>
      </c>
      <c r="R210" s="3261" t="s">
        <v>36</v>
      </c>
      <c r="S210" s="3261"/>
      <c r="T210" s="3258"/>
      <c r="U210" s="3258"/>
      <c r="V210" s="3258"/>
      <c r="W210" s="3258"/>
      <c r="X210" s="3258"/>
      <c r="Y210" s="3258"/>
      <c r="Z210" s="3259"/>
    </row>
    <row r="211" spans="1:26" s="106" customFormat="1">
      <c r="A211" s="3106" t="s">
        <v>1431</v>
      </c>
      <c r="B211" s="3241" t="s">
        <v>8666</v>
      </c>
      <c r="C211" s="4895" t="s">
        <v>28</v>
      </c>
      <c r="D211" s="3704">
        <v>45434</v>
      </c>
      <c r="E211" s="3705">
        <v>45448</v>
      </c>
      <c r="F211" s="3241" t="s">
        <v>29</v>
      </c>
      <c r="G211" s="4842" t="s">
        <v>1350</v>
      </c>
      <c r="H211" s="3069">
        <v>45449</v>
      </c>
      <c r="I211" s="3075" t="s">
        <v>926</v>
      </c>
      <c r="J211" s="3711" t="s">
        <v>32</v>
      </c>
      <c r="K211" s="3241" t="s">
        <v>8667</v>
      </c>
      <c r="L211" s="3673">
        <v>9943480</v>
      </c>
      <c r="M211" s="3707"/>
      <c r="N211" s="3707">
        <v>45449</v>
      </c>
      <c r="O211" s="3707">
        <v>45449</v>
      </c>
      <c r="P211" s="3622" t="s">
        <v>8668</v>
      </c>
      <c r="Q211" s="3241" t="s">
        <v>862</v>
      </c>
      <c r="R211" s="3673" t="s">
        <v>51</v>
      </c>
      <c r="S211" s="3673" t="s">
        <v>8097</v>
      </c>
      <c r="T211" s="3255">
        <v>1433.5</v>
      </c>
      <c r="U211" s="3255">
        <v>1300</v>
      </c>
      <c r="V211" s="3255"/>
      <c r="W211" s="3255"/>
      <c r="X211" s="3255"/>
      <c r="Y211" s="3255"/>
      <c r="Z211" s="3256"/>
    </row>
    <row r="212" spans="1:26" s="709" customFormat="1">
      <c r="A212" s="3235" t="s">
        <v>3343</v>
      </c>
      <c r="B212" s="3275" t="s">
        <v>8669</v>
      </c>
      <c r="C212" s="4839" t="s">
        <v>28</v>
      </c>
      <c r="D212" s="3674">
        <v>45433</v>
      </c>
      <c r="E212" s="3644">
        <v>45449</v>
      </c>
      <c r="F212" s="3275" t="s">
        <v>45</v>
      </c>
      <c r="G212" s="4870" t="s">
        <v>46</v>
      </c>
      <c r="H212" s="3534"/>
      <c r="I212" s="3246"/>
      <c r="J212" s="3347" t="s">
        <v>32</v>
      </c>
      <c r="K212" s="3275" t="s">
        <v>47</v>
      </c>
      <c r="L212" s="2824" t="s">
        <v>8670</v>
      </c>
      <c r="M212" s="3682">
        <v>45451</v>
      </c>
      <c r="N212" s="3682">
        <v>45450</v>
      </c>
      <c r="O212" s="3682">
        <v>45452</v>
      </c>
      <c r="P212" s="3283" t="s">
        <v>8671</v>
      </c>
      <c r="Q212" s="3715" t="s">
        <v>6852</v>
      </c>
      <c r="R212" s="3261" t="s">
        <v>51</v>
      </c>
      <c r="S212" s="3261"/>
      <c r="T212" s="3258">
        <v>2345.6</v>
      </c>
      <c r="U212" s="3258"/>
      <c r="V212" s="3258"/>
      <c r="W212" s="3258"/>
      <c r="X212" s="3258"/>
      <c r="Y212" s="3258"/>
      <c r="Z212" s="3259"/>
    </row>
    <row r="213" spans="1:26" s="709" customFormat="1">
      <c r="A213" s="3235" t="s">
        <v>3343</v>
      </c>
      <c r="B213" s="3275" t="s">
        <v>8672</v>
      </c>
      <c r="C213" s="4839" t="s">
        <v>28</v>
      </c>
      <c r="D213" s="3674">
        <v>45428</v>
      </c>
      <c r="E213" s="3644">
        <v>45439</v>
      </c>
      <c r="F213" s="3275" t="s">
        <v>45</v>
      </c>
      <c r="G213" s="4839" t="s">
        <v>46</v>
      </c>
      <c r="H213" s="3534"/>
      <c r="I213" s="3246"/>
      <c r="J213" s="3331" t="s">
        <v>32</v>
      </c>
      <c r="K213" s="3275" t="s">
        <v>47</v>
      </c>
      <c r="L213" s="4249" t="s">
        <v>8673</v>
      </c>
      <c r="M213" s="3682">
        <v>45444</v>
      </c>
      <c r="N213" s="3682">
        <v>45443</v>
      </c>
      <c r="O213" s="3682">
        <v>45446</v>
      </c>
      <c r="P213" s="3283" t="s">
        <v>8674</v>
      </c>
      <c r="Q213" s="3715" t="s">
        <v>7584</v>
      </c>
      <c r="R213" s="3261" t="s">
        <v>36</v>
      </c>
      <c r="S213" s="3261"/>
      <c r="T213" s="3258">
        <v>3732.1</v>
      </c>
      <c r="U213" s="3258"/>
      <c r="V213" s="3258"/>
      <c r="W213" s="3258"/>
      <c r="X213" s="3258"/>
      <c r="Y213" s="3258"/>
      <c r="Z213" s="3259"/>
    </row>
    <row r="214" spans="1:26" s="806" customFormat="1" ht="150">
      <c r="A214" s="3745" t="s">
        <v>8311</v>
      </c>
      <c r="B214" s="4321" t="s">
        <v>8675</v>
      </c>
      <c r="C214" s="4838" t="s">
        <v>28</v>
      </c>
      <c r="D214" s="3321">
        <v>45439</v>
      </c>
      <c r="E214" s="3746">
        <v>45439</v>
      </c>
      <c r="F214" s="3317" t="s">
        <v>167</v>
      </c>
      <c r="G214" s="3320" t="s">
        <v>8313</v>
      </c>
      <c r="H214" s="3321">
        <v>45449</v>
      </c>
      <c r="I214" s="4381">
        <v>0.45833333333333331</v>
      </c>
      <c r="J214" s="3722" t="s">
        <v>859</v>
      </c>
      <c r="K214" s="5065" t="s">
        <v>8637</v>
      </c>
      <c r="L214" s="745" t="s">
        <v>162</v>
      </c>
      <c r="M214" s="3321">
        <v>45447</v>
      </c>
      <c r="N214" s="3321">
        <v>45447</v>
      </c>
      <c r="O214" s="3321">
        <v>45450</v>
      </c>
      <c r="P214" s="4321" t="s">
        <v>8676</v>
      </c>
      <c r="Q214" s="3722" t="s">
        <v>75</v>
      </c>
      <c r="R214" s="4087" t="s">
        <v>8677</v>
      </c>
      <c r="S214" s="3273" t="s">
        <v>67</v>
      </c>
      <c r="T214" s="2807">
        <v>3329</v>
      </c>
      <c r="U214" s="3317">
        <f>2410+180</f>
        <v>2590</v>
      </c>
      <c r="V214" s="3317">
        <v>1</v>
      </c>
      <c r="W214" s="3747">
        <f>表15[[#This Row],[Sales Amount]]-表15[[#This Row],[Cost]]</f>
        <v>739</v>
      </c>
      <c r="X214" s="3748">
        <f>表15[[#This Row],[Profit]]/表15[[#This Row],[Cost]]</f>
        <v>0.28532818532818532</v>
      </c>
      <c r="Y214" s="3317"/>
      <c r="Z214" s="3322"/>
    </row>
    <row r="215" spans="1:26" s="1442" customFormat="1">
      <c r="A215" s="3749" t="s">
        <v>4277</v>
      </c>
      <c r="B215" s="3673" t="s">
        <v>8678</v>
      </c>
      <c r="C215" s="4895" t="s">
        <v>28</v>
      </c>
      <c r="D215" s="3704">
        <v>45422</v>
      </c>
      <c r="E215" s="2784">
        <v>45438</v>
      </c>
      <c r="F215" s="3241" t="s">
        <v>45</v>
      </c>
      <c r="G215" s="4895" t="s">
        <v>46</v>
      </c>
      <c r="H215" s="3255"/>
      <c r="I215" s="3255"/>
      <c r="J215" s="3750" t="s">
        <v>32</v>
      </c>
      <c r="K215" s="3241" t="s">
        <v>47</v>
      </c>
      <c r="L215" s="4376" t="s">
        <v>8679</v>
      </c>
      <c r="M215" s="3704">
        <v>45442</v>
      </c>
      <c r="N215" s="3704">
        <v>45440</v>
      </c>
      <c r="O215" s="3704">
        <v>45443</v>
      </c>
      <c r="P215" s="3622" t="s">
        <v>8680</v>
      </c>
      <c r="Q215" s="3733" t="s">
        <v>6852</v>
      </c>
      <c r="R215" s="3673" t="s">
        <v>36</v>
      </c>
      <c r="S215" s="3673"/>
      <c r="T215" s="3255">
        <v>3672</v>
      </c>
      <c r="U215" s="3255"/>
      <c r="V215" s="3255"/>
      <c r="W215" s="3255"/>
      <c r="X215" s="3255"/>
      <c r="Y215" s="3255"/>
      <c r="Z215" s="3256"/>
    </row>
    <row r="216" spans="1:26" s="106" customFormat="1">
      <c r="A216" s="3700" t="s">
        <v>7322</v>
      </c>
      <c r="B216" s="3241" t="s">
        <v>8681</v>
      </c>
      <c r="C216" s="3241" t="s">
        <v>28</v>
      </c>
      <c r="D216" s="3675">
        <v>45427</v>
      </c>
      <c r="E216" s="3676">
        <v>45431</v>
      </c>
      <c r="F216" s="3241" t="s">
        <v>245</v>
      </c>
      <c r="G216" s="3241" t="s">
        <v>6204</v>
      </c>
      <c r="H216" s="3675">
        <v>45443</v>
      </c>
      <c r="I216" s="3241" t="s">
        <v>495</v>
      </c>
      <c r="J216" s="5489" t="s">
        <v>551</v>
      </c>
      <c r="K216" s="3241" t="s">
        <v>8074</v>
      </c>
      <c r="L216" s="3241" t="s">
        <v>1677</v>
      </c>
      <c r="M216" s="3675">
        <v>45440</v>
      </c>
      <c r="N216" s="3675">
        <v>45440</v>
      </c>
      <c r="O216" s="3675">
        <v>45446</v>
      </c>
      <c r="P216" s="3368" t="s">
        <v>8087</v>
      </c>
      <c r="Q216" s="4895" t="s">
        <v>862</v>
      </c>
      <c r="R216" s="4374" t="s">
        <v>51</v>
      </c>
      <c r="S216" s="3673" t="s">
        <v>37</v>
      </c>
      <c r="T216" s="3255">
        <v>1855</v>
      </c>
      <c r="U216" s="3255">
        <v>1619.85</v>
      </c>
      <c r="V216" s="3255"/>
      <c r="W216" s="3255"/>
      <c r="X216" s="3255"/>
      <c r="Y216" s="3255"/>
      <c r="Z216" s="3256"/>
    </row>
    <row r="217" spans="1:26" s="106" customFormat="1">
      <c r="A217" s="3749" t="s">
        <v>3064</v>
      </c>
      <c r="B217" s="3734" t="s">
        <v>8682</v>
      </c>
      <c r="C217" s="3241" t="s">
        <v>28</v>
      </c>
      <c r="D217" s="3704">
        <v>45433</v>
      </c>
      <c r="E217" s="3705">
        <v>45442</v>
      </c>
      <c r="F217" s="3241" t="s">
        <v>45</v>
      </c>
      <c r="G217" s="3673" t="s">
        <v>46</v>
      </c>
      <c r="H217" s="3069"/>
      <c r="I217" s="3075"/>
      <c r="J217" s="4895" t="s">
        <v>32</v>
      </c>
      <c r="K217" s="3241" t="s">
        <v>47</v>
      </c>
      <c r="L217" s="3673" t="s">
        <v>8683</v>
      </c>
      <c r="M217" s="3707">
        <v>45444</v>
      </c>
      <c r="N217" s="3707">
        <v>45444</v>
      </c>
      <c r="O217" s="3707">
        <v>45446</v>
      </c>
      <c r="P217" s="3622" t="s">
        <v>8684</v>
      </c>
      <c r="Q217" s="5501" t="s">
        <v>6852</v>
      </c>
      <c r="R217" s="3673" t="s">
        <v>51</v>
      </c>
      <c r="S217" s="3673"/>
      <c r="T217" s="3255">
        <v>4675</v>
      </c>
      <c r="U217" s="3255"/>
      <c r="V217" s="3255"/>
      <c r="W217" s="3255"/>
      <c r="X217" s="3255"/>
      <c r="Y217" s="3255"/>
      <c r="Z217" s="3256"/>
    </row>
    <row r="218" spans="1:26" s="106" customFormat="1">
      <c r="A218" s="3239" t="s">
        <v>3343</v>
      </c>
      <c r="B218" s="3241" t="s">
        <v>8685</v>
      </c>
      <c r="C218" s="3241" t="s">
        <v>28</v>
      </c>
      <c r="D218" s="3704">
        <v>45428</v>
      </c>
      <c r="E218" s="3705">
        <v>45438</v>
      </c>
      <c r="F218" s="3241" t="s">
        <v>45</v>
      </c>
      <c r="G218" s="3241" t="s">
        <v>46</v>
      </c>
      <c r="H218" s="3069"/>
      <c r="I218" s="3075"/>
      <c r="J218" s="5530" t="s">
        <v>32</v>
      </c>
      <c r="K218" s="3241" t="s">
        <v>47</v>
      </c>
      <c r="L218" s="4376" t="s">
        <v>8686</v>
      </c>
      <c r="M218" s="3707">
        <v>45441</v>
      </c>
      <c r="N218" s="3707">
        <v>45442</v>
      </c>
      <c r="O218" s="3707">
        <v>45443</v>
      </c>
      <c r="P218" s="3622" t="s">
        <v>8687</v>
      </c>
      <c r="Q218" s="5501" t="s">
        <v>6852</v>
      </c>
      <c r="R218" s="2" t="s">
        <v>36</v>
      </c>
      <c r="S218" s="3673"/>
      <c r="T218" s="3255">
        <v>2992</v>
      </c>
      <c r="U218" s="3255"/>
      <c r="V218" s="3255"/>
      <c r="W218" s="3255"/>
      <c r="X218" s="3255"/>
      <c r="Y218" s="3255"/>
      <c r="Z218" s="3256"/>
    </row>
    <row r="219" spans="1:26" s="709" customFormat="1">
      <c r="A219" s="3235" t="s">
        <v>3343</v>
      </c>
      <c r="B219" s="3275" t="s">
        <v>8688</v>
      </c>
      <c r="C219" s="3275" t="s">
        <v>28</v>
      </c>
      <c r="D219" s="3674">
        <v>45437</v>
      </c>
      <c r="E219" s="3644">
        <v>45451</v>
      </c>
      <c r="F219" s="3275" t="s">
        <v>45</v>
      </c>
      <c r="G219" s="3261" t="s">
        <v>46</v>
      </c>
      <c r="H219" s="3534"/>
      <c r="I219" s="3246"/>
      <c r="J219" s="4841" t="s">
        <v>32</v>
      </c>
      <c r="K219" s="3275" t="s">
        <v>47</v>
      </c>
      <c r="L219" s="3735" t="s">
        <v>8689</v>
      </c>
      <c r="M219" s="3682"/>
      <c r="N219" s="3682">
        <v>45451</v>
      </c>
      <c r="O219" s="3682">
        <v>45455</v>
      </c>
      <c r="P219" s="3283" t="s">
        <v>8690</v>
      </c>
      <c r="Q219" s="5128" t="s">
        <v>6852</v>
      </c>
      <c r="R219" s="3261" t="s">
        <v>36</v>
      </c>
      <c r="S219" s="3261"/>
      <c r="T219" s="3258"/>
      <c r="U219" s="3258"/>
      <c r="V219" s="3258"/>
      <c r="W219" s="3258"/>
      <c r="X219" s="3258"/>
      <c r="Y219" s="3258"/>
      <c r="Z219" s="3259"/>
    </row>
    <row r="220" spans="1:26" s="117" customFormat="1" ht="60">
      <c r="A220" s="3466" t="s">
        <v>122</v>
      </c>
      <c r="B220" s="4307" t="s">
        <v>8691</v>
      </c>
      <c r="C220" s="3364" t="s">
        <v>28</v>
      </c>
      <c r="D220" s="3440">
        <v>45442</v>
      </c>
      <c r="E220" s="3719">
        <v>45442</v>
      </c>
      <c r="F220" s="3364" t="s">
        <v>151</v>
      </c>
      <c r="G220" s="4307" t="s">
        <v>8692</v>
      </c>
      <c r="H220" s="2809">
        <v>45449</v>
      </c>
      <c r="I220" s="3364" t="s">
        <v>1196</v>
      </c>
      <c r="J220" s="4970" t="s">
        <v>859</v>
      </c>
      <c r="K220" s="4307" t="s">
        <v>8693</v>
      </c>
      <c r="L220" s="3467" t="s">
        <v>162</v>
      </c>
      <c r="M220" s="3440">
        <v>45448</v>
      </c>
      <c r="N220" s="3440">
        <v>45448</v>
      </c>
      <c r="O220" s="3720">
        <v>45450</v>
      </c>
      <c r="P220" s="4321" t="s">
        <v>8694</v>
      </c>
      <c r="Q220" s="5515" t="s">
        <v>75</v>
      </c>
      <c r="R220" s="3" t="s">
        <v>8695</v>
      </c>
      <c r="S220" s="4307" t="s">
        <v>67</v>
      </c>
      <c r="T220" s="3723">
        <v>1463.64</v>
      </c>
      <c r="U220" s="3364">
        <f>901.25+90</f>
        <v>991.25</v>
      </c>
      <c r="V220" s="3364">
        <v>1</v>
      </c>
      <c r="W220" s="3723">
        <f>表15[[#This Row],[Sales Amount]]-表15[[#This Row],[Cost]]</f>
        <v>472.3900000000001</v>
      </c>
      <c r="X220" s="3364">
        <f>表15[[#This Row],[Profit]]/表15[[#This Row],[Cost]]</f>
        <v>0.47655989911727625</v>
      </c>
      <c r="Y220" s="3364"/>
      <c r="Z220" s="3708"/>
    </row>
    <row r="221" spans="1:26" s="709" customFormat="1">
      <c r="A221" s="3239" t="s">
        <v>3343</v>
      </c>
      <c r="B221" s="4382" t="s">
        <v>8696</v>
      </c>
      <c r="C221" s="3241" t="s">
        <v>28</v>
      </c>
      <c r="D221" s="3704">
        <v>45428</v>
      </c>
      <c r="E221" s="3705">
        <v>45439</v>
      </c>
      <c r="F221" s="3241" t="s">
        <v>135</v>
      </c>
      <c r="G221" s="4375" t="s">
        <v>46</v>
      </c>
      <c r="H221" s="3069"/>
      <c r="I221" s="3075"/>
      <c r="J221" s="3750" t="s">
        <v>32</v>
      </c>
      <c r="K221" s="3241" t="s">
        <v>47</v>
      </c>
      <c r="L221" s="3673" t="s">
        <v>8697</v>
      </c>
      <c r="M221" s="3707">
        <v>45442</v>
      </c>
      <c r="N221" s="3707">
        <v>45442</v>
      </c>
      <c r="O221" s="4383">
        <v>45445</v>
      </c>
      <c r="P221" s="4328" t="s">
        <v>8698</v>
      </c>
      <c r="Q221" s="3733" t="s">
        <v>6852</v>
      </c>
      <c r="R221" s="3673" t="s">
        <v>51</v>
      </c>
      <c r="S221" s="3673"/>
      <c r="T221" s="3255">
        <v>3972</v>
      </c>
      <c r="U221" s="3255"/>
      <c r="V221" s="3255"/>
      <c r="W221" s="3255"/>
      <c r="X221" s="3255"/>
      <c r="Y221" s="3255"/>
      <c r="Z221" s="3256"/>
    </row>
    <row r="222" spans="1:26" s="709" customFormat="1">
      <c r="A222" s="3239" t="s">
        <v>1431</v>
      </c>
      <c r="B222" s="3241" t="s">
        <v>8699</v>
      </c>
      <c r="C222" s="3241" t="s">
        <v>28</v>
      </c>
      <c r="D222" s="3704">
        <v>45425</v>
      </c>
      <c r="E222" s="3705">
        <v>45437</v>
      </c>
      <c r="F222" s="3241" t="s">
        <v>285</v>
      </c>
      <c r="G222" s="4895" t="s">
        <v>46</v>
      </c>
      <c r="H222" s="3069">
        <v>45441</v>
      </c>
      <c r="I222" s="3075"/>
      <c r="J222" s="3711" t="s">
        <v>32</v>
      </c>
      <c r="K222" s="3673" t="s">
        <v>1433</v>
      </c>
      <c r="L222" s="3751" t="s">
        <v>8700</v>
      </c>
      <c r="M222" s="3707">
        <v>45440</v>
      </c>
      <c r="N222" s="3707">
        <v>45440</v>
      </c>
      <c r="O222" s="3707">
        <v>45441</v>
      </c>
      <c r="P222" s="3255" t="s">
        <v>8701</v>
      </c>
      <c r="Q222" s="3241" t="s">
        <v>862</v>
      </c>
      <c r="R222" s="3368" t="s">
        <v>51</v>
      </c>
      <c r="S222" s="3368" t="s">
        <v>8097</v>
      </c>
      <c r="T222" s="3255">
        <v>1573</v>
      </c>
      <c r="U222" s="3255">
        <v>1445</v>
      </c>
      <c r="V222" s="3255"/>
      <c r="W222" s="3255"/>
      <c r="X222" s="3255"/>
      <c r="Y222" s="3255"/>
      <c r="Z222" s="3256"/>
    </row>
    <row r="223" spans="1:26" s="709" customFormat="1">
      <c r="A223" s="3235" t="s">
        <v>3343</v>
      </c>
      <c r="B223" s="3275" t="s">
        <v>8702</v>
      </c>
      <c r="C223" s="3275" t="s">
        <v>28</v>
      </c>
      <c r="D223" s="3674">
        <v>45437</v>
      </c>
      <c r="E223" s="3689">
        <v>45447</v>
      </c>
      <c r="F223" s="3275" t="s">
        <v>45</v>
      </c>
      <c r="G223" s="4870" t="s">
        <v>46</v>
      </c>
      <c r="H223" s="3534"/>
      <c r="I223" s="3246"/>
      <c r="J223" s="3275" t="s">
        <v>32</v>
      </c>
      <c r="K223" s="3275" t="s">
        <v>47</v>
      </c>
      <c r="L223" s="3735" t="s">
        <v>8703</v>
      </c>
      <c r="M223" s="3682">
        <v>45449</v>
      </c>
      <c r="N223" s="3682">
        <v>45448</v>
      </c>
      <c r="O223" s="3682">
        <v>45450</v>
      </c>
      <c r="P223" s="3283" t="s">
        <v>8704</v>
      </c>
      <c r="Q223" s="3715" t="s">
        <v>6852</v>
      </c>
      <c r="R223" s="3261" t="s">
        <v>51</v>
      </c>
      <c r="S223" s="3261"/>
      <c r="T223" s="3258"/>
      <c r="U223" s="3258"/>
      <c r="V223" s="3258"/>
      <c r="W223" s="3258"/>
      <c r="X223" s="3258"/>
      <c r="Y223" s="3258"/>
      <c r="Z223" s="3259"/>
    </row>
    <row r="224" spans="1:26" s="709" customFormat="1">
      <c r="A224" s="3684" t="s">
        <v>409</v>
      </c>
      <c r="B224" s="3261" t="s">
        <v>8705</v>
      </c>
      <c r="C224" s="3275" t="s">
        <v>28</v>
      </c>
      <c r="D224" s="3674">
        <v>45428</v>
      </c>
      <c r="E224" s="3644">
        <v>45438</v>
      </c>
      <c r="F224" s="3275" t="s">
        <v>151</v>
      </c>
      <c r="G224" s="3275" t="s">
        <v>46</v>
      </c>
      <c r="H224" s="3267"/>
      <c r="I224" s="3258"/>
      <c r="J224" s="3347" t="s">
        <v>32</v>
      </c>
      <c r="K224" s="3275" t="s">
        <v>47</v>
      </c>
      <c r="L224" s="3261" t="s">
        <v>8706</v>
      </c>
      <c r="M224" s="3682">
        <v>45441</v>
      </c>
      <c r="N224" s="3682">
        <v>45438</v>
      </c>
      <c r="O224" s="3682">
        <v>45440</v>
      </c>
      <c r="P224" s="3283" t="s">
        <v>8707</v>
      </c>
      <c r="Q224" s="3715" t="s">
        <v>6852</v>
      </c>
      <c r="R224" s="3261" t="s">
        <v>36</v>
      </c>
      <c r="S224" s="3261"/>
      <c r="T224" s="3258"/>
      <c r="U224" s="3258"/>
      <c r="V224" s="3258"/>
      <c r="W224" s="3258"/>
      <c r="X224" s="3258"/>
      <c r="Y224" s="3258"/>
      <c r="Z224" s="3259"/>
    </row>
    <row r="225" spans="1:26" s="709" customFormat="1">
      <c r="A225" s="3235" t="s">
        <v>409</v>
      </c>
      <c r="B225" s="3275" t="s">
        <v>8708</v>
      </c>
      <c r="C225" s="3275" t="s">
        <v>28</v>
      </c>
      <c r="D225" s="3674">
        <v>45439</v>
      </c>
      <c r="E225" s="3644">
        <v>45446</v>
      </c>
      <c r="F225" s="3275" t="s">
        <v>260</v>
      </c>
      <c r="G225" s="4221" t="s">
        <v>46</v>
      </c>
      <c r="H225" s="3534"/>
      <c r="I225" s="3246"/>
      <c r="J225" s="4221" t="s">
        <v>32</v>
      </c>
      <c r="K225" s="3275" t="s">
        <v>47</v>
      </c>
      <c r="L225" s="1" t="s">
        <v>8709</v>
      </c>
      <c r="M225" s="3682">
        <v>45449</v>
      </c>
      <c r="N225" s="3682">
        <v>45446</v>
      </c>
      <c r="O225" s="3682">
        <v>45449</v>
      </c>
      <c r="P225" s="3283" t="s">
        <v>8710</v>
      </c>
      <c r="Q225" s="3715" t="s">
        <v>6852</v>
      </c>
      <c r="R225" s="3261" t="s">
        <v>8711</v>
      </c>
      <c r="S225" s="3261"/>
      <c r="T225" s="3258"/>
      <c r="U225" s="3258"/>
      <c r="V225" s="3258"/>
      <c r="W225" s="3258"/>
      <c r="X225" s="3258"/>
      <c r="Y225" s="3258"/>
      <c r="Z225" s="3259"/>
    </row>
    <row r="226" spans="1:26" s="106" customFormat="1">
      <c r="A226" s="4373" t="s">
        <v>8328</v>
      </c>
      <c r="B226" s="4333" t="s">
        <v>8712</v>
      </c>
      <c r="C226" s="4221" t="s">
        <v>28</v>
      </c>
      <c r="D226" s="3674">
        <v>45455</v>
      </c>
      <c r="E226" s="3674">
        <v>45461</v>
      </c>
      <c r="F226" s="4221" t="s">
        <v>245</v>
      </c>
      <c r="G226" s="4221" t="s">
        <v>8713</v>
      </c>
      <c r="H226" s="3534"/>
      <c r="I226" s="3537" t="s">
        <v>810</v>
      </c>
      <c r="J226" s="4221"/>
      <c r="K226" s="4221" t="s">
        <v>8714</v>
      </c>
      <c r="L226" s="3261"/>
      <c r="M226" s="3682"/>
      <c r="N226" s="3682"/>
      <c r="O226" s="3682"/>
      <c r="P226" s="4334" t="s">
        <v>8715</v>
      </c>
      <c r="Q226" s="3715" t="s">
        <v>862</v>
      </c>
      <c r="R226" s="4249" t="s">
        <v>36</v>
      </c>
      <c r="S226" s="3261"/>
      <c r="T226" s="3258"/>
      <c r="U226" s="3258"/>
      <c r="V226" s="3258"/>
      <c r="W226" s="3258"/>
      <c r="X226" s="3258"/>
      <c r="Y226" s="3258"/>
      <c r="Z226" s="3259"/>
    </row>
    <row r="227" spans="1:26" s="709" customFormat="1">
      <c r="A227" s="3749" t="s">
        <v>7932</v>
      </c>
      <c r="B227" s="3673" t="s">
        <v>8716</v>
      </c>
      <c r="C227" s="3241" t="s">
        <v>28</v>
      </c>
      <c r="D227" s="3704">
        <v>45422</v>
      </c>
      <c r="E227" s="3705">
        <v>45437</v>
      </c>
      <c r="F227" s="3241" t="s">
        <v>45</v>
      </c>
      <c r="G227" s="4895" t="s">
        <v>46</v>
      </c>
      <c r="H227" s="3255"/>
      <c r="I227" s="3255"/>
      <c r="J227" s="3332" t="s">
        <v>32</v>
      </c>
      <c r="K227" s="3241" t="s">
        <v>47</v>
      </c>
      <c r="L227" s="4376" t="s">
        <v>8717</v>
      </c>
      <c r="M227" s="3673"/>
      <c r="N227" s="3704">
        <v>45438</v>
      </c>
      <c r="O227" s="3704">
        <v>45440</v>
      </c>
      <c r="P227" s="3622" t="s">
        <v>8718</v>
      </c>
      <c r="Q227" s="3733" t="s">
        <v>6852</v>
      </c>
      <c r="R227" s="3673" t="s">
        <v>51</v>
      </c>
      <c r="S227" s="3673"/>
      <c r="T227" s="3255">
        <v>3697.5</v>
      </c>
      <c r="U227" s="3255"/>
      <c r="V227" s="3255"/>
      <c r="W227" s="3255"/>
      <c r="X227" s="3255"/>
      <c r="Y227" s="3255"/>
      <c r="Z227" s="3256"/>
    </row>
    <row r="228" spans="1:26" s="106" customFormat="1">
      <c r="A228" s="3749" t="s">
        <v>4277</v>
      </c>
      <c r="B228" s="3673" t="s">
        <v>8719</v>
      </c>
      <c r="C228" s="4895" t="s">
        <v>28</v>
      </c>
      <c r="D228" s="3704">
        <v>45422</v>
      </c>
      <c r="E228" s="3705">
        <v>45438</v>
      </c>
      <c r="F228" s="3241" t="s">
        <v>45</v>
      </c>
      <c r="G228" s="4895" t="s">
        <v>46</v>
      </c>
      <c r="H228" s="4873"/>
      <c r="I228" s="3255"/>
      <c r="J228" s="5530" t="s">
        <v>32</v>
      </c>
      <c r="K228" s="4895" t="s">
        <v>47</v>
      </c>
      <c r="L228" s="3673" t="s">
        <v>8720</v>
      </c>
      <c r="M228" s="3704">
        <v>45441</v>
      </c>
      <c r="N228" s="3704">
        <v>45440</v>
      </c>
      <c r="O228" s="3704">
        <v>45443</v>
      </c>
      <c r="P228" s="3622" t="s">
        <v>8721</v>
      </c>
      <c r="Q228" s="3733" t="s">
        <v>6852</v>
      </c>
      <c r="R228" s="3673" t="s">
        <v>51</v>
      </c>
      <c r="S228" s="3673"/>
      <c r="T228" s="3255">
        <v>3829.2</v>
      </c>
      <c r="U228" s="3255"/>
      <c r="V228" s="3255"/>
      <c r="W228" s="3255"/>
      <c r="X228" s="3255"/>
      <c r="Y228" s="3255"/>
      <c r="Z228" s="3256"/>
    </row>
    <row r="229" spans="1:26" s="709" customFormat="1">
      <c r="A229" s="3239" t="s">
        <v>1431</v>
      </c>
      <c r="B229" s="7" t="s">
        <v>8722</v>
      </c>
      <c r="C229" s="7" t="s">
        <v>28</v>
      </c>
      <c r="D229" s="3704">
        <v>45425</v>
      </c>
      <c r="E229" s="3705">
        <v>45437</v>
      </c>
      <c r="F229" s="7" t="s">
        <v>285</v>
      </c>
      <c r="G229" s="7" t="s">
        <v>46</v>
      </c>
      <c r="H229" s="3069">
        <v>45443</v>
      </c>
      <c r="I229" s="3075" t="s">
        <v>115</v>
      </c>
      <c r="J229" s="2786" t="s">
        <v>32</v>
      </c>
      <c r="K229" s="2" t="s">
        <v>1433</v>
      </c>
      <c r="L229" s="2895" t="s">
        <v>8723</v>
      </c>
      <c r="M229" s="3707">
        <v>45440</v>
      </c>
      <c r="N229" s="3707">
        <v>45440</v>
      </c>
      <c r="O229" s="3707">
        <v>45443</v>
      </c>
      <c r="P229" s="762" t="s">
        <v>8724</v>
      </c>
      <c r="Q229" s="3241" t="s">
        <v>862</v>
      </c>
      <c r="R229" s="3368" t="s">
        <v>51</v>
      </c>
      <c r="S229" s="3368" t="s">
        <v>8097</v>
      </c>
      <c r="T229" s="3255">
        <v>1693.5</v>
      </c>
      <c r="U229" s="3255">
        <v>1550</v>
      </c>
      <c r="V229" s="3255"/>
      <c r="W229" s="3255"/>
      <c r="X229" s="3255"/>
      <c r="Y229" s="3255"/>
      <c r="Z229" s="3256"/>
    </row>
    <row r="230" spans="1:26" s="709" customFormat="1">
      <c r="A230" s="3106" t="s">
        <v>8244</v>
      </c>
      <c r="B230" s="3752" t="s">
        <v>8725</v>
      </c>
      <c r="C230" s="3241" t="s">
        <v>28</v>
      </c>
      <c r="D230" s="3704">
        <v>45439</v>
      </c>
      <c r="E230" s="3705">
        <v>45463</v>
      </c>
      <c r="F230" s="3241" t="s">
        <v>98</v>
      </c>
      <c r="G230" s="3241" t="s">
        <v>46</v>
      </c>
      <c r="H230" s="3069" t="s">
        <v>844</v>
      </c>
      <c r="I230" s="3075"/>
      <c r="J230" s="3241" t="s">
        <v>32</v>
      </c>
      <c r="K230" s="3241" t="s">
        <v>47</v>
      </c>
      <c r="L230" s="3753" t="s">
        <v>8726</v>
      </c>
      <c r="M230" s="3707">
        <v>45466</v>
      </c>
      <c r="N230" s="3707">
        <v>45466</v>
      </c>
      <c r="O230" s="3707">
        <v>45468</v>
      </c>
      <c r="P230" s="3622" t="s">
        <v>8727</v>
      </c>
      <c r="Q230" s="3733" t="s">
        <v>89</v>
      </c>
      <c r="R230" s="3673" t="s">
        <v>51</v>
      </c>
      <c r="S230" s="3673"/>
      <c r="T230" s="3255"/>
      <c r="U230" s="3255"/>
      <c r="V230" s="3255"/>
      <c r="W230" s="3255"/>
      <c r="X230" s="3754"/>
      <c r="Y230" s="3255"/>
      <c r="Z230" s="3256"/>
    </row>
    <row r="231" spans="1:26" s="106" customFormat="1" ht="195">
      <c r="A231" s="3417" t="s">
        <v>409</v>
      </c>
      <c r="B231" s="4242" t="s">
        <v>8728</v>
      </c>
      <c r="C231" s="4909" t="s">
        <v>28</v>
      </c>
      <c r="D231" s="3262">
        <v>45432</v>
      </c>
      <c r="E231" s="3264">
        <v>45435</v>
      </c>
      <c r="F231" s="4908" t="s">
        <v>260</v>
      </c>
      <c r="G231" s="4908" t="s">
        <v>8729</v>
      </c>
      <c r="H231" s="3418">
        <v>45441</v>
      </c>
      <c r="I231" s="3367" t="s">
        <v>790</v>
      </c>
      <c r="J231" s="4929" t="s">
        <v>2439</v>
      </c>
      <c r="K231" s="3367" t="s">
        <v>8730</v>
      </c>
      <c r="L231" s="766">
        <v>54594028</v>
      </c>
      <c r="M231" s="3366">
        <v>45437</v>
      </c>
      <c r="N231" s="3366">
        <v>45441</v>
      </c>
      <c r="O231" s="3262">
        <v>45443</v>
      </c>
      <c r="P231" s="4321" t="s">
        <v>8731</v>
      </c>
      <c r="Q231" s="3364" t="s">
        <v>75</v>
      </c>
      <c r="R231" s="36" t="s">
        <v>8732</v>
      </c>
      <c r="S231" s="3364"/>
      <c r="T231" s="3723">
        <v>1425</v>
      </c>
      <c r="U231" s="3364">
        <v>1005.7</v>
      </c>
      <c r="V231" s="3364">
        <v>1</v>
      </c>
      <c r="W231" s="3723">
        <f>表15[[#This Row],[Sales Amount]]-表15[[#This Row],[Cost]]</f>
        <v>419.29999999999995</v>
      </c>
      <c r="X231" s="3724">
        <f>表15[[#This Row],[Profit]]/表15[[#This Row],[Cost]]</f>
        <v>0.41692353584567954</v>
      </c>
      <c r="Y231" s="3364"/>
      <c r="Z231" s="3708"/>
    </row>
    <row r="232" spans="1:26" s="106" customFormat="1">
      <c r="A232" s="3065" t="s">
        <v>7885</v>
      </c>
      <c r="B232" s="3755" t="s">
        <v>8733</v>
      </c>
      <c r="C232" s="4874" t="s">
        <v>28</v>
      </c>
      <c r="D232" s="3694">
        <v>45424</v>
      </c>
      <c r="E232" s="3737">
        <v>45429</v>
      </c>
      <c r="F232" s="3075" t="s">
        <v>98</v>
      </c>
      <c r="G232" s="4872" t="s">
        <v>46</v>
      </c>
      <c r="H232" s="3069"/>
      <c r="I232" s="3075"/>
      <c r="J232" s="3332" t="s">
        <v>32</v>
      </c>
      <c r="K232" s="3446" t="s">
        <v>7907</v>
      </c>
      <c r="L232" s="2896" t="s">
        <v>8734</v>
      </c>
      <c r="M232" s="6"/>
      <c r="N232" s="3707">
        <v>45430</v>
      </c>
      <c r="O232" s="3707">
        <v>45432</v>
      </c>
      <c r="P232" s="3622" t="s">
        <v>8735</v>
      </c>
      <c r="Q232" s="3733" t="s">
        <v>50</v>
      </c>
      <c r="R232" s="4376" t="s">
        <v>36</v>
      </c>
      <c r="S232" s="3673"/>
      <c r="T232" s="3255"/>
      <c r="U232" s="3255"/>
      <c r="V232" s="3255"/>
      <c r="W232" s="3255"/>
      <c r="X232" s="3255"/>
      <c r="Y232" s="3255"/>
      <c r="Z232" s="3256"/>
    </row>
    <row r="233" spans="1:26" s="106" customFormat="1">
      <c r="A233" s="3239" t="s">
        <v>3343</v>
      </c>
      <c r="B233" s="4384" t="s">
        <v>8736</v>
      </c>
      <c r="C233" s="4895" t="s">
        <v>28</v>
      </c>
      <c r="D233" s="3704">
        <v>45440</v>
      </c>
      <c r="E233" s="3705">
        <v>45445</v>
      </c>
      <c r="F233" s="3241" t="s">
        <v>167</v>
      </c>
      <c r="G233" s="4842" t="s">
        <v>46</v>
      </c>
      <c r="H233" s="3075"/>
      <c r="I233" s="3075"/>
      <c r="J233" s="4213" t="s">
        <v>32</v>
      </c>
      <c r="K233" s="3241" t="s">
        <v>47</v>
      </c>
      <c r="L233" s="3673" t="s">
        <v>8737</v>
      </c>
      <c r="M233" s="3707">
        <v>45446</v>
      </c>
      <c r="N233" s="3707">
        <v>45446</v>
      </c>
      <c r="O233" s="3707">
        <v>45447</v>
      </c>
      <c r="P233" s="3756" t="s">
        <v>8738</v>
      </c>
      <c r="Q233" s="3733" t="s">
        <v>6852</v>
      </c>
      <c r="R233" s="3673" t="s">
        <v>36</v>
      </c>
      <c r="S233" s="3673"/>
      <c r="T233" s="3255">
        <v>3032</v>
      </c>
      <c r="U233" s="3255"/>
      <c r="V233" s="3255"/>
      <c r="W233" s="3255"/>
      <c r="X233" s="3255"/>
      <c r="Y233" s="3255"/>
      <c r="Z233" s="3256"/>
    </row>
    <row r="234" spans="1:26" s="709" customFormat="1">
      <c r="A234" s="3681" t="s">
        <v>3866</v>
      </c>
      <c r="B234" s="3275" t="s">
        <v>8739</v>
      </c>
      <c r="C234" s="4839" t="s">
        <v>28</v>
      </c>
      <c r="D234" s="3674">
        <v>45442</v>
      </c>
      <c r="E234" s="3644">
        <v>45454</v>
      </c>
      <c r="F234" s="3275" t="s">
        <v>45</v>
      </c>
      <c r="G234" s="4870" t="s">
        <v>46</v>
      </c>
      <c r="H234" s="3534"/>
      <c r="I234" s="3246"/>
      <c r="J234" s="3347" t="s">
        <v>32</v>
      </c>
      <c r="K234" s="3275" t="s">
        <v>47</v>
      </c>
      <c r="L234" s="3261" t="s">
        <v>8740</v>
      </c>
      <c r="M234" s="3682">
        <v>45455</v>
      </c>
      <c r="N234" s="3682">
        <v>45455</v>
      </c>
      <c r="O234" s="3682">
        <v>45457</v>
      </c>
      <c r="P234" s="3283" t="s">
        <v>8741</v>
      </c>
      <c r="Q234" s="3715" t="s">
        <v>6852</v>
      </c>
      <c r="R234" s="3261" t="s">
        <v>51</v>
      </c>
      <c r="S234" s="3261"/>
      <c r="T234" s="3258"/>
      <c r="U234" s="3258"/>
      <c r="V234" s="3258"/>
      <c r="W234" s="3258"/>
      <c r="X234" s="3258"/>
      <c r="Y234" s="3258"/>
      <c r="Z234" s="3259"/>
    </row>
    <row r="235" spans="1:26" s="1350" customFormat="1" ht="15.75">
      <c r="A235" s="3548" t="s">
        <v>4277</v>
      </c>
      <c r="B235" s="3757" t="s">
        <v>8742</v>
      </c>
      <c r="C235" s="3075" t="s">
        <v>28</v>
      </c>
      <c r="D235" s="3694">
        <v>45414</v>
      </c>
      <c r="E235" s="3737">
        <v>45433</v>
      </c>
      <c r="F235" s="3075" t="s">
        <v>45</v>
      </c>
      <c r="G235" s="3241" t="s">
        <v>46</v>
      </c>
      <c r="H235" s="3255"/>
      <c r="I235" s="3255"/>
      <c r="J235" s="5171" t="s">
        <v>32</v>
      </c>
      <c r="K235" s="3446" t="s">
        <v>47</v>
      </c>
      <c r="L235" s="3758" t="s">
        <v>8743</v>
      </c>
      <c r="M235" s="3704">
        <v>45435</v>
      </c>
      <c r="N235" s="3704">
        <v>45434</v>
      </c>
      <c r="O235" s="3704">
        <v>45436</v>
      </c>
      <c r="P235" s="3622" t="s">
        <v>8744</v>
      </c>
      <c r="Q235" s="3733" t="s">
        <v>6852</v>
      </c>
      <c r="R235" s="3673" t="s">
        <v>36</v>
      </c>
      <c r="S235" s="3673"/>
      <c r="T235" s="3255">
        <v>3360</v>
      </c>
      <c r="U235" s="3255"/>
      <c r="V235" s="3255"/>
      <c r="W235" s="3255"/>
      <c r="X235" s="3255"/>
      <c r="Y235" s="3255"/>
      <c r="Z235" s="3256"/>
    </row>
    <row r="236" spans="1:26" s="709" customFormat="1">
      <c r="A236" s="3688" t="s">
        <v>409</v>
      </c>
      <c r="B236" s="3261" t="s">
        <v>8745</v>
      </c>
      <c r="C236" s="3275" t="s">
        <v>28</v>
      </c>
      <c r="D236" s="3674">
        <v>45414</v>
      </c>
      <c r="E236" s="3644">
        <v>45433</v>
      </c>
      <c r="F236" s="3275" t="s">
        <v>151</v>
      </c>
      <c r="G236" s="4839" t="s">
        <v>46</v>
      </c>
      <c r="H236" s="3258"/>
      <c r="I236" s="3258"/>
      <c r="J236" s="3347" t="s">
        <v>32</v>
      </c>
      <c r="K236" s="3357" t="s">
        <v>47</v>
      </c>
      <c r="L236" s="3281">
        <v>288388</v>
      </c>
      <c r="M236" s="3674">
        <v>45434</v>
      </c>
      <c r="N236" s="3674">
        <v>45434</v>
      </c>
      <c r="O236" s="3674">
        <v>45435</v>
      </c>
      <c r="P236" s="3283" t="s">
        <v>8746</v>
      </c>
      <c r="Q236" s="3715" t="s">
        <v>6852</v>
      </c>
      <c r="R236" s="3261" t="s">
        <v>36</v>
      </c>
      <c r="S236" s="3261"/>
      <c r="T236" s="3258"/>
      <c r="U236" s="3258"/>
      <c r="V236" s="3258"/>
      <c r="W236" s="3258"/>
      <c r="X236" s="3258"/>
      <c r="Y236" s="3258"/>
      <c r="Z236" s="3259"/>
    </row>
    <row r="237" spans="1:26" s="709" customFormat="1">
      <c r="A237" s="3663" t="s">
        <v>4277</v>
      </c>
      <c r="B237" s="3261" t="s">
        <v>8747</v>
      </c>
      <c r="C237" s="3246" t="s">
        <v>28</v>
      </c>
      <c r="D237" s="3266">
        <v>45414</v>
      </c>
      <c r="E237" s="3716">
        <v>45434</v>
      </c>
      <c r="F237" s="3246" t="s">
        <v>45</v>
      </c>
      <c r="G237" s="3275" t="s">
        <v>46</v>
      </c>
      <c r="H237" s="3258"/>
      <c r="I237" s="3258"/>
      <c r="J237" s="3347" t="s">
        <v>32</v>
      </c>
      <c r="K237" s="3357" t="s">
        <v>47</v>
      </c>
      <c r="L237" s="3281" t="s">
        <v>8748</v>
      </c>
      <c r="M237" s="3674">
        <v>45437</v>
      </c>
      <c r="N237" s="3674">
        <v>45436</v>
      </c>
      <c r="O237" s="3674">
        <v>45438</v>
      </c>
      <c r="P237" s="3283" t="s">
        <v>8749</v>
      </c>
      <c r="Q237" s="3715" t="s">
        <v>6852</v>
      </c>
      <c r="R237" s="3261" t="s">
        <v>51</v>
      </c>
      <c r="S237" s="3261"/>
      <c r="T237" s="3258">
        <v>4172</v>
      </c>
      <c r="U237" s="3258"/>
      <c r="V237" s="3258"/>
      <c r="W237" s="3258"/>
      <c r="X237" s="3258"/>
      <c r="Y237" s="3258"/>
      <c r="Z237" s="3259"/>
    </row>
    <row r="238" spans="1:26" s="709" customFormat="1">
      <c r="A238" s="3749" t="s">
        <v>4277</v>
      </c>
      <c r="B238" s="4376" t="s">
        <v>8750</v>
      </c>
      <c r="C238" s="3241" t="s">
        <v>28</v>
      </c>
      <c r="D238" s="3704">
        <v>45422</v>
      </c>
      <c r="E238" s="3705">
        <v>45438</v>
      </c>
      <c r="F238" s="3241" t="s">
        <v>45</v>
      </c>
      <c r="G238" s="3241" t="s">
        <v>46</v>
      </c>
      <c r="H238" s="3255"/>
      <c r="I238" s="3255"/>
      <c r="J238" s="3750" t="s">
        <v>32</v>
      </c>
      <c r="K238" s="3241" t="s">
        <v>47</v>
      </c>
      <c r="L238" s="3673" t="s">
        <v>8751</v>
      </c>
      <c r="M238" s="3707">
        <v>45442</v>
      </c>
      <c r="N238" s="3704">
        <v>45442</v>
      </c>
      <c r="O238" s="3704">
        <v>45446</v>
      </c>
      <c r="P238" s="4328" t="s">
        <v>8752</v>
      </c>
      <c r="Q238" s="3733" t="s">
        <v>6852</v>
      </c>
      <c r="R238" s="3673" t="s">
        <v>51</v>
      </c>
      <c r="S238" s="3673"/>
      <c r="T238" s="3255">
        <v>3565.2</v>
      </c>
      <c r="U238" s="3255"/>
      <c r="V238" s="3255"/>
      <c r="W238" s="3255"/>
      <c r="X238" s="3255"/>
      <c r="Y238" s="3255"/>
      <c r="Z238" s="3256"/>
    </row>
    <row r="239" spans="1:26" s="709" customFormat="1">
      <c r="A239" s="3684" t="s">
        <v>4277</v>
      </c>
      <c r="B239" s="3261" t="s">
        <v>8753</v>
      </c>
      <c r="C239" s="3275" t="s">
        <v>28</v>
      </c>
      <c r="D239" s="3674">
        <v>45426</v>
      </c>
      <c r="E239" s="3644">
        <v>45439</v>
      </c>
      <c r="F239" s="3275" t="s">
        <v>45</v>
      </c>
      <c r="G239" s="4839" t="s">
        <v>46</v>
      </c>
      <c r="H239" s="3258"/>
      <c r="I239" s="3258"/>
      <c r="J239" s="3331" t="s">
        <v>32</v>
      </c>
      <c r="K239" s="3275" t="s">
        <v>47</v>
      </c>
      <c r="L239" s="4249" t="s">
        <v>8754</v>
      </c>
      <c r="M239" s="3682">
        <v>45442</v>
      </c>
      <c r="N239" s="3674">
        <v>45442</v>
      </c>
      <c r="O239" s="3674">
        <v>45443</v>
      </c>
      <c r="P239" s="3283" t="s">
        <v>8755</v>
      </c>
      <c r="Q239" s="3715" t="s">
        <v>6852</v>
      </c>
      <c r="R239" s="1" t="s">
        <v>51</v>
      </c>
      <c r="S239" s="3261"/>
      <c r="T239" s="3258">
        <v>3922.6</v>
      </c>
      <c r="U239" s="3258"/>
      <c r="V239" s="3258"/>
      <c r="W239" s="3258"/>
      <c r="X239" s="3258"/>
      <c r="Y239" s="3258"/>
      <c r="Z239" s="3259"/>
    </row>
    <row r="240" spans="1:26" s="117" customFormat="1" ht="75">
      <c r="A240" s="3417" t="s">
        <v>3866</v>
      </c>
      <c r="B240" s="4242" t="s">
        <v>8756</v>
      </c>
      <c r="C240" s="3268" t="s">
        <v>28</v>
      </c>
      <c r="D240" s="3262">
        <v>45402</v>
      </c>
      <c r="E240" s="3264">
        <v>45417</v>
      </c>
      <c r="F240" s="4242" t="s">
        <v>45</v>
      </c>
      <c r="G240" s="4909" t="s">
        <v>7393</v>
      </c>
      <c r="H240" s="3366">
        <v>45420</v>
      </c>
      <c r="I240" s="3293" t="s">
        <v>8757</v>
      </c>
      <c r="J240" s="3462" t="s">
        <v>8758</v>
      </c>
      <c r="K240" s="3759" t="s">
        <v>8759</v>
      </c>
      <c r="L240" s="806">
        <v>8730</v>
      </c>
      <c r="M240" s="3366">
        <v>45420</v>
      </c>
      <c r="N240" s="3366">
        <v>45420</v>
      </c>
      <c r="O240" s="4263">
        <v>45421</v>
      </c>
      <c r="P240" s="4246" t="s">
        <v>8760</v>
      </c>
      <c r="Q240" s="3678" t="s">
        <v>75</v>
      </c>
      <c r="R240" s="4242" t="s">
        <v>36</v>
      </c>
      <c r="S240" s="4242" t="s">
        <v>37</v>
      </c>
      <c r="T240" s="3268">
        <v>1120</v>
      </c>
      <c r="U240" s="3268">
        <v>947.2</v>
      </c>
      <c r="V240" s="4921">
        <v>1</v>
      </c>
      <c r="W240" s="5174">
        <f>表15[[#This Row],[Sales Amount]]-表15[[#This Row],[Cost]]</f>
        <v>172.79999999999995</v>
      </c>
      <c r="X240" s="5213">
        <f>表15[[#This Row],[Profit]]/表15[[#This Row],[Cost]]</f>
        <v>0.18243243243243237</v>
      </c>
      <c r="Y240" s="3268"/>
      <c r="Z240" s="3270"/>
    </row>
    <row r="241" spans="1:26" s="117" customFormat="1" ht="90">
      <c r="A241" s="4385" t="s">
        <v>3866</v>
      </c>
      <c r="B241" s="4307" t="s">
        <v>8761</v>
      </c>
      <c r="C241" s="4307" t="s">
        <v>8762</v>
      </c>
      <c r="D241" s="3467">
        <v>45443</v>
      </c>
      <c r="E241" s="2808">
        <v>45443</v>
      </c>
      <c r="F241" s="4307" t="s">
        <v>45</v>
      </c>
      <c r="G241" s="4829" t="s">
        <v>8547</v>
      </c>
      <c r="H241" s="4378">
        <v>45453</v>
      </c>
      <c r="I241" s="3364" t="s">
        <v>8763</v>
      </c>
      <c r="J241" s="4307" t="s">
        <v>510</v>
      </c>
      <c r="K241" s="4307" t="s">
        <v>8548</v>
      </c>
      <c r="L241" s="4921"/>
      <c r="M241" s="3467">
        <v>45450</v>
      </c>
      <c r="N241" s="3467">
        <v>45450</v>
      </c>
      <c r="O241" s="3467">
        <v>45454</v>
      </c>
      <c r="P241" s="4321" t="s">
        <v>8764</v>
      </c>
      <c r="Q241" s="3722" t="s">
        <v>75</v>
      </c>
      <c r="R241" s="4380" t="s">
        <v>8765</v>
      </c>
      <c r="S241" s="3364"/>
      <c r="T241" s="3723">
        <v>1875</v>
      </c>
      <c r="U241" s="3760">
        <v>1492</v>
      </c>
      <c r="V241" s="3364">
        <v>1</v>
      </c>
      <c r="W241" s="3723">
        <f>表15[[#This Row],[Sales Amount]]-表15[[#This Row],[Cost]]</f>
        <v>383</v>
      </c>
      <c r="X241" s="3724">
        <f>表15[[#This Row],[Profit]]/表15[[#This Row],[Cost]]</f>
        <v>0.25670241286863271</v>
      </c>
      <c r="Y241" s="3364"/>
      <c r="Z241" s="3708"/>
    </row>
    <row r="242" spans="1:26" s="106" customFormat="1" ht="30">
      <c r="A242" s="3761" t="s">
        <v>710</v>
      </c>
      <c r="B242" s="3293" t="s">
        <v>8766</v>
      </c>
      <c r="C242" s="3293" t="s">
        <v>28</v>
      </c>
      <c r="D242" s="3418">
        <v>45421</v>
      </c>
      <c r="E242" s="3418">
        <v>45422</v>
      </c>
      <c r="F242" s="3293" t="s">
        <v>1828</v>
      </c>
      <c r="G242" s="4951" t="s">
        <v>8767</v>
      </c>
      <c r="H242" s="3293" t="s">
        <v>8768</v>
      </c>
      <c r="I242" s="3293" t="s">
        <v>8768</v>
      </c>
      <c r="J242" s="3762" t="s">
        <v>8768</v>
      </c>
      <c r="K242" s="3293" t="s">
        <v>8768</v>
      </c>
      <c r="L242" s="794" t="s">
        <v>8769</v>
      </c>
      <c r="M242" s="3418"/>
      <c r="N242" s="3418">
        <v>45426</v>
      </c>
      <c r="O242" s="3418">
        <v>45429</v>
      </c>
      <c r="P242" s="4246" t="s">
        <v>8770</v>
      </c>
      <c r="Q242" s="3678" t="s">
        <v>75</v>
      </c>
      <c r="R242" s="3268" t="s">
        <v>8771</v>
      </c>
      <c r="S242" s="3273" t="s">
        <v>8772</v>
      </c>
      <c r="T242" s="3268"/>
      <c r="U242" s="3268"/>
      <c r="V242" s="3268"/>
      <c r="W242" s="3268"/>
      <c r="X242" s="3268"/>
      <c r="Y242" s="3268"/>
      <c r="Z242" s="3270"/>
    </row>
    <row r="243" spans="1:26" s="709" customFormat="1">
      <c r="A243" s="3688" t="s">
        <v>409</v>
      </c>
      <c r="B243" s="3261" t="s">
        <v>8773</v>
      </c>
      <c r="C243" s="3275" t="s">
        <v>28</v>
      </c>
      <c r="D243" s="3674">
        <v>45414</v>
      </c>
      <c r="E243" s="3644">
        <v>45430</v>
      </c>
      <c r="F243" s="3275" t="s">
        <v>151</v>
      </c>
      <c r="G243" s="4839" t="s">
        <v>46</v>
      </c>
      <c r="H243" s="3258"/>
      <c r="I243" s="3258"/>
      <c r="J243" s="3347" t="s">
        <v>32</v>
      </c>
      <c r="K243" s="3357" t="s">
        <v>47</v>
      </c>
      <c r="L243" s="1589" t="s">
        <v>8774</v>
      </c>
      <c r="M243" s="3674">
        <v>45432</v>
      </c>
      <c r="N243" s="3674">
        <v>45432</v>
      </c>
      <c r="O243" s="3674">
        <v>45432</v>
      </c>
      <c r="P243" s="3283" t="s">
        <v>8775</v>
      </c>
      <c r="Q243" s="3715" t="s">
        <v>6852</v>
      </c>
      <c r="R243" s="3261" t="s">
        <v>8776</v>
      </c>
      <c r="S243" s="3261"/>
      <c r="T243" s="3258"/>
      <c r="U243" s="3258"/>
      <c r="V243" s="3258"/>
      <c r="W243" s="3258"/>
      <c r="X243" s="3258"/>
      <c r="Y243" s="3258"/>
      <c r="Z243" s="3259"/>
    </row>
    <row r="244" spans="1:26" s="709" customFormat="1">
      <c r="A244" s="3235" t="s">
        <v>409</v>
      </c>
      <c r="B244" s="3275" t="s">
        <v>8777</v>
      </c>
      <c r="C244" s="3275" t="s">
        <v>28</v>
      </c>
      <c r="D244" s="3674">
        <v>45442</v>
      </c>
      <c r="E244" s="1668">
        <v>45457</v>
      </c>
      <c r="F244" s="3275" t="s">
        <v>151</v>
      </c>
      <c r="G244" s="4870" t="s">
        <v>46</v>
      </c>
      <c r="H244" s="3534"/>
      <c r="I244" s="3246"/>
      <c r="J244" s="3357" t="s">
        <v>32</v>
      </c>
      <c r="K244" s="3275" t="s">
        <v>47</v>
      </c>
      <c r="L244" s="1" t="s">
        <v>8778</v>
      </c>
      <c r="M244" s="3682">
        <v>45460</v>
      </c>
      <c r="N244" s="3682">
        <v>45459</v>
      </c>
      <c r="O244" s="3682">
        <v>45461</v>
      </c>
      <c r="P244" s="3283" t="s">
        <v>8779</v>
      </c>
      <c r="Q244" s="3715" t="s">
        <v>6852</v>
      </c>
      <c r="R244" s="3261" t="s">
        <v>36</v>
      </c>
      <c r="S244" s="3261"/>
      <c r="T244" s="3258"/>
      <c r="U244" s="3258"/>
      <c r="V244" s="3258"/>
      <c r="W244" s="3258"/>
      <c r="X244" s="3258"/>
      <c r="Y244" s="3258"/>
      <c r="Z244" s="3259"/>
    </row>
    <row r="245" spans="1:26" s="709" customFormat="1">
      <c r="A245" s="3235" t="s">
        <v>409</v>
      </c>
      <c r="B245" s="3246" t="s">
        <v>8780</v>
      </c>
      <c r="C245" s="3275" t="s">
        <v>28</v>
      </c>
      <c r="D245" s="3674">
        <v>45442</v>
      </c>
      <c r="E245" s="3644">
        <v>45467</v>
      </c>
      <c r="F245" s="3275" t="s">
        <v>151</v>
      </c>
      <c r="G245" s="4839" t="s">
        <v>46</v>
      </c>
      <c r="H245" s="3534"/>
      <c r="I245" s="3246"/>
      <c r="J245" s="3261" t="s">
        <v>32</v>
      </c>
      <c r="K245" s="3275" t="s">
        <v>47</v>
      </c>
      <c r="L245" s="58" t="s">
        <v>8781</v>
      </c>
      <c r="M245" s="3682">
        <v>45470</v>
      </c>
      <c r="N245" s="3682">
        <v>45469</v>
      </c>
      <c r="O245" s="3682">
        <v>45471</v>
      </c>
      <c r="P245" s="3283" t="s">
        <v>8782</v>
      </c>
      <c r="Q245" s="3715" t="s">
        <v>6852</v>
      </c>
      <c r="R245" s="3261" t="s">
        <v>36</v>
      </c>
      <c r="S245" s="3261"/>
      <c r="T245" s="3258"/>
      <c r="U245" s="3258"/>
      <c r="V245" s="3258"/>
      <c r="W245" s="3258"/>
      <c r="X245" s="3258"/>
      <c r="Y245" s="3258"/>
      <c r="Z245" s="3259"/>
    </row>
    <row r="246" spans="1:26" s="709" customFormat="1">
      <c r="A246" s="3684" t="s">
        <v>4277</v>
      </c>
      <c r="B246" s="3275" t="s">
        <v>8783</v>
      </c>
      <c r="C246" s="3275" t="s">
        <v>28</v>
      </c>
      <c r="D246" s="3674">
        <v>45426</v>
      </c>
      <c r="E246" s="3689">
        <v>45448</v>
      </c>
      <c r="F246" s="3275" t="s">
        <v>45</v>
      </c>
      <c r="G246" s="4839" t="s">
        <v>46</v>
      </c>
      <c r="H246" s="3258"/>
      <c r="I246" s="3258"/>
      <c r="J246" s="3347" t="s">
        <v>32</v>
      </c>
      <c r="K246" s="3357" t="s">
        <v>47</v>
      </c>
      <c r="L246" s="2824" t="s">
        <v>8784</v>
      </c>
      <c r="M246" s="3674">
        <v>45450</v>
      </c>
      <c r="N246" s="3674">
        <v>45450</v>
      </c>
      <c r="O246" s="3674">
        <v>45453</v>
      </c>
      <c r="P246" s="3283" t="s">
        <v>8785</v>
      </c>
      <c r="Q246" s="3715" t="s">
        <v>6852</v>
      </c>
      <c r="R246" s="3261" t="s">
        <v>36</v>
      </c>
      <c r="S246" s="3261"/>
      <c r="T246" s="3258"/>
      <c r="U246" s="3258"/>
      <c r="V246" s="3258"/>
      <c r="W246" s="3258"/>
      <c r="X246" s="3258"/>
      <c r="Y246" s="3258"/>
      <c r="Z246" s="3259"/>
    </row>
    <row r="247" spans="1:26" s="106" customFormat="1">
      <c r="A247" s="3717" t="s">
        <v>7322</v>
      </c>
      <c r="B247" s="3275" t="s">
        <v>8786</v>
      </c>
      <c r="C247" s="3275" t="s">
        <v>28</v>
      </c>
      <c r="D247" s="3279">
        <v>45433</v>
      </c>
      <c r="E247" s="1631">
        <v>45442</v>
      </c>
      <c r="F247" s="3275" t="s">
        <v>29</v>
      </c>
      <c r="G247" s="4839" t="s">
        <v>6204</v>
      </c>
      <c r="H247" s="3279" t="s">
        <v>8463</v>
      </c>
      <c r="I247" s="3275" t="s">
        <v>532</v>
      </c>
      <c r="J247" s="3730" t="s">
        <v>551</v>
      </c>
      <c r="K247" s="3275" t="s">
        <v>8074</v>
      </c>
      <c r="L247" s="3275" t="s">
        <v>1677</v>
      </c>
      <c r="M247" s="3279">
        <v>45446</v>
      </c>
      <c r="N247" s="3275"/>
      <c r="O247" s="3275"/>
      <c r="P247" s="3283" t="s">
        <v>8464</v>
      </c>
      <c r="Q247" s="3275" t="s">
        <v>862</v>
      </c>
      <c r="R247" s="3261" t="s">
        <v>51</v>
      </c>
      <c r="S247" s="3261" t="s">
        <v>37</v>
      </c>
      <c r="T247" s="3255"/>
      <c r="U247" s="3255"/>
      <c r="V247" s="3255"/>
      <c r="W247" s="3255"/>
      <c r="X247" s="3255"/>
      <c r="Y247" s="3255"/>
      <c r="Z247" s="3256"/>
    </row>
    <row r="248" spans="1:26" s="709" customFormat="1">
      <c r="A248" s="3235" t="s">
        <v>3343</v>
      </c>
      <c r="B248" s="4221" t="s">
        <v>8787</v>
      </c>
      <c r="C248" s="3275" t="s">
        <v>28</v>
      </c>
      <c r="D248" s="3674">
        <v>45437</v>
      </c>
      <c r="E248" s="1668">
        <v>45450</v>
      </c>
      <c r="F248" s="3275" t="s">
        <v>45</v>
      </c>
      <c r="G248" s="4870" t="s">
        <v>46</v>
      </c>
      <c r="H248" s="3534"/>
      <c r="I248" s="3246"/>
      <c r="J248" s="3357" t="s">
        <v>32</v>
      </c>
      <c r="K248" s="3275" t="s">
        <v>47</v>
      </c>
      <c r="L248" s="3735" t="s">
        <v>8788</v>
      </c>
      <c r="M248" s="3682">
        <v>45449</v>
      </c>
      <c r="N248" s="3682">
        <v>45447</v>
      </c>
      <c r="O248" s="3682">
        <v>45449</v>
      </c>
      <c r="P248" s="3283" t="s">
        <v>8789</v>
      </c>
      <c r="Q248" s="3715" t="s">
        <v>6852</v>
      </c>
      <c r="R248" s="3261" t="s">
        <v>51</v>
      </c>
      <c r="S248" s="3261"/>
      <c r="T248" s="3258"/>
      <c r="U248" s="3258"/>
      <c r="V248" s="3258"/>
      <c r="W248" s="3258"/>
      <c r="X248" s="3258"/>
      <c r="Y248" s="3258"/>
      <c r="Z248" s="3259"/>
    </row>
    <row r="249" spans="1:26" s="117" customFormat="1">
      <c r="A249" s="3749" t="s">
        <v>4277</v>
      </c>
      <c r="B249" s="4376" t="s">
        <v>8790</v>
      </c>
      <c r="C249" s="3241" t="s">
        <v>28</v>
      </c>
      <c r="D249" s="3704">
        <v>45422</v>
      </c>
      <c r="E249" s="2784">
        <v>45438</v>
      </c>
      <c r="F249" s="3241" t="s">
        <v>45</v>
      </c>
      <c r="G249" s="4895" t="s">
        <v>46</v>
      </c>
      <c r="H249" s="3255"/>
      <c r="I249" s="3255"/>
      <c r="J249" s="3750" t="s">
        <v>32</v>
      </c>
      <c r="K249" s="3241" t="s">
        <v>47</v>
      </c>
      <c r="L249" s="4376" t="s">
        <v>8791</v>
      </c>
      <c r="M249" s="2772">
        <v>45441</v>
      </c>
      <c r="N249" s="2772">
        <v>45440</v>
      </c>
      <c r="O249" s="3704">
        <v>45441</v>
      </c>
      <c r="P249" s="3622" t="s">
        <v>8792</v>
      </c>
      <c r="Q249" s="3733" t="s">
        <v>6852</v>
      </c>
      <c r="R249" s="2" t="s">
        <v>36</v>
      </c>
      <c r="S249" s="3673"/>
      <c r="T249" s="3255">
        <v>3576</v>
      </c>
      <c r="U249" s="3255"/>
      <c r="V249" s="3255"/>
      <c r="W249" s="3255"/>
      <c r="X249" s="3255"/>
      <c r="Y249" s="3255"/>
      <c r="Z249" s="3256"/>
    </row>
    <row r="250" spans="1:26" s="709" customFormat="1">
      <c r="A250" s="3239" t="s">
        <v>8520</v>
      </c>
      <c r="B250" s="3734" t="s">
        <v>8793</v>
      </c>
      <c r="C250" s="3241" t="s">
        <v>28</v>
      </c>
      <c r="D250" s="3704">
        <v>45428</v>
      </c>
      <c r="E250" s="3705">
        <v>45442</v>
      </c>
      <c r="F250" s="4895" t="s">
        <v>45</v>
      </c>
      <c r="G250" s="3673" t="s">
        <v>46</v>
      </c>
      <c r="H250" s="3069"/>
      <c r="I250" s="3075"/>
      <c r="J250" s="3750" t="s">
        <v>32</v>
      </c>
      <c r="K250" s="3241" t="s">
        <v>47</v>
      </c>
      <c r="L250" s="3673" t="s">
        <v>8794</v>
      </c>
      <c r="M250" s="3707">
        <v>45444</v>
      </c>
      <c r="N250" s="3707">
        <v>45444</v>
      </c>
      <c r="O250" s="3707">
        <v>45450</v>
      </c>
      <c r="P250" s="3622" t="s">
        <v>8795</v>
      </c>
      <c r="Q250" s="5501" t="s">
        <v>6852</v>
      </c>
      <c r="R250" s="3673" t="s">
        <v>51</v>
      </c>
      <c r="S250" s="3673"/>
      <c r="T250" s="3255">
        <v>6620</v>
      </c>
      <c r="U250" s="3255"/>
      <c r="V250" s="3255"/>
      <c r="W250" s="3255"/>
      <c r="X250" s="3255"/>
      <c r="Y250" s="3255"/>
      <c r="Z250" s="3256"/>
    </row>
    <row r="251" spans="1:26" s="106" customFormat="1" ht="30">
      <c r="A251" s="3417" t="s">
        <v>468</v>
      </c>
      <c r="B251" s="4242" t="s">
        <v>8796</v>
      </c>
      <c r="C251" s="3268" t="s">
        <v>200</v>
      </c>
      <c r="D251" s="3264">
        <v>45417</v>
      </c>
      <c r="E251" s="3264">
        <v>45417</v>
      </c>
      <c r="F251" s="3268" t="s">
        <v>260</v>
      </c>
      <c r="G251" s="4947" t="s">
        <v>4355</v>
      </c>
      <c r="H251" s="4241">
        <v>45421</v>
      </c>
      <c r="I251" s="4242" t="s">
        <v>108</v>
      </c>
      <c r="J251" s="3462" t="s">
        <v>322</v>
      </c>
      <c r="K251" s="4242" t="s">
        <v>6955</v>
      </c>
      <c r="L251" s="3268"/>
      <c r="M251" s="3366">
        <v>45421</v>
      </c>
      <c r="N251" s="3262">
        <v>45420</v>
      </c>
      <c r="O251" s="3262">
        <v>45421</v>
      </c>
      <c r="P251" s="4246" t="s">
        <v>8797</v>
      </c>
      <c r="Q251" s="3268" t="s">
        <v>75</v>
      </c>
      <c r="R251" s="4242" t="s">
        <v>8798</v>
      </c>
      <c r="S251" s="3268"/>
      <c r="T251" s="3679">
        <v>1125</v>
      </c>
      <c r="U251" s="3268">
        <v>895.5</v>
      </c>
      <c r="V251" s="3268">
        <v>1</v>
      </c>
      <c r="W251" s="3679">
        <f>表15[[#This Row],[Sales Amount]]-表15[[#This Row],[Cost]]</f>
        <v>229.5</v>
      </c>
      <c r="X251" s="3269">
        <f>表15[[#This Row],[Profit]]/表15[[#This Row],[Cost]]</f>
        <v>0.25628140703517588</v>
      </c>
      <c r="Y251" s="3268"/>
      <c r="Z251" s="3270"/>
    </row>
    <row r="252" spans="1:26" s="106" customFormat="1">
      <c r="A252" s="3106"/>
      <c r="B252" s="4386"/>
      <c r="C252" s="5283"/>
      <c r="D252" s="4387"/>
      <c r="E252" s="4387"/>
      <c r="F252" s="5283"/>
      <c r="G252" s="5532"/>
      <c r="H252" s="3068"/>
      <c r="I252" s="3067"/>
      <c r="J252" s="4377"/>
      <c r="K252" s="4377"/>
      <c r="L252" s="52"/>
      <c r="M252" s="3068"/>
      <c r="N252" s="3068"/>
      <c r="O252" s="3068"/>
      <c r="P252" s="4323"/>
      <c r="Q252" s="3067"/>
      <c r="R252" s="3067"/>
      <c r="S252" s="3067"/>
      <c r="T252" s="3067"/>
      <c r="U252" s="3067"/>
      <c r="V252" s="3067"/>
      <c r="W252" s="3067"/>
      <c r="X252" s="3067"/>
      <c r="Y252" s="3067"/>
      <c r="Z252" s="3763"/>
    </row>
    <row r="253" spans="1:26" s="709" customFormat="1" ht="15.75">
      <c r="A253" s="3688" t="s">
        <v>409</v>
      </c>
      <c r="B253" s="3261" t="s">
        <v>8799</v>
      </c>
      <c r="C253" s="3275" t="s">
        <v>28</v>
      </c>
      <c r="D253" s="3674">
        <v>45414</v>
      </c>
      <c r="E253" s="3644">
        <v>45430</v>
      </c>
      <c r="F253" s="3275" t="s">
        <v>151</v>
      </c>
      <c r="G253" s="4839" t="s">
        <v>46</v>
      </c>
      <c r="H253" s="4882"/>
      <c r="I253" s="3258"/>
      <c r="J253" s="4901" t="s">
        <v>32</v>
      </c>
      <c r="K253" s="3357" t="s">
        <v>47</v>
      </c>
      <c r="L253" s="3764" t="s">
        <v>8800</v>
      </c>
      <c r="M253" s="3674">
        <v>45432</v>
      </c>
      <c r="N253" s="3674">
        <v>45432</v>
      </c>
      <c r="O253" s="3674">
        <v>45432</v>
      </c>
      <c r="P253" s="3283" t="s">
        <v>8801</v>
      </c>
      <c r="Q253" s="3715" t="s">
        <v>6852</v>
      </c>
      <c r="R253" s="3261" t="s">
        <v>8802</v>
      </c>
      <c r="S253" s="3261"/>
      <c r="T253" s="3258"/>
      <c r="U253" s="3258"/>
      <c r="V253" s="3258"/>
      <c r="W253" s="3258"/>
      <c r="X253" s="3258"/>
      <c r="Y253" s="3258"/>
      <c r="Z253" s="3259"/>
    </row>
    <row r="254" spans="1:26" s="709" customFormat="1">
      <c r="A254" s="3235" t="s">
        <v>3343</v>
      </c>
      <c r="B254" s="3275" t="s">
        <v>8803</v>
      </c>
      <c r="C254" s="3275" t="s">
        <v>28</v>
      </c>
      <c r="D254" s="3674">
        <v>45438</v>
      </c>
      <c r="E254" s="3689">
        <v>45451</v>
      </c>
      <c r="F254" s="3275" t="s">
        <v>45</v>
      </c>
      <c r="G254" s="3261" t="s">
        <v>46</v>
      </c>
      <c r="H254" s="3534"/>
      <c r="I254" s="3246"/>
      <c r="J254" s="3357" t="s">
        <v>32</v>
      </c>
      <c r="K254" s="3275" t="s">
        <v>47</v>
      </c>
      <c r="L254" s="3735" t="s">
        <v>8804</v>
      </c>
      <c r="M254" s="3682"/>
      <c r="N254" s="3682">
        <v>45451</v>
      </c>
      <c r="O254" s="3682">
        <v>45453</v>
      </c>
      <c r="P254" s="3283" t="s">
        <v>8805</v>
      </c>
      <c r="Q254" s="3715" t="s">
        <v>6852</v>
      </c>
      <c r="R254" s="3261" t="s">
        <v>51</v>
      </c>
      <c r="S254" s="3261"/>
      <c r="T254" s="3258"/>
      <c r="U254" s="3258"/>
      <c r="V254" s="3258"/>
      <c r="W254" s="3258"/>
      <c r="X254" s="3258"/>
      <c r="Y254" s="3258"/>
      <c r="Z254" s="3259"/>
    </row>
    <row r="255" spans="1:26" s="709" customFormat="1">
      <c r="A255" s="3235" t="s">
        <v>3343</v>
      </c>
      <c r="B255" s="3765" t="s">
        <v>8806</v>
      </c>
      <c r="C255" s="3275" t="s">
        <v>28</v>
      </c>
      <c r="D255" s="3674">
        <v>45428</v>
      </c>
      <c r="E255" s="1668">
        <v>45439</v>
      </c>
      <c r="F255" s="3275" t="s">
        <v>45</v>
      </c>
      <c r="G255" s="3261" t="s">
        <v>46</v>
      </c>
      <c r="H255" s="3534"/>
      <c r="I255" s="3246"/>
      <c r="J255" s="3331" t="s">
        <v>32</v>
      </c>
      <c r="K255" s="3275" t="s">
        <v>47</v>
      </c>
      <c r="L255" s="3261" t="s">
        <v>8807</v>
      </c>
      <c r="M255" s="3682">
        <v>45441</v>
      </c>
      <c r="N255" s="3682">
        <v>45441</v>
      </c>
      <c r="O255" s="3682">
        <v>45444</v>
      </c>
      <c r="P255" s="3283" t="s">
        <v>8808</v>
      </c>
      <c r="Q255" s="3715" t="s">
        <v>6852</v>
      </c>
      <c r="R255" s="3261" t="s">
        <v>36</v>
      </c>
      <c r="S255" s="3261"/>
      <c r="T255" s="3258">
        <v>3956.4</v>
      </c>
      <c r="U255" s="3258"/>
      <c r="V255" s="3258"/>
      <c r="W255" s="3258"/>
      <c r="X255" s="3258"/>
      <c r="Y255" s="3258"/>
      <c r="Z255" s="3259"/>
    </row>
    <row r="256" spans="1:26" s="106" customFormat="1">
      <c r="A256" s="3065" t="s">
        <v>7322</v>
      </c>
      <c r="B256" s="3241" t="s">
        <v>8809</v>
      </c>
      <c r="C256" s="3241" t="s">
        <v>28</v>
      </c>
      <c r="D256" s="3704">
        <v>45433</v>
      </c>
      <c r="E256" s="2784">
        <v>45434</v>
      </c>
      <c r="F256" s="3241" t="s">
        <v>151</v>
      </c>
      <c r="G256" s="3241" t="s">
        <v>8810</v>
      </c>
      <c r="H256" s="3069">
        <v>45441</v>
      </c>
      <c r="I256" s="3075" t="s">
        <v>745</v>
      </c>
      <c r="J256" s="3446" t="s">
        <v>377</v>
      </c>
      <c r="K256" s="3241" t="s">
        <v>8811</v>
      </c>
      <c r="L256" s="3673"/>
      <c r="M256" s="3707">
        <v>45440</v>
      </c>
      <c r="N256" s="3707">
        <v>45440</v>
      </c>
      <c r="O256" s="3707">
        <v>45442</v>
      </c>
      <c r="P256" s="3622" t="s">
        <v>8812</v>
      </c>
      <c r="Q256" s="3241" t="s">
        <v>862</v>
      </c>
      <c r="R256" s="4376" t="s">
        <v>51</v>
      </c>
      <c r="S256" s="4376" t="s">
        <v>8097</v>
      </c>
      <c r="T256" s="3255">
        <v>1095</v>
      </c>
      <c r="U256" s="3255">
        <v>880</v>
      </c>
      <c r="V256" s="3255"/>
      <c r="W256" s="3255"/>
      <c r="X256" s="3255"/>
      <c r="Y256" s="3255"/>
      <c r="Z256" s="3256"/>
    </row>
    <row r="257" spans="1:26" s="709" customFormat="1">
      <c r="A257" s="3548" t="s">
        <v>4277</v>
      </c>
      <c r="B257" s="3757" t="s">
        <v>8813</v>
      </c>
      <c r="C257" s="3075" t="s">
        <v>28</v>
      </c>
      <c r="D257" s="3694">
        <v>45422</v>
      </c>
      <c r="E257" s="3737">
        <v>45435</v>
      </c>
      <c r="F257" s="3075" t="s">
        <v>45</v>
      </c>
      <c r="G257" s="3241" t="s">
        <v>46</v>
      </c>
      <c r="H257" s="3255"/>
      <c r="I257" s="3255"/>
      <c r="J257" s="3332" t="s">
        <v>32</v>
      </c>
      <c r="K257" s="3446" t="s">
        <v>47</v>
      </c>
      <c r="L257" s="3766" t="s">
        <v>8814</v>
      </c>
      <c r="M257" s="3704">
        <v>45437</v>
      </c>
      <c r="N257" s="3704">
        <v>45436</v>
      </c>
      <c r="O257" s="3704">
        <v>45439</v>
      </c>
      <c r="P257" s="3622" t="s">
        <v>8815</v>
      </c>
      <c r="Q257" s="3733" t="s">
        <v>6852</v>
      </c>
      <c r="R257" s="3673" t="s">
        <v>51</v>
      </c>
      <c r="S257" s="3673"/>
      <c r="T257" s="3255">
        <v>3752</v>
      </c>
      <c r="U257" s="3255"/>
      <c r="V257" s="3255"/>
      <c r="W257" s="3255"/>
      <c r="X257" s="3255"/>
      <c r="Y257" s="3255"/>
      <c r="Z257" s="3256"/>
    </row>
    <row r="258" spans="1:26" s="709" customFormat="1">
      <c r="A258" s="3239" t="s">
        <v>3343</v>
      </c>
      <c r="B258" s="4384" t="s">
        <v>8816</v>
      </c>
      <c r="C258" s="3241" t="s">
        <v>28</v>
      </c>
      <c r="D258" s="3704">
        <v>45439</v>
      </c>
      <c r="E258" s="3705">
        <v>45446</v>
      </c>
      <c r="F258" s="3241" t="s">
        <v>45</v>
      </c>
      <c r="G258" s="3673" t="s">
        <v>46</v>
      </c>
      <c r="H258" s="144"/>
      <c r="I258" s="3075"/>
      <c r="J258" s="3446" t="s">
        <v>32</v>
      </c>
      <c r="K258" s="3241" t="s">
        <v>47</v>
      </c>
      <c r="L258" s="3744" t="s">
        <v>8817</v>
      </c>
      <c r="M258" s="3707">
        <v>45448</v>
      </c>
      <c r="N258" s="3707">
        <v>45448</v>
      </c>
      <c r="O258" s="3707">
        <v>45450</v>
      </c>
      <c r="P258" s="3622" t="s">
        <v>8818</v>
      </c>
      <c r="Q258" s="3733" t="s">
        <v>6852</v>
      </c>
      <c r="R258" s="3673" t="s">
        <v>51</v>
      </c>
      <c r="S258" s="3673"/>
      <c r="T258" s="3255">
        <v>3940</v>
      </c>
      <c r="U258" s="3255"/>
      <c r="V258" s="3255"/>
      <c r="W258" s="3255"/>
      <c r="X258" s="3255"/>
      <c r="Y258" s="3255"/>
      <c r="Z258" s="3256"/>
    </row>
    <row r="259" spans="1:26" s="106" customFormat="1" ht="15.75">
      <c r="A259" s="3749" t="s">
        <v>4277</v>
      </c>
      <c r="B259" s="4376" t="s">
        <v>8819</v>
      </c>
      <c r="C259" s="3241" t="s">
        <v>28</v>
      </c>
      <c r="D259" s="3704">
        <v>45422</v>
      </c>
      <c r="E259" s="3705">
        <v>45437</v>
      </c>
      <c r="F259" s="3241" t="s">
        <v>45</v>
      </c>
      <c r="G259" s="4895" t="s">
        <v>46</v>
      </c>
      <c r="H259" s="3255"/>
      <c r="I259" s="3255"/>
      <c r="J259" s="3750" t="s">
        <v>32</v>
      </c>
      <c r="K259" s="3241" t="s">
        <v>47</v>
      </c>
      <c r="L259" s="3767" t="s">
        <v>8820</v>
      </c>
      <c r="M259" s="3704">
        <v>45441</v>
      </c>
      <c r="N259" s="3704">
        <v>45441</v>
      </c>
      <c r="O259" s="3704">
        <v>45442</v>
      </c>
      <c r="P259" s="3622" t="s">
        <v>8821</v>
      </c>
      <c r="Q259" s="3733" t="s">
        <v>6852</v>
      </c>
      <c r="R259" s="3673" t="s">
        <v>36</v>
      </c>
      <c r="S259" s="3673"/>
      <c r="T259" s="3255">
        <v>3946</v>
      </c>
      <c r="U259" s="3255"/>
      <c r="V259" s="3255"/>
      <c r="W259" s="3255"/>
      <c r="X259" s="3255"/>
      <c r="Y259" s="3255"/>
      <c r="Z259" s="3256"/>
    </row>
    <row r="260" spans="1:26" s="106" customFormat="1">
      <c r="A260" s="3527" t="s">
        <v>7804</v>
      </c>
      <c r="B260" s="3261" t="s">
        <v>8822</v>
      </c>
      <c r="C260" s="3275" t="s">
        <v>704</v>
      </c>
      <c r="D260" s="3674">
        <v>45406</v>
      </c>
      <c r="E260" s="4388">
        <v>45415</v>
      </c>
      <c r="F260" s="3275" t="s">
        <v>29</v>
      </c>
      <c r="G260" s="4870" t="s">
        <v>8823</v>
      </c>
      <c r="H260" s="3258"/>
      <c r="I260" s="3258"/>
      <c r="J260" s="3286" t="s">
        <v>32</v>
      </c>
      <c r="K260" s="3261" t="s">
        <v>8824</v>
      </c>
      <c r="L260" s="3261">
        <v>8037326</v>
      </c>
      <c r="M260" s="3261"/>
      <c r="N260" s="3674">
        <v>45419</v>
      </c>
      <c r="O260" s="3674">
        <v>45419</v>
      </c>
      <c r="P260" s="3283" t="s">
        <v>8825</v>
      </c>
      <c r="Q260" s="3715" t="s">
        <v>6852</v>
      </c>
      <c r="R260" s="3261" t="s">
        <v>8826</v>
      </c>
      <c r="S260" s="3261"/>
      <c r="T260" s="3258"/>
      <c r="U260" s="3258"/>
      <c r="V260" s="3258"/>
      <c r="W260" s="3258"/>
      <c r="X260" s="3258"/>
      <c r="Y260" s="3258"/>
      <c r="Z260" s="3259"/>
    </row>
    <row r="261" spans="1:26" s="709" customFormat="1">
      <c r="A261" s="3235" t="s">
        <v>3343</v>
      </c>
      <c r="B261" s="4839" t="s">
        <v>8827</v>
      </c>
      <c r="C261" s="3275" t="s">
        <v>28</v>
      </c>
      <c r="D261" s="3674">
        <v>45438</v>
      </c>
      <c r="E261" s="3689">
        <v>45451</v>
      </c>
      <c r="F261" s="3275" t="s">
        <v>45</v>
      </c>
      <c r="G261" s="4870" t="s">
        <v>46</v>
      </c>
      <c r="H261" s="3534"/>
      <c r="I261" s="3246"/>
      <c r="J261" s="3275" t="s">
        <v>32</v>
      </c>
      <c r="K261" s="3275" t="s">
        <v>47</v>
      </c>
      <c r="L261" s="4870" t="s">
        <v>8828</v>
      </c>
      <c r="M261" s="4877">
        <v>45452</v>
      </c>
      <c r="N261" s="4877">
        <v>45452</v>
      </c>
      <c r="O261" s="4877">
        <v>45456</v>
      </c>
      <c r="P261" s="4871" t="s">
        <v>8829</v>
      </c>
      <c r="Q261" s="3715" t="s">
        <v>6852</v>
      </c>
      <c r="R261" s="3261" t="s">
        <v>51</v>
      </c>
      <c r="S261" s="4870"/>
      <c r="T261" s="4882"/>
      <c r="U261" s="4882"/>
      <c r="V261" s="4882"/>
      <c r="W261" s="4882"/>
      <c r="X261" s="4882"/>
      <c r="Y261" s="4882"/>
      <c r="Z261" s="5055"/>
    </row>
    <row r="262" spans="1:26" s="709" customFormat="1">
      <c r="A262" s="3684" t="s">
        <v>409</v>
      </c>
      <c r="B262" s="3275" t="s">
        <v>8830</v>
      </c>
      <c r="C262" s="3275" t="s">
        <v>28</v>
      </c>
      <c r="D262" s="3674">
        <v>45437</v>
      </c>
      <c r="E262" s="3689">
        <v>45446</v>
      </c>
      <c r="F262" s="3275" t="s">
        <v>151</v>
      </c>
      <c r="G262" s="3261" t="s">
        <v>46</v>
      </c>
      <c r="H262" s="3534"/>
      <c r="I262" s="3246"/>
      <c r="J262" s="3347" t="s">
        <v>32</v>
      </c>
      <c r="K262" s="3275" t="s">
        <v>47</v>
      </c>
      <c r="L262" s="3261" t="s">
        <v>8831</v>
      </c>
      <c r="M262" s="3682">
        <v>45448</v>
      </c>
      <c r="N262" s="3682">
        <v>45448</v>
      </c>
      <c r="O262" s="3682">
        <v>45451</v>
      </c>
      <c r="P262" s="3283" t="s">
        <v>8832</v>
      </c>
      <c r="Q262" s="3715" t="s">
        <v>6852</v>
      </c>
      <c r="R262" s="3261" t="s">
        <v>36</v>
      </c>
      <c r="S262" s="3261"/>
      <c r="T262" s="3258"/>
      <c r="U262" s="3258"/>
      <c r="V262" s="3258"/>
      <c r="W262" s="3258"/>
      <c r="X262" s="3258"/>
      <c r="Y262" s="3258"/>
      <c r="Z262" s="3259"/>
    </row>
    <row r="263" spans="1:26" s="709" customFormat="1">
      <c r="A263" s="4190" t="s">
        <v>409</v>
      </c>
      <c r="B263" s="4122" t="s">
        <v>8833</v>
      </c>
      <c r="C263" s="4149" t="s">
        <v>28</v>
      </c>
      <c r="D263" s="3674">
        <v>45443</v>
      </c>
      <c r="E263" s="3689">
        <v>45467</v>
      </c>
      <c r="F263" s="4149" t="s">
        <v>151</v>
      </c>
      <c r="G263" s="4149" t="s">
        <v>46</v>
      </c>
      <c r="H263" s="3534"/>
      <c r="I263" s="3246"/>
      <c r="J263" s="4149" t="s">
        <v>32</v>
      </c>
      <c r="K263" s="4149" t="s">
        <v>47</v>
      </c>
      <c r="L263" s="1" t="s">
        <v>8834</v>
      </c>
      <c r="M263" s="3682">
        <v>45469</v>
      </c>
      <c r="N263" s="3682">
        <v>45469</v>
      </c>
      <c r="O263" s="3682">
        <v>45471</v>
      </c>
      <c r="P263" s="4239" t="s">
        <v>8835</v>
      </c>
      <c r="Q263" s="3715" t="s">
        <v>6852</v>
      </c>
      <c r="R263" s="3261" t="s">
        <v>36</v>
      </c>
      <c r="S263" s="3261"/>
      <c r="T263" s="3258"/>
      <c r="U263" s="3258"/>
      <c r="V263" s="3258"/>
      <c r="W263" s="3258"/>
      <c r="X263" s="3683"/>
      <c r="Y263" s="3258"/>
      <c r="Z263" s="3259"/>
    </row>
    <row r="264" spans="1:26" s="709" customFormat="1">
      <c r="A264" s="3749" t="s">
        <v>4277</v>
      </c>
      <c r="B264" s="2" t="s">
        <v>8836</v>
      </c>
      <c r="C264" s="7" t="s">
        <v>28</v>
      </c>
      <c r="D264" s="3704">
        <v>45428</v>
      </c>
      <c r="E264" s="3705">
        <v>45440</v>
      </c>
      <c r="F264" s="7" t="s">
        <v>135</v>
      </c>
      <c r="G264" s="4389" t="s">
        <v>46</v>
      </c>
      <c r="H264" s="3255"/>
      <c r="I264" s="3255"/>
      <c r="J264" s="2894" t="s">
        <v>32</v>
      </c>
      <c r="K264" s="7" t="s">
        <v>47</v>
      </c>
      <c r="L264" s="3673">
        <v>939734</v>
      </c>
      <c r="M264" s="3707">
        <v>45442</v>
      </c>
      <c r="N264" s="3704">
        <v>45442</v>
      </c>
      <c r="O264" s="3704">
        <v>45446</v>
      </c>
      <c r="P264" s="4219" t="s">
        <v>8837</v>
      </c>
      <c r="Q264" s="3733" t="s">
        <v>6852</v>
      </c>
      <c r="R264" s="3673" t="s">
        <v>51</v>
      </c>
      <c r="S264" s="3673"/>
      <c r="T264" s="3255">
        <v>3153.6</v>
      </c>
      <c r="U264" s="3255"/>
      <c r="V264" s="3255"/>
      <c r="W264" s="3255"/>
      <c r="X264" s="3255"/>
      <c r="Y264" s="3255"/>
      <c r="Z264" s="3256"/>
    </row>
    <row r="265" spans="1:26" s="709" customFormat="1">
      <c r="A265" s="3768" t="s">
        <v>3064</v>
      </c>
      <c r="B265" s="3769" t="s">
        <v>8838</v>
      </c>
      <c r="C265" s="3384" t="s">
        <v>28</v>
      </c>
      <c r="D265" s="3770">
        <v>45411</v>
      </c>
      <c r="E265" s="3771">
        <v>45424</v>
      </c>
      <c r="F265" s="3384" t="s">
        <v>167</v>
      </c>
      <c r="G265" s="3769" t="s">
        <v>46</v>
      </c>
      <c r="H265" s="3285"/>
      <c r="I265" s="3285"/>
      <c r="J265" s="2821" t="s">
        <v>32</v>
      </c>
      <c r="K265" s="3772" t="s">
        <v>47</v>
      </c>
      <c r="L265" s="3773" t="s">
        <v>8839</v>
      </c>
      <c r="M265" s="3770">
        <v>45427</v>
      </c>
      <c r="N265" s="3770">
        <v>45427</v>
      </c>
      <c r="O265" s="3770">
        <v>45429</v>
      </c>
      <c r="P265" s="3614" t="s">
        <v>8840</v>
      </c>
      <c r="Q265" s="3774" t="s">
        <v>6852</v>
      </c>
      <c r="R265" s="3769" t="s">
        <v>36</v>
      </c>
      <c r="S265" s="3769"/>
      <c r="T265" s="3285"/>
      <c r="U265" s="3285"/>
      <c r="V265" s="3285"/>
      <c r="W265" s="3285"/>
      <c r="X265" s="3285"/>
      <c r="Y265" s="3285"/>
      <c r="Z265" s="3668"/>
    </row>
    <row r="266" spans="1:26" s="709" customFormat="1">
      <c r="A266" s="3548" t="s">
        <v>4277</v>
      </c>
      <c r="B266" s="3757" t="s">
        <v>8841</v>
      </c>
      <c r="C266" s="3075" t="s">
        <v>28</v>
      </c>
      <c r="D266" s="3694">
        <v>45420</v>
      </c>
      <c r="E266" s="3737">
        <v>45435</v>
      </c>
      <c r="F266" s="3075" t="s">
        <v>45</v>
      </c>
      <c r="G266" s="3241" t="s">
        <v>46</v>
      </c>
      <c r="H266" s="3255"/>
      <c r="I266" s="3255"/>
      <c r="J266" s="751" t="s">
        <v>32</v>
      </c>
      <c r="K266" s="3241" t="s">
        <v>47</v>
      </c>
      <c r="L266" s="3775" t="s">
        <v>8842</v>
      </c>
      <c r="M266" s="3704">
        <v>45437</v>
      </c>
      <c r="N266" s="3704">
        <v>45436</v>
      </c>
      <c r="O266" s="3704">
        <v>45438</v>
      </c>
      <c r="P266" s="3622" t="s">
        <v>8843</v>
      </c>
      <c r="Q266" s="3733" t="s">
        <v>6852</v>
      </c>
      <c r="R266" s="3673" t="s">
        <v>36</v>
      </c>
      <c r="S266" s="3673"/>
      <c r="T266" s="3255">
        <v>4110</v>
      </c>
      <c r="U266" s="3255"/>
      <c r="V266" s="3255"/>
      <c r="W266" s="3255"/>
      <c r="X266" s="3255"/>
      <c r="Y266" s="3255"/>
      <c r="Z266" s="3256"/>
    </row>
    <row r="267" spans="1:26" s="709" customFormat="1" ht="120">
      <c r="A267" s="3731" t="s">
        <v>409</v>
      </c>
      <c r="B267" s="4307" t="s">
        <v>8844</v>
      </c>
      <c r="C267" s="3421" t="s">
        <v>28</v>
      </c>
      <c r="D267" s="3467">
        <v>45438</v>
      </c>
      <c r="E267" s="3719">
        <v>45438</v>
      </c>
      <c r="F267" s="3364" t="s">
        <v>260</v>
      </c>
      <c r="G267" s="4307" t="s">
        <v>8845</v>
      </c>
      <c r="H267" s="3720">
        <v>45446</v>
      </c>
      <c r="I267" s="3720" t="s">
        <v>8846</v>
      </c>
      <c r="J267" s="4098" t="s">
        <v>322</v>
      </c>
      <c r="K267" s="4307" t="s">
        <v>8847</v>
      </c>
      <c r="L267" s="3364"/>
      <c r="M267" s="3467">
        <v>45443</v>
      </c>
      <c r="N267" s="3467">
        <v>45443</v>
      </c>
      <c r="O267" s="758">
        <v>45448</v>
      </c>
      <c r="P267" s="4321" t="s">
        <v>8848</v>
      </c>
      <c r="Q267" s="3722" t="s">
        <v>75</v>
      </c>
      <c r="R267" s="3" t="s">
        <v>8849</v>
      </c>
      <c r="S267" s="3364"/>
      <c r="T267" s="3776">
        <v>1160.5</v>
      </c>
      <c r="U267" s="3776">
        <v>775</v>
      </c>
      <c r="V267" s="3">
        <v>1</v>
      </c>
      <c r="W267" s="2805">
        <f>表15[[#This Row],[Sales Amount]]-表15[[#This Row],[Cost]]</f>
        <v>385.5</v>
      </c>
      <c r="X267" s="2806">
        <f>表15[[#This Row],[Profit]]/表15[[#This Row],[Cost]]</f>
        <v>0.49741935483870969</v>
      </c>
      <c r="Y267" s="3364"/>
      <c r="Z267" s="3708"/>
    </row>
    <row r="268" spans="1:26" s="709" customFormat="1">
      <c r="A268" s="3663" t="s">
        <v>4277</v>
      </c>
      <c r="B268" s="3258" t="s">
        <v>8850</v>
      </c>
      <c r="C268" s="3246" t="s">
        <v>28</v>
      </c>
      <c r="D268" s="3266">
        <v>45414</v>
      </c>
      <c r="E268" s="3716">
        <v>45430</v>
      </c>
      <c r="F268" s="3246" t="s">
        <v>45</v>
      </c>
      <c r="G268" s="3275" t="s">
        <v>46</v>
      </c>
      <c r="H268" s="3258"/>
      <c r="I268" s="3258"/>
      <c r="J268" s="4901" t="s">
        <v>32</v>
      </c>
      <c r="K268" s="3357" t="s">
        <v>47</v>
      </c>
      <c r="L268" s="3281" t="s">
        <v>8851</v>
      </c>
      <c r="M268" s="3261"/>
      <c r="N268" s="3674">
        <v>45430</v>
      </c>
      <c r="O268" s="3674">
        <v>45432</v>
      </c>
      <c r="P268" s="3283" t="s">
        <v>8852</v>
      </c>
      <c r="Q268" s="5128" t="s">
        <v>6852</v>
      </c>
      <c r="R268" s="3261" t="s">
        <v>51</v>
      </c>
      <c r="S268" s="3261"/>
      <c r="T268" s="3258">
        <v>4227</v>
      </c>
      <c r="U268" s="3258"/>
      <c r="V268" s="3258"/>
      <c r="W268" s="3258"/>
      <c r="X268" s="3258"/>
      <c r="Y268" s="3258"/>
      <c r="Z268" s="3259"/>
    </row>
    <row r="269" spans="1:26" s="709" customFormat="1">
      <c r="A269" s="3235" t="s">
        <v>3343</v>
      </c>
      <c r="B269" s="3275" t="s">
        <v>8853</v>
      </c>
      <c r="C269" s="3275" t="s">
        <v>28</v>
      </c>
      <c r="D269" s="3674">
        <v>45437</v>
      </c>
      <c r="E269" s="3644">
        <v>45449</v>
      </c>
      <c r="F269" s="3275" t="s">
        <v>167</v>
      </c>
      <c r="G269" s="4221" t="s">
        <v>46</v>
      </c>
      <c r="H269" s="3534"/>
      <c r="I269" s="3246"/>
      <c r="J269" s="3357" t="s">
        <v>32</v>
      </c>
      <c r="K269" s="3275" t="s">
        <v>47</v>
      </c>
      <c r="L269" s="3735" t="s">
        <v>8854</v>
      </c>
      <c r="M269" s="3682">
        <v>45448</v>
      </c>
      <c r="N269" s="3682">
        <v>45448</v>
      </c>
      <c r="O269" s="3682">
        <v>45451</v>
      </c>
      <c r="P269" s="3283"/>
      <c r="Q269" s="3715" t="s">
        <v>6852</v>
      </c>
      <c r="R269" s="3261" t="s">
        <v>51</v>
      </c>
      <c r="S269" s="3261"/>
      <c r="T269" s="3258"/>
      <c r="U269" s="3258"/>
      <c r="V269" s="3258"/>
      <c r="W269" s="3258"/>
      <c r="X269" s="3258"/>
      <c r="Y269" s="3258"/>
      <c r="Z269" s="3259"/>
    </row>
    <row r="270" spans="1:26">
      <c r="A270" s="5283"/>
      <c r="B270" s="4377"/>
      <c r="C270" s="5483"/>
      <c r="D270" s="5522"/>
      <c r="E270" s="5533"/>
      <c r="F270" s="52"/>
      <c r="G270" s="3473"/>
      <c r="H270" s="3068"/>
      <c r="I270" s="3067"/>
      <c r="J270" s="3067"/>
      <c r="K270" s="5283"/>
      <c r="L270" s="3067"/>
      <c r="M270" s="3068"/>
      <c r="N270" s="3068"/>
      <c r="O270" s="3068"/>
      <c r="P270" s="4323"/>
      <c r="Q270" s="5482"/>
      <c r="R270" s="3067"/>
      <c r="S270" s="3067"/>
      <c r="T270" s="3067"/>
      <c r="U270" s="3067"/>
      <c r="V270" s="3067"/>
      <c r="W270" s="3067"/>
      <c r="X270" s="3067"/>
      <c r="Y270" s="3067"/>
      <c r="Z270" s="3763"/>
    </row>
    <row r="271" spans="1:26">
      <c r="A271" s="5496" t="s">
        <v>7322</v>
      </c>
      <c r="B271" s="4376" t="s">
        <v>8855</v>
      </c>
      <c r="C271" s="4895" t="s">
        <v>28</v>
      </c>
      <c r="D271" s="5485">
        <v>45426</v>
      </c>
      <c r="E271" s="5486">
        <v>45429</v>
      </c>
      <c r="F271" s="3241" t="s">
        <v>260</v>
      </c>
      <c r="G271" s="3241" t="s">
        <v>8856</v>
      </c>
      <c r="H271" s="3777">
        <v>45433</v>
      </c>
      <c r="I271" s="4390" t="s">
        <v>8857</v>
      </c>
      <c r="J271" s="3766" t="s">
        <v>297</v>
      </c>
      <c r="K271" s="5424" t="s">
        <v>8858</v>
      </c>
      <c r="L271" s="4872"/>
      <c r="M271" s="5485">
        <v>45434</v>
      </c>
      <c r="N271" s="5485">
        <v>45433</v>
      </c>
      <c r="O271" s="3704">
        <v>45435</v>
      </c>
      <c r="P271" s="3622" t="s">
        <v>8859</v>
      </c>
      <c r="Q271" s="4895" t="s">
        <v>862</v>
      </c>
      <c r="R271" s="4376" t="s">
        <v>51</v>
      </c>
      <c r="S271" s="4376" t="s">
        <v>8097</v>
      </c>
      <c r="T271" s="3255">
        <v>1335</v>
      </c>
      <c r="U271" s="3255">
        <v>1092</v>
      </c>
      <c r="V271" s="3255"/>
      <c r="W271" s="3255"/>
      <c r="X271" s="3255"/>
      <c r="Y271" s="3255"/>
      <c r="Z271" s="3256"/>
    </row>
    <row r="272" spans="1:26" s="1350" customFormat="1">
      <c r="A272" s="3688" t="s">
        <v>409</v>
      </c>
      <c r="B272" s="4839" t="s">
        <v>8860</v>
      </c>
      <c r="C272" s="3275" t="s">
        <v>28</v>
      </c>
      <c r="D272" s="4897">
        <v>45414</v>
      </c>
      <c r="E272" s="4912">
        <v>45433</v>
      </c>
      <c r="F272" s="3275" t="s">
        <v>151</v>
      </c>
      <c r="G272" s="3261" t="s">
        <v>46</v>
      </c>
      <c r="H272" s="3258"/>
      <c r="I272" s="3258"/>
      <c r="J272" s="3347" t="s">
        <v>32</v>
      </c>
      <c r="K272" s="2030" t="s">
        <v>47</v>
      </c>
      <c r="L272" s="2899" t="s">
        <v>8861</v>
      </c>
      <c r="M272" s="2831">
        <v>45434</v>
      </c>
      <c r="N272" s="2831">
        <v>45433</v>
      </c>
      <c r="O272" s="3674">
        <v>45435</v>
      </c>
      <c r="P272" s="3283" t="s">
        <v>8862</v>
      </c>
      <c r="Q272" s="5128" t="s">
        <v>6852</v>
      </c>
      <c r="R272" s="3261" t="s">
        <v>36</v>
      </c>
      <c r="S272" s="3261"/>
      <c r="T272" s="3258"/>
      <c r="U272" s="3258"/>
      <c r="V272" s="3258"/>
      <c r="W272" s="3258"/>
      <c r="X272" s="3258"/>
      <c r="Y272" s="3258"/>
      <c r="Z272" s="3259"/>
    </row>
    <row r="273" spans="1:26" s="709" customFormat="1">
      <c r="A273" s="3749" t="s">
        <v>4277</v>
      </c>
      <c r="B273" s="3673" t="s">
        <v>8863</v>
      </c>
      <c r="C273" s="3241" t="s">
        <v>28</v>
      </c>
      <c r="D273" s="3704">
        <v>45422</v>
      </c>
      <c r="E273" s="3705">
        <v>45438</v>
      </c>
      <c r="F273" s="3241" t="s">
        <v>45</v>
      </c>
      <c r="G273" s="3241" t="s">
        <v>46</v>
      </c>
      <c r="H273" s="3255"/>
      <c r="I273" s="3255"/>
      <c r="J273" s="3750" t="s">
        <v>32</v>
      </c>
      <c r="K273" s="3241" t="s">
        <v>47</v>
      </c>
      <c r="L273" s="4376" t="s">
        <v>8864</v>
      </c>
      <c r="M273" s="3704">
        <v>45442</v>
      </c>
      <c r="N273" s="3704">
        <v>45440</v>
      </c>
      <c r="O273" s="3704">
        <v>45442</v>
      </c>
      <c r="P273" s="3622" t="s">
        <v>8865</v>
      </c>
      <c r="Q273" s="3733" t="s">
        <v>6852</v>
      </c>
      <c r="R273" s="4872" t="s">
        <v>51</v>
      </c>
      <c r="S273" s="3673"/>
      <c r="T273" s="3255">
        <v>3940</v>
      </c>
      <c r="U273" s="3255"/>
      <c r="V273" s="3255"/>
      <c r="W273" s="3255"/>
      <c r="X273" s="3255"/>
      <c r="Y273" s="3255"/>
      <c r="Z273" s="3256"/>
    </row>
    <row r="274" spans="1:26" s="106" customFormat="1">
      <c r="A274" s="4591" t="s">
        <v>3343</v>
      </c>
      <c r="B274" s="5534" t="s">
        <v>8866</v>
      </c>
      <c r="C274" s="4895" t="s">
        <v>28</v>
      </c>
      <c r="D274" s="5485">
        <v>45428</v>
      </c>
      <c r="E274" s="5486">
        <v>45445</v>
      </c>
      <c r="F274" s="4895" t="s">
        <v>45</v>
      </c>
      <c r="G274" s="4872" t="s">
        <v>46</v>
      </c>
      <c r="H274" s="4975"/>
      <c r="I274" s="4874"/>
      <c r="J274" s="5530" t="s">
        <v>32</v>
      </c>
      <c r="K274" s="4895" t="s">
        <v>47</v>
      </c>
      <c r="L274" s="4872" t="s">
        <v>8867</v>
      </c>
      <c r="M274" s="5500">
        <v>45446</v>
      </c>
      <c r="N274" s="5500">
        <v>45446</v>
      </c>
      <c r="O274" s="5500">
        <v>45449</v>
      </c>
      <c r="P274" s="5087" t="s">
        <v>8868</v>
      </c>
      <c r="Q274" s="5501" t="s">
        <v>6852</v>
      </c>
      <c r="R274" s="4872" t="s">
        <v>51</v>
      </c>
      <c r="S274" s="4872"/>
      <c r="T274" s="4873">
        <v>3240</v>
      </c>
      <c r="U274" s="4873"/>
      <c r="V274" s="4873"/>
      <c r="W274" s="4873"/>
      <c r="X274" s="4873"/>
      <c r="Y274" s="4873"/>
      <c r="Z274" s="5074"/>
    </row>
    <row r="275" spans="1:26" s="117" customFormat="1">
      <c r="A275" s="4591" t="s">
        <v>3343</v>
      </c>
      <c r="B275" s="5535" t="s">
        <v>8869</v>
      </c>
      <c r="C275" s="4895" t="s">
        <v>28</v>
      </c>
      <c r="D275" s="5485">
        <v>45441</v>
      </c>
      <c r="E275" s="5486">
        <v>45454</v>
      </c>
      <c r="F275" s="4895" t="s">
        <v>45</v>
      </c>
      <c r="G275" s="4872" t="s">
        <v>46</v>
      </c>
      <c r="H275" s="3069"/>
      <c r="I275" s="4874"/>
      <c r="J275" s="5536" t="s">
        <v>32</v>
      </c>
      <c r="K275" s="5536" t="s">
        <v>47</v>
      </c>
      <c r="L275" s="5537" t="s">
        <v>8870</v>
      </c>
      <c r="M275" s="5500">
        <v>45454</v>
      </c>
      <c r="N275" s="5500">
        <v>45454</v>
      </c>
      <c r="O275" s="5500">
        <v>45456</v>
      </c>
      <c r="P275" s="5087" t="s">
        <v>8871</v>
      </c>
      <c r="Q275" s="5501" t="s">
        <v>6852</v>
      </c>
      <c r="R275" s="4872" t="s">
        <v>51</v>
      </c>
      <c r="S275" s="4872"/>
      <c r="T275" s="4873">
        <v>3521</v>
      </c>
      <c r="U275" s="4873"/>
      <c r="V275" s="4873"/>
      <c r="W275" s="4873"/>
      <c r="X275" s="4873"/>
      <c r="Y275" s="4873"/>
      <c r="Z275" s="5074"/>
    </row>
    <row r="276" spans="1:26" s="709" customFormat="1">
      <c r="A276" s="4656" t="s">
        <v>8872</v>
      </c>
      <c r="B276" s="650" t="s">
        <v>8076</v>
      </c>
      <c r="C276" s="5277" t="s">
        <v>1508</v>
      </c>
      <c r="D276" s="5406">
        <v>45432</v>
      </c>
      <c r="E276" s="5538">
        <v>45432</v>
      </c>
      <c r="F276" s="5277"/>
      <c r="G276" s="5277"/>
      <c r="H276" s="5406"/>
      <c r="I276" s="5277"/>
      <c r="J276" s="5277" t="s">
        <v>4011</v>
      </c>
      <c r="K276" s="5277" t="s">
        <v>7907</v>
      </c>
      <c r="L276" s="5277"/>
      <c r="M276" s="5406"/>
      <c r="N276" s="5406">
        <v>45432</v>
      </c>
      <c r="O276" s="5406"/>
      <c r="P276" s="5405" t="s">
        <v>8873</v>
      </c>
      <c r="Q276" s="5539" t="s">
        <v>50</v>
      </c>
      <c r="R276" s="5277" t="s">
        <v>51</v>
      </c>
      <c r="S276" s="5277"/>
      <c r="T276" s="5277"/>
      <c r="U276" s="5277"/>
      <c r="V276" s="5277"/>
      <c r="W276" s="5277"/>
      <c r="X276" s="5277"/>
      <c r="Y276" s="5277"/>
      <c r="Z276" s="4758"/>
    </row>
    <row r="277" spans="1:26" s="709" customFormat="1">
      <c r="A277" s="4591" t="s">
        <v>1431</v>
      </c>
      <c r="B277" s="4895" t="s">
        <v>8874</v>
      </c>
      <c r="C277" s="4895" t="s">
        <v>28</v>
      </c>
      <c r="D277" s="5485">
        <v>45427</v>
      </c>
      <c r="E277" s="5486">
        <v>45455</v>
      </c>
      <c r="F277" s="4895" t="s">
        <v>285</v>
      </c>
      <c r="G277" s="4895" t="s">
        <v>46</v>
      </c>
      <c r="H277" s="4975">
        <v>45549</v>
      </c>
      <c r="I277" s="4874" t="s">
        <v>8875</v>
      </c>
      <c r="J277" s="5489" t="s">
        <v>32</v>
      </c>
      <c r="K277" s="4872" t="s">
        <v>1433</v>
      </c>
      <c r="L277" s="5497" t="s">
        <v>8876</v>
      </c>
      <c r="M277" s="5500">
        <v>45458</v>
      </c>
      <c r="N277" s="5500">
        <v>45457</v>
      </c>
      <c r="O277" s="5500">
        <v>45457</v>
      </c>
      <c r="P277" s="5087" t="s">
        <v>8877</v>
      </c>
      <c r="Q277" s="4895" t="s">
        <v>862</v>
      </c>
      <c r="R277" s="4872" t="s">
        <v>51</v>
      </c>
      <c r="S277" s="4872" t="s">
        <v>8097</v>
      </c>
      <c r="T277" s="4873">
        <v>1393.5</v>
      </c>
      <c r="U277" s="4873">
        <v>1265</v>
      </c>
      <c r="V277" s="4873"/>
      <c r="W277" s="4873"/>
      <c r="X277" s="4873"/>
      <c r="Y277" s="4873"/>
      <c r="Z277" s="5074"/>
    </row>
    <row r="278" spans="1:26" s="106" customFormat="1">
      <c r="A278" s="3106"/>
      <c r="B278" s="3067"/>
      <c r="C278" s="5283"/>
      <c r="D278" s="3068"/>
      <c r="E278" s="3778"/>
      <c r="F278" s="52"/>
      <c r="G278" s="5105"/>
      <c r="H278" s="3068"/>
      <c r="I278" s="3067"/>
      <c r="J278" s="3067"/>
      <c r="K278" s="5105"/>
      <c r="L278" s="3067"/>
      <c r="M278" s="3068"/>
      <c r="N278" s="3068"/>
      <c r="O278" s="3068"/>
      <c r="P278" s="4323"/>
      <c r="Q278" s="5482"/>
      <c r="R278" s="3067"/>
      <c r="S278" s="3067"/>
      <c r="T278" s="3067"/>
      <c r="U278" s="3067"/>
      <c r="V278" s="3067"/>
      <c r="W278" s="3067"/>
      <c r="X278" s="3067"/>
      <c r="Y278" s="3067"/>
      <c r="Z278" s="3763"/>
    </row>
    <row r="279" spans="1:26">
      <c r="A279" s="3106"/>
      <c r="B279" s="3779"/>
      <c r="C279" s="5483"/>
      <c r="D279" s="5522"/>
      <c r="E279" s="2785"/>
      <c r="F279" s="5283"/>
      <c r="G279" s="5105"/>
      <c r="H279" s="3068"/>
      <c r="I279" s="3067"/>
      <c r="J279" s="5283"/>
      <c r="K279" s="5483"/>
      <c r="L279" s="52"/>
      <c r="M279" s="3068"/>
      <c r="N279" s="3068"/>
      <c r="O279" s="3068"/>
      <c r="P279" s="4323"/>
      <c r="Q279" s="5482"/>
      <c r="R279" s="3067"/>
      <c r="S279" s="3067"/>
      <c r="T279" s="3067"/>
      <c r="U279" s="3067"/>
      <c r="V279" s="3067"/>
      <c r="W279" s="3067"/>
      <c r="X279" s="3067"/>
      <c r="Y279" s="3067"/>
      <c r="Z279" s="3763"/>
    </row>
    <row r="280" spans="1:26">
      <c r="A280" s="3106"/>
      <c r="B280" s="3780"/>
      <c r="C280" s="3241"/>
      <c r="D280" s="3704"/>
      <c r="E280" s="3704"/>
      <c r="F280" s="3241"/>
      <c r="G280" s="3241"/>
      <c r="H280" s="3069"/>
      <c r="I280" s="3075"/>
      <c r="J280" s="3241"/>
      <c r="K280" s="3241"/>
      <c r="L280" s="3673"/>
      <c r="M280" s="3707"/>
      <c r="N280" s="3707"/>
      <c r="O280" s="3707"/>
      <c r="P280" s="3622"/>
      <c r="Q280" s="3733"/>
      <c r="R280" s="3673"/>
      <c r="S280" s="3673"/>
      <c r="T280" s="3255"/>
      <c r="U280" s="3255"/>
      <c r="V280" s="3255"/>
      <c r="W280" s="3255"/>
      <c r="X280" s="3255"/>
      <c r="Y280" s="3255"/>
      <c r="Z280" s="3256"/>
    </row>
    <row r="281" spans="1:26">
      <c r="X281" s="2903"/>
    </row>
    <row r="285" spans="1:26">
      <c r="G285" s="147"/>
      <c r="K285" s="144"/>
      <c r="M285" s="106"/>
      <c r="N285" s="106"/>
      <c r="O285" s="106"/>
      <c r="P285" s="1207"/>
      <c r="Q285" s="1207"/>
      <c r="R285" s="1207"/>
      <c r="S285" s="826"/>
    </row>
    <row r="286" spans="1:26">
      <c r="K286" s="147"/>
      <c r="M286" s="106"/>
      <c r="N286" s="106"/>
      <c r="O286" s="106"/>
      <c r="P286" s="144"/>
      <c r="Q286" s="144"/>
      <c r="R286" s="144"/>
      <c r="S286" s="826"/>
    </row>
    <row r="287" spans="1:26">
      <c r="J287" s="144"/>
      <c r="O287" s="106"/>
      <c r="P287" s="144"/>
      <c r="Q287" s="144"/>
      <c r="R287" s="144"/>
      <c r="S287" s="826"/>
    </row>
    <row r="289" spans="7:16">
      <c r="O289" s="147"/>
      <c r="P289" s="52"/>
    </row>
    <row r="290" spans="7:16">
      <c r="O290" s="147"/>
      <c r="P290" s="52"/>
    </row>
    <row r="291" spans="7:16">
      <c r="O291" s="147"/>
      <c r="P291" s="52"/>
    </row>
    <row r="295" spans="7:16">
      <c r="G295" s="52"/>
    </row>
  </sheetData>
  <conditionalFormatting sqref="B1">
    <cfRule type="duplicateValues" dxfId="235" priority="1"/>
  </conditionalFormatting>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3088A-D54A-4FA4-988D-AB778F52A4BE}">
  <dimension ref="A1:AI302"/>
  <sheetViews>
    <sheetView zoomScaleNormal="100" workbookViewId="0">
      <pane xSplit="7" ySplit="1" topLeftCell="P294" activePane="bottomRight" state="frozen"/>
      <selection pane="bottomRight" activeCell="F322" sqref="F322"/>
      <selection pane="bottomLeft" activeCell="B260" sqref="B260"/>
      <selection pane="topRight" activeCell="H1" sqref="H1"/>
    </sheetView>
  </sheetViews>
  <sheetFormatPr defaultColWidth="9" defaultRowHeight="15"/>
  <cols>
    <col min="1" max="1" width="16.125" style="106" customWidth="1"/>
    <col min="2" max="2" width="20.875" style="106" customWidth="1"/>
    <col min="3" max="3" width="11.875" style="106" customWidth="1"/>
    <col min="4" max="4" width="10.875" style="144" customWidth="1"/>
    <col min="5" max="5" width="12" style="144" customWidth="1"/>
    <col min="6" max="6" width="11.25" style="106" customWidth="1"/>
    <col min="7" max="7" width="40.125" style="147" bestFit="1" customWidth="1"/>
    <col min="8" max="8" width="15.25" style="144" customWidth="1"/>
    <col min="9" max="9" width="17.25" style="106" customWidth="1"/>
    <col min="10" max="10" width="20.25" style="7" customWidth="1"/>
    <col min="11" max="11" width="35.125" style="7" customWidth="1"/>
    <col min="12" max="12" width="16" style="7" customWidth="1"/>
    <col min="13" max="13" width="16.125" style="144" customWidth="1"/>
    <col min="14" max="14" width="11.25" style="144" customWidth="1"/>
    <col min="15" max="15" width="14.25" style="144" customWidth="1"/>
    <col min="16" max="16" width="59.875" style="147" customWidth="1"/>
    <col min="17" max="17" width="9.25" style="106" customWidth="1"/>
    <col min="18" max="18" width="21" style="106" customWidth="1"/>
    <col min="19" max="19" width="12.125" style="106" customWidth="1"/>
    <col min="20" max="20" width="13.25" style="147" customWidth="1"/>
    <col min="21" max="21" width="13.875" style="106" customWidth="1"/>
    <col min="22" max="22" width="15.25" style="106" bestFit="1" customWidth="1"/>
    <col min="23" max="23" width="9" style="106" bestFit="1"/>
    <col min="24" max="24" width="12.125" style="1659" bestFit="1" customWidth="1"/>
    <col min="25" max="25" width="9" style="106" bestFit="1"/>
    <col min="26" max="26" width="10.875" style="106" bestFit="1" customWidth="1"/>
    <col min="27" max="16384" width="9" style="106"/>
  </cols>
  <sheetData>
    <row r="1" spans="1:26">
      <c r="A1" s="5472" t="s">
        <v>0</v>
      </c>
      <c r="B1" s="5472" t="s">
        <v>1</v>
      </c>
      <c r="C1" s="5472" t="s">
        <v>2</v>
      </c>
      <c r="D1" s="5472" t="s">
        <v>3</v>
      </c>
      <c r="E1" s="5473" t="s">
        <v>4</v>
      </c>
      <c r="F1" s="5472" t="s">
        <v>5</v>
      </c>
      <c r="G1" t="s">
        <v>6</v>
      </c>
      <c r="H1" s="5474" t="s">
        <v>7</v>
      </c>
      <c r="I1" s="5474" t="s">
        <v>8</v>
      </c>
      <c r="J1" s="5540" t="s">
        <v>9</v>
      </c>
      <c r="K1" s="5541" t="s">
        <v>10</v>
      </c>
      <c r="L1" s="5542" t="s">
        <v>11</v>
      </c>
      <c r="M1" s="5473" t="s">
        <v>12</v>
      </c>
      <c r="N1" s="5472" t="s">
        <v>13</v>
      </c>
      <c r="O1" s="5472" t="s">
        <v>14</v>
      </c>
      <c r="P1" s="5543" t="s">
        <v>15</v>
      </c>
      <c r="Q1" s="5544" t="s">
        <v>16</v>
      </c>
      <c r="R1" s="5544" t="s">
        <v>17</v>
      </c>
      <c r="S1" s="5544" t="s">
        <v>18</v>
      </c>
      <c r="T1" s="5545" t="s">
        <v>19</v>
      </c>
      <c r="U1" s="5544" t="s">
        <v>20</v>
      </c>
      <c r="V1" s="5544" t="s">
        <v>21</v>
      </c>
      <c r="W1" s="5544" t="s">
        <v>22</v>
      </c>
      <c r="X1" s="5546" t="s">
        <v>23</v>
      </c>
      <c r="Y1" s="5547" t="s">
        <v>24</v>
      </c>
      <c r="Z1" s="5547" t="s">
        <v>25</v>
      </c>
    </row>
    <row r="2" spans="1:26" s="117" customFormat="1">
      <c r="A2" s="3686" t="s">
        <v>409</v>
      </c>
      <c r="B2" s="3728" t="s">
        <v>8878</v>
      </c>
      <c r="C2" s="4908" t="s">
        <v>28</v>
      </c>
      <c r="D2" s="3262">
        <v>45433</v>
      </c>
      <c r="E2" s="3264">
        <v>45443</v>
      </c>
      <c r="F2" s="4242" t="s">
        <v>167</v>
      </c>
      <c r="G2" s="4908" t="s">
        <v>302</v>
      </c>
      <c r="H2" s="3453">
        <v>45447</v>
      </c>
      <c r="I2" s="117" t="s">
        <v>899</v>
      </c>
      <c r="J2" s="5375" t="s">
        <v>32</v>
      </c>
      <c r="K2" s="117" t="s">
        <v>8879</v>
      </c>
      <c r="L2" s="117" t="s">
        <v>8880</v>
      </c>
      <c r="M2" s="3262">
        <v>45447</v>
      </c>
      <c r="N2" s="3262">
        <v>45447</v>
      </c>
      <c r="O2" s="3262">
        <v>45450</v>
      </c>
      <c r="P2" s="4246" t="s">
        <v>8881</v>
      </c>
      <c r="Q2" s="3678" t="s">
        <v>75</v>
      </c>
      <c r="R2" s="4242" t="s">
        <v>8882</v>
      </c>
      <c r="S2" s="3268"/>
      <c r="T2" s="3679">
        <v>1165</v>
      </c>
      <c r="U2" s="3268">
        <v>960</v>
      </c>
      <c r="V2" s="3268">
        <v>1</v>
      </c>
      <c r="W2" s="3679">
        <f>表15_17[[#This Row],[Sales Amount]]-表15_17[[#This Row],[Cost]]</f>
        <v>205</v>
      </c>
      <c r="X2" s="3269">
        <f>表15_17[[#This Row],[Profit]]/表15_17[[#This Row],[Cost]]</f>
        <v>0.21354166666666666</v>
      </c>
      <c r="Y2" s="3268"/>
      <c r="Z2" s="3270"/>
    </row>
    <row r="3" spans="1:26" s="117" customFormat="1">
      <c r="A3" s="3781" t="s">
        <v>7998</v>
      </c>
      <c r="B3" s="106" t="s">
        <v>8883</v>
      </c>
      <c r="C3" s="4874" t="s">
        <v>28</v>
      </c>
      <c r="D3" s="3694">
        <v>45445</v>
      </c>
      <c r="E3" s="3694">
        <v>45445</v>
      </c>
      <c r="F3" s="3075" t="s">
        <v>151</v>
      </c>
      <c r="G3" s="5058" t="s">
        <v>124</v>
      </c>
      <c r="H3" s="5548">
        <v>45453</v>
      </c>
      <c r="I3" s="4874"/>
      <c r="J3" s="4667" t="s">
        <v>859</v>
      </c>
      <c r="K3" s="106" t="s">
        <v>8884</v>
      </c>
      <c r="L3" s="3075"/>
      <c r="M3" s="3782">
        <v>45450</v>
      </c>
      <c r="N3" s="3782">
        <v>45450</v>
      </c>
      <c r="O3" s="3782">
        <v>45456</v>
      </c>
      <c r="P3" s="3622" t="s">
        <v>8885</v>
      </c>
      <c r="Q3" s="3783" t="s">
        <v>862</v>
      </c>
      <c r="R3" s="3255" t="s">
        <v>36</v>
      </c>
      <c r="S3" s="3255" t="s">
        <v>37</v>
      </c>
      <c r="T3" s="3255">
        <v>1561.14</v>
      </c>
      <c r="U3" s="3255">
        <v>1380</v>
      </c>
      <c r="V3" s="3255"/>
      <c r="W3" s="3784">
        <f>表15_17[[#This Row],[Sales Amount]]-表15_17[[#This Row],[Cost]]</f>
        <v>181.1400000000001</v>
      </c>
      <c r="X3" s="3785">
        <f>表15_17[[#This Row],[Profit]]/表15_17[[#This Row],[Cost]]</f>
        <v>0.13126086956521746</v>
      </c>
      <c r="Y3" s="3255"/>
      <c r="Z3" s="3256"/>
    </row>
    <row r="4" spans="1:26" s="117" customFormat="1" ht="45">
      <c r="A4" s="3686" t="s">
        <v>2847</v>
      </c>
      <c r="B4" s="3268" t="s">
        <v>8886</v>
      </c>
      <c r="C4" s="4845" t="s">
        <v>28</v>
      </c>
      <c r="D4" s="3262">
        <v>45440</v>
      </c>
      <c r="E4" s="3264">
        <v>45445</v>
      </c>
      <c r="F4" s="3268" t="s">
        <v>93</v>
      </c>
      <c r="G4" s="3270" t="s">
        <v>5557</v>
      </c>
      <c r="H4" s="4844">
        <v>45448</v>
      </c>
      <c r="I4" s="4844" t="s">
        <v>3956</v>
      </c>
      <c r="J4" s="4664" t="s">
        <v>322</v>
      </c>
      <c r="K4" s="120" t="s">
        <v>2652</v>
      </c>
      <c r="L4" s="4391" t="s">
        <v>8887</v>
      </c>
      <c r="M4" s="3366">
        <v>45448</v>
      </c>
      <c r="N4" s="3262">
        <v>45448</v>
      </c>
      <c r="O4" s="3262">
        <v>45448</v>
      </c>
      <c r="P4" s="4246" t="s">
        <v>8888</v>
      </c>
      <c r="Q4" s="3678" t="s">
        <v>75</v>
      </c>
      <c r="R4" s="4242" t="s">
        <v>8889</v>
      </c>
      <c r="S4" s="3268"/>
      <c r="T4" s="3679">
        <v>1081.25</v>
      </c>
      <c r="U4" s="3268">
        <v>726.5</v>
      </c>
      <c r="V4" s="3268">
        <v>1</v>
      </c>
      <c r="W4" s="3679">
        <f>表15_17[[#This Row],[Sales Amount]]-表15_17[[#This Row],[Cost]]</f>
        <v>354.75</v>
      </c>
      <c r="X4" s="3269">
        <f>表15_17[[#This Row],[Profit]]/表15_17[[#This Row],[Cost]]</f>
        <v>0.48830006882312454</v>
      </c>
      <c r="Y4" s="3" t="s">
        <v>5640</v>
      </c>
      <c r="Z4" s="3270"/>
    </row>
    <row r="5" spans="1:26" s="117" customFormat="1" ht="90">
      <c r="A5" s="3686" t="s">
        <v>2847</v>
      </c>
      <c r="B5" s="4242" t="s">
        <v>8890</v>
      </c>
      <c r="C5" s="4845" t="s">
        <v>28</v>
      </c>
      <c r="D5" s="3262">
        <v>45440</v>
      </c>
      <c r="E5" s="3264">
        <v>45445</v>
      </c>
      <c r="F5" s="3268" t="s">
        <v>93</v>
      </c>
      <c r="G5" s="5056" t="s">
        <v>5557</v>
      </c>
      <c r="H5" s="4844">
        <v>45448</v>
      </c>
      <c r="I5" s="4844" t="s">
        <v>5702</v>
      </c>
      <c r="J5" s="3686" t="s">
        <v>322</v>
      </c>
      <c r="K5" s="120" t="s">
        <v>2652</v>
      </c>
      <c r="L5" s="4391" t="s">
        <v>8891</v>
      </c>
      <c r="M5" s="3366">
        <v>45448</v>
      </c>
      <c r="N5" s="3262">
        <v>45447</v>
      </c>
      <c r="O5" s="4241">
        <v>45449</v>
      </c>
      <c r="P5" s="4246" t="s">
        <v>8892</v>
      </c>
      <c r="Q5" s="3678" t="s">
        <v>75</v>
      </c>
      <c r="R5" s="4242" t="s">
        <v>8893</v>
      </c>
      <c r="S5" s="3268"/>
      <c r="T5" s="3679">
        <v>1502.5</v>
      </c>
      <c r="U5" s="3268">
        <v>933</v>
      </c>
      <c r="V5" s="3268">
        <v>1</v>
      </c>
      <c r="W5" s="3679">
        <f>表15_17[[#This Row],[Sales Amount]]-表15_17[[#This Row],[Cost]]</f>
        <v>569.5</v>
      </c>
      <c r="X5" s="3269">
        <f>表15_17[[#This Row],[Profit]]/表15_17[[#This Row],[Cost]]</f>
        <v>0.61039657020364413</v>
      </c>
      <c r="Y5" s="3268" t="s">
        <v>5640</v>
      </c>
      <c r="Z5" s="3270"/>
    </row>
    <row r="6" spans="1:26" s="660" customFormat="1" ht="45">
      <c r="A6" s="3686" t="s">
        <v>2847</v>
      </c>
      <c r="B6" s="4242" t="s">
        <v>8894</v>
      </c>
      <c r="C6" s="4845" t="s">
        <v>28</v>
      </c>
      <c r="D6" s="3262">
        <v>45440</v>
      </c>
      <c r="E6" s="3264">
        <v>45445</v>
      </c>
      <c r="F6" s="3268" t="s">
        <v>93</v>
      </c>
      <c r="G6" s="4845" t="s">
        <v>5557</v>
      </c>
      <c r="H6" s="2018">
        <v>45449</v>
      </c>
      <c r="I6" s="2018" t="s">
        <v>3956</v>
      </c>
      <c r="J6" s="4929" t="s">
        <v>322</v>
      </c>
      <c r="K6" s="4929" t="s">
        <v>2652</v>
      </c>
      <c r="L6" s="3786" t="s">
        <v>8895</v>
      </c>
      <c r="M6" s="2018">
        <v>45448</v>
      </c>
      <c r="N6" s="3366">
        <v>45448</v>
      </c>
      <c r="O6" s="3262">
        <v>45449</v>
      </c>
      <c r="P6" s="4246" t="s">
        <v>8896</v>
      </c>
      <c r="Q6" s="5065" t="s">
        <v>75</v>
      </c>
      <c r="R6" s="4150" t="s">
        <v>8897</v>
      </c>
      <c r="S6" s="3268"/>
      <c r="T6" s="3679">
        <v>1198.75</v>
      </c>
      <c r="U6" s="3268">
        <v>803</v>
      </c>
      <c r="V6" s="3268">
        <v>1</v>
      </c>
      <c r="W6" s="3679">
        <f>表15_17[[#This Row],[Sales Amount]]-表15_17[[#This Row],[Cost]]</f>
        <v>395.75</v>
      </c>
      <c r="X6" s="3269">
        <f>表15_17[[#This Row],[Profit]]/表15_17[[#This Row],[Cost]]</f>
        <v>0.49283935242839355</v>
      </c>
      <c r="Y6" s="3268" t="s">
        <v>5640</v>
      </c>
      <c r="Z6" s="3270"/>
    </row>
    <row r="7" spans="1:26" s="93" customFormat="1" ht="30">
      <c r="A7" s="2832" t="s">
        <v>165</v>
      </c>
      <c r="B7" s="4392" t="s">
        <v>8898</v>
      </c>
      <c r="C7" s="4908" t="s">
        <v>28</v>
      </c>
      <c r="D7" s="3262">
        <v>45446</v>
      </c>
      <c r="E7" s="3264">
        <v>45446</v>
      </c>
      <c r="F7" s="4392" t="s">
        <v>167</v>
      </c>
      <c r="G7" s="5549" t="s">
        <v>8899</v>
      </c>
      <c r="H7" s="2856">
        <v>45454</v>
      </c>
      <c r="I7" s="2857" t="s">
        <v>445</v>
      </c>
      <c r="J7" s="5243" t="s">
        <v>600</v>
      </c>
      <c r="K7" s="4908" t="s">
        <v>8900</v>
      </c>
      <c r="L7" s="839"/>
      <c r="M7" s="2856">
        <v>45454</v>
      </c>
      <c r="N7" s="2856">
        <v>45453</v>
      </c>
      <c r="O7" s="2830">
        <v>45454</v>
      </c>
      <c r="P7" s="4393" t="s">
        <v>8901</v>
      </c>
      <c r="Q7" s="5065" t="s">
        <v>75</v>
      </c>
      <c r="R7" s="4392" t="s">
        <v>8902</v>
      </c>
      <c r="S7" s="2837"/>
      <c r="T7" s="2837">
        <v>720</v>
      </c>
      <c r="U7" s="2837">
        <v>440</v>
      </c>
      <c r="V7" s="2837">
        <v>1</v>
      </c>
      <c r="W7" s="2838">
        <f>表15_17[[#This Row],[Sales Amount]]-表15_17[[#This Row],[Cost]]</f>
        <v>280</v>
      </c>
      <c r="X7" s="2839">
        <f>表15_17[[#This Row],[Profit]]/表15_17[[#This Row],[Cost]]</f>
        <v>0.63636363636363635</v>
      </c>
      <c r="Y7" s="2837"/>
      <c r="Z7" s="2840"/>
    </row>
    <row r="8" spans="1:26" s="117" customFormat="1" ht="165">
      <c r="A8" s="2825" t="s">
        <v>468</v>
      </c>
      <c r="B8" s="2844" t="s">
        <v>8903</v>
      </c>
      <c r="C8" s="4845" t="s">
        <v>28</v>
      </c>
      <c r="D8" s="1994">
        <v>45447</v>
      </c>
      <c r="E8" s="2159">
        <v>45447</v>
      </c>
      <c r="F8" s="857" t="s">
        <v>260</v>
      </c>
      <c r="G8" s="4947" t="s">
        <v>4355</v>
      </c>
      <c r="H8" s="2018">
        <v>45454</v>
      </c>
      <c r="I8" s="858" t="s">
        <v>178</v>
      </c>
      <c r="J8" s="5375" t="s">
        <v>322</v>
      </c>
      <c r="K8" s="4845" t="s">
        <v>8904</v>
      </c>
      <c r="L8" s="1994"/>
      <c r="M8" s="2018">
        <v>45453</v>
      </c>
      <c r="N8" s="2018">
        <v>45453</v>
      </c>
      <c r="O8" s="4844">
        <v>45454</v>
      </c>
      <c r="P8" s="4265" t="s">
        <v>8905</v>
      </c>
      <c r="Q8" s="2828" t="s">
        <v>75</v>
      </c>
      <c r="R8" s="4104" t="s">
        <v>8906</v>
      </c>
      <c r="S8" s="857"/>
      <c r="T8" s="2829">
        <v>1425</v>
      </c>
      <c r="U8" s="2834">
        <v>1140.5</v>
      </c>
      <c r="V8" s="857">
        <v>1</v>
      </c>
      <c r="W8" s="2829">
        <f>表15_17[[#This Row],[Sales Amount]]-表15_17[[#This Row],[Cost]]</f>
        <v>284.5</v>
      </c>
      <c r="X8" s="2085">
        <f>表15_17[[#This Row],[Profit]]/表15_17[[#This Row],[Cost]]</f>
        <v>0.2494519947391495</v>
      </c>
      <c r="Y8" s="857"/>
      <c r="Z8" s="901"/>
    </row>
    <row r="9" spans="1:26" s="117" customFormat="1" ht="150">
      <c r="A9" s="2825" t="s">
        <v>468</v>
      </c>
      <c r="B9" s="4291" t="s">
        <v>8907</v>
      </c>
      <c r="C9" s="4845" t="s">
        <v>200</v>
      </c>
      <c r="D9" s="1994">
        <v>45447</v>
      </c>
      <c r="E9" s="2159">
        <v>45447</v>
      </c>
      <c r="F9" s="857" t="s">
        <v>260</v>
      </c>
      <c r="G9" s="4947" t="s">
        <v>4355</v>
      </c>
      <c r="H9" s="2018">
        <v>45454</v>
      </c>
      <c r="I9" s="858" t="s">
        <v>115</v>
      </c>
      <c r="J9" s="5375" t="s">
        <v>322</v>
      </c>
      <c r="K9" s="4845" t="s">
        <v>8908</v>
      </c>
      <c r="L9" s="1994"/>
      <c r="M9" s="2018">
        <v>45453</v>
      </c>
      <c r="N9" s="2018">
        <v>45453</v>
      </c>
      <c r="O9" s="4844">
        <v>45454</v>
      </c>
      <c r="P9" s="859" t="s">
        <v>8909</v>
      </c>
      <c r="Q9" s="2828" t="s">
        <v>75</v>
      </c>
      <c r="R9" s="4104" t="s">
        <v>8910</v>
      </c>
      <c r="S9" s="857"/>
      <c r="T9" s="2829">
        <v>1125</v>
      </c>
      <c r="U9" s="2834">
        <v>895.5</v>
      </c>
      <c r="V9" s="857">
        <v>1</v>
      </c>
      <c r="W9" s="2829">
        <f>表15_17[[#This Row],[Sales Amount]]-表15_17[[#This Row],[Cost]]</f>
        <v>229.5</v>
      </c>
      <c r="X9" s="2085">
        <f>表15_17[[#This Row],[Profit]]/表15_17[[#This Row],[Cost]]</f>
        <v>0.25628140703517588</v>
      </c>
      <c r="Y9" s="857"/>
      <c r="Z9" s="901"/>
    </row>
    <row r="10" spans="1:26" s="117" customFormat="1">
      <c r="A10" s="4668" t="s">
        <v>263</v>
      </c>
      <c r="B10" s="4861" t="s">
        <v>8911</v>
      </c>
      <c r="C10" s="4861" t="s">
        <v>44</v>
      </c>
      <c r="D10" s="4940">
        <v>45447</v>
      </c>
      <c r="E10" s="4940">
        <v>45447</v>
      </c>
      <c r="F10" s="4861" t="s">
        <v>63</v>
      </c>
      <c r="G10" s="4861" t="s">
        <v>265</v>
      </c>
      <c r="H10" s="5550"/>
      <c r="I10" s="4861"/>
      <c r="J10" s="5326"/>
      <c r="K10" s="709" t="s">
        <v>8279</v>
      </c>
      <c r="L10" s="4861"/>
      <c r="M10" s="4903"/>
      <c r="N10" s="4903"/>
      <c r="O10" s="4903"/>
      <c r="P10" s="4871" t="s">
        <v>8912</v>
      </c>
      <c r="Q10" s="5510" t="s">
        <v>128</v>
      </c>
      <c r="R10" s="707" t="s">
        <v>36</v>
      </c>
      <c r="S10" s="2156"/>
      <c r="T10" s="2156">
        <v>1463.91</v>
      </c>
      <c r="U10" s="2156">
        <f>795+90+80.16</f>
        <v>965.16</v>
      </c>
      <c r="V10" s="3258"/>
      <c r="W10" s="2881">
        <f>表15_17[[#This Row],[Sales Amount]]-表15_17[[#This Row],[Cost]]</f>
        <v>498.75000000000011</v>
      </c>
      <c r="X10" s="2156">
        <f>表15_17[[#This Row],[Profit]]/表15_17[[#This Row],[Cost]]</f>
        <v>0.51675369886858147</v>
      </c>
      <c r="Y10" s="2156"/>
      <c r="Z10" s="2884"/>
    </row>
    <row r="11" spans="1:26" ht="45">
      <c r="A11" s="3686" t="s">
        <v>941</v>
      </c>
      <c r="B11" s="4242" t="s">
        <v>8913</v>
      </c>
      <c r="C11" s="3268" t="s">
        <v>28</v>
      </c>
      <c r="D11" s="3262">
        <v>45429</v>
      </c>
      <c r="E11" s="4916">
        <v>45447</v>
      </c>
      <c r="F11" s="3268" t="s">
        <v>45</v>
      </c>
      <c r="G11" s="3268" t="s">
        <v>302</v>
      </c>
      <c r="H11" s="3377">
        <v>45451</v>
      </c>
      <c r="I11" s="3501" t="s">
        <v>445</v>
      </c>
      <c r="J11" s="5375" t="s">
        <v>32</v>
      </c>
      <c r="K11" s="3376" t="s">
        <v>966</v>
      </c>
      <c r="L11" s="2871" t="s">
        <v>8914</v>
      </c>
      <c r="M11" s="839">
        <v>45449</v>
      </c>
      <c r="N11" s="3366">
        <v>45449</v>
      </c>
      <c r="O11" s="3262">
        <v>45451</v>
      </c>
      <c r="P11" s="4246" t="s">
        <v>8915</v>
      </c>
      <c r="Q11" s="3678" t="s">
        <v>75</v>
      </c>
      <c r="R11" s="2195" t="s">
        <v>8916</v>
      </c>
      <c r="S11" s="857"/>
      <c r="T11" s="2829">
        <v>1487.5</v>
      </c>
      <c r="U11" s="2829">
        <v>1000</v>
      </c>
      <c r="V11" s="857"/>
      <c r="W11" s="2829">
        <f>表15_17[[#This Row],[Sales Amount]]-表15_17[[#This Row],[Cost]]</f>
        <v>487.5</v>
      </c>
      <c r="X11" s="2085">
        <f>表15_17[[#This Row],[Profit]]/表15_17[[#This Row],[Cost]]</f>
        <v>0.48749999999999999</v>
      </c>
      <c r="Y11" s="857"/>
      <c r="Z11" s="901"/>
    </row>
    <row r="12" spans="1:26" s="93" customFormat="1" ht="45">
      <c r="A12" s="6051" t="s">
        <v>409</v>
      </c>
      <c r="B12" s="6052" t="s">
        <v>8917</v>
      </c>
      <c r="C12" s="4845" t="s">
        <v>28</v>
      </c>
      <c r="D12" s="6053">
        <v>45439</v>
      </c>
      <c r="E12" s="6054">
        <v>45448</v>
      </c>
      <c r="F12" s="6050" t="s">
        <v>167</v>
      </c>
      <c r="G12" s="4845" t="s">
        <v>302</v>
      </c>
      <c r="H12" s="6055" t="s">
        <v>8918</v>
      </c>
      <c r="I12" s="6056" t="s">
        <v>899</v>
      </c>
      <c r="J12" s="5375" t="s">
        <v>32</v>
      </c>
      <c r="K12" s="4908" t="s">
        <v>8879</v>
      </c>
      <c r="L12" s="117" t="s">
        <v>8919</v>
      </c>
      <c r="M12" s="6057">
        <v>45452</v>
      </c>
      <c r="N12" s="6053">
        <v>45450</v>
      </c>
      <c r="O12" s="6058">
        <v>45455</v>
      </c>
      <c r="P12" s="6059" t="s">
        <v>8920</v>
      </c>
      <c r="Q12" s="6060" t="s">
        <v>75</v>
      </c>
      <c r="R12" s="6061" t="s">
        <v>8921</v>
      </c>
      <c r="S12" s="6050"/>
      <c r="T12" s="6062">
        <v>1245</v>
      </c>
      <c r="U12" s="6062">
        <v>1040</v>
      </c>
      <c r="V12" s="6050">
        <v>1</v>
      </c>
      <c r="W12" s="6062">
        <f>表15_17[[#This Row],[Sales Amount]]-表15_17[[#This Row],[Cost]]</f>
        <v>205</v>
      </c>
      <c r="X12" s="6063">
        <f>表15_17[[#This Row],[Profit]]/表15_17[[#This Row],[Cost]]</f>
        <v>0.19711538461538461</v>
      </c>
      <c r="Y12" s="6050"/>
      <c r="Z12" s="6064"/>
    </row>
    <row r="13" spans="1:26" s="709" customFormat="1">
      <c r="A13" s="2842" t="s">
        <v>639</v>
      </c>
      <c r="B13" s="1992" t="s">
        <v>8922</v>
      </c>
      <c r="C13" s="4861" t="s">
        <v>44</v>
      </c>
      <c r="D13" s="2756">
        <v>45441</v>
      </c>
      <c r="E13" s="2757">
        <v>45449</v>
      </c>
      <c r="F13" s="1992" t="s">
        <v>151</v>
      </c>
      <c r="G13" s="4861" t="s">
        <v>46</v>
      </c>
      <c r="H13" s="2887"/>
      <c r="I13" s="1992"/>
      <c r="J13" s="5325" t="s">
        <v>32</v>
      </c>
      <c r="K13" s="4861" t="s">
        <v>641</v>
      </c>
      <c r="L13" s="1992" t="s">
        <v>8923</v>
      </c>
      <c r="M13" s="2593">
        <v>45460</v>
      </c>
      <c r="N13" s="2593">
        <v>45460</v>
      </c>
      <c r="O13" s="2593">
        <v>45461</v>
      </c>
      <c r="P13" s="2874" t="s">
        <v>8924</v>
      </c>
      <c r="Q13" s="2875" t="s">
        <v>6852</v>
      </c>
      <c r="R13" s="2156" t="s">
        <v>51</v>
      </c>
      <c r="S13" s="2156"/>
      <c r="T13" s="2156"/>
      <c r="U13" s="2156"/>
      <c r="V13" s="2156"/>
      <c r="W13" s="2881">
        <f>表15_17[[#This Row],[Sales Amount]]-表15_17[[#This Row],[Cost]]</f>
        <v>0</v>
      </c>
      <c r="X13" s="2156" t="e">
        <f>表15_17[[#This Row],[Profit]]/表15_17[[#This Row],[Cost]]</f>
        <v>#DIV/0!</v>
      </c>
      <c r="Y13" s="2156"/>
      <c r="Z13" s="2884"/>
    </row>
    <row r="14" spans="1:26">
      <c r="A14" s="2842" t="s">
        <v>7424</v>
      </c>
      <c r="B14" s="1992" t="s">
        <v>8925</v>
      </c>
      <c r="C14" s="3246" t="s">
        <v>28</v>
      </c>
      <c r="D14" s="2756">
        <v>45447</v>
      </c>
      <c r="E14" s="4394">
        <v>45449</v>
      </c>
      <c r="F14" s="1992" t="s">
        <v>56</v>
      </c>
      <c r="G14" s="3246" t="s">
        <v>8926</v>
      </c>
      <c r="H14" s="2869">
        <v>45453</v>
      </c>
      <c r="I14" s="1992"/>
      <c r="J14" s="3544" t="s">
        <v>1478</v>
      </c>
      <c r="K14" s="3246" t="s">
        <v>8927</v>
      </c>
      <c r="L14" s="739">
        <v>61703436</v>
      </c>
      <c r="M14" s="2847">
        <v>45451</v>
      </c>
      <c r="N14" s="2847">
        <v>45453</v>
      </c>
      <c r="O14" s="2847">
        <v>45455</v>
      </c>
      <c r="P14" s="2874" t="s">
        <v>8928</v>
      </c>
      <c r="Q14" s="2875" t="s">
        <v>6852</v>
      </c>
      <c r="R14" s="2156" t="s">
        <v>51</v>
      </c>
      <c r="S14" s="2156"/>
      <c r="T14" s="2156"/>
      <c r="U14" s="2156"/>
      <c r="V14" s="2156"/>
      <c r="W14" s="2881">
        <f>表15_17[[#This Row],[Sales Amount]]-表15_17[[#This Row],[Cost]]</f>
        <v>0</v>
      </c>
      <c r="X14" s="2156" t="e">
        <f>表15_17[[#This Row],[Profit]]/表15_17[[#This Row],[Cost]]</f>
        <v>#DIV/0!</v>
      </c>
      <c r="Y14" s="2156"/>
      <c r="Z14" s="2884"/>
    </row>
    <row r="15" spans="1:26" ht="135">
      <c r="A15" s="3697" t="s">
        <v>8929</v>
      </c>
      <c r="B15" s="4242" t="s">
        <v>8930</v>
      </c>
      <c r="C15" s="4845" t="s">
        <v>28</v>
      </c>
      <c r="D15" s="3262">
        <v>45449</v>
      </c>
      <c r="E15" s="2017">
        <v>45449</v>
      </c>
      <c r="F15" s="3367" t="s">
        <v>63</v>
      </c>
      <c r="G15" s="4929" t="s">
        <v>8931</v>
      </c>
      <c r="H15" s="4242" t="s">
        <v>162</v>
      </c>
      <c r="I15" s="4242" t="s">
        <v>162</v>
      </c>
      <c r="J15" s="4915" t="s">
        <v>8932</v>
      </c>
      <c r="K15" s="4915" t="s">
        <v>8933</v>
      </c>
      <c r="L15" s="3262"/>
      <c r="M15" s="3262">
        <v>45453</v>
      </c>
      <c r="N15" s="3262">
        <v>45453</v>
      </c>
      <c r="O15" s="3262">
        <v>45455</v>
      </c>
      <c r="P15" s="4104" t="s">
        <v>8934</v>
      </c>
      <c r="Q15" s="3678" t="s">
        <v>75</v>
      </c>
      <c r="R15" s="4150" t="s">
        <v>8935</v>
      </c>
      <c r="S15" s="3268" t="s">
        <v>67</v>
      </c>
      <c r="T15" s="3268">
        <v>689</v>
      </c>
      <c r="U15" s="3268">
        <v>270</v>
      </c>
      <c r="V15" s="3268">
        <v>1</v>
      </c>
      <c r="W15" s="3679">
        <f>表15_17[[#This Row],[Sales Amount]]-表15_17[[#This Row],[Cost]]</f>
        <v>419</v>
      </c>
      <c r="X15" s="3294">
        <f>表15_17[[#This Row],[Profit]]/表15_17[[#This Row],[Cost]]</f>
        <v>1.5518518518518518</v>
      </c>
      <c r="Y15" s="3268"/>
      <c r="Z15" s="3270"/>
    </row>
    <row r="16" spans="1:26" s="152" customFormat="1">
      <c r="A16" s="3787" t="s">
        <v>3064</v>
      </c>
      <c r="B16" s="4331" t="s">
        <v>8936</v>
      </c>
      <c r="C16" s="4861" t="s">
        <v>44</v>
      </c>
      <c r="D16" s="3266">
        <v>45440</v>
      </c>
      <c r="E16" s="2924">
        <v>45449</v>
      </c>
      <c r="F16" s="3246" t="s">
        <v>45</v>
      </c>
      <c r="G16" s="4861" t="s">
        <v>46</v>
      </c>
      <c r="H16" s="3788"/>
      <c r="I16" s="3246"/>
      <c r="J16" s="5326" t="s">
        <v>32</v>
      </c>
      <c r="K16" s="4861" t="s">
        <v>47</v>
      </c>
      <c r="L16" s="3246" t="s">
        <v>8937</v>
      </c>
      <c r="M16" s="3267">
        <v>45451</v>
      </c>
      <c r="N16" s="3267">
        <v>45451</v>
      </c>
      <c r="O16" s="3267">
        <v>45454</v>
      </c>
      <c r="P16" s="3283" t="s">
        <v>8938</v>
      </c>
      <c r="Q16" s="3789" t="s">
        <v>6852</v>
      </c>
      <c r="R16" s="3258" t="s">
        <v>36</v>
      </c>
      <c r="S16" s="3258"/>
      <c r="T16" s="3258"/>
      <c r="U16" s="3258"/>
      <c r="V16" s="3258"/>
      <c r="W16" s="3790">
        <f>表15_17[[#This Row],[Sales Amount]]-表15_17[[#This Row],[Cost]]</f>
        <v>0</v>
      </c>
      <c r="X16" s="3258" t="e">
        <f>表15_17[[#This Row],[Profit]]/表15_17[[#This Row],[Cost]]</f>
        <v>#DIV/0!</v>
      </c>
      <c r="Y16" s="3258"/>
      <c r="Z16" s="3791" t="s">
        <v>409</v>
      </c>
    </row>
    <row r="17" spans="1:27" s="120" customFormat="1" ht="150">
      <c r="A17" s="2832" t="s">
        <v>468</v>
      </c>
      <c r="B17" s="4392" t="s">
        <v>8939</v>
      </c>
      <c r="C17" s="4845" t="s">
        <v>28</v>
      </c>
      <c r="D17" s="2830">
        <v>45450</v>
      </c>
      <c r="E17" s="2849">
        <v>45450</v>
      </c>
      <c r="F17" s="2837" t="s">
        <v>260</v>
      </c>
      <c r="G17" s="4947" t="s">
        <v>4355</v>
      </c>
      <c r="H17" s="2856">
        <v>45456</v>
      </c>
      <c r="I17" s="4395" t="s">
        <v>178</v>
      </c>
      <c r="J17" s="5375" t="s">
        <v>322</v>
      </c>
      <c r="K17" s="4845" t="s">
        <v>8904</v>
      </c>
      <c r="L17" s="2830"/>
      <c r="M17" s="2849">
        <v>45456</v>
      </c>
      <c r="N17" s="2830">
        <v>45455</v>
      </c>
      <c r="O17" s="2830">
        <v>45456</v>
      </c>
      <c r="P17" s="4396" t="s">
        <v>8940</v>
      </c>
      <c r="Q17" s="2836" t="s">
        <v>75</v>
      </c>
      <c r="R17" s="4393" t="s">
        <v>8941</v>
      </c>
      <c r="S17" s="2837"/>
      <c r="T17" s="2838">
        <v>1125</v>
      </c>
      <c r="U17" s="2837">
        <v>895.5</v>
      </c>
      <c r="V17" s="2837">
        <v>1</v>
      </c>
      <c r="W17" s="2838">
        <f>表15_17[[#This Row],[Sales Amount]]-表15_17[[#This Row],[Cost]]</f>
        <v>229.5</v>
      </c>
      <c r="X17" s="2839">
        <f>表15_17[[#This Row],[Profit]]/表15_17[[#This Row],[Cost]]</f>
        <v>0.25628140703517588</v>
      </c>
      <c r="Y17" s="2837"/>
      <c r="Z17" s="2840"/>
    </row>
    <row r="18" spans="1:27" s="93" customFormat="1" ht="150">
      <c r="A18" s="2832" t="s">
        <v>468</v>
      </c>
      <c r="B18" s="2862" t="s">
        <v>8942</v>
      </c>
      <c r="C18" s="4845" t="s">
        <v>200</v>
      </c>
      <c r="D18" s="2830">
        <v>45450</v>
      </c>
      <c r="E18" s="2849">
        <v>45450</v>
      </c>
      <c r="F18" s="2837" t="s">
        <v>260</v>
      </c>
      <c r="G18" s="4947" t="s">
        <v>4355</v>
      </c>
      <c r="H18" s="2856">
        <v>45457</v>
      </c>
      <c r="I18" s="4395" t="s">
        <v>115</v>
      </c>
      <c r="J18" s="5375" t="s">
        <v>8943</v>
      </c>
      <c r="K18" s="4845" t="s">
        <v>8904</v>
      </c>
      <c r="L18" s="2830"/>
      <c r="M18" s="2850">
        <v>45456</v>
      </c>
      <c r="N18" s="2830">
        <v>45456</v>
      </c>
      <c r="O18" s="2830">
        <v>45457</v>
      </c>
      <c r="P18" s="4393" t="s">
        <v>8944</v>
      </c>
      <c r="Q18" s="2836" t="s">
        <v>75</v>
      </c>
      <c r="R18" s="4393" t="s">
        <v>8945</v>
      </c>
      <c r="S18" s="2837"/>
      <c r="T18" s="2838">
        <v>1325</v>
      </c>
      <c r="U18" s="2878">
        <v>833</v>
      </c>
      <c r="V18" s="2837">
        <v>1</v>
      </c>
      <c r="W18" s="2838">
        <f>表15_17[[#This Row],[Sales Amount]]-表15_17[[#This Row],[Cost]]</f>
        <v>492</v>
      </c>
      <c r="X18" s="2839">
        <f>表15_17[[#This Row],[Profit]]/表15_17[[#This Row],[Cost]]</f>
        <v>0.59063625450180068</v>
      </c>
      <c r="Y18" s="2837"/>
      <c r="Z18" s="2840"/>
    </row>
    <row r="19" spans="1:27" s="120" customFormat="1" ht="30">
      <c r="A19" s="2832" t="s">
        <v>2618</v>
      </c>
      <c r="B19" s="4393" t="s">
        <v>8946</v>
      </c>
      <c r="C19" s="4845" t="s">
        <v>28</v>
      </c>
      <c r="D19" s="2830">
        <v>45450</v>
      </c>
      <c r="E19" s="822">
        <v>45450</v>
      </c>
      <c r="F19" s="2837" t="s">
        <v>245</v>
      </c>
      <c r="G19" s="4845" t="s">
        <v>8947</v>
      </c>
      <c r="H19" s="2868" t="s">
        <v>162</v>
      </c>
      <c r="I19" s="2868" t="s">
        <v>162</v>
      </c>
      <c r="J19" s="5375" t="s">
        <v>162</v>
      </c>
      <c r="K19" s="4909" t="s">
        <v>8948</v>
      </c>
      <c r="L19" s="2870" t="s">
        <v>1038</v>
      </c>
      <c r="M19" s="2872">
        <v>45456</v>
      </c>
      <c r="N19" s="2830">
        <v>45454</v>
      </c>
      <c r="O19" s="2830">
        <v>45455</v>
      </c>
      <c r="P19" s="4397" t="s">
        <v>8949</v>
      </c>
      <c r="Q19" s="2836" t="s">
        <v>75</v>
      </c>
      <c r="R19" s="4397" t="s">
        <v>8950</v>
      </c>
      <c r="S19" s="4392" t="s">
        <v>2373</v>
      </c>
      <c r="T19" s="2837"/>
      <c r="U19" s="2837"/>
      <c r="V19" s="2837"/>
      <c r="W19" s="2838">
        <f>表15_17[[#This Row],[Sales Amount]]-表15_17[[#This Row],[Cost]]</f>
        <v>0</v>
      </c>
      <c r="X19" s="2837" t="e">
        <f>表15_17[[#This Row],[Profit]]/表15_17[[#This Row],[Cost]]</f>
        <v>#DIV/0!</v>
      </c>
      <c r="Y19" s="2837"/>
      <c r="Z19" s="2840"/>
    </row>
    <row r="20" spans="1:27" s="93" customFormat="1" ht="30">
      <c r="A20" s="2832" t="s">
        <v>2618</v>
      </c>
      <c r="B20" s="4393" t="s">
        <v>8951</v>
      </c>
      <c r="C20" s="4845" t="s">
        <v>28</v>
      </c>
      <c r="D20" s="2830">
        <v>45450</v>
      </c>
      <c r="E20" s="2830">
        <v>45450</v>
      </c>
      <c r="F20" s="2837" t="s">
        <v>245</v>
      </c>
      <c r="G20" s="4845" t="s">
        <v>8947</v>
      </c>
      <c r="H20" s="2868" t="s">
        <v>162</v>
      </c>
      <c r="I20" s="2868" t="s">
        <v>162</v>
      </c>
      <c r="J20" s="5375" t="s">
        <v>162</v>
      </c>
      <c r="K20" s="4909" t="s">
        <v>8948</v>
      </c>
      <c r="L20" s="2870" t="s">
        <v>1038</v>
      </c>
      <c r="M20" s="2872">
        <v>45456</v>
      </c>
      <c r="N20" s="2830">
        <v>45454</v>
      </c>
      <c r="O20" s="2830">
        <v>45456</v>
      </c>
      <c r="P20" s="4397" t="s">
        <v>8949</v>
      </c>
      <c r="Q20" s="2836" t="s">
        <v>75</v>
      </c>
      <c r="R20" s="4397" t="s">
        <v>8950</v>
      </c>
      <c r="S20" s="4392" t="s">
        <v>2373</v>
      </c>
      <c r="T20" s="2837"/>
      <c r="U20" s="2837"/>
      <c r="V20" s="2837"/>
      <c r="W20" s="2838">
        <f>表15_17[[#This Row],[Sales Amount]]-表15_17[[#This Row],[Cost]]</f>
        <v>0</v>
      </c>
      <c r="X20" s="2837" t="e">
        <f>表15_17[[#This Row],[Profit]]/表15_17[[#This Row],[Cost]]</f>
        <v>#DIV/0!</v>
      </c>
      <c r="Y20" s="2837"/>
      <c r="Z20" s="2840"/>
    </row>
    <row r="21" spans="1:27" s="120" customFormat="1" ht="30">
      <c r="A21" s="2832" t="s">
        <v>2618</v>
      </c>
      <c r="B21" s="4104" t="s">
        <v>8952</v>
      </c>
      <c r="C21" s="4845" t="s">
        <v>28</v>
      </c>
      <c r="D21" s="2830">
        <v>45450</v>
      </c>
      <c r="E21" s="1994">
        <v>45450</v>
      </c>
      <c r="F21" s="2837" t="s">
        <v>245</v>
      </c>
      <c r="G21" s="4845" t="s">
        <v>8947</v>
      </c>
      <c r="H21" s="2866" t="s">
        <v>162</v>
      </c>
      <c r="I21" s="2866" t="s">
        <v>162</v>
      </c>
      <c r="J21" s="2866" t="s">
        <v>162</v>
      </c>
      <c r="K21" s="4909" t="s">
        <v>8948</v>
      </c>
      <c r="L21" s="2870" t="s">
        <v>1038</v>
      </c>
      <c r="M21" s="3431">
        <v>45456</v>
      </c>
      <c r="N21" s="3262">
        <v>45455</v>
      </c>
      <c r="O21" s="2830">
        <v>45456</v>
      </c>
      <c r="P21" s="4168" t="s">
        <v>8949</v>
      </c>
      <c r="Q21" s="2836" t="s">
        <v>75</v>
      </c>
      <c r="R21" s="4168" t="s">
        <v>8950</v>
      </c>
      <c r="S21" s="4392" t="s">
        <v>2373</v>
      </c>
      <c r="T21" s="2837"/>
      <c r="U21" s="2837"/>
      <c r="V21" s="2837"/>
      <c r="W21" s="2838">
        <f>表15_17[[#This Row],[Sales Amount]]-表15_17[[#This Row],[Cost]]</f>
        <v>0</v>
      </c>
      <c r="X21" s="2837" t="e">
        <f>表15_17[[#This Row],[Profit]]/表15_17[[#This Row],[Cost]]</f>
        <v>#DIV/0!</v>
      </c>
      <c r="Y21" s="2837"/>
      <c r="Z21" s="2840"/>
    </row>
    <row r="22" spans="1:27" s="93" customFormat="1" ht="60">
      <c r="A22" s="2832" t="s">
        <v>2847</v>
      </c>
      <c r="B22" s="4150" t="s">
        <v>8953</v>
      </c>
      <c r="C22" s="4845" t="s">
        <v>200</v>
      </c>
      <c r="D22" s="4395">
        <v>45450</v>
      </c>
      <c r="E22" s="2017">
        <v>45450</v>
      </c>
      <c r="F22" s="2837" t="s">
        <v>1828</v>
      </c>
      <c r="G22" s="4929" t="s">
        <v>8954</v>
      </c>
      <c r="H22" s="825">
        <v>45454</v>
      </c>
      <c r="I22" s="766" t="s">
        <v>790</v>
      </c>
      <c r="J22" s="1061" t="s">
        <v>6320</v>
      </c>
      <c r="K22" s="4908" t="s">
        <v>8955</v>
      </c>
      <c r="L22" s="2830"/>
      <c r="M22" s="3418">
        <v>45456</v>
      </c>
      <c r="N22" s="3262">
        <v>45454</v>
      </c>
      <c r="O22" s="2830">
        <v>45455</v>
      </c>
      <c r="P22" s="4104" t="s">
        <v>8956</v>
      </c>
      <c r="Q22" s="2836" t="s">
        <v>75</v>
      </c>
      <c r="R22" s="4398" t="s">
        <v>8957</v>
      </c>
      <c r="S22" s="2837"/>
      <c r="T22" s="2838">
        <v>1080</v>
      </c>
      <c r="U22" s="2837">
        <v>687.75</v>
      </c>
      <c r="V22" s="2837">
        <v>1</v>
      </c>
      <c r="W22" s="2838">
        <f>表15_17[[#This Row],[Sales Amount]]-表15_17[[#This Row],[Cost]]</f>
        <v>392.25</v>
      </c>
      <c r="X22" s="2839">
        <f>表15_17[[#This Row],[Profit]]/表15_17[[#This Row],[Cost]]</f>
        <v>0.57033805888767719</v>
      </c>
      <c r="Y22" s="2837"/>
      <c r="Z22" s="2840"/>
    </row>
    <row r="23" spans="1:27" s="120" customFormat="1">
      <c r="A23" s="2832" t="s">
        <v>2966</v>
      </c>
      <c r="B23" t="s">
        <v>8958</v>
      </c>
      <c r="C23" s="4845" t="s">
        <v>28</v>
      </c>
      <c r="D23" s="2830">
        <v>45444</v>
      </c>
      <c r="E23" s="2017">
        <v>45451</v>
      </c>
      <c r="F23" s="2837" t="s">
        <v>45</v>
      </c>
      <c r="G23" s="4845" t="s">
        <v>302</v>
      </c>
      <c r="H23" s="2866" t="s">
        <v>162</v>
      </c>
      <c r="I23" s="5375" t="s">
        <v>162</v>
      </c>
      <c r="J23" s="2866" t="s">
        <v>162</v>
      </c>
      <c r="K23" s="4845" t="s">
        <v>8959</v>
      </c>
      <c r="L23" s="4392" t="s">
        <v>8960</v>
      </c>
      <c r="M23" s="2830">
        <v>45454</v>
      </c>
      <c r="N23" s="4906"/>
      <c r="O23" s="822">
        <v>45454</v>
      </c>
      <c r="P23" s="4141" t="s">
        <v>8961</v>
      </c>
      <c r="Q23" s="2852" t="s">
        <v>75</v>
      </c>
      <c r="R23" t="s">
        <v>8962</v>
      </c>
      <c r="S23" s="4399" t="s">
        <v>2373</v>
      </c>
      <c r="T23" s="2633"/>
      <c r="U23" s="2633"/>
      <c r="V23" s="2633"/>
      <c r="W23" s="2945">
        <f>表15_17[[#This Row],[Sales Amount]]-表15_17[[#This Row],[Cost]]</f>
        <v>0</v>
      </c>
      <c r="X23" s="2633" t="e">
        <f>表15_17[[#This Row],[Profit]]/表15_17[[#This Row],[Cost]]</f>
        <v>#DIV/0!</v>
      </c>
      <c r="Y23" s="2633"/>
      <c r="Z23" s="2948"/>
    </row>
    <row r="24" spans="1:27" s="660" customFormat="1" ht="135">
      <c r="A24" s="2826" t="s">
        <v>165</v>
      </c>
      <c r="B24" s="2827" t="s">
        <v>8963</v>
      </c>
      <c r="C24" s="4908" t="s">
        <v>28</v>
      </c>
      <c r="D24" s="4395">
        <v>45439</v>
      </c>
      <c r="E24" s="2017">
        <v>45451</v>
      </c>
      <c r="F24" s="4400" t="s">
        <v>167</v>
      </c>
      <c r="G24" s="4909" t="s">
        <v>8964</v>
      </c>
      <c r="H24" s="2856">
        <v>45455</v>
      </c>
      <c r="I24" s="2933" t="s">
        <v>3956</v>
      </c>
      <c r="J24" s="2866" t="s">
        <v>322</v>
      </c>
      <c r="K24" s="4908" t="s">
        <v>8965</v>
      </c>
      <c r="L24" s="2857" t="s">
        <v>8966</v>
      </c>
      <c r="M24" s="2856">
        <v>45454</v>
      </c>
      <c r="N24" s="2938">
        <v>45454</v>
      </c>
      <c r="O24" s="2823">
        <v>45455</v>
      </c>
      <c r="P24" s="4401" t="s">
        <v>8967</v>
      </c>
      <c r="Q24" s="2940" t="s">
        <v>75</v>
      </c>
      <c r="R24" s="4401" t="s">
        <v>8968</v>
      </c>
      <c r="S24" s="2827"/>
      <c r="T24" s="2943">
        <v>1560</v>
      </c>
      <c r="U24" s="2944">
        <v>1079.45</v>
      </c>
      <c r="V24" s="2827">
        <v>1</v>
      </c>
      <c r="W24" s="2943">
        <f>表15_17[[#This Row],[Sales Amount]]-表15_17[[#This Row],[Cost]]</f>
        <v>480.54999999999995</v>
      </c>
      <c r="X24" s="2946">
        <f>表15_17[[#This Row],[Profit]]/表15_17[[#This Row],[Cost]]</f>
        <v>0.44518041595256835</v>
      </c>
      <c r="Y24" s="2827"/>
      <c r="Z24" s="2947"/>
    </row>
    <row r="25" spans="1:27" s="93" customFormat="1" ht="45">
      <c r="A25" s="2832" t="s">
        <v>2489</v>
      </c>
      <c r="B25" s="4402" t="s">
        <v>8969</v>
      </c>
      <c r="C25" s="4921" t="s">
        <v>200</v>
      </c>
      <c r="D25" s="2830">
        <v>45451</v>
      </c>
      <c r="E25" s="2017">
        <v>45451</v>
      </c>
      <c r="F25" s="2854" t="s">
        <v>167</v>
      </c>
      <c r="G25" s="4837" t="s">
        <v>8970</v>
      </c>
      <c r="H25" s="2856">
        <v>45464</v>
      </c>
      <c r="I25" s="766" t="s">
        <v>178</v>
      </c>
      <c r="J25" s="5551" t="s">
        <v>8971</v>
      </c>
      <c r="K25" s="4838" t="s">
        <v>8972</v>
      </c>
      <c r="L25" s="2837"/>
      <c r="M25" s="4403" t="s">
        <v>8973</v>
      </c>
      <c r="N25" s="4403">
        <v>45463</v>
      </c>
      <c r="O25" s="2830">
        <v>45464</v>
      </c>
      <c r="P25" s="4104" t="s">
        <v>8974</v>
      </c>
      <c r="Q25" s="2836" t="s">
        <v>75</v>
      </c>
      <c r="R25" s="4150" t="s">
        <v>8975</v>
      </c>
      <c r="S25" s="2837"/>
      <c r="T25" s="2876">
        <v>800</v>
      </c>
      <c r="U25" s="2876">
        <v>524</v>
      </c>
      <c r="V25" s="2837">
        <v>1</v>
      </c>
      <c r="W25" s="2838">
        <f>表15_17[[#This Row],[Sales Amount]]-表15_17[[#This Row],[Cost]]</f>
        <v>276</v>
      </c>
      <c r="X25" s="2839">
        <f>表15_17[[#This Row],[Profit]]/表15_17[[#This Row],[Cost]]</f>
        <v>0.52671755725190839</v>
      </c>
      <c r="Y25" s="2837"/>
      <c r="Z25" s="2840"/>
    </row>
    <row r="26" spans="1:27" s="727" customFormat="1">
      <c r="A26" s="2885" t="s">
        <v>2396</v>
      </c>
      <c r="B26" s="2886" t="s">
        <v>8976</v>
      </c>
      <c r="C26" s="4913" t="s">
        <v>28</v>
      </c>
      <c r="D26" s="2900">
        <v>45452</v>
      </c>
      <c r="E26" s="2901">
        <v>45452</v>
      </c>
      <c r="F26" s="2902" t="s">
        <v>173</v>
      </c>
      <c r="G26" s="4913" t="s">
        <v>6204</v>
      </c>
      <c r="H26" s="2888">
        <v>45456</v>
      </c>
      <c r="I26" s="2886"/>
      <c r="J26" s="5326" t="s">
        <v>8977</v>
      </c>
      <c r="K26" s="4913" t="s">
        <v>8978</v>
      </c>
      <c r="L26" s="709"/>
      <c r="M26" s="2889">
        <v>45460</v>
      </c>
      <c r="N26" s="2889">
        <v>45456</v>
      </c>
      <c r="O26" s="2889">
        <v>45462</v>
      </c>
      <c r="P26" s="2863" t="s">
        <v>8979</v>
      </c>
      <c r="Q26" s="2853" t="s">
        <v>862</v>
      </c>
      <c r="R26" s="2638" t="s">
        <v>8980</v>
      </c>
      <c r="S26" s="2638"/>
      <c r="T26" s="2638">
        <v>760</v>
      </c>
      <c r="U26" s="2638">
        <v>465.5</v>
      </c>
      <c r="V26" s="2638"/>
      <c r="W26" s="2812">
        <f>表15_17[[#This Row],[Sales Amount]]-表15_17[[#This Row],[Cost]]</f>
        <v>294.5</v>
      </c>
      <c r="X26" s="2859">
        <f>表15_17[[#This Row],[Profit]]/表15_17[[#This Row],[Cost]]</f>
        <v>0.63265306122448983</v>
      </c>
      <c r="Y26" s="2638"/>
      <c r="Z26" s="2639"/>
    </row>
    <row r="27" spans="1:27" s="718" customFormat="1" ht="45">
      <c r="A27" s="2848" t="s">
        <v>409</v>
      </c>
      <c r="B27" s="4150" t="s">
        <v>8981</v>
      </c>
      <c r="C27" s="4908" t="s">
        <v>28</v>
      </c>
      <c r="D27" s="2830">
        <v>45434</v>
      </c>
      <c r="E27" s="2849">
        <v>45452</v>
      </c>
      <c r="F27" s="4392" t="s">
        <v>151</v>
      </c>
      <c r="G27" s="4908" t="s">
        <v>801</v>
      </c>
      <c r="H27" s="2851">
        <v>45456</v>
      </c>
      <c r="I27" s="2851" t="s">
        <v>618</v>
      </c>
      <c r="J27" s="5375" t="s">
        <v>322</v>
      </c>
      <c r="K27" s="4908" t="s">
        <v>8982</v>
      </c>
      <c r="L27" s="2858">
        <v>924845</v>
      </c>
      <c r="M27" s="2856">
        <v>45454</v>
      </c>
      <c r="N27" s="2856">
        <v>45454</v>
      </c>
      <c r="O27" s="2830">
        <v>45456</v>
      </c>
      <c r="P27" s="4393" t="s">
        <v>8983</v>
      </c>
      <c r="Q27" s="2836" t="s">
        <v>75</v>
      </c>
      <c r="R27" s="2854" t="s">
        <v>8984</v>
      </c>
      <c r="S27" s="2837"/>
      <c r="T27" s="2838">
        <v>1750</v>
      </c>
      <c r="U27" s="2878">
        <v>1340</v>
      </c>
      <c r="V27" s="2837">
        <v>1</v>
      </c>
      <c r="W27" s="2838">
        <f>表15_17[[#This Row],[Sales Amount]]-表15_17[[#This Row],[Cost]]</f>
        <v>410</v>
      </c>
      <c r="X27" s="2839">
        <f>表15_17[[#This Row],[Profit]]/表15_17[[#This Row],[Cost]]</f>
        <v>0.30597014925373134</v>
      </c>
      <c r="Y27" s="2837"/>
      <c r="Z27" s="2840"/>
    </row>
    <row r="28" spans="1:27" s="120" customFormat="1" ht="90">
      <c r="A28" s="2826" t="s">
        <v>3866</v>
      </c>
      <c r="B28" s="2861" t="s">
        <v>8985</v>
      </c>
      <c r="C28" s="4242" t="s">
        <v>28</v>
      </c>
      <c r="D28" s="4404">
        <v>45439</v>
      </c>
      <c r="E28" s="2815">
        <v>45452</v>
      </c>
      <c r="F28" s="4400" t="s">
        <v>45</v>
      </c>
      <c r="G28" s="4908" t="s">
        <v>947</v>
      </c>
      <c r="H28" s="2867">
        <v>45454</v>
      </c>
      <c r="I28" s="806" t="s">
        <v>8986</v>
      </c>
      <c r="J28" s="3462" t="s">
        <v>8987</v>
      </c>
      <c r="K28" s="4150" t="s">
        <v>8988</v>
      </c>
      <c r="L28" s="2845">
        <v>5510</v>
      </c>
      <c r="M28" s="2823">
        <v>45453</v>
      </c>
      <c r="N28" s="2823">
        <v>45453</v>
      </c>
      <c r="O28" s="2873">
        <v>45462</v>
      </c>
      <c r="P28" s="4405" t="s">
        <v>8989</v>
      </c>
      <c r="Q28" s="2763" t="s">
        <v>75</v>
      </c>
      <c r="R28" s="4405" t="s">
        <v>8990</v>
      </c>
      <c r="S28" s="2637"/>
      <c r="T28" s="2877">
        <v>1720</v>
      </c>
      <c r="U28" s="2637">
        <v>1410.06</v>
      </c>
      <c r="V28" s="2637">
        <v>1</v>
      </c>
      <c r="W28" s="2880">
        <f>表15_17[[#This Row],[Sales Amount]]-表15_17[[#This Row],[Cost]]</f>
        <v>309.94000000000005</v>
      </c>
      <c r="X28" s="2637">
        <f>表15_17[[#This Row],[Profit]]/表15_17[[#This Row],[Cost]]</f>
        <v>0.21980624937945908</v>
      </c>
      <c r="Y28" s="2637"/>
      <c r="Z28" s="2883"/>
    </row>
    <row r="29" spans="1:27" s="120" customFormat="1" ht="90">
      <c r="A29" s="5375" t="s">
        <v>165</v>
      </c>
      <c r="B29" s="4150" t="s">
        <v>8991</v>
      </c>
      <c r="C29" s="4908" t="s">
        <v>28</v>
      </c>
      <c r="D29" s="4961">
        <v>45439</v>
      </c>
      <c r="E29" s="4917">
        <v>45453</v>
      </c>
      <c r="F29" s="4908" t="s">
        <v>167</v>
      </c>
      <c r="G29" s="4951" t="s">
        <v>8964</v>
      </c>
      <c r="H29" s="4918">
        <v>45456</v>
      </c>
      <c r="I29" s="4929" t="s">
        <v>8992</v>
      </c>
      <c r="J29" s="5375" t="s">
        <v>322</v>
      </c>
      <c r="K29" s="4908" t="s">
        <v>8965</v>
      </c>
      <c r="L29" s="4929" t="s">
        <v>8993</v>
      </c>
      <c r="M29" s="4918">
        <v>45455</v>
      </c>
      <c r="N29" s="4918">
        <v>45455</v>
      </c>
      <c r="O29" s="4906">
        <v>45456</v>
      </c>
      <c r="P29" s="4909" t="s">
        <v>8994</v>
      </c>
      <c r="Q29" s="5065" t="s">
        <v>75</v>
      </c>
      <c r="R29" s="4104" t="s">
        <v>8995</v>
      </c>
      <c r="S29" s="4845"/>
      <c r="T29" s="5190">
        <v>1310</v>
      </c>
      <c r="U29" s="4845">
        <v>909.45</v>
      </c>
      <c r="V29" s="4845">
        <v>1</v>
      </c>
      <c r="W29" s="5190">
        <f>表15_17[[#This Row],[Sales Amount]]-表15_17[[#This Row],[Cost]]</f>
        <v>400.54999999999995</v>
      </c>
      <c r="X29" s="5060">
        <f>表15_17[[#This Row],[Profit]]/表15_17[[#This Row],[Cost]]</f>
        <v>0.44043102974325132</v>
      </c>
      <c r="Y29" s="4845"/>
      <c r="Z29" s="4845"/>
      <c r="AA29" s="2353"/>
    </row>
    <row r="30" spans="1:27" s="93" customFormat="1" ht="135">
      <c r="A30" s="5375" t="s">
        <v>165</v>
      </c>
      <c r="B30" s="4908" t="s">
        <v>8996</v>
      </c>
      <c r="C30" s="4908" t="s">
        <v>28</v>
      </c>
      <c r="D30" s="4906">
        <v>45439</v>
      </c>
      <c r="E30" s="2849">
        <v>45453</v>
      </c>
      <c r="F30" s="4908" t="s">
        <v>167</v>
      </c>
      <c r="G30" s="4947" t="s">
        <v>8964</v>
      </c>
      <c r="H30" s="4844">
        <v>45455</v>
      </c>
      <c r="I30" s="5059" t="s">
        <v>495</v>
      </c>
      <c r="J30" s="5375" t="s">
        <v>322</v>
      </c>
      <c r="K30" s="4929" t="s">
        <v>8965</v>
      </c>
      <c r="L30" s="4976" t="s">
        <v>8997</v>
      </c>
      <c r="M30" s="4918">
        <v>45455</v>
      </c>
      <c r="N30" s="4918">
        <v>45455</v>
      </c>
      <c r="O30" s="4906">
        <v>45456</v>
      </c>
      <c r="P30" s="4909" t="s">
        <v>8998</v>
      </c>
      <c r="Q30" s="5065" t="s">
        <v>75</v>
      </c>
      <c r="R30" s="4909" t="s">
        <v>8999</v>
      </c>
      <c r="S30" s="4845"/>
      <c r="T30" s="5190">
        <v>1385</v>
      </c>
      <c r="U30" s="4922">
        <v>869.45</v>
      </c>
      <c r="V30" s="4845">
        <v>1</v>
      </c>
      <c r="W30" s="5190">
        <f>表15_17[[#This Row],[Sales Amount]]-表15_17[[#This Row],[Cost]]</f>
        <v>515.54999999999995</v>
      </c>
      <c r="X30" s="5060">
        <f>表15_17[[#This Row],[Profit]]/表15_17[[#This Row],[Cost]]</f>
        <v>0.59296106734142262</v>
      </c>
      <c r="Y30" s="4845"/>
      <c r="Z30" s="4845"/>
      <c r="AA30" s="145"/>
    </row>
    <row r="31" spans="1:27" s="152" customFormat="1">
      <c r="A31" s="5326" t="s">
        <v>8244</v>
      </c>
      <c r="B31" s="709" t="s">
        <v>9000</v>
      </c>
      <c r="C31" s="4886" t="s">
        <v>44</v>
      </c>
      <c r="D31" s="4940">
        <v>45446</v>
      </c>
      <c r="E31" s="2901">
        <v>45454</v>
      </c>
      <c r="F31" s="4886" t="s">
        <v>98</v>
      </c>
      <c r="G31" s="4886" t="s">
        <v>46</v>
      </c>
      <c r="H31" s="5550"/>
      <c r="I31" s="4861"/>
      <c r="J31" s="5326" t="s">
        <v>32</v>
      </c>
      <c r="K31" s="4886" t="s">
        <v>47</v>
      </c>
      <c r="L31" s="4861" t="s">
        <v>9001</v>
      </c>
      <c r="M31" s="4903">
        <v>45456</v>
      </c>
      <c r="N31" s="4903">
        <v>45454</v>
      </c>
      <c r="O31" s="4903"/>
      <c r="P31" s="4871" t="s">
        <v>9002</v>
      </c>
      <c r="Q31" s="5510" t="s">
        <v>6852</v>
      </c>
      <c r="R31" s="4882" t="s">
        <v>51</v>
      </c>
      <c r="S31" s="4882"/>
      <c r="T31" s="4882"/>
      <c r="U31" s="4882"/>
      <c r="V31" s="4882"/>
      <c r="W31" s="5552">
        <f>表15_17[[#This Row],[Sales Amount]]-表15_17[[#This Row],[Cost]]</f>
        <v>0</v>
      </c>
      <c r="X31" s="4882" t="e">
        <f>表15_17[[#This Row],[Profit]]/表15_17[[#This Row],[Cost]]</f>
        <v>#DIV/0!</v>
      </c>
      <c r="Y31" s="4882"/>
      <c r="Z31" s="4882"/>
      <c r="AA31" s="2121"/>
    </row>
    <row r="32" spans="1:27" s="152" customFormat="1">
      <c r="A32" s="5326" t="s">
        <v>2396</v>
      </c>
      <c r="B32" s="4913" t="s">
        <v>9003</v>
      </c>
      <c r="C32" s="4861" t="s">
        <v>44</v>
      </c>
      <c r="D32" s="4940">
        <v>45452</v>
      </c>
      <c r="E32" s="5052">
        <v>45454</v>
      </c>
      <c r="F32" s="4861" t="s">
        <v>135</v>
      </c>
      <c r="G32" s="4861" t="s">
        <v>6204</v>
      </c>
      <c r="H32" s="5550">
        <v>45457</v>
      </c>
      <c r="I32" s="4861"/>
      <c r="J32" s="5326" t="s">
        <v>1478</v>
      </c>
      <c r="K32" s="4913" t="s">
        <v>8978</v>
      </c>
      <c r="L32" s="709"/>
      <c r="M32" s="4903">
        <v>45462</v>
      </c>
      <c r="N32" s="4903">
        <v>45457</v>
      </c>
      <c r="O32" s="4903">
        <v>45463</v>
      </c>
      <c r="P32" s="4892" t="s">
        <v>9004</v>
      </c>
      <c r="Q32" s="5553" t="s">
        <v>862</v>
      </c>
      <c r="R32" s="4873" t="s">
        <v>9005</v>
      </c>
      <c r="S32" s="4873"/>
      <c r="T32" s="4873">
        <v>785</v>
      </c>
      <c r="U32" s="4873">
        <v>565.5</v>
      </c>
      <c r="V32" s="4873"/>
      <c r="W32" s="5554">
        <f>表15_17[[#This Row],[Sales Amount]]-表15_17[[#This Row],[Cost]]</f>
        <v>219.5</v>
      </c>
      <c r="X32" s="4873">
        <f>表15_17[[#This Row],[Profit]]/表15_17[[#This Row],[Cost]]</f>
        <v>0.3881520778072502</v>
      </c>
      <c r="Y32" s="4873"/>
      <c r="Z32" s="4873"/>
      <c r="AA32" s="2121"/>
    </row>
    <row r="33" spans="1:27" s="152" customFormat="1" ht="75">
      <c r="A33" s="5471" t="s">
        <v>9006</v>
      </c>
      <c r="B33" s="4874" t="s">
        <v>9007</v>
      </c>
      <c r="C33" s="4874" t="s">
        <v>44</v>
      </c>
      <c r="D33" s="5498">
        <v>45454</v>
      </c>
      <c r="E33" s="5498">
        <v>45454</v>
      </c>
      <c r="F33" s="4874" t="s">
        <v>245</v>
      </c>
      <c r="G33" s="4874" t="s">
        <v>9008</v>
      </c>
      <c r="H33" s="5555" t="s">
        <v>9009</v>
      </c>
      <c r="I33" s="4874"/>
      <c r="J33" s="5556" t="s">
        <v>9010</v>
      </c>
      <c r="K33" s="4874" t="s">
        <v>9011</v>
      </c>
      <c r="L33" s="4874"/>
      <c r="M33" s="5024">
        <v>45471</v>
      </c>
      <c r="N33" s="5024"/>
      <c r="O33" s="5024"/>
      <c r="P33" s="5087" t="s">
        <v>9012</v>
      </c>
      <c r="Q33" s="5553" t="s">
        <v>6852</v>
      </c>
      <c r="R33" s="4873"/>
      <c r="S33" s="4873"/>
      <c r="T33" s="4873"/>
      <c r="U33" s="4873"/>
      <c r="V33" s="4873"/>
      <c r="W33" s="5554">
        <f>表15_17[[#This Row],[Sales Amount]]-表15_17[[#This Row],[Cost]]</f>
        <v>0</v>
      </c>
      <c r="X33" s="4873" t="e">
        <f>表15_17[[#This Row],[Profit]]/表15_17[[#This Row],[Cost]]</f>
        <v>#DIV/0!</v>
      </c>
      <c r="Y33" s="4873"/>
      <c r="Z33" s="4873"/>
      <c r="AA33" s="2121"/>
    </row>
    <row r="34" spans="1:27" s="152" customFormat="1" ht="30">
      <c r="A34" s="5375" t="s">
        <v>7362</v>
      </c>
      <c r="B34" s="4908" t="s">
        <v>9013</v>
      </c>
      <c r="C34" s="4845" t="s">
        <v>28</v>
      </c>
      <c r="D34" s="4906">
        <v>45447</v>
      </c>
      <c r="E34" s="4916">
        <v>45454</v>
      </c>
      <c r="F34" s="4845" t="s">
        <v>93</v>
      </c>
      <c r="G34" s="4845" t="s">
        <v>302</v>
      </c>
      <c r="H34" s="4918">
        <v>45457</v>
      </c>
      <c r="I34" s="4929" t="s">
        <v>618</v>
      </c>
      <c r="J34" s="5375" t="s">
        <v>1028</v>
      </c>
      <c r="K34" s="4845" t="s">
        <v>5663</v>
      </c>
      <c r="L34" s="4929" t="s">
        <v>9014</v>
      </c>
      <c r="M34" s="4906">
        <v>45457</v>
      </c>
      <c r="N34" s="4906">
        <v>45456</v>
      </c>
      <c r="O34" s="4916">
        <v>45457</v>
      </c>
      <c r="P34" s="4909" t="s">
        <v>9015</v>
      </c>
      <c r="Q34" s="5065" t="s">
        <v>75</v>
      </c>
      <c r="R34" s="5557" t="s">
        <v>9016</v>
      </c>
      <c r="S34" s="4845"/>
      <c r="T34" s="5190">
        <v>1565</v>
      </c>
      <c r="U34" s="5190">
        <v>1038.6300000000001</v>
      </c>
      <c r="V34" s="4845">
        <v>1</v>
      </c>
      <c r="W34" s="5190">
        <f>表15_17[[#This Row],[Sales Amount]]-表15_17[[#This Row],[Cost]]</f>
        <v>526.36999999999989</v>
      </c>
      <c r="X34" s="5060">
        <f>表15_17[[#This Row],[Profit]]/表15_17[[#This Row],[Cost]]</f>
        <v>0.5067926017927461</v>
      </c>
      <c r="Y34" s="4908" t="s">
        <v>5640</v>
      </c>
      <c r="Z34" s="4845"/>
      <c r="AA34" s="2121"/>
    </row>
    <row r="35" spans="1:27" s="727" customFormat="1" ht="30">
      <c r="A35" s="5375" t="s">
        <v>7362</v>
      </c>
      <c r="B35" s="1617" t="s">
        <v>9017</v>
      </c>
      <c r="C35" s="4938" t="s">
        <v>28</v>
      </c>
      <c r="D35" s="5318">
        <v>45447</v>
      </c>
      <c r="E35" s="4917">
        <v>45454</v>
      </c>
      <c r="F35" s="4938" t="s">
        <v>2225</v>
      </c>
      <c r="G35" s="4938" t="s">
        <v>57</v>
      </c>
      <c r="H35" s="4844">
        <v>45456</v>
      </c>
      <c r="I35" s="5301" t="s">
        <v>178</v>
      </c>
      <c r="J35" s="5375" t="s">
        <v>1028</v>
      </c>
      <c r="K35" s="4921" t="s">
        <v>5663</v>
      </c>
      <c r="L35" s="5558" t="s">
        <v>9018</v>
      </c>
      <c r="M35" s="4906">
        <v>45456</v>
      </c>
      <c r="N35" s="4906">
        <v>45456</v>
      </c>
      <c r="O35" s="4906">
        <v>45456</v>
      </c>
      <c r="P35" s="4909" t="s">
        <v>9019</v>
      </c>
      <c r="Q35" s="5065" t="s">
        <v>75</v>
      </c>
      <c r="R35" s="4908" t="s">
        <v>9020</v>
      </c>
      <c r="S35" s="4845"/>
      <c r="T35" s="4845">
        <v>971.25</v>
      </c>
      <c r="U35" s="4845">
        <v>863.63</v>
      </c>
      <c r="V35" s="4845">
        <v>1</v>
      </c>
      <c r="W35" s="5190">
        <f>表15_17[[#This Row],[Sales Amount]]-表15_17[[#This Row],[Cost]]</f>
        <v>107.62</v>
      </c>
      <c r="X35" s="5060">
        <f>表15_17[[#This Row],[Profit]]/表15_17[[#This Row],[Cost]]</f>
        <v>0.12461354978405105</v>
      </c>
      <c r="Y35" s="4845"/>
      <c r="Z35" s="4845"/>
      <c r="AA35" s="2346"/>
    </row>
    <row r="36" spans="1:27" s="660" customFormat="1">
      <c r="A36" s="5375" t="s">
        <v>409</v>
      </c>
      <c r="B36" s="1382" t="s">
        <v>9021</v>
      </c>
      <c r="C36" s="4845" t="s">
        <v>28</v>
      </c>
      <c r="D36" s="4906">
        <v>45446</v>
      </c>
      <c r="E36" s="4916">
        <v>45454</v>
      </c>
      <c r="F36" s="4845" t="s">
        <v>167</v>
      </c>
      <c r="G36" s="117" t="s">
        <v>302</v>
      </c>
      <c r="H36" s="4844">
        <v>45457</v>
      </c>
      <c r="I36" s="4845" t="s">
        <v>9022</v>
      </c>
      <c r="J36" s="5375" t="s">
        <v>32</v>
      </c>
      <c r="K36" s="117" t="s">
        <v>8879</v>
      </c>
      <c r="L36" s="4929" t="s">
        <v>9023</v>
      </c>
      <c r="M36" s="4918">
        <v>45457</v>
      </c>
      <c r="N36" s="4918">
        <v>45457</v>
      </c>
      <c r="O36" s="822">
        <v>45457</v>
      </c>
      <c r="P36" s="4947" t="s">
        <v>9024</v>
      </c>
      <c r="Q36" s="5065" t="s">
        <v>75</v>
      </c>
      <c r="R36" s="4150" t="s">
        <v>9025</v>
      </c>
      <c r="S36" s="4845"/>
      <c r="T36" s="4845">
        <v>910</v>
      </c>
      <c r="U36" s="4922">
        <v>730</v>
      </c>
      <c r="V36" s="4845">
        <v>1</v>
      </c>
      <c r="W36" s="5190">
        <f>表15_17[[#This Row],[Sales Amount]]-表15_17[[#This Row],[Cost]]</f>
        <v>180</v>
      </c>
      <c r="X36" s="5060">
        <f>表15_17[[#This Row],[Profit]]/表15_17[[#This Row],[Cost]]</f>
        <v>0.24657534246575341</v>
      </c>
      <c r="Y36" s="4845"/>
      <c r="Z36" s="4845"/>
      <c r="AA36" s="1723"/>
    </row>
    <row r="37" spans="1:27" s="660" customFormat="1" ht="30">
      <c r="A37" s="5243" t="s">
        <v>409</v>
      </c>
      <c r="B37" s="4928" t="s">
        <v>9026</v>
      </c>
      <c r="C37" s="4908" t="s">
        <v>28</v>
      </c>
      <c r="D37" s="4906">
        <v>45440</v>
      </c>
      <c r="E37" s="4916">
        <v>45454</v>
      </c>
      <c r="F37" s="4908" t="s">
        <v>167</v>
      </c>
      <c r="G37" s="4908" t="s">
        <v>302</v>
      </c>
      <c r="H37" s="2865">
        <v>45460</v>
      </c>
      <c r="I37" s="2827" t="s">
        <v>9022</v>
      </c>
      <c r="J37" s="5375" t="s">
        <v>32</v>
      </c>
      <c r="K37" s="4908" t="s">
        <v>8879</v>
      </c>
      <c r="L37" s="766" t="s">
        <v>9027</v>
      </c>
      <c r="M37" s="4844">
        <v>45458</v>
      </c>
      <c r="N37" s="4906">
        <v>45459</v>
      </c>
      <c r="O37" s="3262">
        <v>45460</v>
      </c>
      <c r="P37" s="4909" t="s">
        <v>9028</v>
      </c>
      <c r="Q37" s="5065" t="s">
        <v>75</v>
      </c>
      <c r="R37" s="4150" t="s">
        <v>9029</v>
      </c>
      <c r="S37" s="4845"/>
      <c r="T37" s="5190">
        <v>1110</v>
      </c>
      <c r="U37" s="4845">
        <v>850</v>
      </c>
      <c r="V37" s="4845">
        <v>1</v>
      </c>
      <c r="W37" s="5190">
        <f>表15_17[[#This Row],[Sales Amount]]-表15_17[[#This Row],[Cost]]</f>
        <v>260</v>
      </c>
      <c r="X37" s="5060">
        <f>表15_17[[#This Row],[Profit]]/表15_17[[#This Row],[Cost]]</f>
        <v>0.30588235294117649</v>
      </c>
      <c r="Y37" s="4845"/>
      <c r="Z37" s="4845"/>
      <c r="AA37" s="1723"/>
    </row>
    <row r="38" spans="1:27" s="660" customFormat="1">
      <c r="A38" s="4902" t="s">
        <v>8244</v>
      </c>
      <c r="B38" s="4886" t="s">
        <v>9030</v>
      </c>
      <c r="C38" s="4886" t="s">
        <v>28</v>
      </c>
      <c r="D38" s="4940">
        <v>45446</v>
      </c>
      <c r="E38" s="5052">
        <v>45454</v>
      </c>
      <c r="F38" s="4886" t="s">
        <v>98</v>
      </c>
      <c r="G38" s="4886" t="s">
        <v>46</v>
      </c>
      <c r="H38" s="2888"/>
      <c r="I38" s="2886"/>
      <c r="J38" s="5326" t="s">
        <v>168</v>
      </c>
      <c r="K38" s="4886" t="s">
        <v>47</v>
      </c>
      <c r="L38" s="4861" t="s">
        <v>9031</v>
      </c>
      <c r="M38" s="4903">
        <v>45456</v>
      </c>
      <c r="N38" s="4903">
        <v>45454</v>
      </c>
      <c r="O38" s="4903">
        <v>45456</v>
      </c>
      <c r="P38" s="4871" t="s">
        <v>9032</v>
      </c>
      <c r="Q38" s="5510" t="s">
        <v>6852</v>
      </c>
      <c r="R38" s="4882" t="s">
        <v>51</v>
      </c>
      <c r="S38" s="4882"/>
      <c r="T38" s="4882"/>
      <c r="U38" s="4882"/>
      <c r="V38" s="4882"/>
      <c r="W38" s="5552">
        <f>表15_17[[#This Row],[Sales Amount]]-表15_17[[#This Row],[Cost]]</f>
        <v>0</v>
      </c>
      <c r="X38" s="4882" t="e">
        <f>表15_17[[#This Row],[Profit]]/表15_17[[#This Row],[Cost]]</f>
        <v>#DIV/0!</v>
      </c>
      <c r="Y38" s="4882"/>
      <c r="Z38" s="4882"/>
      <c r="AA38" s="1723"/>
    </row>
    <row r="39" spans="1:27" s="93" customFormat="1" ht="30">
      <c r="A39" s="5375" t="s">
        <v>409</v>
      </c>
      <c r="B39" s="1382" t="s">
        <v>9033</v>
      </c>
      <c r="C39" s="4845" t="s">
        <v>28</v>
      </c>
      <c r="D39" s="4906">
        <v>45447</v>
      </c>
      <c r="E39" s="4916">
        <v>45454</v>
      </c>
      <c r="F39" s="4908" t="s">
        <v>2225</v>
      </c>
      <c r="G39" s="4908" t="s">
        <v>57</v>
      </c>
      <c r="H39" s="4844">
        <v>45460</v>
      </c>
      <c r="I39" s="4845" t="s">
        <v>9022</v>
      </c>
      <c r="J39" s="5375" t="s">
        <v>32</v>
      </c>
      <c r="K39" s="4845" t="s">
        <v>8879</v>
      </c>
      <c r="L39" s="2936" t="s">
        <v>9034</v>
      </c>
      <c r="M39" s="4906">
        <v>45456</v>
      </c>
      <c r="N39" s="4906">
        <v>45456</v>
      </c>
      <c r="O39" s="4906">
        <v>45460</v>
      </c>
      <c r="P39" s="4909" t="s">
        <v>9035</v>
      </c>
      <c r="Q39" s="5065" t="s">
        <v>75</v>
      </c>
      <c r="R39" s="4908" t="s">
        <v>9036</v>
      </c>
      <c r="S39" s="4845"/>
      <c r="T39" s="5190">
        <v>1380</v>
      </c>
      <c r="U39" s="5190">
        <v>1075</v>
      </c>
      <c r="V39" s="4845">
        <v>1</v>
      </c>
      <c r="W39" s="5190">
        <f>表15_17[[#This Row],[Sales Amount]]-表15_17[[#This Row],[Cost]]</f>
        <v>305</v>
      </c>
      <c r="X39" s="5060">
        <f>表15_17[[#This Row],[Profit]]/表15_17[[#This Row],[Cost]]</f>
        <v>0.28372093023255812</v>
      </c>
      <c r="Y39" s="4845"/>
      <c r="Z39" s="4845"/>
      <c r="AA39" s="145"/>
    </row>
    <row r="40" spans="1:27" s="117" customFormat="1">
      <c r="A40" s="5326" t="s">
        <v>8244</v>
      </c>
      <c r="B40" s="709" t="s">
        <v>9037</v>
      </c>
      <c r="C40" s="4861" t="s">
        <v>28</v>
      </c>
      <c r="D40" s="4940">
        <v>45446</v>
      </c>
      <c r="E40" s="5052">
        <v>45454</v>
      </c>
      <c r="F40" s="4861" t="s">
        <v>98</v>
      </c>
      <c r="G40" s="709" t="s">
        <v>46</v>
      </c>
      <c r="H40" s="5550"/>
      <c r="I40" s="4861"/>
      <c r="J40" s="5326" t="s">
        <v>32</v>
      </c>
      <c r="K40" s="709" t="s">
        <v>47</v>
      </c>
      <c r="L40" s="4861" t="s">
        <v>9038</v>
      </c>
      <c r="M40" s="4903">
        <v>45456</v>
      </c>
      <c r="N40" s="4903">
        <v>45454</v>
      </c>
      <c r="O40" s="4903">
        <v>45456</v>
      </c>
      <c r="P40" s="1019" t="s">
        <v>9039</v>
      </c>
      <c r="Q40" s="5510" t="s">
        <v>6852</v>
      </c>
      <c r="R40" s="707" t="s">
        <v>51</v>
      </c>
      <c r="S40" s="4882"/>
      <c r="T40" s="4882"/>
      <c r="U40" s="4882"/>
      <c r="V40" s="2879"/>
      <c r="W40" s="5552">
        <f>表15_17[[#This Row],[Sales Amount]]-表15_17[[#This Row],[Cost]]</f>
        <v>0</v>
      </c>
      <c r="X40" s="4882" t="e">
        <f>表15_17[[#This Row],[Profit]]/表15_17[[#This Row],[Cost]]</f>
        <v>#DIV/0!</v>
      </c>
      <c r="Y40" s="4882"/>
      <c r="Z40" s="4882"/>
    </row>
    <row r="41" spans="1:27" s="709" customFormat="1" ht="75">
      <c r="A41" s="5375" t="s">
        <v>622</v>
      </c>
      <c r="B41" s="4908" t="s">
        <v>9040</v>
      </c>
      <c r="C41" s="4845" t="s">
        <v>28</v>
      </c>
      <c r="D41" s="4961">
        <v>45445</v>
      </c>
      <c r="E41" s="4916">
        <v>45454</v>
      </c>
      <c r="F41" s="4908" t="s">
        <v>29</v>
      </c>
      <c r="G41" s="4908" t="s">
        <v>57</v>
      </c>
      <c r="H41" s="4918">
        <v>45456</v>
      </c>
      <c r="I41" s="4929" t="s">
        <v>926</v>
      </c>
      <c r="J41" s="5375" t="s">
        <v>32</v>
      </c>
      <c r="K41" s="4915" t="s">
        <v>1445</v>
      </c>
      <c r="L41" s="4909" t="s">
        <v>9041</v>
      </c>
      <c r="M41" s="4906">
        <v>45456</v>
      </c>
      <c r="N41" s="4906">
        <v>45456</v>
      </c>
      <c r="O41" s="4906">
        <v>45456</v>
      </c>
      <c r="P41" s="4909" t="s">
        <v>9042</v>
      </c>
      <c r="Q41" s="5065" t="s">
        <v>75</v>
      </c>
      <c r="R41" s="4845" t="s">
        <v>9043</v>
      </c>
      <c r="S41" s="4845" t="s">
        <v>67</v>
      </c>
      <c r="T41" s="4845">
        <v>5325</v>
      </c>
      <c r="U41" s="4845">
        <f>4400+90+550</f>
        <v>5040</v>
      </c>
      <c r="V41" s="4845">
        <v>1</v>
      </c>
      <c r="W41" s="5190">
        <f>表15_17[[#This Row],[Sales Amount]]-表15_17[[#This Row],[Cost]]</f>
        <v>285</v>
      </c>
      <c r="X41" s="5060">
        <f>表15_17[[#This Row],[Profit]]/表15_17[[#This Row],[Cost]]</f>
        <v>5.6547619047619048E-2</v>
      </c>
      <c r="Y41" s="4845"/>
      <c r="Z41" s="4845"/>
    </row>
    <row r="42" spans="1:27" s="117" customFormat="1">
      <c r="A42" s="5471" t="s">
        <v>4815</v>
      </c>
      <c r="B42" s="5559" t="s">
        <v>9044</v>
      </c>
      <c r="C42" s="4874" t="s">
        <v>28</v>
      </c>
      <c r="D42" s="5498">
        <v>45444</v>
      </c>
      <c r="E42" s="5499">
        <v>45454</v>
      </c>
      <c r="F42" s="4874" t="s">
        <v>151</v>
      </c>
      <c r="G42" s="3075" t="s">
        <v>46</v>
      </c>
      <c r="H42" s="5548"/>
      <c r="I42" s="4874"/>
      <c r="J42" s="5471" t="s">
        <v>32</v>
      </c>
      <c r="K42" s="4874" t="s">
        <v>47</v>
      </c>
      <c r="L42" s="4874" t="s">
        <v>9045</v>
      </c>
      <c r="M42" s="5024"/>
      <c r="N42" s="5024">
        <v>45453</v>
      </c>
      <c r="O42" s="5024">
        <v>45456</v>
      </c>
      <c r="P42" s="5087" t="s">
        <v>9046</v>
      </c>
      <c r="Q42" s="5553" t="s">
        <v>6852</v>
      </c>
      <c r="R42" s="4873" t="s">
        <v>51</v>
      </c>
      <c r="S42" s="4873"/>
      <c r="T42" s="4873">
        <v>4140</v>
      </c>
      <c r="U42" s="4873"/>
      <c r="V42" s="4873"/>
      <c r="W42" s="5554">
        <f>表15_17[[#This Row],[Sales Amount]]-表15_17[[#This Row],[Cost]]</f>
        <v>4140</v>
      </c>
      <c r="X42" s="4873" t="e">
        <f>表15_17[[#This Row],[Profit]]/表15_17[[#This Row],[Cost]]</f>
        <v>#DIV/0!</v>
      </c>
      <c r="Y42" s="4873"/>
      <c r="Z42" s="4873"/>
    </row>
    <row r="43" spans="1:27" ht="17.25">
      <c r="A43" s="5326" t="s">
        <v>4321</v>
      </c>
      <c r="B43" s="4861" t="s">
        <v>9047</v>
      </c>
      <c r="C43" s="4861" t="s">
        <v>28</v>
      </c>
      <c r="D43" s="4940">
        <v>45445</v>
      </c>
      <c r="E43" s="5052">
        <v>45454</v>
      </c>
      <c r="F43" s="4861" t="s">
        <v>56</v>
      </c>
      <c r="G43" s="4861" t="s">
        <v>829</v>
      </c>
      <c r="H43" s="2929"/>
      <c r="I43" s="709"/>
      <c r="J43" s="2348" t="s">
        <v>168</v>
      </c>
      <c r="K43" s="4861" t="s">
        <v>47</v>
      </c>
      <c r="L43" s="5117" t="s">
        <v>9048</v>
      </c>
      <c r="M43" s="4903">
        <v>45456</v>
      </c>
      <c r="N43" s="4903">
        <v>45456</v>
      </c>
      <c r="O43" s="4903">
        <v>45458</v>
      </c>
      <c r="P43" s="4871" t="s">
        <v>9049</v>
      </c>
      <c r="Q43" s="5510" t="s">
        <v>6852</v>
      </c>
      <c r="R43" s="4882" t="s">
        <v>36</v>
      </c>
      <c r="S43" s="4882"/>
      <c r="T43" s="4882"/>
      <c r="U43" s="4882"/>
      <c r="V43" s="4882"/>
      <c r="W43" s="5552">
        <f>表15_17[[#This Row],[Sales Amount]]-表15_17[[#This Row],[Cost]]</f>
        <v>0</v>
      </c>
      <c r="X43" s="4882" t="e">
        <f>表15_17[[#This Row],[Profit]]/表15_17[[#This Row],[Cost]]</f>
        <v>#DIV/0!</v>
      </c>
      <c r="Y43" s="4882"/>
      <c r="Z43" s="4882"/>
    </row>
    <row r="44" spans="1:27" s="117" customFormat="1">
      <c r="A44" s="5326" t="s">
        <v>3866</v>
      </c>
      <c r="B44" s="5326" t="s">
        <v>9050</v>
      </c>
      <c r="C44" s="4839" t="s">
        <v>28</v>
      </c>
      <c r="D44" s="4940">
        <v>45453</v>
      </c>
      <c r="E44" s="5560">
        <v>45455</v>
      </c>
      <c r="F44" s="4839" t="s">
        <v>285</v>
      </c>
      <c r="G44" s="4839" t="s">
        <v>46</v>
      </c>
      <c r="H44" s="5550"/>
      <c r="I44" s="4861"/>
      <c r="J44" s="2348" t="s">
        <v>32</v>
      </c>
      <c r="K44" s="709" t="s">
        <v>47</v>
      </c>
      <c r="L44" s="5561" t="s">
        <v>9051</v>
      </c>
      <c r="M44" s="4903">
        <v>45457</v>
      </c>
      <c r="N44" s="4903">
        <v>45457</v>
      </c>
      <c r="O44" s="4903"/>
      <c r="P44" s="4871" t="s">
        <v>9052</v>
      </c>
      <c r="Q44" s="5128" t="s">
        <v>6852</v>
      </c>
      <c r="R44" s="4882" t="s">
        <v>51</v>
      </c>
      <c r="S44" s="4882"/>
      <c r="T44" s="4882"/>
      <c r="U44" s="4882"/>
      <c r="V44" s="2879"/>
      <c r="W44" s="5552">
        <f>表15_17[[#This Row],[Sales Amount]]-表15_17[[#This Row],[Cost]]</f>
        <v>0</v>
      </c>
      <c r="X44" s="4882" t="e">
        <f>表15_17[[#This Row],[Profit]]/表15_17[[#This Row],[Cost]]</f>
        <v>#DIV/0!</v>
      </c>
      <c r="Y44" s="4882"/>
      <c r="Z44" s="4882"/>
    </row>
    <row r="45" spans="1:27" s="709" customFormat="1">
      <c r="A45" s="5326" t="s">
        <v>409</v>
      </c>
      <c r="B45" s="4861" t="s">
        <v>9053</v>
      </c>
      <c r="C45" s="4861" t="s">
        <v>44</v>
      </c>
      <c r="D45" s="4940">
        <v>45446</v>
      </c>
      <c r="E45" s="5560">
        <v>45455</v>
      </c>
      <c r="F45" s="4861" t="s">
        <v>260</v>
      </c>
      <c r="G45" s="4861" t="s">
        <v>46</v>
      </c>
      <c r="H45" s="5550"/>
      <c r="I45" s="4861"/>
      <c r="J45" s="4861" t="s">
        <v>32</v>
      </c>
      <c r="K45" s="4861" t="s">
        <v>47</v>
      </c>
      <c r="L45" s="5561" t="s">
        <v>9054</v>
      </c>
      <c r="M45" s="4903">
        <v>45456</v>
      </c>
      <c r="N45" s="4903">
        <v>45455</v>
      </c>
      <c r="O45" s="4903">
        <v>45460</v>
      </c>
      <c r="P45" s="4871" t="s">
        <v>9055</v>
      </c>
      <c r="Q45" s="5510" t="s">
        <v>6852</v>
      </c>
      <c r="R45" s="4882" t="s">
        <v>51</v>
      </c>
      <c r="S45" s="4882"/>
      <c r="T45" s="4882"/>
      <c r="U45" s="4882"/>
      <c r="V45" s="4882"/>
      <c r="W45" s="5552">
        <f>表15_17[[#This Row],[Sales Amount]]-表15_17[[#This Row],[Cost]]</f>
        <v>0</v>
      </c>
      <c r="X45" s="4882" t="e">
        <f>表15_17[[#This Row],[Profit]]/表15_17[[#This Row],[Cost]]</f>
        <v>#DIV/0!</v>
      </c>
      <c r="Y45" s="4882"/>
      <c r="Z45" s="4882"/>
    </row>
    <row r="46" spans="1:27" s="709" customFormat="1">
      <c r="A46" s="5375" t="s">
        <v>2966</v>
      </c>
      <c r="B46" s="4837" t="s">
        <v>9056</v>
      </c>
      <c r="C46" s="4845" t="s">
        <v>28</v>
      </c>
      <c r="D46" s="4906">
        <v>45450</v>
      </c>
      <c r="E46" s="4916">
        <v>45455</v>
      </c>
      <c r="F46" s="4845" t="s">
        <v>45</v>
      </c>
      <c r="G46" s="4845" t="s">
        <v>302</v>
      </c>
      <c r="H46" s="5375" t="s">
        <v>162</v>
      </c>
      <c r="I46" s="5375" t="s">
        <v>162</v>
      </c>
      <c r="J46" s="5375" t="s">
        <v>162</v>
      </c>
      <c r="K46" s="4845" t="s">
        <v>8959</v>
      </c>
      <c r="L46" s="4837" t="s">
        <v>9057</v>
      </c>
      <c r="M46" s="4916">
        <v>45460</v>
      </c>
      <c r="N46" s="4982"/>
      <c r="O46" s="4982">
        <v>45461</v>
      </c>
      <c r="P46" s="4930" t="s">
        <v>9058</v>
      </c>
      <c r="Q46" s="5065" t="s">
        <v>75</v>
      </c>
      <c r="R46" s="4892" t="s">
        <v>9059</v>
      </c>
      <c r="S46" s="4930" t="s">
        <v>2373</v>
      </c>
      <c r="T46" s="4934"/>
      <c r="U46" s="4934"/>
      <c r="V46" s="4934"/>
      <c r="W46" s="5562">
        <f>表15_17[[#This Row],[Sales Amount]]-表15_17[[#This Row],[Cost]]</f>
        <v>0</v>
      </c>
      <c r="X46" s="4934" t="e">
        <f>表15_17[[#This Row],[Profit]]/表15_17[[#This Row],[Cost]]</f>
        <v>#DIV/0!</v>
      </c>
      <c r="Y46" s="4934"/>
      <c r="Z46" s="4934"/>
    </row>
    <row r="47" spans="1:27">
      <c r="A47" s="5326" t="s">
        <v>2396</v>
      </c>
      <c r="B47" s="4861" t="s">
        <v>9060</v>
      </c>
      <c r="C47" s="4861" t="s">
        <v>44</v>
      </c>
      <c r="D47" s="4940">
        <v>45452</v>
      </c>
      <c r="E47" s="5052">
        <v>45455</v>
      </c>
      <c r="F47" s="4861" t="s">
        <v>151</v>
      </c>
      <c r="G47" s="4913" t="s">
        <v>6204</v>
      </c>
      <c r="H47" s="5550">
        <v>45457</v>
      </c>
      <c r="I47" s="4861"/>
      <c r="J47" s="5326" t="s">
        <v>1478</v>
      </c>
      <c r="K47" s="4861" t="s">
        <v>8978</v>
      </c>
      <c r="L47" s="4861"/>
      <c r="M47" s="4903">
        <v>45462</v>
      </c>
      <c r="N47" s="4903">
        <v>45457</v>
      </c>
      <c r="O47" s="4903">
        <v>45461</v>
      </c>
      <c r="P47" s="4892" t="s">
        <v>9061</v>
      </c>
      <c r="Q47" s="5553" t="s">
        <v>862</v>
      </c>
      <c r="R47" s="4873" t="s">
        <v>9062</v>
      </c>
      <c r="S47" s="4873"/>
      <c r="T47" s="4873">
        <v>695</v>
      </c>
      <c r="U47" s="4873">
        <v>485.5</v>
      </c>
      <c r="V47" s="4873"/>
      <c r="W47" s="5554">
        <f>表15_17[[#This Row],[Sales Amount]]-表15_17[[#This Row],[Cost]]</f>
        <v>209.5</v>
      </c>
      <c r="X47" s="4873">
        <f>表15_17[[#This Row],[Profit]]/表15_17[[#This Row],[Cost]]</f>
        <v>0.43151390319258498</v>
      </c>
      <c r="Y47" s="4873"/>
      <c r="Z47" s="4873"/>
    </row>
    <row r="48" spans="1:27" s="117" customFormat="1" ht="45">
      <c r="A48" s="5243" t="s">
        <v>7362</v>
      </c>
      <c r="B48" s="4970" t="s">
        <v>9063</v>
      </c>
      <c r="C48" s="4908" t="s">
        <v>28</v>
      </c>
      <c r="D48" s="4961">
        <v>45445</v>
      </c>
      <c r="E48" s="4916">
        <v>45455</v>
      </c>
      <c r="F48" s="4908" t="s">
        <v>29</v>
      </c>
      <c r="G48" s="4908" t="s">
        <v>8713</v>
      </c>
      <c r="H48" s="4917">
        <v>45457</v>
      </c>
      <c r="I48" s="4917" t="s">
        <v>790</v>
      </c>
      <c r="J48" s="5375" t="s">
        <v>1028</v>
      </c>
      <c r="K48" s="3" t="s">
        <v>5663</v>
      </c>
      <c r="L48" s="5059">
        <v>700423</v>
      </c>
      <c r="M48" s="4906">
        <v>45457</v>
      </c>
      <c r="N48" s="4906">
        <v>45456</v>
      </c>
      <c r="O48" s="4906">
        <v>45457</v>
      </c>
      <c r="P48" s="4989" t="s">
        <v>9064</v>
      </c>
      <c r="Q48" s="5065" t="s">
        <v>75</v>
      </c>
      <c r="R48" s="4909" t="s">
        <v>9065</v>
      </c>
      <c r="S48" s="4845"/>
      <c r="T48" s="5190">
        <v>1365</v>
      </c>
      <c r="U48" s="5190">
        <v>1063.6300000000001</v>
      </c>
      <c r="V48" s="2827">
        <v>1</v>
      </c>
      <c r="W48" s="5190">
        <f>表15_17[[#This Row],[Sales Amount]]-表15_17[[#This Row],[Cost]]</f>
        <v>301.36999999999989</v>
      </c>
      <c r="X48" s="5060">
        <f>表15_17[[#This Row],[Profit]]/表15_17[[#This Row],[Cost]]</f>
        <v>0.28334101144194868</v>
      </c>
      <c r="Y48" s="4845"/>
      <c r="Z48" s="4845"/>
    </row>
    <row r="49" spans="1:27" ht="30">
      <c r="A49" s="5243" t="s">
        <v>7362</v>
      </c>
      <c r="B49" s="4908" t="s">
        <v>9066</v>
      </c>
      <c r="C49" s="4908" t="s">
        <v>28</v>
      </c>
      <c r="D49" s="4906">
        <v>45445</v>
      </c>
      <c r="E49" s="4916">
        <v>45455</v>
      </c>
      <c r="F49" s="4908" t="s">
        <v>29</v>
      </c>
      <c r="G49" s="4908" t="s">
        <v>8713</v>
      </c>
      <c r="H49" s="4917">
        <v>45460</v>
      </c>
      <c r="I49" s="4917" t="s">
        <v>618</v>
      </c>
      <c r="J49" s="5375" t="s">
        <v>1028</v>
      </c>
      <c r="K49" s="4908" t="s">
        <v>5663</v>
      </c>
      <c r="L49" s="5059">
        <v>975545</v>
      </c>
      <c r="M49" s="4906">
        <v>45457</v>
      </c>
      <c r="N49" s="4906">
        <v>45457</v>
      </c>
      <c r="O49" s="4906">
        <v>45461</v>
      </c>
      <c r="P49" s="4909" t="s">
        <v>9067</v>
      </c>
      <c r="Q49" s="5065" t="s">
        <v>75</v>
      </c>
      <c r="R49" s="5045" t="s">
        <v>9068</v>
      </c>
      <c r="S49" s="4845"/>
      <c r="T49" s="5190">
        <v>1595</v>
      </c>
      <c r="U49" s="5190">
        <v>1293.6300000000001</v>
      </c>
      <c r="V49" s="4845">
        <v>1</v>
      </c>
      <c r="W49" s="5190">
        <f>表15_17[[#This Row],[Sales Amount]]-表15_17[[#This Row],[Cost]]</f>
        <v>301.36999999999989</v>
      </c>
      <c r="X49" s="5060">
        <f>表15_17[[#This Row],[Profit]]/表15_17[[#This Row],[Cost]]</f>
        <v>0.23296460348012946</v>
      </c>
      <c r="Y49" s="4845"/>
      <c r="Z49" s="4845"/>
    </row>
    <row r="50" spans="1:27" s="2843" customFormat="1">
      <c r="A50" s="5326" t="s">
        <v>2396</v>
      </c>
      <c r="B50" s="650" t="s">
        <v>9069</v>
      </c>
      <c r="C50" s="4861" t="s">
        <v>44</v>
      </c>
      <c r="D50" s="4940">
        <v>45452</v>
      </c>
      <c r="E50" s="5052">
        <v>45455</v>
      </c>
      <c r="F50" s="4861" t="s">
        <v>151</v>
      </c>
      <c r="G50" s="4861" t="s">
        <v>6204</v>
      </c>
      <c r="H50" s="5550">
        <v>45460</v>
      </c>
      <c r="I50" s="709"/>
      <c r="J50" s="5326" t="s">
        <v>1478</v>
      </c>
      <c r="K50" s="4861" t="s">
        <v>8978</v>
      </c>
      <c r="L50" s="4861"/>
      <c r="M50" s="4903">
        <v>45462</v>
      </c>
      <c r="N50" s="1635">
        <v>45460</v>
      </c>
      <c r="O50" s="4903">
        <v>45462</v>
      </c>
      <c r="P50" s="4892" t="s">
        <v>9070</v>
      </c>
      <c r="Q50" s="5553" t="s">
        <v>862</v>
      </c>
      <c r="R50" s="4873" t="s">
        <v>9071</v>
      </c>
      <c r="S50" s="4873"/>
      <c r="T50" s="4873">
        <v>605</v>
      </c>
      <c r="U50" s="4873">
        <v>405.5</v>
      </c>
      <c r="V50" s="4873"/>
      <c r="W50" s="5554">
        <f>表15_17[[#This Row],[Sales Amount]]-表15_17[[#This Row],[Cost]]</f>
        <v>199.5</v>
      </c>
      <c r="X50" s="4873">
        <f>表15_17[[#This Row],[Profit]]/表15_17[[#This Row],[Cost]]</f>
        <v>0.49198520345252772</v>
      </c>
      <c r="Y50" s="4873"/>
      <c r="Z50" s="4873"/>
      <c r="AA50" s="1061"/>
    </row>
    <row r="51" spans="1:27" s="120" customFormat="1" ht="135">
      <c r="A51" s="4915" t="s">
        <v>8929</v>
      </c>
      <c r="B51" s="4150" t="s">
        <v>9072</v>
      </c>
      <c r="C51" s="4845" t="s">
        <v>28</v>
      </c>
      <c r="D51" s="4906">
        <v>45455</v>
      </c>
      <c r="E51" s="4916">
        <v>45455</v>
      </c>
      <c r="F51" s="4845" t="s">
        <v>167</v>
      </c>
      <c r="G51" s="117" t="s">
        <v>9073</v>
      </c>
      <c r="H51" s="117" t="s">
        <v>162</v>
      </c>
      <c r="I51" s="117" t="s">
        <v>162</v>
      </c>
      <c r="J51" s="4915" t="s">
        <v>8932</v>
      </c>
      <c r="K51" s="908" t="s">
        <v>8933</v>
      </c>
      <c r="L51" s="4951" t="s">
        <v>9074</v>
      </c>
      <c r="M51" s="4906">
        <v>45462</v>
      </c>
      <c r="N51" s="4906">
        <v>45463</v>
      </c>
      <c r="O51" s="4906">
        <v>45465</v>
      </c>
      <c r="P51" s="760" t="s">
        <v>9075</v>
      </c>
      <c r="Q51" s="5065" t="s">
        <v>75</v>
      </c>
      <c r="R51" s="4908" t="s">
        <v>9076</v>
      </c>
      <c r="S51" s="4845" t="s">
        <v>67</v>
      </c>
      <c r="T51" s="4845"/>
      <c r="U51" s="4845"/>
      <c r="V51" s="4845"/>
      <c r="W51" s="5190">
        <f>表15_17[[#This Row],[Sales Amount]]-表15_17[[#This Row],[Cost]]</f>
        <v>0</v>
      </c>
      <c r="X51" s="4845" t="e">
        <f>表15_17[[#This Row],[Profit]]/表15_17[[#This Row],[Cost]]</f>
        <v>#DIV/0!</v>
      </c>
      <c r="Y51" s="4845"/>
      <c r="Z51" s="4845"/>
      <c r="AA51" s="2353"/>
    </row>
    <row r="52" spans="1:27" s="152" customFormat="1">
      <c r="A52" s="5326" t="s">
        <v>4321</v>
      </c>
      <c r="B52" s="4902" t="s">
        <v>9077</v>
      </c>
      <c r="C52" s="4902" t="s">
        <v>44</v>
      </c>
      <c r="D52" s="5469">
        <v>45446</v>
      </c>
      <c r="E52" s="1614">
        <v>45455</v>
      </c>
      <c r="F52" s="4902" t="s">
        <v>56</v>
      </c>
      <c r="G52" s="4902" t="s">
        <v>46</v>
      </c>
      <c r="H52" s="5329"/>
      <c r="I52" s="4902"/>
      <c r="J52" s="4902" t="s">
        <v>32</v>
      </c>
      <c r="K52" s="4902" t="s">
        <v>47</v>
      </c>
      <c r="L52" s="4902" t="s">
        <v>9078</v>
      </c>
      <c r="M52" s="5563">
        <v>45457</v>
      </c>
      <c r="N52" s="5563">
        <v>45457</v>
      </c>
      <c r="O52" s="5563" t="s">
        <v>1564</v>
      </c>
      <c r="P52" s="5564" t="s">
        <v>9079</v>
      </c>
      <c r="Q52" s="5510" t="s">
        <v>6852</v>
      </c>
      <c r="R52" s="5367" t="s">
        <v>51</v>
      </c>
      <c r="S52" s="5367"/>
      <c r="T52" s="5367"/>
      <c r="U52" s="5367"/>
      <c r="V52" s="5367"/>
      <c r="W52" s="5565">
        <f>表15_17[[#This Row],[Sales Amount]]-表15_17[[#This Row],[Cost]]</f>
        <v>0</v>
      </c>
      <c r="X52" s="5367" t="e">
        <f>表15_17[[#This Row],[Profit]]/表15_17[[#This Row],[Cost]]</f>
        <v>#DIV/0!</v>
      </c>
      <c r="Y52" s="5367"/>
      <c r="Z52" s="5367"/>
      <c r="AA52" s="2121"/>
    </row>
    <row r="53" spans="1:27" s="93" customFormat="1">
      <c r="A53" s="5326" t="s">
        <v>409</v>
      </c>
      <c r="B53" s="4861" t="s">
        <v>9080</v>
      </c>
      <c r="C53" s="4861" t="s">
        <v>44</v>
      </c>
      <c r="D53" s="4940">
        <v>45446</v>
      </c>
      <c r="E53" s="5560">
        <v>45455</v>
      </c>
      <c r="F53" s="4861" t="s">
        <v>260</v>
      </c>
      <c r="G53" s="4861" t="s">
        <v>46</v>
      </c>
      <c r="H53" s="5550"/>
      <c r="I53" s="4861"/>
      <c r="J53" s="4861" t="s">
        <v>32</v>
      </c>
      <c r="K53" s="4861" t="s">
        <v>47</v>
      </c>
      <c r="L53" s="5561" t="s">
        <v>9081</v>
      </c>
      <c r="M53" s="4903">
        <v>45456</v>
      </c>
      <c r="N53" s="4903">
        <v>45456</v>
      </c>
      <c r="O53" s="4903">
        <v>45459</v>
      </c>
      <c r="P53" s="4871" t="s">
        <v>9082</v>
      </c>
      <c r="Q53" s="5510" t="s">
        <v>6852</v>
      </c>
      <c r="R53" s="4882" t="s">
        <v>36</v>
      </c>
      <c r="S53" s="4882"/>
      <c r="T53" s="4882"/>
      <c r="U53" s="4882"/>
      <c r="V53" s="4882"/>
      <c r="W53" s="5552">
        <f>表15_17[[#This Row],[Sales Amount]]-表15_17[[#This Row],[Cost]]</f>
        <v>0</v>
      </c>
      <c r="X53" s="4882" t="e">
        <f>表15_17[[#This Row],[Profit]]/表15_17[[#This Row],[Cost]]</f>
        <v>#DIV/0!</v>
      </c>
      <c r="Y53" s="4882"/>
      <c r="Z53" s="4882"/>
      <c r="AA53" s="145"/>
    </row>
    <row r="54" spans="1:27" s="152" customFormat="1">
      <c r="A54" s="5326" t="s">
        <v>409</v>
      </c>
      <c r="B54" s="4861" t="s">
        <v>9083</v>
      </c>
      <c r="C54" s="4861" t="s">
        <v>44</v>
      </c>
      <c r="D54" s="4940">
        <v>45446</v>
      </c>
      <c r="E54" s="5560">
        <v>45455</v>
      </c>
      <c r="F54" s="4861" t="s">
        <v>260</v>
      </c>
      <c r="G54" s="4861" t="s">
        <v>46</v>
      </c>
      <c r="H54" s="5550"/>
      <c r="I54" s="4861"/>
      <c r="J54" s="4861" t="s">
        <v>32</v>
      </c>
      <c r="K54" s="4861" t="s">
        <v>47</v>
      </c>
      <c r="L54" s="5561" t="s">
        <v>9084</v>
      </c>
      <c r="M54" s="4903">
        <v>45456</v>
      </c>
      <c r="N54" s="4903">
        <v>45455</v>
      </c>
      <c r="O54" s="4903">
        <v>45458</v>
      </c>
      <c r="P54" s="4871" t="s">
        <v>9085</v>
      </c>
      <c r="Q54" s="5510" t="s">
        <v>6852</v>
      </c>
      <c r="R54" s="4882" t="s">
        <v>36</v>
      </c>
      <c r="S54" s="4882"/>
      <c r="T54" s="4882"/>
      <c r="U54" s="4882"/>
      <c r="V54" s="4882"/>
      <c r="W54" s="5552">
        <f>表15_17[[#This Row],[Sales Amount]]-表15_17[[#This Row],[Cost]]</f>
        <v>0</v>
      </c>
      <c r="X54" s="4882" t="e">
        <f>表15_17[[#This Row],[Profit]]/表15_17[[#This Row],[Cost]]</f>
        <v>#DIV/0!</v>
      </c>
      <c r="Y54" s="4882"/>
      <c r="Z54" s="4882"/>
      <c r="AA54" s="2121"/>
    </row>
    <row r="55" spans="1:27" s="152" customFormat="1">
      <c r="A55" s="5326" t="s">
        <v>409</v>
      </c>
      <c r="B55" s="4861" t="s">
        <v>9086</v>
      </c>
      <c r="C55" s="4861" t="s">
        <v>44</v>
      </c>
      <c r="D55" s="4940">
        <v>45446</v>
      </c>
      <c r="E55" s="5560">
        <v>45455</v>
      </c>
      <c r="F55" s="4861" t="s">
        <v>260</v>
      </c>
      <c r="G55" s="4861" t="s">
        <v>46</v>
      </c>
      <c r="H55" s="5550"/>
      <c r="I55" s="4861"/>
      <c r="J55" s="4861" t="s">
        <v>32</v>
      </c>
      <c r="K55" s="4861" t="s">
        <v>47</v>
      </c>
      <c r="L55" s="4861" t="s">
        <v>9087</v>
      </c>
      <c r="M55" s="4903">
        <v>45457</v>
      </c>
      <c r="N55" s="4903">
        <v>45456</v>
      </c>
      <c r="O55" s="4903">
        <v>45460</v>
      </c>
      <c r="P55" s="4871" t="s">
        <v>9088</v>
      </c>
      <c r="Q55" s="5510" t="s">
        <v>6852</v>
      </c>
      <c r="R55" s="4882" t="s">
        <v>36</v>
      </c>
      <c r="S55" s="4882"/>
      <c r="T55" s="4882"/>
      <c r="U55" s="4882"/>
      <c r="V55" s="4882"/>
      <c r="W55" s="5552">
        <f>表15_17[[#This Row],[Sales Amount]]-表15_17[[#This Row],[Cost]]</f>
        <v>0</v>
      </c>
      <c r="X55" s="4882" t="e">
        <f>表15_17[[#This Row],[Profit]]/表15_17[[#This Row],[Cost]]</f>
        <v>#DIV/0!</v>
      </c>
      <c r="Y55" s="4882"/>
      <c r="Z55" s="4882"/>
      <c r="AA55" s="2121"/>
    </row>
    <row r="56" spans="1:27" s="152" customFormat="1">
      <c r="A56" s="5326" t="s">
        <v>409</v>
      </c>
      <c r="B56" s="4861" t="s">
        <v>9089</v>
      </c>
      <c r="C56" s="4861" t="s">
        <v>28</v>
      </c>
      <c r="D56" s="4940">
        <v>45443</v>
      </c>
      <c r="E56" s="5560">
        <v>45455</v>
      </c>
      <c r="F56" s="4861" t="s">
        <v>151</v>
      </c>
      <c r="G56" s="4861" t="s">
        <v>46</v>
      </c>
      <c r="H56" s="5550"/>
      <c r="I56" s="4861"/>
      <c r="J56" s="5326" t="s">
        <v>32</v>
      </c>
      <c r="K56" s="4861" t="s">
        <v>47</v>
      </c>
      <c r="L56" s="4861" t="s">
        <v>9090</v>
      </c>
      <c r="M56" s="4903">
        <v>45454</v>
      </c>
      <c r="N56" s="4903">
        <v>45454</v>
      </c>
      <c r="O56" s="4903">
        <v>45456</v>
      </c>
      <c r="P56" s="4871" t="s">
        <v>9091</v>
      </c>
      <c r="Q56" s="5510" t="s">
        <v>6852</v>
      </c>
      <c r="R56" s="4882" t="s">
        <v>36</v>
      </c>
      <c r="S56" s="4882"/>
      <c r="T56" s="4882"/>
      <c r="U56" s="4882"/>
      <c r="V56" s="4882"/>
      <c r="W56" s="5552">
        <f>表15_17[[#This Row],[Sales Amount]]-表15_17[[#This Row],[Cost]]</f>
        <v>0</v>
      </c>
      <c r="X56" s="4882" t="e">
        <f>表15_17[[#This Row],[Profit]]/表15_17[[#This Row],[Cost]]</f>
        <v>#DIV/0!</v>
      </c>
      <c r="Y56" s="4882"/>
      <c r="Z56" s="4882"/>
      <c r="AA56" s="2121"/>
    </row>
    <row r="57" spans="1:27" s="93" customFormat="1">
      <c r="A57" s="5326" t="s">
        <v>409</v>
      </c>
      <c r="B57" s="709" t="s">
        <v>9092</v>
      </c>
      <c r="C57" s="4861" t="s">
        <v>28</v>
      </c>
      <c r="D57" s="4940">
        <v>45443</v>
      </c>
      <c r="E57" s="5560">
        <v>45455</v>
      </c>
      <c r="F57" s="4861" t="s">
        <v>151</v>
      </c>
      <c r="G57" s="4861" t="s">
        <v>46</v>
      </c>
      <c r="H57" s="3788"/>
      <c r="I57" s="3246"/>
      <c r="J57" s="5326" t="s">
        <v>32</v>
      </c>
      <c r="K57" s="4861" t="s">
        <v>47</v>
      </c>
      <c r="L57" s="4861" t="s">
        <v>9093</v>
      </c>
      <c r="M57" s="4903">
        <v>45454</v>
      </c>
      <c r="N57" s="4903">
        <v>45454</v>
      </c>
      <c r="O57" s="4903">
        <v>45460</v>
      </c>
      <c r="P57" s="1019" t="s">
        <v>9094</v>
      </c>
      <c r="Q57" s="5510" t="s">
        <v>6852</v>
      </c>
      <c r="R57" s="4882" t="s">
        <v>36</v>
      </c>
      <c r="S57" s="4882"/>
      <c r="T57" s="4882"/>
      <c r="U57" s="4882"/>
      <c r="V57" s="4882"/>
      <c r="W57" s="5552">
        <f>表15_17[[#This Row],[Sales Amount]]-表15_17[[#This Row],[Cost]]</f>
        <v>0</v>
      </c>
      <c r="X57" s="4882" t="e">
        <f>表15_17[[#This Row],[Profit]]/表15_17[[#This Row],[Cost]]</f>
        <v>#DIV/0!</v>
      </c>
      <c r="Y57" s="4882"/>
      <c r="Z57" s="4882"/>
      <c r="AA57" s="145"/>
    </row>
    <row r="58" spans="1:27" s="93" customFormat="1" ht="30">
      <c r="A58" s="5375" t="s">
        <v>468</v>
      </c>
      <c r="B58" s="4970" t="s">
        <v>9095</v>
      </c>
      <c r="C58" s="4845" t="s">
        <v>28</v>
      </c>
      <c r="D58" s="4906">
        <v>45456</v>
      </c>
      <c r="E58" s="4916">
        <v>45456</v>
      </c>
      <c r="F58" s="4845" t="s">
        <v>260</v>
      </c>
      <c r="G58" s="3" t="s">
        <v>4355</v>
      </c>
      <c r="H58" s="4918">
        <v>45464</v>
      </c>
      <c r="I58" s="4908" t="s">
        <v>618</v>
      </c>
      <c r="J58" s="5375" t="s">
        <v>322</v>
      </c>
      <c r="K58" s="4908" t="s">
        <v>472</v>
      </c>
      <c r="L58" s="4845"/>
      <c r="M58" s="4906">
        <v>45464</v>
      </c>
      <c r="N58" s="4906">
        <v>45463</v>
      </c>
      <c r="O58" s="4906">
        <v>45464</v>
      </c>
      <c r="P58" s="4104" t="s">
        <v>9096</v>
      </c>
      <c r="Q58" s="5065" t="s">
        <v>75</v>
      </c>
      <c r="R58" s="4965" t="s">
        <v>9097</v>
      </c>
      <c r="S58" s="4845"/>
      <c r="T58" s="5190">
        <v>1125</v>
      </c>
      <c r="U58" s="4845">
        <v>895.5</v>
      </c>
      <c r="V58" s="4845">
        <v>1</v>
      </c>
      <c r="W58" s="5190">
        <f>表15_17[[#This Row],[Sales Amount]]-表15_17[[#This Row],[Cost]]</f>
        <v>229.5</v>
      </c>
      <c r="X58" s="5060">
        <f>表15_17[[#This Row],[Profit]]/表15_17[[#This Row],[Cost]]</f>
        <v>0.25628140703517588</v>
      </c>
      <c r="Y58" s="4845"/>
      <c r="Z58" s="4845"/>
      <c r="AA58" s="145"/>
    </row>
    <row r="59" spans="1:27" s="117" customFormat="1">
      <c r="A59" s="5326" t="s">
        <v>263</v>
      </c>
      <c r="B59" s="709" t="s">
        <v>9098</v>
      </c>
      <c r="C59" s="4861" t="s">
        <v>44</v>
      </c>
      <c r="D59" s="4940">
        <v>45456</v>
      </c>
      <c r="E59" s="4940">
        <v>45456</v>
      </c>
      <c r="F59" s="4861" t="s">
        <v>63</v>
      </c>
      <c r="G59" s="4861" t="s">
        <v>4538</v>
      </c>
      <c r="H59" s="5550">
        <v>45462</v>
      </c>
      <c r="I59" s="4861"/>
      <c r="J59" s="5326"/>
      <c r="K59" s="4861" t="s">
        <v>9099</v>
      </c>
      <c r="L59" s="709"/>
      <c r="M59" s="4903">
        <v>45463</v>
      </c>
      <c r="N59" s="4903">
        <v>45461</v>
      </c>
      <c r="O59" s="1635">
        <v>45463</v>
      </c>
      <c r="P59" s="1019" t="s">
        <v>9100</v>
      </c>
      <c r="Q59" s="5510" t="s">
        <v>128</v>
      </c>
      <c r="R59" s="707" t="s">
        <v>36</v>
      </c>
      <c r="S59" s="4882"/>
      <c r="T59" s="4882">
        <v>1227.74</v>
      </c>
      <c r="U59" s="4882">
        <f>700+90+82.74</f>
        <v>872.74</v>
      </c>
      <c r="V59" s="4882"/>
      <c r="W59" s="5552">
        <f>表15_17[[#This Row],[Sales Amount]]-表15_17[[#This Row],[Cost]]</f>
        <v>355</v>
      </c>
      <c r="X59" s="4882">
        <f>表15_17[[#This Row],[Profit]]/表15_17[[#This Row],[Cost]]</f>
        <v>0.40676490134518872</v>
      </c>
      <c r="Y59" s="4882"/>
      <c r="Z59" s="4882"/>
    </row>
    <row r="60" spans="1:27">
      <c r="A60" s="5326" t="s">
        <v>409</v>
      </c>
      <c r="B60" s="4861" t="s">
        <v>9101</v>
      </c>
      <c r="C60" s="4861" t="s">
        <v>44</v>
      </c>
      <c r="D60" s="4940">
        <v>45446</v>
      </c>
      <c r="E60" s="2925">
        <v>45456</v>
      </c>
      <c r="F60" s="4861" t="s">
        <v>260</v>
      </c>
      <c r="G60" s="4861" t="s">
        <v>46</v>
      </c>
      <c r="H60" s="5550"/>
      <c r="I60" s="4861"/>
      <c r="J60" s="4861" t="s">
        <v>32</v>
      </c>
      <c r="K60" s="4861" t="s">
        <v>47</v>
      </c>
      <c r="L60" s="5566" t="s">
        <v>9102</v>
      </c>
      <c r="M60" s="4903">
        <v>45456</v>
      </c>
      <c r="N60" s="4903">
        <v>45455</v>
      </c>
      <c r="O60" s="4903">
        <v>45459</v>
      </c>
      <c r="P60" s="1019" t="s">
        <v>9103</v>
      </c>
      <c r="Q60" s="5510" t="s">
        <v>6852</v>
      </c>
      <c r="R60" s="4882" t="s">
        <v>36</v>
      </c>
      <c r="S60" s="4882"/>
      <c r="T60" s="4882"/>
      <c r="U60" s="4882"/>
      <c r="V60" s="4882"/>
      <c r="W60" s="5552">
        <f>表15_17[[#This Row],[Sales Amount]]-表15_17[[#This Row],[Cost]]</f>
        <v>0</v>
      </c>
      <c r="X60" s="4882" t="e">
        <f>表15_17[[#This Row],[Profit]]/表15_17[[#This Row],[Cost]]</f>
        <v>#DIV/0!</v>
      </c>
      <c r="Y60" s="4882"/>
      <c r="Z60" s="4882"/>
    </row>
    <row r="61" spans="1:27" s="152" customFormat="1" ht="45">
      <c r="A61" s="5375" t="s">
        <v>622</v>
      </c>
      <c r="B61" s="4908" t="s">
        <v>9104</v>
      </c>
      <c r="C61" s="4845" t="s">
        <v>28</v>
      </c>
      <c r="D61" s="4961">
        <v>45442</v>
      </c>
      <c r="E61" s="4916">
        <v>45457</v>
      </c>
      <c r="F61" s="4908" t="s">
        <v>45</v>
      </c>
      <c r="G61" s="4908" t="s">
        <v>302</v>
      </c>
      <c r="H61" s="4844">
        <v>45460</v>
      </c>
      <c r="I61" s="4845"/>
      <c r="J61" s="5375" t="s">
        <v>32</v>
      </c>
      <c r="K61" s="4915" t="s">
        <v>1445</v>
      </c>
      <c r="L61" s="4951" t="s">
        <v>9105</v>
      </c>
      <c r="M61" s="4918">
        <v>45460</v>
      </c>
      <c r="N61" s="4918">
        <v>45460</v>
      </c>
      <c r="O61" s="4918">
        <v>45460</v>
      </c>
      <c r="P61" s="4909" t="s">
        <v>9106</v>
      </c>
      <c r="Q61" s="5065" t="s">
        <v>75</v>
      </c>
      <c r="R61" s="4837" t="s">
        <v>9107</v>
      </c>
      <c r="S61" s="4845" t="s">
        <v>67</v>
      </c>
      <c r="T61" s="5190">
        <v>5975</v>
      </c>
      <c r="U61" s="4845">
        <f>550+5000+90</f>
        <v>5640</v>
      </c>
      <c r="V61" s="4845">
        <v>1</v>
      </c>
      <c r="W61" s="5190">
        <f>表15_17[[#This Row],[Sales Amount]]-表15_17[[#This Row],[Cost]]</f>
        <v>335</v>
      </c>
      <c r="X61" s="5060">
        <f>表15_17[[#This Row],[Profit]]/表15_17[[#This Row],[Cost]]</f>
        <v>5.9397163120567378E-2</v>
      </c>
      <c r="Y61" s="4845"/>
      <c r="Z61" s="4845"/>
      <c r="AA61" s="2121"/>
    </row>
    <row r="62" spans="1:27" s="727" customFormat="1" ht="30">
      <c r="A62" s="5375" t="s">
        <v>9108</v>
      </c>
      <c r="B62" s="4150" t="s">
        <v>9109</v>
      </c>
      <c r="C62" s="4845" t="s">
        <v>28</v>
      </c>
      <c r="D62" s="4961">
        <v>45457</v>
      </c>
      <c r="E62" s="879">
        <v>45457</v>
      </c>
      <c r="F62" s="4845" t="s">
        <v>45</v>
      </c>
      <c r="G62" s="4908" t="s">
        <v>2194</v>
      </c>
      <c r="H62" s="4844" t="s">
        <v>9110</v>
      </c>
      <c r="I62" s="4908" t="s">
        <v>9111</v>
      </c>
      <c r="J62" s="5375" t="s">
        <v>9112</v>
      </c>
      <c r="K62" s="4845" t="s">
        <v>9113</v>
      </c>
      <c r="L62" s="117"/>
      <c r="M62" s="4982">
        <v>45464</v>
      </c>
      <c r="N62" s="4982">
        <v>45464</v>
      </c>
      <c r="O62" s="4982">
        <v>45468</v>
      </c>
      <c r="P62" s="4932" t="s">
        <v>9114</v>
      </c>
      <c r="Q62" s="5065" t="s">
        <v>75</v>
      </c>
      <c r="R62" s="4837" t="s">
        <v>9115</v>
      </c>
      <c r="S62" s="4934"/>
      <c r="T62" s="4934">
        <v>2941.14</v>
      </c>
      <c r="U62" s="4934">
        <f>1730+500</f>
        <v>2230</v>
      </c>
      <c r="V62" s="4934"/>
      <c r="W62" s="5562">
        <f>表15_17[[#This Row],[Sales Amount]]-表15_17[[#This Row],[Cost]]</f>
        <v>711.13999999999987</v>
      </c>
      <c r="X62" s="5567">
        <f>表15_17[[#This Row],[Profit]]/表15_17[[#This Row],[Cost]]</f>
        <v>0.31889686098654701</v>
      </c>
      <c r="Y62" s="4934"/>
      <c r="Z62" s="4934"/>
      <c r="AA62" s="2346"/>
    </row>
    <row r="63" spans="1:27" s="120" customFormat="1" ht="30">
      <c r="A63" s="5375" t="s">
        <v>7362</v>
      </c>
      <c r="B63" s="4908" t="s">
        <v>9116</v>
      </c>
      <c r="C63" s="4845" t="s">
        <v>28</v>
      </c>
      <c r="D63" s="4906">
        <v>45442</v>
      </c>
      <c r="E63" s="879">
        <v>45457</v>
      </c>
      <c r="F63" s="4845" t="s">
        <v>151</v>
      </c>
      <c r="G63" s="4845" t="s">
        <v>801</v>
      </c>
      <c r="H63" s="4918">
        <v>45460</v>
      </c>
      <c r="I63" s="4929" t="s">
        <v>790</v>
      </c>
      <c r="J63" s="5375" t="s">
        <v>1028</v>
      </c>
      <c r="K63" s="4845" t="s">
        <v>5663</v>
      </c>
      <c r="L63" s="5059">
        <v>244749</v>
      </c>
      <c r="M63" s="4906">
        <v>45459</v>
      </c>
      <c r="N63" s="4906">
        <v>45459</v>
      </c>
      <c r="O63" s="4906">
        <v>45460</v>
      </c>
      <c r="P63" s="4829" t="s">
        <v>9117</v>
      </c>
      <c r="Q63" s="5065" t="s">
        <v>75</v>
      </c>
      <c r="R63" s="4908" t="s">
        <v>9118</v>
      </c>
      <c r="S63" s="4845"/>
      <c r="T63" s="5190">
        <v>1450</v>
      </c>
      <c r="U63" s="5190">
        <v>1013.63</v>
      </c>
      <c r="V63" s="2827">
        <v>1</v>
      </c>
      <c r="W63" s="5190">
        <f>表15_17[[#This Row],[Sales Amount]]-表15_17[[#This Row],[Cost]]</f>
        <v>436.37</v>
      </c>
      <c r="X63" s="5060">
        <f>表15_17[[#This Row],[Profit]]/表15_17[[#This Row],[Cost]]</f>
        <v>0.4305022542742421</v>
      </c>
      <c r="Y63" s="4845"/>
      <c r="Z63" s="4845"/>
      <c r="AA63" s="2353"/>
    </row>
    <row r="64" spans="1:27" s="709" customFormat="1">
      <c r="A64" s="5326" t="s">
        <v>7678</v>
      </c>
      <c r="B64" s="4861" t="s">
        <v>9119</v>
      </c>
      <c r="C64" s="4861" t="s">
        <v>28</v>
      </c>
      <c r="D64" s="4940">
        <v>45457</v>
      </c>
      <c r="E64" s="5568">
        <v>45457</v>
      </c>
      <c r="F64" s="4861" t="s">
        <v>173</v>
      </c>
      <c r="G64" s="4861" t="s">
        <v>9120</v>
      </c>
      <c r="H64" s="5326" t="s">
        <v>8102</v>
      </c>
      <c r="I64" s="4861"/>
      <c r="J64" s="5325"/>
      <c r="K64" s="4861"/>
      <c r="M64" s="4903"/>
      <c r="N64" s="4903"/>
      <c r="O64" s="4903"/>
      <c r="P64" s="4871" t="s">
        <v>9121</v>
      </c>
      <c r="Q64" s="5510" t="s">
        <v>6852</v>
      </c>
      <c r="R64" s="5425" t="s">
        <v>9122</v>
      </c>
      <c r="S64" s="4882" t="s">
        <v>2373</v>
      </c>
      <c r="T64" s="4882"/>
      <c r="U64" s="4882"/>
      <c r="V64" s="4882"/>
      <c r="W64" s="5552">
        <f>表15_17[[#This Row],[Sales Amount]]-表15_17[[#This Row],[Cost]]</f>
        <v>0</v>
      </c>
      <c r="X64" s="4882" t="e">
        <f>表15_17[[#This Row],[Profit]]/表15_17[[#This Row],[Cost]]</f>
        <v>#DIV/0!</v>
      </c>
      <c r="Y64" s="4882"/>
      <c r="Z64" s="4882"/>
    </row>
    <row r="65" spans="1:26">
      <c r="A65" s="5471" t="s">
        <v>799</v>
      </c>
      <c r="B65" s="5569" t="s">
        <v>9123</v>
      </c>
      <c r="C65" s="4874" t="s">
        <v>44</v>
      </c>
      <c r="D65" s="5498">
        <v>45441</v>
      </c>
      <c r="E65" s="2864">
        <v>45457</v>
      </c>
      <c r="F65" s="4874" t="s">
        <v>45</v>
      </c>
      <c r="G65" s="4874" t="s">
        <v>46</v>
      </c>
      <c r="H65" s="5548"/>
      <c r="I65" s="4874"/>
      <c r="J65" s="5471" t="s">
        <v>32</v>
      </c>
      <c r="K65" s="4874" t="s">
        <v>47</v>
      </c>
      <c r="L65" s="4874" t="s">
        <v>9124</v>
      </c>
      <c r="M65" s="5024"/>
      <c r="N65" s="5024">
        <v>45458</v>
      </c>
      <c r="O65" s="5024">
        <v>45461</v>
      </c>
      <c r="P65" s="5087" t="s">
        <v>9125</v>
      </c>
      <c r="Q65" s="5501" t="s">
        <v>6852</v>
      </c>
      <c r="R65" s="4873" t="s">
        <v>51</v>
      </c>
      <c r="S65" s="4873"/>
      <c r="T65" s="4873">
        <v>7245</v>
      </c>
      <c r="U65" s="4873"/>
      <c r="V65" s="4873"/>
      <c r="W65" s="5554">
        <f>表15_17[[#This Row],[Sales Amount]]-表15_17[[#This Row],[Cost]]</f>
        <v>7245</v>
      </c>
      <c r="X65" s="4873" t="e">
        <f>表15_17[[#This Row],[Profit]]/表15_17[[#This Row],[Cost]]</f>
        <v>#DIV/0!</v>
      </c>
      <c r="Y65" s="4873"/>
      <c r="Z65" s="4873"/>
    </row>
    <row r="66" spans="1:26" s="709" customFormat="1">
      <c r="A66" s="5326" t="s">
        <v>4815</v>
      </c>
      <c r="B66" s="709" t="s">
        <v>9126</v>
      </c>
      <c r="C66" s="4861" t="s">
        <v>4010</v>
      </c>
      <c r="D66" s="4940">
        <v>45452</v>
      </c>
      <c r="E66" s="5052">
        <v>45457</v>
      </c>
      <c r="F66" s="4861" t="s">
        <v>56</v>
      </c>
      <c r="G66" s="4861" t="s">
        <v>382</v>
      </c>
      <c r="H66" s="5550"/>
      <c r="I66" s="4861"/>
      <c r="J66" s="5326" t="s">
        <v>9127</v>
      </c>
      <c r="K66" s="4861" t="s">
        <v>47</v>
      </c>
      <c r="L66" s="4861"/>
      <c r="M66" s="4903"/>
      <c r="N66" s="4903">
        <v>45457</v>
      </c>
      <c r="O66" s="4903">
        <v>45457</v>
      </c>
      <c r="P66" s="4871" t="s">
        <v>9128</v>
      </c>
      <c r="Q66" s="5510" t="s">
        <v>6852</v>
      </c>
      <c r="R66" s="4882" t="s">
        <v>36</v>
      </c>
      <c r="S66" s="4882"/>
      <c r="T66" s="4882"/>
      <c r="U66" s="4882"/>
      <c r="V66" s="4882"/>
      <c r="W66" s="5552">
        <f>表15_17[[#This Row],[Sales Amount]]-表15_17[[#This Row],[Cost]]</f>
        <v>0</v>
      </c>
      <c r="X66" s="4882" t="e">
        <f>表15_17[[#This Row],[Profit]]/表15_17[[#This Row],[Cost]]</f>
        <v>#DIV/0!</v>
      </c>
      <c r="Y66" s="4882"/>
      <c r="Z66" s="4882"/>
    </row>
    <row r="67" spans="1:26" s="709" customFormat="1">
      <c r="A67" s="4902" t="s">
        <v>8244</v>
      </c>
      <c r="B67" s="709" t="s">
        <v>9129</v>
      </c>
      <c r="C67" s="4886" t="s">
        <v>28</v>
      </c>
      <c r="D67" s="4940">
        <v>45451</v>
      </c>
      <c r="E67" s="5052">
        <v>45457</v>
      </c>
      <c r="F67" s="4886" t="s">
        <v>98</v>
      </c>
      <c r="G67" s="4886" t="s">
        <v>46</v>
      </c>
      <c r="H67" s="5550"/>
      <c r="I67" s="4861"/>
      <c r="J67" s="5326" t="s">
        <v>32</v>
      </c>
      <c r="K67" s="4886" t="s">
        <v>47</v>
      </c>
      <c r="L67" s="5048" t="s">
        <v>9130</v>
      </c>
      <c r="M67" s="4903"/>
      <c r="N67" s="4903">
        <v>45459</v>
      </c>
      <c r="O67" s="4903"/>
      <c r="P67" s="5491" t="s">
        <v>9131</v>
      </c>
      <c r="Q67" s="5510" t="s">
        <v>6852</v>
      </c>
      <c r="R67" s="4882" t="s">
        <v>51</v>
      </c>
      <c r="S67" s="4882"/>
      <c r="T67" s="4882"/>
      <c r="U67" s="4882"/>
      <c r="V67" s="4882"/>
      <c r="W67" s="5552">
        <f>表15_17[[#This Row],[Sales Amount]]-表15_17[[#This Row],[Cost]]</f>
        <v>0</v>
      </c>
      <c r="X67" s="4882" t="e">
        <f>表15_17[[#This Row],[Profit]]/表15_17[[#This Row],[Cost]]</f>
        <v>#DIV/0!</v>
      </c>
      <c r="Y67" s="4882"/>
      <c r="Z67" s="4882"/>
    </row>
    <row r="68" spans="1:26" s="709" customFormat="1">
      <c r="A68" s="5326" t="s">
        <v>4815</v>
      </c>
      <c r="B68" s="4122" t="s">
        <v>9132</v>
      </c>
      <c r="C68" s="4861" t="s">
        <v>28</v>
      </c>
      <c r="D68" s="4940">
        <v>45448</v>
      </c>
      <c r="E68" s="5052">
        <v>45457</v>
      </c>
      <c r="F68" s="4861" t="s">
        <v>45</v>
      </c>
      <c r="G68" s="4861" t="s">
        <v>46</v>
      </c>
      <c r="H68" s="5550"/>
      <c r="I68" s="4861"/>
      <c r="J68" s="5326" t="s">
        <v>32</v>
      </c>
      <c r="K68" s="4861" t="s">
        <v>47</v>
      </c>
      <c r="L68" s="4861" t="s">
        <v>9133</v>
      </c>
      <c r="M68" s="4903">
        <v>45459</v>
      </c>
      <c r="N68" s="4903">
        <v>45458</v>
      </c>
      <c r="O68" s="4903"/>
      <c r="P68" s="4871" t="s">
        <v>9134</v>
      </c>
      <c r="Q68" s="5510" t="s">
        <v>6852</v>
      </c>
      <c r="R68" s="4882" t="s">
        <v>36</v>
      </c>
      <c r="S68" s="4882"/>
      <c r="T68" s="4882"/>
      <c r="U68" s="4882"/>
      <c r="V68" s="4882"/>
      <c r="W68" s="5552">
        <f>表15_17[[#This Row],[Sales Amount]]-表15_17[[#This Row],[Cost]]</f>
        <v>0</v>
      </c>
      <c r="X68" s="4882" t="e">
        <f>表15_17[[#This Row],[Profit]]/表15_17[[#This Row],[Cost]]</f>
        <v>#DIV/0!</v>
      </c>
      <c r="Y68" s="4882"/>
      <c r="Z68" s="4882"/>
    </row>
    <row r="69" spans="1:26" s="709" customFormat="1">
      <c r="A69" s="5326" t="s">
        <v>3343</v>
      </c>
      <c r="B69" s="709" t="s">
        <v>9135</v>
      </c>
      <c r="C69" s="4861" t="s">
        <v>28</v>
      </c>
      <c r="D69" s="4940">
        <v>45441</v>
      </c>
      <c r="E69" s="5052">
        <v>45457</v>
      </c>
      <c r="F69" s="4861" t="s">
        <v>45</v>
      </c>
      <c r="G69" s="4861" t="s">
        <v>46</v>
      </c>
      <c r="H69" s="5550"/>
      <c r="I69" s="4861"/>
      <c r="J69" s="5326" t="s">
        <v>32</v>
      </c>
      <c r="K69" s="4861" t="s">
        <v>47</v>
      </c>
      <c r="L69" s="4902">
        <v>315179</v>
      </c>
      <c r="M69" s="5563">
        <v>45460</v>
      </c>
      <c r="N69" s="4903">
        <v>45460</v>
      </c>
      <c r="O69" s="4903"/>
      <c r="P69" s="4871" t="s">
        <v>9136</v>
      </c>
      <c r="Q69" s="5510" t="s">
        <v>6852</v>
      </c>
      <c r="R69" s="4882" t="s">
        <v>36</v>
      </c>
      <c r="S69" s="4882"/>
      <c r="T69" s="4882"/>
      <c r="U69" s="4882"/>
      <c r="V69" s="4882"/>
      <c r="W69" s="5552">
        <f>表15_17[[#This Row],[Sales Amount]]-表15_17[[#This Row],[Cost]]</f>
        <v>0</v>
      </c>
      <c r="X69" s="4882" t="e">
        <f>表15_17[[#This Row],[Profit]]/表15_17[[#This Row],[Cost]]</f>
        <v>#DIV/0!</v>
      </c>
      <c r="Y69" s="4882"/>
      <c r="Z69" s="4882"/>
    </row>
    <row r="70" spans="1:26" s="117" customFormat="1">
      <c r="A70" s="5326" t="s">
        <v>4815</v>
      </c>
      <c r="B70" s="709" t="s">
        <v>9137</v>
      </c>
      <c r="C70" s="4861" t="s">
        <v>28</v>
      </c>
      <c r="D70" s="4940">
        <v>45450</v>
      </c>
      <c r="E70" s="5052">
        <f>7+表15_17[[#This Row],[ETA PORT]]</f>
        <v>45457</v>
      </c>
      <c r="F70" s="4861" t="s">
        <v>45</v>
      </c>
      <c r="G70" s="4861" t="s">
        <v>46</v>
      </c>
      <c r="H70" s="5550"/>
      <c r="I70" s="4861"/>
      <c r="J70" s="5326" t="s">
        <v>168</v>
      </c>
      <c r="K70" s="4861" t="s">
        <v>47</v>
      </c>
      <c r="L70" s="4861" t="s">
        <v>9138</v>
      </c>
      <c r="M70" s="4903">
        <v>45461</v>
      </c>
      <c r="N70" s="4903">
        <v>45460</v>
      </c>
      <c r="O70" s="4903"/>
      <c r="P70" s="4871" t="s">
        <v>9139</v>
      </c>
      <c r="Q70" s="5510" t="s">
        <v>6852</v>
      </c>
      <c r="R70" s="707" t="s">
        <v>51</v>
      </c>
      <c r="S70" s="4882"/>
      <c r="T70" s="4882"/>
      <c r="U70" s="4882"/>
      <c r="V70" s="2879"/>
      <c r="W70" s="5552">
        <f>表15_17[[#This Row],[Sales Amount]]-表15_17[[#This Row],[Cost]]</f>
        <v>0</v>
      </c>
      <c r="X70" s="4882" t="e">
        <f>表15_17[[#This Row],[Profit]]/表15_17[[#This Row],[Cost]]</f>
        <v>#DIV/0!</v>
      </c>
      <c r="Y70" s="4882"/>
      <c r="Z70" s="4882"/>
    </row>
    <row r="71" spans="1:26" s="709" customFormat="1">
      <c r="A71" s="5326" t="s">
        <v>2396</v>
      </c>
      <c r="B71" s="5265" t="s">
        <v>9140</v>
      </c>
      <c r="C71" s="4861" t="s">
        <v>28</v>
      </c>
      <c r="D71" s="4940">
        <v>45458</v>
      </c>
      <c r="E71" s="5052">
        <v>45458</v>
      </c>
      <c r="F71" s="4913" t="s">
        <v>45</v>
      </c>
      <c r="G71" s="4913" t="s">
        <v>6204</v>
      </c>
      <c r="H71" s="5550">
        <v>45463</v>
      </c>
      <c r="I71" s="4861"/>
      <c r="J71" s="5326" t="s">
        <v>1478</v>
      </c>
      <c r="K71" s="4861" t="s">
        <v>8978</v>
      </c>
      <c r="L71" s="4861"/>
      <c r="M71" s="4903">
        <v>45464</v>
      </c>
      <c r="N71" s="4903">
        <v>45463</v>
      </c>
      <c r="O71" s="4903">
        <v>45467</v>
      </c>
      <c r="P71" s="4892" t="s">
        <v>9141</v>
      </c>
      <c r="Q71" s="5553" t="s">
        <v>862</v>
      </c>
      <c r="R71" s="4873" t="s">
        <v>9142</v>
      </c>
      <c r="S71" s="4873"/>
      <c r="T71" s="4873">
        <v>545</v>
      </c>
      <c r="U71" s="4873">
        <v>384.8</v>
      </c>
      <c r="V71" s="4873"/>
      <c r="W71" s="5554">
        <f>表15_17[[#This Row],[Sales Amount]]-表15_17[[#This Row],[Cost]]</f>
        <v>160.19999999999999</v>
      </c>
      <c r="X71" s="5570">
        <f>表15_17[[#This Row],[Profit]]/表15_17[[#This Row],[Cost]]</f>
        <v>0.41632016632016627</v>
      </c>
      <c r="Y71" s="4873"/>
      <c r="Z71" s="4873"/>
    </row>
    <row r="72" spans="1:26" s="117" customFormat="1">
      <c r="A72" s="5326" t="s">
        <v>2396</v>
      </c>
      <c r="B72" s="4177" t="s">
        <v>9143</v>
      </c>
      <c r="C72" s="4861" t="s">
        <v>28</v>
      </c>
      <c r="D72" s="4940">
        <v>45458</v>
      </c>
      <c r="E72" s="5052">
        <v>45458</v>
      </c>
      <c r="F72" s="4913" t="s">
        <v>45</v>
      </c>
      <c r="G72" s="650" t="s">
        <v>6204</v>
      </c>
      <c r="H72" s="5550">
        <v>45463</v>
      </c>
      <c r="I72" s="4861"/>
      <c r="J72" s="5326" t="s">
        <v>1478</v>
      </c>
      <c r="K72" s="4861" t="s">
        <v>8978</v>
      </c>
      <c r="L72" s="709"/>
      <c r="M72" s="4903">
        <v>45463</v>
      </c>
      <c r="N72" s="4903">
        <v>45463</v>
      </c>
      <c r="O72" s="5571">
        <v>45468</v>
      </c>
      <c r="P72" s="762" t="s">
        <v>9141</v>
      </c>
      <c r="Q72" s="5553" t="s">
        <v>862</v>
      </c>
      <c r="R72" s="4873" t="s">
        <v>9144</v>
      </c>
      <c r="S72" s="4873"/>
      <c r="T72" s="4873">
        <v>590</v>
      </c>
      <c r="U72" s="4873">
        <v>424.8</v>
      </c>
      <c r="V72" s="4873"/>
      <c r="W72" s="5554">
        <f>表15_17[[#This Row],[Sales Amount]]-表15_17[[#This Row],[Cost]]</f>
        <v>165.2</v>
      </c>
      <c r="X72" s="5570">
        <f>表15_17[[#This Row],[Profit]]/表15_17[[#This Row],[Cost]]</f>
        <v>0.38888888888888884</v>
      </c>
      <c r="Y72" s="4873"/>
      <c r="Z72" s="4873"/>
    </row>
    <row r="73" spans="1:26">
      <c r="A73" s="5326" t="s">
        <v>2396</v>
      </c>
      <c r="B73" s="4177" t="s">
        <v>9145</v>
      </c>
      <c r="C73" s="4861" t="s">
        <v>28</v>
      </c>
      <c r="D73" s="4940">
        <v>45458</v>
      </c>
      <c r="E73" s="5052">
        <v>45458</v>
      </c>
      <c r="F73" s="4913" t="s">
        <v>45</v>
      </c>
      <c r="G73" s="4913" t="s">
        <v>6204</v>
      </c>
      <c r="H73" s="5550">
        <v>45463</v>
      </c>
      <c r="I73" s="4953"/>
      <c r="J73" s="5326" t="s">
        <v>1478</v>
      </c>
      <c r="K73" s="4861" t="s">
        <v>8978</v>
      </c>
      <c r="L73" s="709"/>
      <c r="M73" s="4903">
        <v>45464</v>
      </c>
      <c r="N73" s="4903">
        <v>45463</v>
      </c>
      <c r="O73" s="4903">
        <v>45467</v>
      </c>
      <c r="P73" s="5087" t="s">
        <v>9141</v>
      </c>
      <c r="Q73" s="5553" t="s">
        <v>862</v>
      </c>
      <c r="R73" s="26" t="s">
        <v>9146</v>
      </c>
      <c r="S73" s="4873"/>
      <c r="T73" s="4873">
        <v>695</v>
      </c>
      <c r="U73" s="4873">
        <v>484.8</v>
      </c>
      <c r="V73" s="4873"/>
      <c r="W73" s="5554">
        <f>表15_17[[#This Row],[Sales Amount]]-表15_17[[#This Row],[Cost]]</f>
        <v>210.2</v>
      </c>
      <c r="X73" s="5570">
        <f>表15_17[[#This Row],[Profit]]/表15_17[[#This Row],[Cost]]</f>
        <v>0.43358085808580854</v>
      </c>
      <c r="Y73" s="4873"/>
      <c r="Z73" s="4873"/>
    </row>
    <row r="74" spans="1:26" s="117" customFormat="1">
      <c r="A74" s="5471" t="s">
        <v>4815</v>
      </c>
      <c r="B74" s="5503" t="s">
        <v>9147</v>
      </c>
      <c r="C74" s="4874" t="s">
        <v>4010</v>
      </c>
      <c r="D74" s="2923">
        <v>45452</v>
      </c>
      <c r="E74" s="5499">
        <v>45458</v>
      </c>
      <c r="F74" s="4874" t="s">
        <v>56</v>
      </c>
      <c r="G74" s="4874" t="s">
        <v>382</v>
      </c>
      <c r="H74" s="2928"/>
      <c r="I74" s="106"/>
      <c r="J74" s="2348" t="s">
        <v>9127</v>
      </c>
      <c r="K74" s="4874" t="s">
        <v>47</v>
      </c>
      <c r="L74" s="709"/>
      <c r="M74" s="4903"/>
      <c r="N74" s="3782">
        <v>45458</v>
      </c>
      <c r="O74" s="5024">
        <v>45458</v>
      </c>
      <c r="P74" s="5087" t="s">
        <v>9148</v>
      </c>
      <c r="Q74" s="5553" t="s">
        <v>6852</v>
      </c>
      <c r="R74" s="4873" t="s">
        <v>51</v>
      </c>
      <c r="S74" s="4873"/>
      <c r="T74" s="4873">
        <v>2744</v>
      </c>
      <c r="U74" s="4873"/>
      <c r="V74" s="4873"/>
      <c r="W74" s="5554">
        <f>表15_17[[#This Row],[Sales Amount]]-表15_17[[#This Row],[Cost]]</f>
        <v>2744</v>
      </c>
      <c r="X74" s="4873" t="e">
        <f>表15_17[[#This Row],[Profit]]/表15_17[[#This Row],[Cost]]</f>
        <v>#DIV/0!</v>
      </c>
      <c r="Y74" s="4873"/>
      <c r="Z74" s="4873"/>
    </row>
    <row r="75" spans="1:26">
      <c r="A75" s="5471" t="s">
        <v>4815</v>
      </c>
      <c r="B75" s="5503" t="s">
        <v>9149</v>
      </c>
      <c r="C75" s="4874" t="s">
        <v>4010</v>
      </c>
      <c r="D75" s="5498">
        <v>45452</v>
      </c>
      <c r="E75" s="5499">
        <v>45458</v>
      </c>
      <c r="F75" s="4874" t="s">
        <v>56</v>
      </c>
      <c r="G75" s="4874" t="s">
        <v>382</v>
      </c>
      <c r="H75" s="5548"/>
      <c r="I75" s="4874"/>
      <c r="J75" s="5326" t="s">
        <v>9127</v>
      </c>
      <c r="K75" s="4874" t="s">
        <v>47</v>
      </c>
      <c r="L75" s="4861"/>
      <c r="M75" s="4903"/>
      <c r="N75" s="5024">
        <v>45458</v>
      </c>
      <c r="O75" s="5024">
        <v>45458</v>
      </c>
      <c r="P75" s="5087" t="s">
        <v>9150</v>
      </c>
      <c r="Q75" s="5553" t="s">
        <v>6852</v>
      </c>
      <c r="R75" s="4873" t="s">
        <v>51</v>
      </c>
      <c r="S75" s="4873"/>
      <c r="T75" s="4873">
        <v>4174</v>
      </c>
      <c r="U75" s="4873"/>
      <c r="V75" s="4873"/>
      <c r="W75" s="5554">
        <f>表15_17[[#This Row],[Sales Amount]]-表15_17[[#This Row],[Cost]]</f>
        <v>4174</v>
      </c>
      <c r="X75" s="4873" t="e">
        <f>表15_17[[#This Row],[Profit]]/表15_17[[#This Row],[Cost]]</f>
        <v>#DIV/0!</v>
      </c>
      <c r="Y75" s="4873"/>
      <c r="Z75" s="4873"/>
    </row>
    <row r="76" spans="1:26">
      <c r="A76" s="5326" t="s">
        <v>4815</v>
      </c>
      <c r="B76" s="4861" t="s">
        <v>9151</v>
      </c>
      <c r="C76" s="4861" t="s">
        <v>4010</v>
      </c>
      <c r="D76" s="4940">
        <v>45452</v>
      </c>
      <c r="E76" s="5052">
        <v>45458</v>
      </c>
      <c r="F76" s="4861" t="s">
        <v>56</v>
      </c>
      <c r="G76" s="4861" t="s">
        <v>382</v>
      </c>
      <c r="H76" s="5550"/>
      <c r="I76" s="4861"/>
      <c r="J76" s="5326" t="s">
        <v>9127</v>
      </c>
      <c r="K76" s="4861" t="s">
        <v>47</v>
      </c>
      <c r="L76" s="4861"/>
      <c r="M76" s="4903"/>
      <c r="N76" s="4903">
        <v>45458</v>
      </c>
      <c r="O76" s="4903">
        <v>45458</v>
      </c>
      <c r="P76" s="4871" t="s">
        <v>9152</v>
      </c>
      <c r="Q76" s="5510" t="s">
        <v>6852</v>
      </c>
      <c r="R76" s="4882" t="s">
        <v>51</v>
      </c>
      <c r="S76" s="4882"/>
      <c r="T76" s="4882"/>
      <c r="U76" s="4882"/>
      <c r="V76" s="4882"/>
      <c r="W76" s="5552">
        <f>表15_17[[#This Row],[Sales Amount]]-表15_17[[#This Row],[Cost]]</f>
        <v>0</v>
      </c>
      <c r="X76" s="4882" t="e">
        <f>表15_17[[#This Row],[Profit]]/表15_17[[#This Row],[Cost]]</f>
        <v>#DIV/0!</v>
      </c>
      <c r="Y76" s="4882"/>
      <c r="Z76" s="4882"/>
    </row>
    <row r="77" spans="1:26" s="709" customFormat="1" ht="75">
      <c r="A77" s="5375" t="s">
        <v>1945</v>
      </c>
      <c r="B77" s="4908" t="s">
        <v>9153</v>
      </c>
      <c r="C77" s="4845" t="s">
        <v>28</v>
      </c>
      <c r="D77" s="4906">
        <v>45446</v>
      </c>
      <c r="E77" s="4916">
        <v>45458</v>
      </c>
      <c r="F77" s="4845" t="s">
        <v>167</v>
      </c>
      <c r="G77" s="4908" t="s">
        <v>4771</v>
      </c>
      <c r="H77" s="4961">
        <v>45464</v>
      </c>
      <c r="I77" s="4908" t="s">
        <v>9154</v>
      </c>
      <c r="J77" s="5572" t="s">
        <v>2452</v>
      </c>
      <c r="K77" s="4845" t="s">
        <v>9155</v>
      </c>
      <c r="L77" s="4951">
        <v>343175</v>
      </c>
      <c r="M77" s="4961">
        <v>45464</v>
      </c>
      <c r="N77" s="4906">
        <v>45463</v>
      </c>
      <c r="O77" s="4906">
        <v>45464</v>
      </c>
      <c r="P77" s="4909" t="s">
        <v>9156</v>
      </c>
      <c r="Q77" s="5065" t="s">
        <v>75</v>
      </c>
      <c r="R77" s="4970" t="s">
        <v>9157</v>
      </c>
      <c r="S77" s="4961" t="s">
        <v>67</v>
      </c>
      <c r="T77" s="5417">
        <v>1380</v>
      </c>
      <c r="U77" s="5417">
        <f>645.8+65+90</f>
        <v>800.8</v>
      </c>
      <c r="V77" s="4845"/>
      <c r="W77" s="5190">
        <f>表15_17[[#This Row],[Sales Amount]]-表15_17[[#This Row],[Cost]]</f>
        <v>579.20000000000005</v>
      </c>
      <c r="X77" s="5060">
        <f>表15_17[[#This Row],[Profit]]/表15_17[[#This Row],[Cost]]</f>
        <v>0.72327672327672332</v>
      </c>
      <c r="Y77" s="4845"/>
      <c r="Z77" s="4845"/>
    </row>
    <row r="78" spans="1:26">
      <c r="A78" s="5471" t="s">
        <v>4815</v>
      </c>
      <c r="B78" s="5503" t="s">
        <v>9158</v>
      </c>
      <c r="C78" s="4874" t="s">
        <v>28</v>
      </c>
      <c r="D78" s="5498">
        <v>45452</v>
      </c>
      <c r="E78" s="5499">
        <v>45458</v>
      </c>
      <c r="F78" s="4874" t="s">
        <v>98</v>
      </c>
      <c r="G78" s="4874" t="s">
        <v>46</v>
      </c>
      <c r="H78" s="5548"/>
      <c r="I78" s="4874"/>
      <c r="J78" s="5471" t="s">
        <v>32</v>
      </c>
      <c r="K78" s="4874" t="s">
        <v>47</v>
      </c>
      <c r="L78" s="5370" t="s">
        <v>9159</v>
      </c>
      <c r="M78" s="5573">
        <v>45461</v>
      </c>
      <c r="N78" s="5024">
        <v>45460</v>
      </c>
      <c r="O78" s="5024">
        <v>45463</v>
      </c>
      <c r="P78" s="5087" t="s">
        <v>9160</v>
      </c>
      <c r="Q78" s="5553" t="s">
        <v>6852</v>
      </c>
      <c r="R78" s="4873" t="s">
        <v>36</v>
      </c>
      <c r="S78" s="4873"/>
      <c r="T78" s="4873">
        <v>3631.5</v>
      </c>
      <c r="U78" s="4873"/>
      <c r="V78" s="4873"/>
      <c r="W78" s="5554">
        <f>表15_17[[#This Row],[Sales Amount]]-表15_17[[#This Row],[Cost]]</f>
        <v>3631.5</v>
      </c>
      <c r="X78" s="4873" t="e">
        <f>表15_17[[#This Row],[Profit]]/表15_17[[#This Row],[Cost]]</f>
        <v>#DIV/0!</v>
      </c>
      <c r="Y78" s="4873"/>
      <c r="Z78" s="4873"/>
    </row>
    <row r="79" spans="1:26">
      <c r="A79" s="5243" t="s">
        <v>409</v>
      </c>
      <c r="B79" s="4928" t="s">
        <v>9161</v>
      </c>
      <c r="C79" s="4908" t="s">
        <v>28</v>
      </c>
      <c r="D79" s="4906">
        <v>45445</v>
      </c>
      <c r="E79" s="4916">
        <v>45459</v>
      </c>
      <c r="F79" s="4908" t="s">
        <v>167</v>
      </c>
      <c r="G79" s="4908" t="s">
        <v>302</v>
      </c>
      <c r="H79" s="4844">
        <v>45461</v>
      </c>
      <c r="I79" s="4845" t="s">
        <v>9022</v>
      </c>
      <c r="J79" s="5243" t="s">
        <v>32</v>
      </c>
      <c r="K79" s="4845" t="s">
        <v>8879</v>
      </c>
      <c r="L79" s="4927" t="s">
        <v>9162</v>
      </c>
      <c r="M79" s="4916">
        <v>45462</v>
      </c>
      <c r="N79" s="4906">
        <v>45461</v>
      </c>
      <c r="O79" s="4906">
        <v>45461</v>
      </c>
      <c r="P79" s="4909" t="s">
        <v>9163</v>
      </c>
      <c r="Q79" s="5065" t="s">
        <v>75</v>
      </c>
      <c r="R79" s="4908" t="s">
        <v>9164</v>
      </c>
      <c r="S79" s="4845"/>
      <c r="T79" s="4845">
        <v>910</v>
      </c>
      <c r="U79" s="4845">
        <v>730</v>
      </c>
      <c r="V79" s="4845">
        <v>1</v>
      </c>
      <c r="W79" s="5190">
        <f>表15_17[[#This Row],[Sales Amount]]-表15_17[[#This Row],[Cost]]</f>
        <v>180</v>
      </c>
      <c r="X79" s="5060">
        <f>表15_17[[#This Row],[Profit]]/表15_17[[#This Row],[Cost]]</f>
        <v>0.24657534246575341</v>
      </c>
      <c r="Y79" s="4845"/>
      <c r="Z79" s="4845"/>
    </row>
    <row r="80" spans="1:26" ht="150">
      <c r="A80" s="5375" t="s">
        <v>8328</v>
      </c>
      <c r="B80" s="4908" t="s">
        <v>9165</v>
      </c>
      <c r="C80" s="4845" t="s">
        <v>28</v>
      </c>
      <c r="D80" s="4961">
        <v>45445</v>
      </c>
      <c r="E80" s="4916">
        <v>45459</v>
      </c>
      <c r="F80" s="4908" t="s">
        <v>245</v>
      </c>
      <c r="G80" s="4908" t="s">
        <v>57</v>
      </c>
      <c r="H80" s="4918">
        <v>45462</v>
      </c>
      <c r="I80" s="4929" t="s">
        <v>445</v>
      </c>
      <c r="J80" s="4844" t="s">
        <v>1353</v>
      </c>
      <c r="K80" s="4908" t="s">
        <v>9166</v>
      </c>
      <c r="L80" s="5574" t="s">
        <v>9167</v>
      </c>
      <c r="M80" s="4918">
        <v>45461</v>
      </c>
      <c r="N80" s="4918">
        <v>45461</v>
      </c>
      <c r="O80" s="4906">
        <v>45462</v>
      </c>
      <c r="P80" s="4932" t="s">
        <v>9168</v>
      </c>
      <c r="Q80" s="5065" t="s">
        <v>75</v>
      </c>
      <c r="R80" s="4908" t="s">
        <v>9169</v>
      </c>
      <c r="S80" s="4934"/>
      <c r="T80" s="5110">
        <v>1740</v>
      </c>
      <c r="U80" s="5190">
        <v>1477.19</v>
      </c>
      <c r="V80" s="4934"/>
      <c r="W80" s="5190">
        <f>表15_17[[#This Row],[Sales Amount]]-表15_17[[#This Row],[Cost]]</f>
        <v>262.80999999999995</v>
      </c>
      <c r="X80" s="5575">
        <f>表15_17[[#This Row],[Profit]]/表15_17[[#This Row],[Cost]]</f>
        <v>0.17791211692470157</v>
      </c>
      <c r="Y80" s="4934"/>
      <c r="Z80" s="4934"/>
    </row>
    <row r="81" spans="1:26" ht="45">
      <c r="A81" s="5375" t="s">
        <v>468</v>
      </c>
      <c r="B81" s="4150" t="s">
        <v>8091</v>
      </c>
      <c r="C81" s="4845" t="s">
        <v>200</v>
      </c>
      <c r="D81" s="4906">
        <v>45443</v>
      </c>
      <c r="E81" s="856">
        <v>45459</v>
      </c>
      <c r="F81" s="4845" t="s">
        <v>245</v>
      </c>
      <c r="G81" s="4908" t="s">
        <v>57</v>
      </c>
      <c r="H81" s="4918">
        <v>45461</v>
      </c>
      <c r="I81" s="4929" t="s">
        <v>445</v>
      </c>
      <c r="J81" s="5375" t="s">
        <v>8136</v>
      </c>
      <c r="K81" s="4908" t="s">
        <v>6173</v>
      </c>
      <c r="L81" s="766">
        <v>1130476</v>
      </c>
      <c r="M81" s="4906">
        <v>45461</v>
      </c>
      <c r="N81" s="4906">
        <v>45461</v>
      </c>
      <c r="O81" s="4917">
        <v>45461</v>
      </c>
      <c r="P81" s="4909" t="s">
        <v>9170</v>
      </c>
      <c r="Q81" s="5065" t="s">
        <v>75</v>
      </c>
      <c r="R81" s="4929" t="s">
        <v>9171</v>
      </c>
      <c r="S81" s="4845"/>
      <c r="T81" s="5190">
        <v>1575</v>
      </c>
      <c r="U81" s="5190">
        <v>1168.2</v>
      </c>
      <c r="V81" s="4845">
        <v>1</v>
      </c>
      <c r="W81" s="5190">
        <f>表15_17[[#This Row],[Sales Amount]]-表15_17[[#This Row],[Cost]]</f>
        <v>406.79999999999995</v>
      </c>
      <c r="X81" s="5060">
        <f>表15_17[[#This Row],[Profit]]/表15_17[[#This Row],[Cost]]</f>
        <v>0.34822804314329731</v>
      </c>
      <c r="Y81" s="4845" t="s">
        <v>5640</v>
      </c>
      <c r="Z81" s="4845"/>
    </row>
    <row r="82" spans="1:26" s="709" customFormat="1">
      <c r="A82" s="5326" t="s">
        <v>468</v>
      </c>
      <c r="B82" s="4122" t="s">
        <v>9172</v>
      </c>
      <c r="C82" s="4861" t="s">
        <v>200</v>
      </c>
      <c r="D82" s="4953">
        <v>45443</v>
      </c>
      <c r="E82" s="5333">
        <v>45459</v>
      </c>
      <c r="F82" s="4861" t="s">
        <v>245</v>
      </c>
      <c r="G82" s="4861" t="s">
        <v>57</v>
      </c>
      <c r="H82" s="4888">
        <v>45461</v>
      </c>
      <c r="I82" s="5054" t="s">
        <v>926</v>
      </c>
      <c r="J82" s="5326" t="s">
        <v>8136</v>
      </c>
      <c r="K82" s="4861" t="s">
        <v>6173</v>
      </c>
      <c r="L82" s="1648">
        <v>1130480</v>
      </c>
      <c r="M82" s="4953">
        <v>45461</v>
      </c>
      <c r="N82" s="4953">
        <v>45460</v>
      </c>
      <c r="O82" s="5333">
        <v>45461</v>
      </c>
      <c r="P82" s="4892" t="s">
        <v>9173</v>
      </c>
      <c r="Q82" s="5576" t="s">
        <v>75</v>
      </c>
      <c r="R82" s="5054" t="s">
        <v>9174</v>
      </c>
      <c r="S82" s="4861"/>
      <c r="T82" s="5577">
        <v>1830</v>
      </c>
      <c r="U82" s="5578">
        <v>1168.2</v>
      </c>
      <c r="V82" s="4861">
        <v>1</v>
      </c>
      <c r="W82" s="5577">
        <f>表15_17[[#This Row],[Sales Amount]]-表15_17[[#This Row],[Cost]]</f>
        <v>661.8</v>
      </c>
      <c r="X82" s="5378">
        <f>表15_17[[#This Row],[Profit]]/表15_17[[#This Row],[Cost]]</f>
        <v>0.56651258346173594</v>
      </c>
      <c r="Y82" s="4845" t="s">
        <v>5640</v>
      </c>
      <c r="Z82" s="4861"/>
    </row>
    <row r="83" spans="1:26" s="117" customFormat="1">
      <c r="A83" s="4902" t="s">
        <v>8244</v>
      </c>
      <c r="B83" s="4122" t="s">
        <v>9175</v>
      </c>
      <c r="C83" s="4886" t="s">
        <v>28</v>
      </c>
      <c r="D83" s="4940">
        <v>45451</v>
      </c>
      <c r="E83" s="1614">
        <v>45460</v>
      </c>
      <c r="F83" s="4886" t="s">
        <v>98</v>
      </c>
      <c r="G83" s="4886" t="s">
        <v>46</v>
      </c>
      <c r="H83" s="5550"/>
      <c r="I83" s="4861"/>
      <c r="J83" s="5326" t="s">
        <v>32</v>
      </c>
      <c r="K83" s="4886" t="s">
        <v>47</v>
      </c>
      <c r="L83" s="1572" t="s">
        <v>9176</v>
      </c>
      <c r="M83" s="4903">
        <v>45463</v>
      </c>
      <c r="N83" s="4903">
        <v>45460</v>
      </c>
      <c r="O83" s="4903"/>
      <c r="P83" s="4871" t="s">
        <v>9177</v>
      </c>
      <c r="Q83" s="5510" t="s">
        <v>6852</v>
      </c>
      <c r="R83" s="4882" t="s">
        <v>51</v>
      </c>
      <c r="S83" s="4882"/>
      <c r="T83" s="4882"/>
      <c r="U83" s="4882"/>
      <c r="V83" s="4882"/>
      <c r="W83" s="5552">
        <f>表15_17[[#This Row],[Sales Amount]]-表15_17[[#This Row],[Cost]]</f>
        <v>0</v>
      </c>
      <c r="X83" s="4882" t="e">
        <f>表15_17[[#This Row],[Profit]]/表15_17[[#This Row],[Cost]]</f>
        <v>#DIV/0!</v>
      </c>
      <c r="Y83" s="4882"/>
      <c r="Z83" s="4882"/>
    </row>
    <row r="84" spans="1:26">
      <c r="A84" s="4902" t="s">
        <v>8244</v>
      </c>
      <c r="B84" s="3246" t="s">
        <v>9178</v>
      </c>
      <c r="C84" s="4886" t="s">
        <v>28</v>
      </c>
      <c r="D84" s="3266">
        <v>45451</v>
      </c>
      <c r="E84" s="3716">
        <v>45460</v>
      </c>
      <c r="F84" s="4886" t="s">
        <v>98</v>
      </c>
      <c r="G84" s="4886" t="s">
        <v>46</v>
      </c>
      <c r="H84" s="5550"/>
      <c r="I84" s="3246"/>
      <c r="J84" s="5326" t="s">
        <v>32</v>
      </c>
      <c r="K84" s="4886" t="s">
        <v>47</v>
      </c>
      <c r="L84" s="5048" t="s">
        <v>9179</v>
      </c>
      <c r="M84" s="3267">
        <v>45463</v>
      </c>
      <c r="N84" s="3267">
        <v>45460</v>
      </c>
      <c r="O84" s="3267"/>
      <c r="P84" s="3283" t="s">
        <v>9180</v>
      </c>
      <c r="Q84" s="5510" t="s">
        <v>6852</v>
      </c>
      <c r="R84" s="4882" t="s">
        <v>51</v>
      </c>
      <c r="S84" s="4882"/>
      <c r="T84" s="3258"/>
      <c r="U84" s="3258"/>
      <c r="V84" s="3258"/>
      <c r="W84" s="3790">
        <f>表15_17[[#This Row],[Sales Amount]]-表15_17[[#This Row],[Cost]]</f>
        <v>0</v>
      </c>
      <c r="X84" s="3258" t="e">
        <f>表15_17[[#This Row],[Profit]]/表15_17[[#This Row],[Cost]]</f>
        <v>#DIV/0!</v>
      </c>
      <c r="Y84" s="3258"/>
      <c r="Z84" s="3259"/>
    </row>
    <row r="85" spans="1:26" s="709" customFormat="1">
      <c r="A85" s="4902" t="s">
        <v>8244</v>
      </c>
      <c r="B85" s="4331" t="s">
        <v>9181</v>
      </c>
      <c r="C85" s="4886" t="s">
        <v>28</v>
      </c>
      <c r="D85" s="3266">
        <v>45451</v>
      </c>
      <c r="E85" s="3716">
        <v>45460</v>
      </c>
      <c r="F85" s="4886" t="s">
        <v>98</v>
      </c>
      <c r="G85" s="4886" t="s">
        <v>46</v>
      </c>
      <c r="H85" s="5550"/>
      <c r="I85" s="3246"/>
      <c r="J85" s="5326" t="s">
        <v>32</v>
      </c>
      <c r="K85" s="4886" t="s">
        <v>47</v>
      </c>
      <c r="L85" s="5048" t="s">
        <v>9182</v>
      </c>
      <c r="M85" s="3267">
        <v>45463</v>
      </c>
      <c r="N85" s="3267">
        <v>45462</v>
      </c>
      <c r="O85" s="3267"/>
      <c r="P85" s="3283" t="s">
        <v>9183</v>
      </c>
      <c r="Q85" s="5510" t="s">
        <v>6852</v>
      </c>
      <c r="R85" s="707" t="s">
        <v>51</v>
      </c>
      <c r="S85" s="4882"/>
      <c r="T85" s="3258"/>
      <c r="U85" s="3258"/>
      <c r="V85" s="3258"/>
      <c r="W85" s="3790">
        <f>表15_17[[#This Row],[Sales Amount]]-表15_17[[#This Row],[Cost]]</f>
        <v>0</v>
      </c>
      <c r="X85" s="3258" t="e">
        <f>表15_17[[#This Row],[Profit]]/表15_17[[#This Row],[Cost]]</f>
        <v>#DIV/0!</v>
      </c>
      <c r="Y85" s="3258"/>
      <c r="Z85" s="3259"/>
    </row>
    <row r="86" spans="1:26" s="709" customFormat="1" ht="60">
      <c r="A86" s="5375" t="s">
        <v>2505</v>
      </c>
      <c r="B86" s="5579" t="s">
        <v>9184</v>
      </c>
      <c r="C86" s="4908" t="s">
        <v>200</v>
      </c>
      <c r="D86" s="4906">
        <v>45448</v>
      </c>
      <c r="E86" s="4916">
        <v>45460</v>
      </c>
      <c r="F86" s="4908" t="s">
        <v>1828</v>
      </c>
      <c r="G86" s="4947" t="s">
        <v>302</v>
      </c>
      <c r="H86" s="4936">
        <v>45463</v>
      </c>
      <c r="I86" s="4929" t="s">
        <v>178</v>
      </c>
      <c r="J86" s="5375" t="s">
        <v>32</v>
      </c>
      <c r="K86" s="4908" t="s">
        <v>9185</v>
      </c>
      <c r="L86" s="4908" t="s">
        <v>9186</v>
      </c>
      <c r="M86" s="5070">
        <v>45463</v>
      </c>
      <c r="N86" s="4906">
        <v>45462</v>
      </c>
      <c r="O86" s="5376">
        <v>45463</v>
      </c>
      <c r="P86" s="5049" t="s">
        <v>9187</v>
      </c>
      <c r="Q86" s="5480" t="s">
        <v>75</v>
      </c>
      <c r="R86" s="5049" t="s">
        <v>9188</v>
      </c>
      <c r="S86" s="4874"/>
      <c r="T86" s="5580">
        <v>1210</v>
      </c>
      <c r="U86" s="5580">
        <v>1045</v>
      </c>
      <c r="V86" s="4874">
        <v>1</v>
      </c>
      <c r="W86" s="5580">
        <f>表15_17[[#This Row],[Sales Amount]]-表15_17[[#This Row],[Cost]]</f>
        <v>165</v>
      </c>
      <c r="X86" s="4874">
        <f>表15_17[[#This Row],[Profit]]/表15_17[[#This Row],[Cost]]</f>
        <v>0.15789473684210525</v>
      </c>
      <c r="Y86" s="4874"/>
      <c r="Z86" s="4874"/>
    </row>
    <row r="87" spans="1:26" ht="30">
      <c r="A87" s="5243" t="s">
        <v>7362</v>
      </c>
      <c r="B87" s="4908" t="s">
        <v>9189</v>
      </c>
      <c r="C87" s="4845" t="s">
        <v>28</v>
      </c>
      <c r="D87" s="4961">
        <v>45460</v>
      </c>
      <c r="E87" s="4916">
        <v>45460</v>
      </c>
      <c r="F87" s="4845" t="s">
        <v>98</v>
      </c>
      <c r="G87" s="4909" t="s">
        <v>9190</v>
      </c>
      <c r="H87" s="4918">
        <v>45467</v>
      </c>
      <c r="I87" s="4908" t="s">
        <v>9191</v>
      </c>
      <c r="J87" s="5375" t="s">
        <v>9112</v>
      </c>
      <c r="K87" s="4908" t="s">
        <v>9192</v>
      </c>
      <c r="L87" s="4845"/>
      <c r="M87" s="4906">
        <v>45467</v>
      </c>
      <c r="N87" s="4931">
        <v>45463</v>
      </c>
      <c r="O87" s="4906">
        <v>45463</v>
      </c>
      <c r="P87" s="4909" t="s">
        <v>9193</v>
      </c>
      <c r="Q87" s="5065" t="s">
        <v>75</v>
      </c>
      <c r="R87" s="4909" t="s">
        <v>9194</v>
      </c>
      <c r="S87" s="4845"/>
      <c r="T87" s="4845">
        <v>7291.14</v>
      </c>
      <c r="U87" s="4845">
        <f>4800+71.14+20+1620</f>
        <v>6511.14</v>
      </c>
      <c r="V87" s="4845"/>
      <c r="W87" s="5190">
        <f>表15_17[[#This Row],[Sales Amount]]-表15_17[[#This Row],[Cost]]</f>
        <v>780</v>
      </c>
      <c r="X87" s="5060">
        <f>表15_17[[#This Row],[Profit]]/表15_17[[#This Row],[Cost]]</f>
        <v>0.11979469033072548</v>
      </c>
      <c r="Y87" s="4845"/>
      <c r="Z87" s="4845"/>
    </row>
    <row r="88" spans="1:26" s="709" customFormat="1" ht="30">
      <c r="A88" s="5243" t="s">
        <v>7362</v>
      </c>
      <c r="B88" s="4908" t="s">
        <v>9195</v>
      </c>
      <c r="C88" s="4908" t="s">
        <v>28</v>
      </c>
      <c r="D88" s="4961">
        <v>45446</v>
      </c>
      <c r="E88" s="4916">
        <v>45460</v>
      </c>
      <c r="F88" s="4908" t="s">
        <v>45</v>
      </c>
      <c r="G88" s="4909" t="s">
        <v>801</v>
      </c>
      <c r="H88" s="4844">
        <v>45463</v>
      </c>
      <c r="I88" s="4844" t="s">
        <v>618</v>
      </c>
      <c r="J88" s="5375" t="s">
        <v>1028</v>
      </c>
      <c r="K88" s="4845" t="s">
        <v>5663</v>
      </c>
      <c r="L88" s="5059">
        <v>585390</v>
      </c>
      <c r="M88" s="4844">
        <v>45462</v>
      </c>
      <c r="N88" s="4844">
        <v>45462</v>
      </c>
      <c r="O88" s="4906">
        <v>45465</v>
      </c>
      <c r="P88" s="4909" t="s">
        <v>9196</v>
      </c>
      <c r="Q88" s="5065" t="s">
        <v>75</v>
      </c>
      <c r="R88" s="4837" t="s">
        <v>9197</v>
      </c>
      <c r="S88" s="4909" t="s">
        <v>9198</v>
      </c>
      <c r="T88" s="5190">
        <v>1640</v>
      </c>
      <c r="U88" s="5190">
        <v>1053.6300000000001</v>
      </c>
      <c r="V88" s="4845">
        <v>1</v>
      </c>
      <c r="W88" s="5190">
        <f>表15_17[[#This Row],[Sales Amount]]-表15_17[[#This Row],[Cost]]</f>
        <v>586.36999999999989</v>
      </c>
      <c r="X88" s="5060">
        <f>表15_17[[#This Row],[Profit]]/表15_17[[#This Row],[Cost]]</f>
        <v>0.55652363732999233</v>
      </c>
      <c r="Y88" s="4845"/>
      <c r="Z88" s="4845"/>
    </row>
    <row r="89" spans="1:26" s="709" customFormat="1">
      <c r="A89" s="5471" t="s">
        <v>4815</v>
      </c>
      <c r="B89" s="5503" t="s">
        <v>9199</v>
      </c>
      <c r="C89" s="4874" t="s">
        <v>4010</v>
      </c>
      <c r="D89" s="5498">
        <v>45452</v>
      </c>
      <c r="E89" s="5499">
        <v>45460</v>
      </c>
      <c r="F89" s="4874" t="s">
        <v>56</v>
      </c>
      <c r="G89" s="4874" t="s">
        <v>382</v>
      </c>
      <c r="H89" s="5548"/>
      <c r="I89" s="4874"/>
      <c r="J89" s="5326" t="s">
        <v>9127</v>
      </c>
      <c r="K89" s="4874" t="s">
        <v>47</v>
      </c>
      <c r="L89" s="4861"/>
      <c r="M89" s="4903"/>
      <c r="N89" s="5024">
        <v>45460</v>
      </c>
      <c r="O89" s="5024">
        <v>45460</v>
      </c>
      <c r="P89" s="5087" t="s">
        <v>9200</v>
      </c>
      <c r="Q89" s="5553" t="s">
        <v>6852</v>
      </c>
      <c r="R89" s="4873" t="s">
        <v>51</v>
      </c>
      <c r="S89" s="4873"/>
      <c r="T89" s="4873">
        <v>4169</v>
      </c>
      <c r="U89" s="4873"/>
      <c r="V89" s="4873"/>
      <c r="W89" s="5554">
        <f>表15_17[[#This Row],[Sales Amount]]-表15_17[[#This Row],[Cost]]</f>
        <v>4169</v>
      </c>
      <c r="X89" s="4873" t="e">
        <f>表15_17[[#This Row],[Profit]]/表15_17[[#This Row],[Cost]]</f>
        <v>#DIV/0!</v>
      </c>
      <c r="Y89" s="4873"/>
      <c r="Z89" s="4873"/>
    </row>
    <row r="90" spans="1:26">
      <c r="A90" s="5471" t="s">
        <v>4815</v>
      </c>
      <c r="B90" s="5503" t="s">
        <v>9201</v>
      </c>
      <c r="C90" s="4874" t="s">
        <v>4010</v>
      </c>
      <c r="D90" s="5498">
        <v>45452</v>
      </c>
      <c r="E90" s="5499">
        <v>45460</v>
      </c>
      <c r="F90" s="4874" t="s">
        <v>56</v>
      </c>
      <c r="G90" s="4874" t="s">
        <v>382</v>
      </c>
      <c r="H90" s="5548"/>
      <c r="I90" s="4874"/>
      <c r="J90" s="5326" t="s">
        <v>9127</v>
      </c>
      <c r="K90" s="4874" t="s">
        <v>47</v>
      </c>
      <c r="L90" s="4861"/>
      <c r="M90" s="4903"/>
      <c r="N90" s="5024">
        <v>45460</v>
      </c>
      <c r="O90" s="5024">
        <v>45460</v>
      </c>
      <c r="P90" s="5087" t="s">
        <v>9202</v>
      </c>
      <c r="Q90" s="5553" t="s">
        <v>6852</v>
      </c>
      <c r="R90" s="4873" t="s">
        <v>36</v>
      </c>
      <c r="S90" s="4873"/>
      <c r="T90" s="4873">
        <v>4815.2</v>
      </c>
      <c r="U90" s="4873"/>
      <c r="V90" s="4873"/>
      <c r="W90" s="5554">
        <f>表15_17[[#This Row],[Sales Amount]]-表15_17[[#This Row],[Cost]]</f>
        <v>4815.2</v>
      </c>
      <c r="X90" s="4873" t="e">
        <f>表15_17[[#This Row],[Profit]]/表15_17[[#This Row],[Cost]]</f>
        <v>#DIV/0!</v>
      </c>
      <c r="Y90" s="4873"/>
      <c r="Z90" s="4873"/>
    </row>
    <row r="91" spans="1:26" s="709" customFormat="1" ht="30">
      <c r="A91" s="3686" t="s">
        <v>2966</v>
      </c>
      <c r="B91" s="4908" t="s">
        <v>9203</v>
      </c>
      <c r="C91" s="4845" t="s">
        <v>28</v>
      </c>
      <c r="D91" s="4906">
        <v>45460</v>
      </c>
      <c r="E91" s="4916">
        <v>45460</v>
      </c>
      <c r="F91" s="4908" t="s">
        <v>2225</v>
      </c>
      <c r="G91" s="4908" t="s">
        <v>9204</v>
      </c>
      <c r="H91" s="5375" t="s">
        <v>162</v>
      </c>
      <c r="I91" s="5375" t="s">
        <v>162</v>
      </c>
      <c r="J91" s="5375" t="s">
        <v>162</v>
      </c>
      <c r="K91" s="4246" t="s">
        <v>9205</v>
      </c>
      <c r="L91" s="4989" t="s">
        <v>9206</v>
      </c>
      <c r="M91" s="4982">
        <v>45468</v>
      </c>
      <c r="N91" s="4982">
        <v>45467</v>
      </c>
      <c r="O91" s="4982">
        <v>45469</v>
      </c>
      <c r="P91" s="4104" t="s">
        <v>9207</v>
      </c>
      <c r="Q91" s="5065" t="s">
        <v>75</v>
      </c>
      <c r="R91" s="4845" t="s">
        <v>9208</v>
      </c>
      <c r="S91" s="4930" t="s">
        <v>2373</v>
      </c>
      <c r="T91" s="4934"/>
      <c r="U91" s="4934"/>
      <c r="V91" s="4934"/>
      <c r="W91" s="5562">
        <f>表15_17[[#This Row],[Sales Amount]]-表15_17[[#This Row],[Cost]]</f>
        <v>0</v>
      </c>
      <c r="X91" s="4934" t="e">
        <f>表15_17[[#This Row],[Profit]]/表15_17[[#This Row],[Cost]]</f>
        <v>#DIV/0!</v>
      </c>
      <c r="Y91" s="4934"/>
      <c r="Z91" s="4934"/>
    </row>
    <row r="92" spans="1:26">
      <c r="A92" s="5326" t="s">
        <v>409</v>
      </c>
      <c r="B92" s="709" t="s">
        <v>9209</v>
      </c>
      <c r="C92" s="4861" t="s">
        <v>28</v>
      </c>
      <c r="D92" s="4940">
        <v>45453</v>
      </c>
      <c r="E92" s="5052">
        <v>45460</v>
      </c>
      <c r="F92" s="4861" t="s">
        <v>260</v>
      </c>
      <c r="G92" s="709" t="s">
        <v>46</v>
      </c>
      <c r="H92" s="5550"/>
      <c r="I92" s="4861"/>
      <c r="J92" s="5326" t="s">
        <v>32</v>
      </c>
      <c r="K92" s="4861" t="s">
        <v>47</v>
      </c>
      <c r="L92" s="4902" t="s">
        <v>9210</v>
      </c>
      <c r="M92" s="5563">
        <v>45462</v>
      </c>
      <c r="N92" s="4903">
        <v>45461</v>
      </c>
      <c r="O92" s="4903"/>
      <c r="P92" s="1019" t="s">
        <v>9211</v>
      </c>
      <c r="Q92" s="5510" t="s">
        <v>6852</v>
      </c>
      <c r="R92" s="4882" t="s">
        <v>36</v>
      </c>
      <c r="S92" s="4882"/>
      <c r="T92" s="4882"/>
      <c r="U92" s="4882"/>
      <c r="V92" s="4882"/>
      <c r="W92" s="5552">
        <f>表15_17[[#This Row],[Sales Amount]]-表15_17[[#This Row],[Cost]]</f>
        <v>0</v>
      </c>
      <c r="X92" s="4882" t="e">
        <f>表15_17[[#This Row],[Profit]]/表15_17[[#This Row],[Cost]]</f>
        <v>#DIV/0!</v>
      </c>
      <c r="Y92" s="4882"/>
      <c r="Z92" s="4882"/>
    </row>
    <row r="93" spans="1:26" s="709" customFormat="1">
      <c r="A93" s="5326" t="s">
        <v>409</v>
      </c>
      <c r="B93" s="709" t="s">
        <v>9212</v>
      </c>
      <c r="C93" s="4861" t="s">
        <v>28</v>
      </c>
      <c r="D93" s="4940">
        <v>45453</v>
      </c>
      <c r="E93" s="5052">
        <v>45460</v>
      </c>
      <c r="F93" s="4861" t="s">
        <v>260</v>
      </c>
      <c r="G93" s="4861" t="s">
        <v>46</v>
      </c>
      <c r="H93" s="5550"/>
      <c r="I93" s="4861"/>
      <c r="J93" s="5326" t="s">
        <v>32</v>
      </c>
      <c r="K93" s="4861" t="s">
        <v>47</v>
      </c>
      <c r="L93" s="5561" t="s">
        <v>9213</v>
      </c>
      <c r="M93" s="4903">
        <v>45462</v>
      </c>
      <c r="N93" s="4903">
        <v>45460</v>
      </c>
      <c r="O93" s="4903"/>
      <c r="P93" s="1019" t="s">
        <v>9214</v>
      </c>
      <c r="Q93" s="5510" t="s">
        <v>6852</v>
      </c>
      <c r="R93" s="4882" t="s">
        <v>9215</v>
      </c>
      <c r="S93" s="4882"/>
      <c r="T93" s="4882"/>
      <c r="U93" s="4882"/>
      <c r="V93" s="4882"/>
      <c r="W93" s="5552">
        <f>表15_17[[#This Row],[Sales Amount]]-表15_17[[#This Row],[Cost]]</f>
        <v>0</v>
      </c>
      <c r="X93" s="4882" t="e">
        <f>表15_17[[#This Row],[Profit]]/表15_17[[#This Row],[Cost]]</f>
        <v>#DIV/0!</v>
      </c>
      <c r="Y93" s="4882"/>
      <c r="Z93" s="4882"/>
    </row>
    <row r="94" spans="1:26" ht="135">
      <c r="A94" s="5375" t="s">
        <v>8328</v>
      </c>
      <c r="B94" s="4908" t="s">
        <v>9216</v>
      </c>
      <c r="C94" s="4845" t="s">
        <v>28</v>
      </c>
      <c r="D94" s="4961">
        <v>45445</v>
      </c>
      <c r="E94" s="4916">
        <v>45461</v>
      </c>
      <c r="F94" s="4908" t="s">
        <v>245</v>
      </c>
      <c r="G94" s="4908" t="s">
        <v>57</v>
      </c>
      <c r="H94" s="4918">
        <v>45463</v>
      </c>
      <c r="I94" s="4929" t="s">
        <v>1196</v>
      </c>
      <c r="J94" s="4844" t="s">
        <v>1353</v>
      </c>
      <c r="K94" s="4908" t="s">
        <v>9166</v>
      </c>
      <c r="L94" s="5581" t="s">
        <v>9217</v>
      </c>
      <c r="M94" s="4918">
        <v>45463</v>
      </c>
      <c r="N94" s="4918">
        <v>45463</v>
      </c>
      <c r="O94" s="4906">
        <v>45464</v>
      </c>
      <c r="P94" s="4932" t="s">
        <v>9218</v>
      </c>
      <c r="Q94" s="5065" t="s">
        <v>75</v>
      </c>
      <c r="R94" s="4908" t="s">
        <v>9219</v>
      </c>
      <c r="S94" s="4934"/>
      <c r="T94" s="5110">
        <v>2485</v>
      </c>
      <c r="U94" s="4845">
        <v>2148.8000000000002</v>
      </c>
      <c r="V94" s="4934"/>
      <c r="W94" s="5190">
        <f>表15_17[[#This Row],[Sales Amount]]-表15_17[[#This Row],[Cost]]</f>
        <v>336.19999999999982</v>
      </c>
      <c r="X94" s="5575">
        <f>表15_17[[#This Row],[Profit]]/表15_17[[#This Row],[Cost]]</f>
        <v>0.15645941921072218</v>
      </c>
      <c r="Y94" s="4934"/>
      <c r="Z94" s="4934"/>
    </row>
    <row r="95" spans="1:26" s="806" customFormat="1">
      <c r="A95" s="5326" t="s">
        <v>409</v>
      </c>
      <c r="B95" s="4861" t="s">
        <v>9220</v>
      </c>
      <c r="C95" s="4861" t="s">
        <v>28</v>
      </c>
      <c r="D95" s="4940">
        <v>45443</v>
      </c>
      <c r="E95" s="5333">
        <v>45461</v>
      </c>
      <c r="F95" s="4861" t="s">
        <v>2225</v>
      </c>
      <c r="G95" s="4861" t="s">
        <v>57</v>
      </c>
      <c r="H95" s="5550"/>
      <c r="I95" s="4861"/>
      <c r="J95" s="5326" t="s">
        <v>32</v>
      </c>
      <c r="K95" s="4861" t="s">
        <v>47</v>
      </c>
      <c r="L95" s="5561" t="s">
        <v>9221</v>
      </c>
      <c r="M95" s="4903">
        <v>45463</v>
      </c>
      <c r="N95" s="4903">
        <v>45462</v>
      </c>
      <c r="O95" s="4903"/>
      <c r="P95" s="4871" t="s">
        <v>9222</v>
      </c>
      <c r="Q95" s="5510" t="s">
        <v>6852</v>
      </c>
      <c r="R95" s="4882" t="s">
        <v>36</v>
      </c>
      <c r="S95" s="4882"/>
      <c r="T95" s="4882"/>
      <c r="U95" s="4882"/>
      <c r="V95" s="4882"/>
      <c r="W95" s="5552">
        <f>表15_17[[#This Row],[Sales Amount]]-表15_17[[#This Row],[Cost]]</f>
        <v>0</v>
      </c>
      <c r="X95" s="4882" t="e">
        <f>表15_17[[#This Row],[Profit]]/表15_17[[#This Row],[Cost]]</f>
        <v>#DIV/0!</v>
      </c>
      <c r="Y95" s="4882"/>
      <c r="Z95" s="4882"/>
    </row>
    <row r="96" spans="1:26" s="709" customFormat="1">
      <c r="A96" s="5326" t="s">
        <v>7678</v>
      </c>
      <c r="B96" s="5352" t="s">
        <v>9223</v>
      </c>
      <c r="C96" s="4861" t="s">
        <v>28</v>
      </c>
      <c r="D96" s="4940">
        <v>45457</v>
      </c>
      <c r="E96" s="5568">
        <v>45461</v>
      </c>
      <c r="F96" s="4861" t="s">
        <v>173</v>
      </c>
      <c r="G96" s="4861" t="s">
        <v>7684</v>
      </c>
      <c r="H96" s="5326" t="s">
        <v>8102</v>
      </c>
      <c r="I96" s="4861"/>
      <c r="J96" s="5325"/>
      <c r="K96" s="4861" t="s">
        <v>9224</v>
      </c>
      <c r="L96" s="4861"/>
      <c r="M96" s="4903"/>
      <c r="N96" s="4903">
        <v>45468</v>
      </c>
      <c r="O96" s="4903">
        <v>45469</v>
      </c>
      <c r="P96" s="5491" t="s">
        <v>9225</v>
      </c>
      <c r="Q96" s="5510" t="s">
        <v>9226</v>
      </c>
      <c r="R96" s="5510" t="s">
        <v>9227</v>
      </c>
      <c r="S96" s="4882" t="s">
        <v>2373</v>
      </c>
      <c r="T96" s="4882"/>
      <c r="U96" s="4882"/>
      <c r="V96" s="4882"/>
      <c r="W96" s="5552">
        <f>表15_17[[#This Row],[Sales Amount]]-表15_17[[#This Row],[Cost]]</f>
        <v>0</v>
      </c>
      <c r="X96" s="4882" t="e">
        <f>表15_17[[#This Row],[Profit]]/表15_17[[#This Row],[Cost]]</f>
        <v>#DIV/0!</v>
      </c>
      <c r="Y96" s="4882"/>
      <c r="Z96" s="4882"/>
    </row>
    <row r="97" spans="1:26" s="117" customFormat="1">
      <c r="A97" s="5326" t="s">
        <v>7678</v>
      </c>
      <c r="B97" s="5352" t="s">
        <v>9228</v>
      </c>
      <c r="C97" s="4861" t="s">
        <v>28</v>
      </c>
      <c r="D97" s="4940">
        <v>45461</v>
      </c>
      <c r="E97" s="5568">
        <v>45461</v>
      </c>
      <c r="F97" s="4861" t="s">
        <v>173</v>
      </c>
      <c r="G97" s="4864" t="s">
        <v>9229</v>
      </c>
      <c r="H97" s="5326" t="s">
        <v>8102</v>
      </c>
      <c r="I97" s="4861"/>
      <c r="J97" s="5325"/>
      <c r="K97" s="4861"/>
      <c r="L97" s="4861"/>
      <c r="M97" s="4903"/>
      <c r="N97" s="4903">
        <v>45467</v>
      </c>
      <c r="O97" s="4903">
        <v>45467</v>
      </c>
      <c r="P97" s="4871" t="s">
        <v>9230</v>
      </c>
      <c r="Q97" s="5510" t="s">
        <v>9226</v>
      </c>
      <c r="R97" s="5425" t="s">
        <v>9231</v>
      </c>
      <c r="S97" s="4882" t="s">
        <v>2373</v>
      </c>
      <c r="T97" s="4882"/>
      <c r="U97" s="4882"/>
      <c r="V97" s="4882"/>
      <c r="W97" s="5552">
        <f>表15_17[[#This Row],[Sales Amount]]-表15_17[[#This Row],[Cost]]</f>
        <v>0</v>
      </c>
      <c r="X97" s="4882" t="e">
        <f>表15_17[[#This Row],[Profit]]/表15_17[[#This Row],[Cost]]</f>
        <v>#DIV/0!</v>
      </c>
      <c r="Y97" s="4882"/>
      <c r="Z97" s="4882"/>
    </row>
    <row r="98" spans="1:26" s="709" customFormat="1">
      <c r="A98" s="5326" t="s">
        <v>409</v>
      </c>
      <c r="B98" s="4861" t="s">
        <v>9232</v>
      </c>
      <c r="C98" s="4861" t="s">
        <v>28</v>
      </c>
      <c r="D98" s="4940">
        <v>45453</v>
      </c>
      <c r="E98" s="5052">
        <v>45461</v>
      </c>
      <c r="F98" s="4861" t="s">
        <v>260</v>
      </c>
      <c r="G98" s="4861" t="s">
        <v>46</v>
      </c>
      <c r="H98" s="5550"/>
      <c r="I98" s="4861"/>
      <c r="J98" s="5326" t="s">
        <v>32</v>
      </c>
      <c r="K98" s="4861" t="s">
        <v>47</v>
      </c>
      <c r="L98" s="2937" t="s">
        <v>9233</v>
      </c>
      <c r="M98" s="4903">
        <v>45464</v>
      </c>
      <c r="N98" s="4903">
        <v>45463</v>
      </c>
      <c r="O98" s="4903"/>
      <c r="P98" s="4871" t="s">
        <v>9234</v>
      </c>
      <c r="Q98" s="5510" t="s">
        <v>6852</v>
      </c>
      <c r="R98" s="4882" t="s">
        <v>36</v>
      </c>
      <c r="S98" s="4882"/>
      <c r="T98" s="4882"/>
      <c r="U98" s="4882"/>
      <c r="V98" s="4882"/>
      <c r="W98" s="5552">
        <f>表15_17[[#This Row],[Sales Amount]]-表15_17[[#This Row],[Cost]]</f>
        <v>0</v>
      </c>
      <c r="X98" s="4882" t="e">
        <f>表15_17[[#This Row],[Profit]]/表15_17[[#This Row],[Cost]]</f>
        <v>#DIV/0!</v>
      </c>
      <c r="Y98" s="4882"/>
      <c r="Z98" s="4882"/>
    </row>
    <row r="99" spans="1:26" s="709" customFormat="1" ht="45">
      <c r="A99" s="5375" t="s">
        <v>165</v>
      </c>
      <c r="B99" s="4150" t="s">
        <v>9235</v>
      </c>
      <c r="C99" s="4908" t="s">
        <v>28</v>
      </c>
      <c r="D99" s="4906">
        <v>45461</v>
      </c>
      <c r="E99" s="4916">
        <v>45461</v>
      </c>
      <c r="F99" s="4908" t="s">
        <v>167</v>
      </c>
      <c r="G99" s="5582" t="s">
        <v>9236</v>
      </c>
      <c r="H99" s="5583">
        <v>45476</v>
      </c>
      <c r="I99" s="5583" t="s">
        <v>899</v>
      </c>
      <c r="J99" s="2363" t="s">
        <v>784</v>
      </c>
      <c r="K99" s="5584" t="s">
        <v>9237</v>
      </c>
      <c r="L99" s="5585"/>
      <c r="M99" s="5585">
        <v>45467</v>
      </c>
      <c r="N99" s="5585">
        <v>45467</v>
      </c>
      <c r="O99" s="5586">
        <v>45481</v>
      </c>
      <c r="P99" s="2939" t="s">
        <v>9238</v>
      </c>
      <c r="Q99" s="5065" t="s">
        <v>75</v>
      </c>
      <c r="R99" s="2942" t="s">
        <v>9239</v>
      </c>
      <c r="S99" s="5584"/>
      <c r="T99" s="5587">
        <v>2348.6</v>
      </c>
      <c r="U99" s="5587">
        <v>1480</v>
      </c>
      <c r="V99" s="4845"/>
      <c r="W99" s="5190">
        <f>表15_17[[#This Row],[Sales Amount]]-表15_17[[#This Row],[Cost]]</f>
        <v>868.59999999999991</v>
      </c>
      <c r="X99" s="5060">
        <f>表15_17[[#This Row],[Profit]]/表15_17[[#This Row],[Cost]]</f>
        <v>0.58689189189189184</v>
      </c>
      <c r="Y99" s="4845"/>
      <c r="Z99" s="4845"/>
    </row>
    <row r="100" spans="1:26" s="709" customFormat="1">
      <c r="A100" s="5326" t="s">
        <v>409</v>
      </c>
      <c r="B100" s="4861" t="s">
        <v>9240</v>
      </c>
      <c r="C100" s="4861" t="s">
        <v>28</v>
      </c>
      <c r="D100" s="4940">
        <v>45443</v>
      </c>
      <c r="E100" s="5333">
        <v>45462</v>
      </c>
      <c r="F100" s="4861" t="s">
        <v>2225</v>
      </c>
      <c r="G100" s="4861" t="s">
        <v>57</v>
      </c>
      <c r="H100" s="5550"/>
      <c r="I100" s="4861"/>
      <c r="J100" s="5326" t="s">
        <v>32</v>
      </c>
      <c r="K100" s="4861" t="s">
        <v>47</v>
      </c>
      <c r="L100" s="5561" t="s">
        <v>9241</v>
      </c>
      <c r="M100" s="4903">
        <v>45462</v>
      </c>
      <c r="N100" s="4903">
        <v>45461</v>
      </c>
      <c r="O100" s="4903"/>
      <c r="P100" s="4871" t="s">
        <v>9242</v>
      </c>
      <c r="Q100" s="5510" t="s">
        <v>6852</v>
      </c>
      <c r="R100" s="4882" t="s">
        <v>36</v>
      </c>
      <c r="S100" s="4882"/>
      <c r="T100" s="4882"/>
      <c r="U100" s="4882"/>
      <c r="V100" s="4882"/>
      <c r="W100" s="5552">
        <f>表15_17[[#This Row],[Sales Amount]]-表15_17[[#This Row],[Cost]]</f>
        <v>0</v>
      </c>
      <c r="X100" s="4882" t="e">
        <f>表15_17[[#This Row],[Profit]]/表15_17[[#This Row],[Cost]]</f>
        <v>#DIV/0!</v>
      </c>
      <c r="Y100" s="4882"/>
      <c r="Z100" s="4882"/>
    </row>
    <row r="101" spans="1:26" s="709" customFormat="1">
      <c r="A101" s="5326" t="s">
        <v>7678</v>
      </c>
      <c r="B101" s="5352" t="s">
        <v>9243</v>
      </c>
      <c r="C101" s="4861" t="s">
        <v>28</v>
      </c>
      <c r="D101" s="4940">
        <v>45462</v>
      </c>
      <c r="E101" s="4940">
        <v>45462</v>
      </c>
      <c r="F101" s="4861" t="s">
        <v>173</v>
      </c>
      <c r="G101" s="4861" t="s">
        <v>9244</v>
      </c>
      <c r="H101" s="5326" t="s">
        <v>8102</v>
      </c>
      <c r="I101" s="4861"/>
      <c r="J101" s="5326"/>
      <c r="K101" s="4861"/>
      <c r="L101" s="4861"/>
      <c r="M101" s="4903"/>
      <c r="N101" s="4903">
        <v>45474</v>
      </c>
      <c r="O101" s="4903">
        <v>45476</v>
      </c>
      <c r="P101" s="4871" t="s">
        <v>9245</v>
      </c>
      <c r="Q101" s="5510" t="s">
        <v>9226</v>
      </c>
      <c r="R101" s="5425" t="s">
        <v>9246</v>
      </c>
      <c r="S101" s="4882" t="s">
        <v>2373</v>
      </c>
      <c r="T101" s="4882"/>
      <c r="U101" s="4882"/>
      <c r="V101" s="4882"/>
      <c r="W101" s="5552">
        <f>表15_17[[#This Row],[Sales Amount]]-表15_17[[#This Row],[Cost]]</f>
        <v>0</v>
      </c>
      <c r="X101" s="4882" t="e">
        <f>表15_17[[#This Row],[Profit]]/表15_17[[#This Row],[Cost]]</f>
        <v>#DIV/0!</v>
      </c>
      <c r="Y101" s="4882"/>
      <c r="Z101" s="4882"/>
    </row>
    <row r="102" spans="1:26" s="709" customFormat="1">
      <c r="A102" s="5326" t="s">
        <v>7678</v>
      </c>
      <c r="B102" s="5352" t="s">
        <v>9247</v>
      </c>
      <c r="C102" s="4861" t="s">
        <v>28</v>
      </c>
      <c r="D102" s="4940">
        <v>45462</v>
      </c>
      <c r="E102" s="4940">
        <v>45462</v>
      </c>
      <c r="F102" s="4861" t="s">
        <v>173</v>
      </c>
      <c r="G102" s="4861" t="s">
        <v>9244</v>
      </c>
      <c r="H102" s="5326" t="s">
        <v>8102</v>
      </c>
      <c r="I102" s="4861"/>
      <c r="J102" s="5326"/>
      <c r="K102" s="4861"/>
      <c r="L102" s="4861"/>
      <c r="M102" s="4903"/>
      <c r="N102" s="4903">
        <v>45469</v>
      </c>
      <c r="O102" s="4903">
        <v>45474</v>
      </c>
      <c r="P102" s="4871" t="s">
        <v>9248</v>
      </c>
      <c r="Q102" s="5510" t="s">
        <v>9226</v>
      </c>
      <c r="R102" s="5425" t="s">
        <v>9249</v>
      </c>
      <c r="S102" s="4882" t="s">
        <v>2373</v>
      </c>
      <c r="T102" s="4882"/>
      <c r="U102" s="4882"/>
      <c r="V102" s="4882"/>
      <c r="W102" s="5552">
        <f>表15_17[[#This Row],[Sales Amount]]-表15_17[[#This Row],[Cost]]</f>
        <v>0</v>
      </c>
      <c r="X102" s="4882" t="e">
        <f>表15_17[[#This Row],[Profit]]/表15_17[[#This Row],[Cost]]</f>
        <v>#DIV/0!</v>
      </c>
      <c r="Y102" s="4882"/>
      <c r="Z102" s="4882"/>
    </row>
    <row r="103" spans="1:26">
      <c r="A103" s="5326" t="s">
        <v>263</v>
      </c>
      <c r="B103" s="4861" t="s">
        <v>9250</v>
      </c>
      <c r="C103" s="4861" t="s">
        <v>44</v>
      </c>
      <c r="D103" s="4940">
        <v>45462</v>
      </c>
      <c r="E103" s="4940">
        <v>45462</v>
      </c>
      <c r="F103" s="4861" t="s">
        <v>63</v>
      </c>
      <c r="G103" s="4861" t="s">
        <v>265</v>
      </c>
      <c r="H103" s="5550"/>
      <c r="I103" s="4861"/>
      <c r="J103" s="5326"/>
      <c r="K103" s="4861" t="s">
        <v>8279</v>
      </c>
      <c r="L103" s="4861"/>
      <c r="M103" s="4903"/>
      <c r="N103" s="4903"/>
      <c r="O103" s="4903"/>
      <c r="P103" s="4871" t="s">
        <v>9251</v>
      </c>
      <c r="Q103" s="5510" t="s">
        <v>128</v>
      </c>
      <c r="R103" s="4882" t="s">
        <v>36</v>
      </c>
      <c r="S103" s="4882"/>
      <c r="T103" s="4882"/>
      <c r="U103" s="4882"/>
      <c r="V103" s="4882"/>
      <c r="W103" s="5552">
        <f>表15_17[[#This Row],[Sales Amount]]-表15_17[[#This Row],[Cost]]</f>
        <v>0</v>
      </c>
      <c r="X103" s="4882" t="e">
        <f>表15_17[[#This Row],[Profit]]/表15_17[[#This Row],[Cost]]</f>
        <v>#DIV/0!</v>
      </c>
      <c r="Y103" s="4882"/>
      <c r="Z103" s="4882"/>
    </row>
    <row r="104" spans="1:26">
      <c r="A104" s="5471" t="s">
        <v>4815</v>
      </c>
      <c r="B104" s="5503" t="s">
        <v>9252</v>
      </c>
      <c r="C104" s="4874" t="s">
        <v>4010</v>
      </c>
      <c r="D104" s="5498">
        <v>45452</v>
      </c>
      <c r="E104" s="5499">
        <v>45462</v>
      </c>
      <c r="F104" s="4874" t="s">
        <v>56</v>
      </c>
      <c r="G104" s="4874" t="s">
        <v>382</v>
      </c>
      <c r="H104" s="5548"/>
      <c r="I104" s="4874"/>
      <c r="J104" s="5326" t="s">
        <v>9127</v>
      </c>
      <c r="K104" s="4874" t="s">
        <v>47</v>
      </c>
      <c r="L104" s="4861"/>
      <c r="M104" s="4903"/>
      <c r="N104" s="5024">
        <v>45462</v>
      </c>
      <c r="O104" s="5024">
        <v>45462</v>
      </c>
      <c r="P104" s="5087" t="s">
        <v>9253</v>
      </c>
      <c r="Q104" s="5553" t="s">
        <v>6852</v>
      </c>
      <c r="R104" s="4873" t="s">
        <v>51</v>
      </c>
      <c r="S104" s="4873"/>
      <c r="T104" s="4873">
        <v>2994</v>
      </c>
      <c r="U104" s="4873"/>
      <c r="V104" s="4873"/>
      <c r="W104" s="5554">
        <f>表15_17[[#This Row],[Sales Amount]]-表15_17[[#This Row],[Cost]]</f>
        <v>2994</v>
      </c>
      <c r="X104" s="4873" t="e">
        <f>表15_17[[#This Row],[Profit]]/表15_17[[#This Row],[Cost]]</f>
        <v>#DIV/0!</v>
      </c>
      <c r="Y104" s="4873"/>
      <c r="Z104" s="4873"/>
    </row>
    <row r="105" spans="1:26" s="709" customFormat="1" ht="45">
      <c r="A105" s="5375" t="s">
        <v>468</v>
      </c>
      <c r="B105" s="4970" t="s">
        <v>9254</v>
      </c>
      <c r="C105" s="4845" t="s">
        <v>200</v>
      </c>
      <c r="D105" s="4906">
        <v>45454</v>
      </c>
      <c r="E105" s="4916">
        <v>45463</v>
      </c>
      <c r="F105" s="4845" t="s">
        <v>93</v>
      </c>
      <c r="G105" s="4947" t="s">
        <v>302</v>
      </c>
      <c r="H105" s="4961">
        <v>45467</v>
      </c>
      <c r="I105" s="4908" t="s">
        <v>583</v>
      </c>
      <c r="J105" s="5375" t="s">
        <v>8136</v>
      </c>
      <c r="K105" s="4921" t="s">
        <v>6173</v>
      </c>
      <c r="L105" s="4908" t="s">
        <v>9255</v>
      </c>
      <c r="M105" s="4961">
        <v>45466</v>
      </c>
      <c r="N105" s="4906">
        <v>45466</v>
      </c>
      <c r="O105" s="4917">
        <v>45467</v>
      </c>
      <c r="P105" s="4829" t="s">
        <v>9256</v>
      </c>
      <c r="Q105" s="5065" t="s">
        <v>75</v>
      </c>
      <c r="R105" s="4837" t="s">
        <v>9257</v>
      </c>
      <c r="S105" s="4845"/>
      <c r="T105" s="5190">
        <v>1855</v>
      </c>
      <c r="U105" s="5190">
        <v>1338.2</v>
      </c>
      <c r="V105" s="4845">
        <v>1</v>
      </c>
      <c r="W105" s="5190">
        <f>表15_17[[#This Row],[Sales Amount]]-表15_17[[#This Row],[Cost]]</f>
        <v>516.79999999999995</v>
      </c>
      <c r="X105" s="5060">
        <f>表15_17[[#This Row],[Profit]]/表15_17[[#This Row],[Cost]]</f>
        <v>0.38619040502167085</v>
      </c>
      <c r="Y105" s="4837" t="s">
        <v>5640</v>
      </c>
      <c r="Z105" s="4845"/>
    </row>
    <row r="106" spans="1:26" s="709" customFormat="1" ht="30">
      <c r="A106" s="5375" t="s">
        <v>1051</v>
      </c>
      <c r="B106" s="5588" t="s">
        <v>9258</v>
      </c>
      <c r="C106" s="4908" t="s">
        <v>28</v>
      </c>
      <c r="D106" s="4906">
        <v>45457</v>
      </c>
      <c r="E106" s="4916">
        <v>45463</v>
      </c>
      <c r="F106" s="4845" t="s">
        <v>93</v>
      </c>
      <c r="G106" s="4947" t="s">
        <v>302</v>
      </c>
      <c r="H106" s="4918">
        <v>45467</v>
      </c>
      <c r="I106" s="4918" t="s">
        <v>495</v>
      </c>
      <c r="J106" s="5375" t="s">
        <v>1353</v>
      </c>
      <c r="K106" s="4908" t="s">
        <v>9259</v>
      </c>
      <c r="L106" s="4929" t="s">
        <v>9260</v>
      </c>
      <c r="M106" s="4936">
        <v>45466</v>
      </c>
      <c r="N106" s="4988">
        <v>45467</v>
      </c>
      <c r="O106" s="4906">
        <v>45467</v>
      </c>
      <c r="P106" s="4909" t="s">
        <v>9261</v>
      </c>
      <c r="Q106" s="5589" t="s">
        <v>75</v>
      </c>
      <c r="R106" s="4837" t="s">
        <v>9262</v>
      </c>
      <c r="S106" s="4934"/>
      <c r="T106" s="5562">
        <v>1330</v>
      </c>
      <c r="U106" s="5562">
        <v>1203.5999999999999</v>
      </c>
      <c r="V106" s="4934">
        <v>1</v>
      </c>
      <c r="W106" s="5562">
        <f>表15_17[[#This Row],[Sales Amount]]-表15_17[[#This Row],[Cost]]</f>
        <v>126.40000000000009</v>
      </c>
      <c r="X106" s="5567">
        <f>表15_17[[#This Row],[Profit]]/表15_17[[#This Row],[Cost]]</f>
        <v>0.1050182784978399</v>
      </c>
      <c r="Y106" s="4934"/>
      <c r="Z106" s="4934"/>
    </row>
    <row r="107" spans="1:26" s="709" customFormat="1">
      <c r="A107" s="5326" t="s">
        <v>409</v>
      </c>
      <c r="B107" s="4861" t="s">
        <v>9263</v>
      </c>
      <c r="C107" s="4839" t="s">
        <v>28</v>
      </c>
      <c r="D107" s="4957">
        <v>45451</v>
      </c>
      <c r="E107" s="5152">
        <v>45463</v>
      </c>
      <c r="F107" s="4839" t="s">
        <v>45</v>
      </c>
      <c r="G107" s="4839" t="s">
        <v>46</v>
      </c>
      <c r="H107" s="5550"/>
      <c r="I107" s="4861"/>
      <c r="J107" s="4901" t="s">
        <v>32</v>
      </c>
      <c r="K107" s="4839" t="s">
        <v>47</v>
      </c>
      <c r="L107" s="4839" t="s">
        <v>9264</v>
      </c>
      <c r="M107" s="4903">
        <v>45468</v>
      </c>
      <c r="N107" s="4903">
        <v>45468</v>
      </c>
      <c r="O107" s="4903"/>
      <c r="P107" s="4871" t="s">
        <v>9265</v>
      </c>
      <c r="Q107" s="5510" t="s">
        <v>6852</v>
      </c>
      <c r="R107" s="4882" t="s">
        <v>36</v>
      </c>
      <c r="S107" s="4882"/>
      <c r="T107" s="4882"/>
      <c r="U107" s="4882"/>
      <c r="V107" s="4882"/>
      <c r="W107" s="5552">
        <f>表15_17[[#This Row],[Sales Amount]]-表15_17[[#This Row],[Cost]]</f>
        <v>0</v>
      </c>
      <c r="X107" s="4882" t="e">
        <f>表15_17[[#This Row],[Profit]]/表15_17[[#This Row],[Cost]]</f>
        <v>#DIV/0!</v>
      </c>
      <c r="Y107" s="4882"/>
      <c r="Z107" s="4882"/>
    </row>
    <row r="108" spans="1:26" s="709" customFormat="1">
      <c r="A108" s="5326" t="s">
        <v>409</v>
      </c>
      <c r="B108" s="4861" t="s">
        <v>9266</v>
      </c>
      <c r="C108" s="4839" t="s">
        <v>28</v>
      </c>
      <c r="D108" s="4957">
        <v>45451</v>
      </c>
      <c r="E108" s="5152">
        <v>45463</v>
      </c>
      <c r="F108" s="4839" t="s">
        <v>151</v>
      </c>
      <c r="G108" s="4839" t="s">
        <v>46</v>
      </c>
      <c r="H108" s="5550"/>
      <c r="I108" s="4861"/>
      <c r="J108" s="4901" t="s">
        <v>32</v>
      </c>
      <c r="K108" s="4839" t="s">
        <v>47</v>
      </c>
      <c r="L108" s="4839" t="s">
        <v>9267</v>
      </c>
      <c r="M108" s="4903">
        <v>45465</v>
      </c>
      <c r="N108" s="4903">
        <v>45465</v>
      </c>
      <c r="O108" s="4903"/>
      <c r="P108" s="4871" t="s">
        <v>9268</v>
      </c>
      <c r="Q108" s="5510" t="s">
        <v>6852</v>
      </c>
      <c r="R108" s="4882" t="s">
        <v>36</v>
      </c>
      <c r="S108" s="4882"/>
      <c r="T108" s="4882"/>
      <c r="U108" s="4882"/>
      <c r="V108" s="4882"/>
      <c r="W108" s="5552">
        <f>表15_17[[#This Row],[Sales Amount]]-表15_17[[#This Row],[Cost]]</f>
        <v>0</v>
      </c>
      <c r="X108" s="4882" t="e">
        <f>表15_17[[#This Row],[Profit]]/表15_17[[#This Row],[Cost]]</f>
        <v>#DIV/0!</v>
      </c>
      <c r="Y108" s="4882"/>
      <c r="Z108" s="4882"/>
    </row>
    <row r="109" spans="1:26" s="709" customFormat="1">
      <c r="A109" s="5326" t="s">
        <v>409</v>
      </c>
      <c r="B109" s="4861" t="s">
        <v>9269</v>
      </c>
      <c r="C109" s="4839" t="s">
        <v>28</v>
      </c>
      <c r="D109" s="4957">
        <v>45451</v>
      </c>
      <c r="E109" s="5071">
        <v>45463</v>
      </c>
      <c r="F109" s="4839" t="s">
        <v>151</v>
      </c>
      <c r="G109" s="4839" t="s">
        <v>46</v>
      </c>
      <c r="H109" s="5550"/>
      <c r="I109" s="4861"/>
      <c r="J109" s="4901" t="s">
        <v>32</v>
      </c>
      <c r="K109" s="4839" t="s">
        <v>47</v>
      </c>
      <c r="L109" s="4839" t="s">
        <v>9270</v>
      </c>
      <c r="M109" s="4903">
        <v>45465</v>
      </c>
      <c r="N109" s="4903">
        <v>45465</v>
      </c>
      <c r="O109" s="4903">
        <v>45465</v>
      </c>
      <c r="P109" s="1019" t="s">
        <v>9271</v>
      </c>
      <c r="Q109" s="5510" t="s">
        <v>6852</v>
      </c>
      <c r="R109" s="4882" t="s">
        <v>36</v>
      </c>
      <c r="S109" s="4882"/>
      <c r="T109" s="4882"/>
      <c r="U109" s="4882"/>
      <c r="V109" s="4882"/>
      <c r="W109" s="5552">
        <f>表15_17[[#This Row],[Sales Amount]]-表15_17[[#This Row],[Cost]]</f>
        <v>0</v>
      </c>
      <c r="X109" s="4882" t="e">
        <f>表15_17[[#This Row],[Profit]]/表15_17[[#This Row],[Cost]]</f>
        <v>#DIV/0!</v>
      </c>
      <c r="Y109" s="4882"/>
      <c r="Z109" s="4882"/>
    </row>
    <row r="110" spans="1:26" s="709" customFormat="1">
      <c r="A110" s="5471" t="s">
        <v>4815</v>
      </c>
      <c r="B110" s="5503" t="s">
        <v>9272</v>
      </c>
      <c r="C110" s="4895" t="s">
        <v>28</v>
      </c>
      <c r="D110" s="5493">
        <v>45448</v>
      </c>
      <c r="E110" s="5590">
        <v>45463</v>
      </c>
      <c r="F110" s="4895" t="s">
        <v>45</v>
      </c>
      <c r="G110" s="4895" t="s">
        <v>46</v>
      </c>
      <c r="H110" s="5548"/>
      <c r="I110" s="4874"/>
      <c r="J110" s="5171" t="s">
        <v>32</v>
      </c>
      <c r="K110" s="4895" t="s">
        <v>47</v>
      </c>
      <c r="L110" s="4895" t="s">
        <v>9273</v>
      </c>
      <c r="M110" s="5024">
        <v>45465</v>
      </c>
      <c r="N110" s="5024">
        <v>45465</v>
      </c>
      <c r="O110" s="5024">
        <v>45467</v>
      </c>
      <c r="P110" s="5087" t="s">
        <v>9274</v>
      </c>
      <c r="Q110" s="5553" t="s">
        <v>6852</v>
      </c>
      <c r="R110" s="4873" t="s">
        <v>51</v>
      </c>
      <c r="S110" s="4873"/>
      <c r="T110" s="4873">
        <v>2909</v>
      </c>
      <c r="U110" s="4873"/>
      <c r="V110" s="4873"/>
      <c r="W110" s="5554">
        <f>表15_17[[#This Row],[Sales Amount]]-表15_17[[#This Row],[Cost]]</f>
        <v>2909</v>
      </c>
      <c r="X110" s="4873" t="e">
        <f>表15_17[[#This Row],[Profit]]/表15_17[[#This Row],[Cost]]</f>
        <v>#DIV/0!</v>
      </c>
      <c r="Y110" s="4873"/>
      <c r="Z110" s="4873"/>
    </row>
    <row r="111" spans="1:26" s="709" customFormat="1" ht="30">
      <c r="A111" s="5375" t="s">
        <v>122</v>
      </c>
      <c r="B111" s="4908" t="s">
        <v>9275</v>
      </c>
      <c r="C111" s="4845" t="s">
        <v>200</v>
      </c>
      <c r="D111" s="4906">
        <v>45463</v>
      </c>
      <c r="E111" s="4916">
        <v>45463</v>
      </c>
      <c r="F111" s="4845" t="s">
        <v>93</v>
      </c>
      <c r="G111" s="4947" t="s">
        <v>9276</v>
      </c>
      <c r="H111" s="5375" t="s">
        <v>162</v>
      </c>
      <c r="I111" s="5375" t="s">
        <v>162</v>
      </c>
      <c r="J111" s="5375" t="s">
        <v>162</v>
      </c>
      <c r="K111" s="5375" t="s">
        <v>9277</v>
      </c>
      <c r="L111" s="4951" t="s">
        <v>9278</v>
      </c>
      <c r="M111" s="4906">
        <v>45469</v>
      </c>
      <c r="N111" s="4906">
        <v>45469</v>
      </c>
      <c r="O111" s="4906">
        <v>45471</v>
      </c>
      <c r="P111" s="4947" t="s">
        <v>9279</v>
      </c>
      <c r="Q111" s="5065" t="s">
        <v>75</v>
      </c>
      <c r="R111" s="4908" t="s">
        <v>9280</v>
      </c>
      <c r="S111" s="4988" t="s">
        <v>9281</v>
      </c>
      <c r="T111" s="4906"/>
      <c r="U111" s="4845"/>
      <c r="V111" s="4845"/>
      <c r="W111" s="5190">
        <f>表15_17[[#This Row],[Sales Amount]]-表15_17[[#This Row],[Cost]]</f>
        <v>0</v>
      </c>
      <c r="X111" s="4845" t="e">
        <f>表15_17[[#This Row],[Profit]]/表15_17[[#This Row],[Cost]]</f>
        <v>#DIV/0!</v>
      </c>
      <c r="Y111" s="4845"/>
      <c r="Z111" s="4845"/>
    </row>
    <row r="112" spans="1:26" s="709" customFormat="1" ht="30">
      <c r="A112" s="5375" t="s">
        <v>122</v>
      </c>
      <c r="B112" s="4908" t="s">
        <v>9282</v>
      </c>
      <c r="C112" s="4845" t="s">
        <v>28</v>
      </c>
      <c r="D112" s="4906">
        <v>45463</v>
      </c>
      <c r="E112" s="4916">
        <v>45463</v>
      </c>
      <c r="F112" s="4845" t="s">
        <v>93</v>
      </c>
      <c r="G112" s="4947" t="s">
        <v>9276</v>
      </c>
      <c r="H112" s="5375" t="s">
        <v>162</v>
      </c>
      <c r="I112" s="5375" t="s">
        <v>162</v>
      </c>
      <c r="J112" s="5375" t="s">
        <v>162</v>
      </c>
      <c r="K112" s="5375" t="s">
        <v>9277</v>
      </c>
      <c r="L112" s="4951" t="s">
        <v>9278</v>
      </c>
      <c r="M112" s="4961">
        <v>45470</v>
      </c>
      <c r="N112" s="4906">
        <v>45469</v>
      </c>
      <c r="O112" s="4906">
        <v>45471</v>
      </c>
      <c r="P112" s="4947" t="s">
        <v>9279</v>
      </c>
      <c r="Q112" s="5065" t="s">
        <v>75</v>
      </c>
      <c r="R112" s="4908" t="s">
        <v>9280</v>
      </c>
      <c r="S112" s="4988" t="s">
        <v>9281</v>
      </c>
      <c r="T112" s="4845"/>
      <c r="U112" s="4845"/>
      <c r="V112" s="4845"/>
      <c r="W112" s="5190">
        <f>表15_17[[#This Row],[Sales Amount]]-表15_17[[#This Row],[Cost]]</f>
        <v>0</v>
      </c>
      <c r="X112" s="4845" t="e">
        <f>表15_17[[#This Row],[Profit]]/表15_17[[#This Row],[Cost]]</f>
        <v>#DIV/0!</v>
      </c>
      <c r="Y112" s="4845"/>
      <c r="Z112" s="4845"/>
    </row>
    <row r="113" spans="1:26" s="709" customFormat="1" ht="15.75">
      <c r="A113" s="5326" t="s">
        <v>4815</v>
      </c>
      <c r="B113" s="4861" t="s">
        <v>9283</v>
      </c>
      <c r="C113" s="4861" t="s">
        <v>28</v>
      </c>
      <c r="D113" s="4940">
        <v>45451</v>
      </c>
      <c r="E113" s="5052">
        <v>45463</v>
      </c>
      <c r="F113" s="4861" t="s">
        <v>45</v>
      </c>
      <c r="G113" s="4861" t="s">
        <v>46</v>
      </c>
      <c r="H113" s="5550"/>
      <c r="I113" s="4861"/>
      <c r="J113" s="5326" t="s">
        <v>168</v>
      </c>
      <c r="K113" s="4861" t="s">
        <v>47</v>
      </c>
      <c r="L113" s="5591" t="s">
        <v>9284</v>
      </c>
      <c r="M113" s="4903">
        <v>45465</v>
      </c>
      <c r="N113" s="4903">
        <v>45464</v>
      </c>
      <c r="O113" s="4903">
        <v>45466</v>
      </c>
      <c r="P113" s="4871" t="s">
        <v>9285</v>
      </c>
      <c r="Q113" s="5510" t="s">
        <v>6852</v>
      </c>
      <c r="R113" s="4882" t="s">
        <v>51</v>
      </c>
      <c r="S113" s="4882"/>
      <c r="T113" s="4882"/>
      <c r="U113" s="4882"/>
      <c r="V113" s="4882"/>
      <c r="W113" s="5552">
        <f>表15_17[[#This Row],[Sales Amount]]-表15_17[[#This Row],[Cost]]</f>
        <v>0</v>
      </c>
      <c r="X113" s="4882" t="e">
        <f>表15_17[[#This Row],[Profit]]/表15_17[[#This Row],[Cost]]</f>
        <v>#DIV/0!</v>
      </c>
      <c r="Y113" s="4882"/>
      <c r="Z113" s="4882"/>
    </row>
    <row r="114" spans="1:26" s="709" customFormat="1">
      <c r="A114" s="5325" t="s">
        <v>9286</v>
      </c>
      <c r="B114" s="5352" t="s">
        <v>9287</v>
      </c>
      <c r="C114" s="4861" t="s">
        <v>28</v>
      </c>
      <c r="D114" s="4940">
        <v>45467</v>
      </c>
      <c r="E114" s="5568">
        <v>45464</v>
      </c>
      <c r="F114" s="4861" t="s">
        <v>173</v>
      </c>
      <c r="G114" s="4861" t="s">
        <v>9288</v>
      </c>
      <c r="H114" s="5326" t="s">
        <v>8102</v>
      </c>
      <c r="I114" s="4861"/>
      <c r="J114" s="5325"/>
      <c r="K114" s="4861"/>
      <c r="L114" s="4861"/>
      <c r="M114" s="4903"/>
      <c r="N114" s="4903">
        <v>45469</v>
      </c>
      <c r="O114" s="4903">
        <v>45471</v>
      </c>
      <c r="P114" s="5491" t="s">
        <v>9289</v>
      </c>
      <c r="Q114" s="5510" t="s">
        <v>9226</v>
      </c>
      <c r="R114" s="5425" t="s">
        <v>9290</v>
      </c>
      <c r="S114" s="4882" t="s">
        <v>2373</v>
      </c>
      <c r="T114" s="4882"/>
      <c r="U114" s="4882"/>
      <c r="V114" s="4882"/>
      <c r="W114" s="5552">
        <f>表15_17[[#This Row],[Sales Amount]]-表15_17[[#This Row],[Cost]]</f>
        <v>0</v>
      </c>
      <c r="X114" s="4882" t="e">
        <f>表15_17[[#This Row],[Profit]]/表15_17[[#This Row],[Cost]]</f>
        <v>#DIV/0!</v>
      </c>
      <c r="Y114" s="4882"/>
      <c r="Z114" s="4882"/>
    </row>
    <row r="115" spans="1:26" s="709" customFormat="1">
      <c r="A115" s="5325" t="s">
        <v>9286</v>
      </c>
      <c r="B115" s="5352" t="s">
        <v>9291</v>
      </c>
      <c r="C115" s="4861" t="s">
        <v>28</v>
      </c>
      <c r="D115" s="4940">
        <v>45467</v>
      </c>
      <c r="E115" s="5568">
        <v>45464</v>
      </c>
      <c r="F115" s="4861" t="s">
        <v>173</v>
      </c>
      <c r="G115" s="709" t="s">
        <v>9288</v>
      </c>
      <c r="H115" s="2348" t="s">
        <v>8102</v>
      </c>
      <c r="I115" s="4861"/>
      <c r="J115" s="5325"/>
      <c r="L115" s="4861"/>
      <c r="M115" s="4903"/>
      <c r="N115" s="4903">
        <v>45468</v>
      </c>
      <c r="O115" s="4903">
        <v>45469</v>
      </c>
      <c r="P115" s="5491" t="s">
        <v>9289</v>
      </c>
      <c r="Q115" s="5510" t="s">
        <v>9226</v>
      </c>
      <c r="R115" s="5425" t="s">
        <v>9290</v>
      </c>
      <c r="S115" s="4882" t="s">
        <v>2373</v>
      </c>
      <c r="T115" s="4882"/>
      <c r="U115" s="4882"/>
      <c r="V115" s="4882"/>
      <c r="W115" s="5552">
        <f>表15_17[[#This Row],[Sales Amount]]-表15_17[[#This Row],[Cost]]</f>
        <v>0</v>
      </c>
      <c r="X115" s="4882" t="e">
        <f>表15_17[[#This Row],[Profit]]/表15_17[[#This Row],[Cost]]</f>
        <v>#DIV/0!</v>
      </c>
      <c r="Y115" s="4882"/>
      <c r="Z115" s="4882"/>
    </row>
    <row r="116" spans="1:26" s="117" customFormat="1">
      <c r="A116" s="5325" t="s">
        <v>9286</v>
      </c>
      <c r="B116" s="1185" t="s">
        <v>9292</v>
      </c>
      <c r="C116" s="4861" t="s">
        <v>200</v>
      </c>
      <c r="D116" s="4940">
        <v>45467</v>
      </c>
      <c r="E116" s="5568">
        <v>45464</v>
      </c>
      <c r="F116" s="4861" t="s">
        <v>173</v>
      </c>
      <c r="G116" s="4861" t="s">
        <v>9288</v>
      </c>
      <c r="H116" s="2348" t="s">
        <v>8102</v>
      </c>
      <c r="I116" s="4861"/>
      <c r="J116" s="5325"/>
      <c r="K116" s="4861"/>
      <c r="L116" s="4861"/>
      <c r="M116" s="4903"/>
      <c r="N116" s="4903">
        <v>45470</v>
      </c>
      <c r="O116" s="4903">
        <v>45471</v>
      </c>
      <c r="P116" s="5491" t="s">
        <v>9289</v>
      </c>
      <c r="Q116" s="5510" t="s">
        <v>9226</v>
      </c>
      <c r="R116" s="5425" t="s">
        <v>9290</v>
      </c>
      <c r="S116" s="4882" t="s">
        <v>2373</v>
      </c>
      <c r="T116" s="4882"/>
      <c r="U116" s="4882"/>
      <c r="V116" s="4882"/>
      <c r="W116" s="5552">
        <f>表15_17[[#This Row],[Sales Amount]]-表15_17[[#This Row],[Cost]]</f>
        <v>0</v>
      </c>
      <c r="X116" s="4882" t="e">
        <f>表15_17[[#This Row],[Profit]]/表15_17[[#This Row],[Cost]]</f>
        <v>#DIV/0!</v>
      </c>
      <c r="Y116" s="4882"/>
      <c r="Z116" s="4882"/>
    </row>
    <row r="117" spans="1:26" s="117" customFormat="1" ht="30">
      <c r="A117" s="5375" t="s">
        <v>409</v>
      </c>
      <c r="B117" s="4928" t="s">
        <v>9293</v>
      </c>
      <c r="C117" s="4908" t="s">
        <v>28</v>
      </c>
      <c r="D117" s="4906">
        <v>45453</v>
      </c>
      <c r="E117" s="4916">
        <v>45464</v>
      </c>
      <c r="F117" s="4908" t="s">
        <v>2225</v>
      </c>
      <c r="G117" s="4908" t="s">
        <v>57</v>
      </c>
      <c r="H117" s="828">
        <v>45470</v>
      </c>
      <c r="I117" s="4845" t="s">
        <v>9022</v>
      </c>
      <c r="J117" s="5375" t="s">
        <v>32</v>
      </c>
      <c r="K117" s="4908" t="s">
        <v>8879</v>
      </c>
      <c r="L117" s="117">
        <v>1292886</v>
      </c>
      <c r="M117" s="4906">
        <v>45466</v>
      </c>
      <c r="N117" s="4906">
        <v>45466</v>
      </c>
      <c r="O117" s="4906">
        <v>45470</v>
      </c>
      <c r="P117" s="4909" t="s">
        <v>9294</v>
      </c>
      <c r="Q117" s="5065" t="s">
        <v>75</v>
      </c>
      <c r="R117" s="4837" t="s">
        <v>9295</v>
      </c>
      <c r="S117" s="4845"/>
      <c r="T117" s="5190">
        <v>1380</v>
      </c>
      <c r="U117" s="5190">
        <v>1075</v>
      </c>
      <c r="V117" s="4845">
        <v>1</v>
      </c>
      <c r="W117" s="5190">
        <f>表15_17[[#This Row],[Sales Amount]]-表15_17[[#This Row],[Cost]]</f>
        <v>305</v>
      </c>
      <c r="X117" s="5060">
        <f>表15_17[[#This Row],[Profit]]/表15_17[[#This Row],[Cost]]</f>
        <v>0.28372093023255812</v>
      </c>
      <c r="Y117" s="4845"/>
      <c r="Z117" s="4845"/>
    </row>
    <row r="118" spans="1:26">
      <c r="A118" s="5326" t="s">
        <v>409</v>
      </c>
      <c r="B118" s="709" t="s">
        <v>9296</v>
      </c>
      <c r="C118" s="4839" t="s">
        <v>28</v>
      </c>
      <c r="D118" s="4957">
        <v>45451</v>
      </c>
      <c r="E118" s="5152">
        <v>45464</v>
      </c>
      <c r="F118" s="4839" t="s">
        <v>151</v>
      </c>
      <c r="G118" s="4839" t="s">
        <v>46</v>
      </c>
      <c r="H118" s="5550"/>
      <c r="I118" s="4861"/>
      <c r="J118" s="4901" t="s">
        <v>32</v>
      </c>
      <c r="K118" s="4839" t="s">
        <v>47</v>
      </c>
      <c r="L118" s="4839" t="s">
        <v>9297</v>
      </c>
      <c r="M118" s="4903">
        <v>45466</v>
      </c>
      <c r="N118" s="4903">
        <v>45465</v>
      </c>
      <c r="O118" s="4903">
        <v>45465</v>
      </c>
      <c r="P118" s="4871" t="s">
        <v>9298</v>
      </c>
      <c r="Q118" s="5510" t="s">
        <v>6852</v>
      </c>
      <c r="R118" s="4882" t="s">
        <v>36</v>
      </c>
      <c r="S118" s="4882"/>
      <c r="T118" s="4882"/>
      <c r="U118" s="4882"/>
      <c r="V118" s="4882"/>
      <c r="W118" s="5552">
        <f>表15_17[[#This Row],[Sales Amount]]-表15_17[[#This Row],[Cost]]</f>
        <v>0</v>
      </c>
      <c r="X118" s="4882" t="e">
        <f>表15_17[[#This Row],[Profit]]/表15_17[[#This Row],[Cost]]</f>
        <v>#DIV/0!</v>
      </c>
      <c r="Y118" s="4882"/>
      <c r="Z118" s="4882"/>
    </row>
    <row r="119" spans="1:26" s="806" customFormat="1">
      <c r="A119" s="5326" t="s">
        <v>3064</v>
      </c>
      <c r="B119" s="4861" t="s">
        <v>9299</v>
      </c>
      <c r="C119" s="4839" t="s">
        <v>44</v>
      </c>
      <c r="D119" s="4957">
        <v>45454</v>
      </c>
      <c r="E119" s="5071">
        <v>45464</v>
      </c>
      <c r="F119" s="4839" t="s">
        <v>45</v>
      </c>
      <c r="G119" s="4839" t="s">
        <v>46</v>
      </c>
      <c r="H119" s="5550"/>
      <c r="I119" s="4861"/>
      <c r="J119" s="4901" t="s">
        <v>32</v>
      </c>
      <c r="K119" s="4839" t="s">
        <v>47</v>
      </c>
      <c r="L119" s="4839">
        <v>870358</v>
      </c>
      <c r="M119" s="4903">
        <v>45466</v>
      </c>
      <c r="N119" s="4903">
        <v>45466</v>
      </c>
      <c r="O119" s="4903"/>
      <c r="P119" s="4871" t="s">
        <v>9300</v>
      </c>
      <c r="Q119" s="5128" t="s">
        <v>6852</v>
      </c>
      <c r="R119" s="4882" t="s">
        <v>36</v>
      </c>
      <c r="S119" s="4882"/>
      <c r="T119" s="4882"/>
      <c r="U119" s="4882"/>
      <c r="V119" s="4882"/>
      <c r="W119" s="5552">
        <f>表15_17[[#This Row],[Sales Amount]]-表15_17[[#This Row],[Cost]]</f>
        <v>0</v>
      </c>
      <c r="X119" s="4882" t="e">
        <f>表15_17[[#This Row],[Profit]]/表15_17[[#This Row],[Cost]]</f>
        <v>#DIV/0!</v>
      </c>
      <c r="Y119" s="4882"/>
      <c r="Z119" s="4882"/>
    </row>
    <row r="120" spans="1:26">
      <c r="A120" s="5326" t="s">
        <v>409</v>
      </c>
      <c r="B120" s="4861" t="s">
        <v>9301</v>
      </c>
      <c r="C120" s="4839" t="s">
        <v>28</v>
      </c>
      <c r="D120" s="4957">
        <v>45453</v>
      </c>
      <c r="E120" s="5071">
        <v>45464</v>
      </c>
      <c r="F120" s="4839" t="s">
        <v>260</v>
      </c>
      <c r="G120" s="4839" t="s">
        <v>46</v>
      </c>
      <c r="H120" s="5550"/>
      <c r="I120" s="4861"/>
      <c r="J120" s="4901" t="s">
        <v>32</v>
      </c>
      <c r="K120" s="4839" t="s">
        <v>47</v>
      </c>
      <c r="L120" s="5099" t="s">
        <v>9302</v>
      </c>
      <c r="M120" s="4903">
        <v>45466</v>
      </c>
      <c r="N120" s="4903">
        <v>45466</v>
      </c>
      <c r="O120" s="4903"/>
      <c r="P120" s="4871" t="s">
        <v>9303</v>
      </c>
      <c r="Q120" s="5510" t="s">
        <v>6852</v>
      </c>
      <c r="R120" s="4882" t="s">
        <v>36</v>
      </c>
      <c r="S120" s="4882"/>
      <c r="T120" s="4882"/>
      <c r="U120" s="4882"/>
      <c r="V120" s="4882"/>
      <c r="W120" s="5552">
        <f>表15_17[[#This Row],[Sales Amount]]-表15_17[[#This Row],[Cost]]</f>
        <v>0</v>
      </c>
      <c r="X120" s="4882" t="e">
        <f>表15_17[[#This Row],[Profit]]/表15_17[[#This Row],[Cost]]</f>
        <v>#DIV/0!</v>
      </c>
      <c r="Y120" s="4882"/>
      <c r="Z120" s="4882"/>
    </row>
    <row r="121" spans="1:26">
      <c r="A121" s="5326" t="s">
        <v>263</v>
      </c>
      <c r="B121" s="4861" t="s">
        <v>9304</v>
      </c>
      <c r="C121" s="4861" t="s">
        <v>44</v>
      </c>
      <c r="D121" s="4940">
        <v>45464</v>
      </c>
      <c r="E121" s="4940">
        <v>45464</v>
      </c>
      <c r="F121" s="4861" t="s">
        <v>135</v>
      </c>
      <c r="G121" s="4861" t="s">
        <v>265</v>
      </c>
      <c r="H121" s="5550"/>
      <c r="I121" s="4861"/>
      <c r="J121" s="5326"/>
      <c r="K121" s="4861" t="s">
        <v>9305</v>
      </c>
      <c r="L121" s="4861"/>
      <c r="M121" s="4903"/>
      <c r="N121" s="4903"/>
      <c r="O121" s="4903"/>
      <c r="P121" s="4871" t="s">
        <v>9306</v>
      </c>
      <c r="Q121" s="5510" t="s">
        <v>128</v>
      </c>
      <c r="R121" s="4882" t="s">
        <v>36</v>
      </c>
      <c r="S121" s="4882"/>
      <c r="T121" s="4882"/>
      <c r="U121" s="4882"/>
      <c r="V121" s="4882"/>
      <c r="W121" s="5552">
        <f>表15_17[[#This Row],[Sales Amount]]-表15_17[[#This Row],[Cost]]</f>
        <v>0</v>
      </c>
      <c r="X121" s="4882" t="e">
        <f>表15_17[[#This Row],[Profit]]/表15_17[[#This Row],[Cost]]</f>
        <v>#DIV/0!</v>
      </c>
      <c r="Y121" s="4882"/>
      <c r="Z121" s="4882"/>
    </row>
    <row r="122" spans="1:26" s="709" customFormat="1">
      <c r="A122" s="5326" t="s">
        <v>409</v>
      </c>
      <c r="B122" s="4861" t="s">
        <v>9307</v>
      </c>
      <c r="C122" s="4839" t="s">
        <v>28</v>
      </c>
      <c r="D122" s="4957">
        <v>45451</v>
      </c>
      <c r="E122" s="5152">
        <v>45464</v>
      </c>
      <c r="F122" s="4839" t="s">
        <v>151</v>
      </c>
      <c r="G122" s="4839" t="s">
        <v>46</v>
      </c>
      <c r="H122" s="5550"/>
      <c r="I122" s="4861"/>
      <c r="J122" s="4901" t="s">
        <v>32</v>
      </c>
      <c r="K122" s="4839" t="s">
        <v>47</v>
      </c>
      <c r="L122" s="5592" t="s">
        <v>9308</v>
      </c>
      <c r="M122" s="4903">
        <v>45466</v>
      </c>
      <c r="N122" s="4903">
        <v>45465</v>
      </c>
      <c r="O122" s="4903"/>
      <c r="P122" s="4871" t="s">
        <v>9309</v>
      </c>
      <c r="Q122" s="5510" t="s">
        <v>6852</v>
      </c>
      <c r="R122" s="4882" t="s">
        <v>9310</v>
      </c>
      <c r="S122" s="4882"/>
      <c r="T122" s="4882"/>
      <c r="U122" s="4882"/>
      <c r="V122" s="4882"/>
      <c r="W122" s="5552">
        <f>表15_17[[#This Row],[Sales Amount]]-表15_17[[#This Row],[Cost]]</f>
        <v>0</v>
      </c>
      <c r="X122" s="4882" t="e">
        <f>表15_17[[#This Row],[Profit]]/表15_17[[#This Row],[Cost]]</f>
        <v>#DIV/0!</v>
      </c>
      <c r="Y122" s="4882"/>
      <c r="Z122" s="4882"/>
    </row>
    <row r="123" spans="1:26" s="709" customFormat="1">
      <c r="A123" s="5375" t="s">
        <v>165</v>
      </c>
      <c r="B123" s="4970" t="s">
        <v>9311</v>
      </c>
      <c r="C123" s="4908" t="s">
        <v>794</v>
      </c>
      <c r="D123" s="4906">
        <v>45464</v>
      </c>
      <c r="E123" s="4916">
        <v>45464</v>
      </c>
      <c r="F123" s="4908" t="s">
        <v>45</v>
      </c>
      <c r="G123" s="4947" t="s">
        <v>4355</v>
      </c>
      <c r="H123" s="4918">
        <v>45470</v>
      </c>
      <c r="I123" s="4929" t="s">
        <v>2986</v>
      </c>
      <c r="J123" s="5375" t="s">
        <v>322</v>
      </c>
      <c r="K123" s="4845" t="s">
        <v>9312</v>
      </c>
      <c r="L123" s="4845"/>
      <c r="M123" s="4906">
        <v>45471</v>
      </c>
      <c r="N123" s="4906">
        <v>45470</v>
      </c>
      <c r="O123" s="4906">
        <v>45476</v>
      </c>
      <c r="P123" s="4909" t="s">
        <v>9313</v>
      </c>
      <c r="Q123" s="5065" t="s">
        <v>75</v>
      </c>
      <c r="R123" s="4837" t="s">
        <v>9314</v>
      </c>
      <c r="S123" s="4845"/>
      <c r="T123" s="5190">
        <v>1275</v>
      </c>
      <c r="U123" s="4845">
        <v>1087.8</v>
      </c>
      <c r="V123" s="4845">
        <v>1</v>
      </c>
      <c r="W123" s="5190">
        <f>表15_17[[#This Row],[Sales Amount]]-表15_17[[#This Row],[Cost]]</f>
        <v>187.20000000000005</v>
      </c>
      <c r="X123" s="5593">
        <f>表15_17[[#This Row],[Profit]]/表15_17[[#This Row],[Cost]]</f>
        <v>0.17209045780474358</v>
      </c>
      <c r="Y123" s="4845"/>
      <c r="Z123" s="4845"/>
    </row>
    <row r="124" spans="1:26" s="709" customFormat="1">
      <c r="A124" s="5326" t="s">
        <v>409</v>
      </c>
      <c r="B124" s="4861" t="s">
        <v>9315</v>
      </c>
      <c r="C124" s="4839" t="s">
        <v>28</v>
      </c>
      <c r="D124" s="4957">
        <v>45451</v>
      </c>
      <c r="E124" s="5071">
        <v>45465</v>
      </c>
      <c r="F124" s="4839" t="s">
        <v>2225</v>
      </c>
      <c r="G124" s="58" t="s">
        <v>57</v>
      </c>
      <c r="H124" s="5550"/>
      <c r="I124" s="4861"/>
      <c r="J124" s="4901" t="s">
        <v>32</v>
      </c>
      <c r="K124" s="4839" t="s">
        <v>47</v>
      </c>
      <c r="L124" s="5099" t="s">
        <v>9316</v>
      </c>
      <c r="M124" s="4903">
        <v>45467</v>
      </c>
      <c r="N124" s="4903">
        <v>45467</v>
      </c>
      <c r="O124" s="4903">
        <v>45468</v>
      </c>
      <c r="P124" s="4871" t="s">
        <v>9317</v>
      </c>
      <c r="Q124" s="5510" t="s">
        <v>6852</v>
      </c>
      <c r="R124" s="4882" t="s">
        <v>36</v>
      </c>
      <c r="S124" s="4882"/>
      <c r="T124" s="4882"/>
      <c r="U124" s="4882"/>
      <c r="V124" s="4882"/>
      <c r="W124" s="5552">
        <f>表15_17[[#This Row],[Sales Amount]]-表15_17[[#This Row],[Cost]]</f>
        <v>0</v>
      </c>
      <c r="X124" s="4882" t="e">
        <f>表15_17[[#This Row],[Profit]]/表15_17[[#This Row],[Cost]]</f>
        <v>#DIV/0!</v>
      </c>
      <c r="Y124" s="4882"/>
      <c r="Z124" s="4882"/>
    </row>
    <row r="125" spans="1:26" s="709" customFormat="1" ht="16.5">
      <c r="A125" s="5326" t="s">
        <v>9318</v>
      </c>
      <c r="B125" s="709" t="s">
        <v>9319</v>
      </c>
      <c r="C125" s="4839" t="s">
        <v>28</v>
      </c>
      <c r="D125" s="4957">
        <v>45456</v>
      </c>
      <c r="E125" s="5071">
        <v>45465</v>
      </c>
      <c r="F125" s="4839" t="s">
        <v>45</v>
      </c>
      <c r="G125" s="4839" t="s">
        <v>46</v>
      </c>
      <c r="H125" s="5550"/>
      <c r="I125" s="4861"/>
      <c r="J125" s="4901" t="s">
        <v>32</v>
      </c>
      <c r="K125" s="4839" t="s">
        <v>47</v>
      </c>
      <c r="L125" s="5594" t="s">
        <v>9320</v>
      </c>
      <c r="M125" s="4903">
        <v>45467</v>
      </c>
      <c r="N125" s="4903">
        <v>45465</v>
      </c>
      <c r="O125" s="4903">
        <v>45467</v>
      </c>
      <c r="P125" s="4871" t="s">
        <v>9321</v>
      </c>
      <c r="Q125" s="5510" t="s">
        <v>6852</v>
      </c>
      <c r="R125" s="4882" t="s">
        <v>51</v>
      </c>
      <c r="S125" s="4882"/>
      <c r="T125" s="4882"/>
      <c r="U125" s="4882"/>
      <c r="V125" s="4882"/>
      <c r="W125" s="5552">
        <f>表15_17[[#This Row],[Sales Amount]]-表15_17[[#This Row],[Cost]]</f>
        <v>0</v>
      </c>
      <c r="X125" s="4882" t="e">
        <f>表15_17[[#This Row],[Profit]]/表15_17[[#This Row],[Cost]]</f>
        <v>#DIV/0!</v>
      </c>
      <c r="Y125" s="4882"/>
      <c r="Z125" s="4882"/>
    </row>
    <row r="126" spans="1:26" s="709" customFormat="1">
      <c r="A126" s="5326" t="s">
        <v>409</v>
      </c>
      <c r="B126" s="4861" t="s">
        <v>9322</v>
      </c>
      <c r="C126" s="4839" t="s">
        <v>28</v>
      </c>
      <c r="D126" s="4957">
        <v>45452</v>
      </c>
      <c r="E126" s="1631">
        <v>45465</v>
      </c>
      <c r="F126" s="4839" t="s">
        <v>885</v>
      </c>
      <c r="G126" s="4839" t="s">
        <v>57</v>
      </c>
      <c r="H126" s="5550"/>
      <c r="I126" s="4861"/>
      <c r="J126" s="4901" t="s">
        <v>32</v>
      </c>
      <c r="K126" s="4839" t="s">
        <v>47</v>
      </c>
      <c r="L126" s="5099" t="s">
        <v>9323</v>
      </c>
      <c r="M126" s="4903">
        <v>45467</v>
      </c>
      <c r="N126" s="4903">
        <v>45467</v>
      </c>
      <c r="O126" s="4903"/>
      <c r="P126" s="4871" t="s">
        <v>9324</v>
      </c>
      <c r="Q126" s="5510" t="s">
        <v>6852</v>
      </c>
      <c r="R126" s="4882" t="s">
        <v>36</v>
      </c>
      <c r="S126" s="4882"/>
      <c r="T126" s="4882"/>
      <c r="U126" s="4882"/>
      <c r="V126" s="4882"/>
      <c r="W126" s="5552">
        <f>表15_17[[#This Row],[Sales Amount]]-表15_17[[#This Row],[Cost]]</f>
        <v>0</v>
      </c>
      <c r="X126" s="4882" t="e">
        <f>表15_17[[#This Row],[Profit]]/表15_17[[#This Row],[Cost]]</f>
        <v>#DIV/0!</v>
      </c>
      <c r="Y126" s="4882"/>
      <c r="Z126" s="4882"/>
    </row>
    <row r="127" spans="1:26" s="709" customFormat="1">
      <c r="A127" s="5326" t="s">
        <v>409</v>
      </c>
      <c r="B127" s="709" t="s">
        <v>9325</v>
      </c>
      <c r="C127" s="4839" t="s">
        <v>28</v>
      </c>
      <c r="D127" s="4957">
        <v>45451</v>
      </c>
      <c r="E127" s="1631">
        <v>45465</v>
      </c>
      <c r="F127" s="4839" t="s">
        <v>2225</v>
      </c>
      <c r="G127" s="4839" t="s">
        <v>57</v>
      </c>
      <c r="H127" s="5550"/>
      <c r="I127" s="4861"/>
      <c r="J127" s="4901" t="s">
        <v>32</v>
      </c>
      <c r="K127" s="4839" t="s">
        <v>47</v>
      </c>
      <c r="L127" s="5099" t="s">
        <v>9326</v>
      </c>
      <c r="M127" s="4903">
        <v>45467</v>
      </c>
      <c r="N127" s="4903">
        <v>45467</v>
      </c>
      <c r="O127" s="4903"/>
      <c r="P127" s="4871" t="s">
        <v>9327</v>
      </c>
      <c r="Q127" s="5510" t="s">
        <v>6852</v>
      </c>
      <c r="R127" s="4882" t="s">
        <v>36</v>
      </c>
      <c r="S127" s="4882"/>
      <c r="T127" s="4882"/>
      <c r="U127" s="4882"/>
      <c r="V127" s="4882"/>
      <c r="W127" s="5552">
        <f>表15_17[[#This Row],[Sales Amount]]-表15_17[[#This Row],[Cost]]</f>
        <v>0</v>
      </c>
      <c r="X127" s="4882" t="e">
        <f>表15_17[[#This Row],[Profit]]/表15_17[[#This Row],[Cost]]</f>
        <v>#DIV/0!</v>
      </c>
      <c r="Y127" s="4882"/>
      <c r="Z127" s="4882"/>
    </row>
    <row r="128" spans="1:26" s="709" customFormat="1">
      <c r="A128" s="5326" t="s">
        <v>409</v>
      </c>
      <c r="B128" s="4861" t="s">
        <v>9328</v>
      </c>
      <c r="C128" s="4839" t="s">
        <v>28</v>
      </c>
      <c r="D128" s="4957">
        <v>45451</v>
      </c>
      <c r="E128" s="1631">
        <v>45465</v>
      </c>
      <c r="F128" s="4839" t="s">
        <v>2225</v>
      </c>
      <c r="G128" s="4839" t="s">
        <v>57</v>
      </c>
      <c r="H128" s="5550"/>
      <c r="I128" s="4861"/>
      <c r="J128" s="4901" t="s">
        <v>32</v>
      </c>
      <c r="K128" s="4839" t="s">
        <v>47</v>
      </c>
      <c r="L128" s="5256" t="s">
        <v>9329</v>
      </c>
      <c r="M128" s="4903">
        <v>45467</v>
      </c>
      <c r="N128" s="4903">
        <v>45467</v>
      </c>
      <c r="O128" s="4903"/>
      <c r="P128" s="4871" t="s">
        <v>9330</v>
      </c>
      <c r="Q128" s="5510" t="s">
        <v>6852</v>
      </c>
      <c r="R128" s="4882" t="s">
        <v>36</v>
      </c>
      <c r="S128" s="4882"/>
      <c r="T128" s="4882"/>
      <c r="U128" s="4882"/>
      <c r="V128" s="4882"/>
      <c r="W128" s="5552">
        <f>表15_17[[#This Row],[Sales Amount]]-表15_17[[#This Row],[Cost]]</f>
        <v>0</v>
      </c>
      <c r="X128" s="4882" t="e">
        <f>表15_17[[#This Row],[Profit]]/表15_17[[#This Row],[Cost]]</f>
        <v>#DIV/0!</v>
      </c>
      <c r="Y128" s="4882"/>
      <c r="Z128" s="4882"/>
    </row>
    <row r="129" spans="1:26">
      <c r="A129" s="5326" t="s">
        <v>409</v>
      </c>
      <c r="B129" s="4861" t="s">
        <v>9331</v>
      </c>
      <c r="C129" s="4839" t="s">
        <v>28</v>
      </c>
      <c r="D129" s="4957">
        <v>45451</v>
      </c>
      <c r="E129" s="5071">
        <v>45465</v>
      </c>
      <c r="F129" s="4839" t="s">
        <v>2225</v>
      </c>
      <c r="G129" s="4839" t="s">
        <v>57</v>
      </c>
      <c r="H129" s="5550"/>
      <c r="I129" s="4861"/>
      <c r="J129" s="4901" t="s">
        <v>32</v>
      </c>
      <c r="K129" s="4839" t="s">
        <v>47</v>
      </c>
      <c r="L129" s="5099" t="s">
        <v>9332</v>
      </c>
      <c r="M129" s="4903">
        <v>45467</v>
      </c>
      <c r="N129" s="4903">
        <v>45467</v>
      </c>
      <c r="O129" s="4903"/>
      <c r="P129" s="4871" t="s">
        <v>9333</v>
      </c>
      <c r="Q129" s="5510" t="s">
        <v>6852</v>
      </c>
      <c r="R129" s="4882" t="s">
        <v>36</v>
      </c>
      <c r="S129" s="4882"/>
      <c r="T129" s="4882"/>
      <c r="U129" s="4882"/>
      <c r="V129" s="4882"/>
      <c r="W129" s="5552">
        <f>表15_17[[#This Row],[Sales Amount]]-表15_17[[#This Row],[Cost]]</f>
        <v>0</v>
      </c>
      <c r="X129" s="4882" t="e">
        <f>表15_17[[#This Row],[Profit]]/表15_17[[#This Row],[Cost]]</f>
        <v>#DIV/0!</v>
      </c>
      <c r="Y129" s="4882"/>
      <c r="Z129" s="4882"/>
    </row>
    <row r="130" spans="1:26" s="709" customFormat="1">
      <c r="A130" s="5326" t="s">
        <v>2396</v>
      </c>
      <c r="B130" s="4913" t="s">
        <v>9334</v>
      </c>
      <c r="C130" s="4861" t="s">
        <v>44</v>
      </c>
      <c r="D130" s="4940">
        <v>45457</v>
      </c>
      <c r="E130" s="5052">
        <v>45465</v>
      </c>
      <c r="F130" s="4861" t="s">
        <v>135</v>
      </c>
      <c r="G130" s="4861" t="s">
        <v>6204</v>
      </c>
      <c r="H130" s="5333">
        <v>45475</v>
      </c>
      <c r="I130" s="4861"/>
      <c r="J130" s="5326" t="s">
        <v>8977</v>
      </c>
      <c r="K130" s="4861" t="s">
        <v>8978</v>
      </c>
      <c r="L130" s="4861"/>
      <c r="M130" s="4903">
        <v>45472</v>
      </c>
      <c r="N130" s="4903">
        <v>45471</v>
      </c>
      <c r="O130" s="4903">
        <v>45478</v>
      </c>
      <c r="P130" s="5491" t="s">
        <v>9335</v>
      </c>
      <c r="Q130" s="5510" t="s">
        <v>862</v>
      </c>
      <c r="R130" s="4882" t="s">
        <v>9336</v>
      </c>
      <c r="S130" s="4882"/>
      <c r="T130" s="5552">
        <v>1115</v>
      </c>
      <c r="U130" s="4882">
        <v>705.5</v>
      </c>
      <c r="V130" s="4882">
        <v>1</v>
      </c>
      <c r="W130" s="5552">
        <f>表15_17[[#This Row],[Sales Amount]]-表15_17[[#This Row],[Cost]]</f>
        <v>409.5</v>
      </c>
      <c r="X130" s="5384">
        <f>表15_17[[#This Row],[Profit]]/表15_17[[#This Row],[Cost]]</f>
        <v>0.58043940467753363</v>
      </c>
      <c r="Y130" s="4882"/>
      <c r="Z130" s="4882"/>
    </row>
    <row r="131" spans="1:26" s="709" customFormat="1">
      <c r="A131" s="5326" t="s">
        <v>2396</v>
      </c>
      <c r="B131" s="4861" t="s">
        <v>9337</v>
      </c>
      <c r="C131" s="4861" t="s">
        <v>44</v>
      </c>
      <c r="D131" s="4940">
        <v>45457</v>
      </c>
      <c r="E131" s="1614">
        <v>45465</v>
      </c>
      <c r="F131" s="4861" t="s">
        <v>135</v>
      </c>
      <c r="G131" s="4861" t="s">
        <v>6204</v>
      </c>
      <c r="H131" s="5333">
        <v>45475</v>
      </c>
      <c r="I131" s="4861"/>
      <c r="J131" s="5326" t="s">
        <v>8977</v>
      </c>
      <c r="K131" s="4861" t="s">
        <v>8978</v>
      </c>
      <c r="L131" s="4861"/>
      <c r="M131" s="4903">
        <v>45472</v>
      </c>
      <c r="N131" s="4903">
        <v>45471</v>
      </c>
      <c r="O131" s="4903">
        <v>45478</v>
      </c>
      <c r="P131" s="5491" t="s">
        <v>9335</v>
      </c>
      <c r="Q131" s="5510" t="s">
        <v>862</v>
      </c>
      <c r="R131" s="4882" t="s">
        <v>9338</v>
      </c>
      <c r="S131" s="4882"/>
      <c r="T131" s="4882">
        <v>965</v>
      </c>
      <c r="U131" s="4882">
        <v>605.5</v>
      </c>
      <c r="V131" s="4882">
        <v>1</v>
      </c>
      <c r="W131" s="5552">
        <f>表15_17[[#This Row],[Sales Amount]]-表15_17[[#This Row],[Cost]]</f>
        <v>359.5</v>
      </c>
      <c r="X131" s="5384">
        <f>表15_17[[#This Row],[Profit]]/表15_17[[#This Row],[Cost]]</f>
        <v>0.59372419488026429</v>
      </c>
      <c r="Y131" s="4882"/>
      <c r="Z131" s="4882"/>
    </row>
    <row r="132" spans="1:26" s="709" customFormat="1">
      <c r="A132" s="5326" t="s">
        <v>2396</v>
      </c>
      <c r="B132" s="4861" t="s">
        <v>9339</v>
      </c>
      <c r="C132" s="4861" t="s">
        <v>44</v>
      </c>
      <c r="D132" s="4940">
        <v>45457</v>
      </c>
      <c r="E132" s="1614">
        <v>45465</v>
      </c>
      <c r="F132" s="4861" t="s">
        <v>135</v>
      </c>
      <c r="G132" s="4861" t="s">
        <v>6204</v>
      </c>
      <c r="H132" s="5333">
        <v>45474</v>
      </c>
      <c r="I132" s="4861"/>
      <c r="J132" s="5326" t="s">
        <v>8977</v>
      </c>
      <c r="K132" s="4861" t="s">
        <v>8978</v>
      </c>
      <c r="L132" s="4861"/>
      <c r="M132" s="4903">
        <v>45472</v>
      </c>
      <c r="N132" s="4903">
        <v>45471</v>
      </c>
      <c r="O132" s="4903">
        <v>45475</v>
      </c>
      <c r="P132" s="5491" t="s">
        <v>9335</v>
      </c>
      <c r="Q132" s="5510" t="s">
        <v>862</v>
      </c>
      <c r="R132" s="4882" t="s">
        <v>9340</v>
      </c>
      <c r="S132" s="4882"/>
      <c r="T132" s="4882">
        <v>790</v>
      </c>
      <c r="U132" s="4882">
        <v>485.5</v>
      </c>
      <c r="V132" s="4882">
        <v>1</v>
      </c>
      <c r="W132" s="5552">
        <f>表15_17[[#This Row],[Sales Amount]]-表15_17[[#This Row],[Cost]]</f>
        <v>304.5</v>
      </c>
      <c r="X132" s="5384">
        <f>表15_17[[#This Row],[Profit]]/表15_17[[#This Row],[Cost]]</f>
        <v>0.62718846549948504</v>
      </c>
      <c r="Y132" s="4882"/>
      <c r="Z132" s="4882"/>
    </row>
    <row r="133" spans="1:26" s="709" customFormat="1">
      <c r="A133" s="5326" t="s">
        <v>799</v>
      </c>
      <c r="B133" s="4861" t="s">
        <v>9341</v>
      </c>
      <c r="C133" s="4839" t="s">
        <v>28</v>
      </c>
      <c r="D133" s="4957">
        <v>45455</v>
      </c>
      <c r="E133" s="5071">
        <v>45465</v>
      </c>
      <c r="F133" s="4839" t="s">
        <v>45</v>
      </c>
      <c r="G133" s="4839" t="s">
        <v>46</v>
      </c>
      <c r="H133" s="5550"/>
      <c r="I133" s="4861"/>
      <c r="J133" s="4901" t="s">
        <v>32</v>
      </c>
      <c r="K133" s="4839" t="s">
        <v>47</v>
      </c>
      <c r="L133" s="4839" t="s">
        <v>9342</v>
      </c>
      <c r="M133" s="4903">
        <v>45467</v>
      </c>
      <c r="N133" s="4903">
        <v>45465</v>
      </c>
      <c r="O133" s="1635"/>
      <c r="P133" s="4871" t="s">
        <v>9343</v>
      </c>
      <c r="Q133" s="5510" t="s">
        <v>6852</v>
      </c>
      <c r="R133" s="4882" t="s">
        <v>51</v>
      </c>
      <c r="S133" s="4882"/>
      <c r="T133" s="4882"/>
      <c r="U133" s="4882"/>
      <c r="V133" s="4882"/>
      <c r="W133" s="5552">
        <f>表15_17[[#This Row],[Sales Amount]]-表15_17[[#This Row],[Cost]]</f>
        <v>0</v>
      </c>
      <c r="X133" s="4882" t="e">
        <f>表15_17[[#This Row],[Profit]]/表15_17[[#This Row],[Cost]]</f>
        <v>#DIV/0!</v>
      </c>
      <c r="Y133" s="4882"/>
      <c r="Z133" s="4882"/>
    </row>
    <row r="134" spans="1:26" s="709" customFormat="1">
      <c r="A134" s="5471" t="s">
        <v>4815</v>
      </c>
      <c r="B134" s="5595" t="s">
        <v>9344</v>
      </c>
      <c r="C134" s="4895" t="s">
        <v>28</v>
      </c>
      <c r="D134" s="5493">
        <v>45451</v>
      </c>
      <c r="E134" s="5596">
        <v>45465</v>
      </c>
      <c r="F134" s="4895" t="s">
        <v>45</v>
      </c>
      <c r="G134" s="4895" t="s">
        <v>46</v>
      </c>
      <c r="H134" s="5548"/>
      <c r="I134" s="4874"/>
      <c r="J134" s="5171" t="s">
        <v>32</v>
      </c>
      <c r="K134" s="4895" t="s">
        <v>47</v>
      </c>
      <c r="L134" s="4895" t="s">
        <v>9345</v>
      </c>
      <c r="M134" s="5024">
        <v>45468</v>
      </c>
      <c r="N134" s="5024">
        <v>45467</v>
      </c>
      <c r="O134" s="5024">
        <v>45468</v>
      </c>
      <c r="P134" s="5087" t="s">
        <v>9346</v>
      </c>
      <c r="Q134" s="5553" t="s">
        <v>6852</v>
      </c>
      <c r="R134" s="4873" t="s">
        <v>36</v>
      </c>
      <c r="S134" s="4873"/>
      <c r="T134" s="4873">
        <v>2934</v>
      </c>
      <c r="U134" s="4873"/>
      <c r="V134" s="4873"/>
      <c r="W134" s="5554">
        <f>表15_17[[#This Row],[Sales Amount]]-表15_17[[#This Row],[Cost]]</f>
        <v>2934</v>
      </c>
      <c r="X134" s="4873" t="e">
        <f>表15_17[[#This Row],[Profit]]/表15_17[[#This Row],[Cost]]</f>
        <v>#DIV/0!</v>
      </c>
      <c r="Y134" s="4873"/>
      <c r="Z134" s="4873"/>
    </row>
    <row r="135" spans="1:26" s="709" customFormat="1">
      <c r="A135" s="4668" t="s">
        <v>4815</v>
      </c>
      <c r="B135" s="709" t="s">
        <v>9347</v>
      </c>
      <c r="C135" s="4839" t="s">
        <v>28</v>
      </c>
      <c r="D135" s="4957">
        <v>45451</v>
      </c>
      <c r="E135" s="1629">
        <v>45465</v>
      </c>
      <c r="F135" s="4839" t="s">
        <v>45</v>
      </c>
      <c r="G135" s="4839" t="s">
        <v>46</v>
      </c>
      <c r="H135" s="5550"/>
      <c r="I135" s="4861"/>
      <c r="J135" s="4901" t="s">
        <v>32</v>
      </c>
      <c r="K135" s="4839" t="s">
        <v>47</v>
      </c>
      <c r="L135" s="58" t="s">
        <v>9348</v>
      </c>
      <c r="M135" s="4903">
        <v>45467</v>
      </c>
      <c r="N135" s="4903">
        <v>45467</v>
      </c>
      <c r="O135" s="4903"/>
      <c r="P135" s="4871" t="s">
        <v>9349</v>
      </c>
      <c r="Q135" s="5510" t="s">
        <v>6852</v>
      </c>
      <c r="R135" s="707" t="s">
        <v>7921</v>
      </c>
      <c r="S135" s="4882"/>
      <c r="T135" s="4882"/>
      <c r="U135" s="4882"/>
      <c r="V135" s="4882"/>
      <c r="W135" s="5552">
        <f>表15_17[[#This Row],[Sales Amount]]-表15_17[[#This Row],[Cost]]</f>
        <v>0</v>
      </c>
      <c r="X135" s="4882" t="e">
        <f>表15_17[[#This Row],[Profit]]/表15_17[[#This Row],[Cost]]</f>
        <v>#DIV/0!</v>
      </c>
      <c r="Y135" s="4882"/>
      <c r="Z135" s="5055"/>
    </row>
    <row r="136" spans="1:26" s="709" customFormat="1">
      <c r="A136" s="4668" t="s">
        <v>409</v>
      </c>
      <c r="B136" s="4861" t="s">
        <v>9350</v>
      </c>
      <c r="C136" s="4839" t="s">
        <v>28</v>
      </c>
      <c r="D136" s="4957">
        <v>45453</v>
      </c>
      <c r="E136" s="5152">
        <v>45466</v>
      </c>
      <c r="F136" s="4839" t="s">
        <v>45</v>
      </c>
      <c r="G136" s="4839" t="s">
        <v>46</v>
      </c>
      <c r="H136" s="5550"/>
      <c r="I136" s="4861"/>
      <c r="J136" s="4901" t="s">
        <v>32</v>
      </c>
      <c r="K136" s="4839" t="s">
        <v>47</v>
      </c>
      <c r="L136" s="4839" t="s">
        <v>9351</v>
      </c>
      <c r="M136" s="4903">
        <v>45468</v>
      </c>
      <c r="N136" s="4903">
        <v>45468</v>
      </c>
      <c r="O136" s="4903"/>
      <c r="P136" s="4871" t="s">
        <v>9352</v>
      </c>
      <c r="Q136" s="5510" t="s">
        <v>6852</v>
      </c>
      <c r="R136" s="4882" t="s">
        <v>36</v>
      </c>
      <c r="S136" s="4882"/>
      <c r="T136" s="4882"/>
      <c r="U136" s="4882"/>
      <c r="V136" s="4882"/>
      <c r="W136" s="5552">
        <f>表15_17[[#This Row],[Sales Amount]]-表15_17[[#This Row],[Cost]]</f>
        <v>0</v>
      </c>
      <c r="X136" s="4882" t="e">
        <f>表15_17[[#This Row],[Profit]]/表15_17[[#This Row],[Cost]]</f>
        <v>#DIV/0!</v>
      </c>
      <c r="Y136" s="4882"/>
      <c r="Z136" s="5055"/>
    </row>
    <row r="137" spans="1:26" s="709" customFormat="1">
      <c r="A137" s="3787" t="s">
        <v>409</v>
      </c>
      <c r="B137" s="709" t="s">
        <v>9353</v>
      </c>
      <c r="C137" s="3275" t="s">
        <v>28</v>
      </c>
      <c r="D137" s="4957">
        <v>45459</v>
      </c>
      <c r="E137" s="5071">
        <v>45466</v>
      </c>
      <c r="F137" s="3275" t="s">
        <v>151</v>
      </c>
      <c r="G137" s="3275" t="s">
        <v>46</v>
      </c>
      <c r="H137" s="3788"/>
      <c r="I137" s="3246"/>
      <c r="J137" s="4901" t="s">
        <v>32</v>
      </c>
      <c r="K137" s="4839" t="s">
        <v>47</v>
      </c>
      <c r="L137" s="4839" t="s">
        <v>9354</v>
      </c>
      <c r="M137" s="3267">
        <v>45468</v>
      </c>
      <c r="N137" s="3267">
        <v>45467</v>
      </c>
      <c r="O137" s="3267"/>
      <c r="P137" s="3283" t="s">
        <v>9355</v>
      </c>
      <c r="Q137" s="3789" t="s">
        <v>6852</v>
      </c>
      <c r="R137" s="4882" t="s">
        <v>36</v>
      </c>
      <c r="S137" s="4882"/>
      <c r="T137" s="3258"/>
      <c r="U137" s="3258"/>
      <c r="V137" s="3258"/>
      <c r="W137" s="3790">
        <f>表15_17[[#This Row],[Sales Amount]]-表15_17[[#This Row],[Cost]]</f>
        <v>0</v>
      </c>
      <c r="X137" s="3258" t="e">
        <f>表15_17[[#This Row],[Profit]]/表15_17[[#This Row],[Cost]]</f>
        <v>#DIV/0!</v>
      </c>
      <c r="Y137" s="3258"/>
      <c r="Z137" s="3259"/>
    </row>
    <row r="138" spans="1:26" s="709" customFormat="1">
      <c r="A138" s="3787" t="s">
        <v>409</v>
      </c>
      <c r="B138" s="709" t="s">
        <v>9356</v>
      </c>
      <c r="C138" s="3275" t="s">
        <v>44</v>
      </c>
      <c r="D138" s="4957">
        <v>45459</v>
      </c>
      <c r="E138" s="5071">
        <v>45466</v>
      </c>
      <c r="F138" s="3275" t="s">
        <v>151</v>
      </c>
      <c r="G138" s="3275" t="s">
        <v>46</v>
      </c>
      <c r="H138" s="3788"/>
      <c r="I138" s="3246"/>
      <c r="J138" s="4901" t="s">
        <v>32</v>
      </c>
      <c r="K138" s="4839" t="s">
        <v>47</v>
      </c>
      <c r="L138" s="3275" t="s">
        <v>9357</v>
      </c>
      <c r="M138" s="3267">
        <v>45468</v>
      </c>
      <c r="N138" s="3267">
        <v>45468</v>
      </c>
      <c r="O138" s="3267"/>
      <c r="P138" s="3283" t="s">
        <v>9358</v>
      </c>
      <c r="Q138" s="3715" t="s">
        <v>6852</v>
      </c>
      <c r="R138" s="707" t="s">
        <v>36</v>
      </c>
      <c r="S138" s="4882"/>
      <c r="T138" s="3258"/>
      <c r="U138" s="3258"/>
      <c r="V138" s="3258"/>
      <c r="W138" s="3790">
        <f>表15_17[[#This Row],[Sales Amount]]-表15_17[[#This Row],[Cost]]</f>
        <v>0</v>
      </c>
      <c r="X138" s="3258" t="e">
        <f>表15_17[[#This Row],[Profit]]/表15_17[[#This Row],[Cost]]</f>
        <v>#DIV/0!</v>
      </c>
      <c r="Y138" s="3258"/>
      <c r="Z138" s="3259"/>
    </row>
    <row r="139" spans="1:26" s="709" customFormat="1">
      <c r="A139" s="5326" t="s">
        <v>4815</v>
      </c>
      <c r="B139" s="709" t="s">
        <v>9359</v>
      </c>
      <c r="C139" s="4839" t="s">
        <v>28</v>
      </c>
      <c r="D139" s="3279">
        <v>45451</v>
      </c>
      <c r="E139" s="5152">
        <v>45466</v>
      </c>
      <c r="F139" s="3275" t="s">
        <v>45</v>
      </c>
      <c r="G139" s="3275" t="s">
        <v>46</v>
      </c>
      <c r="H139" s="3788"/>
      <c r="I139" s="4861"/>
      <c r="J139" s="3347" t="s">
        <v>32</v>
      </c>
      <c r="K139" s="4839" t="s">
        <v>47</v>
      </c>
      <c r="L139" s="3275" t="s">
        <v>9360</v>
      </c>
      <c r="M139" s="3267">
        <v>45468</v>
      </c>
      <c r="N139" s="3267">
        <v>45467</v>
      </c>
      <c r="O139" s="3267"/>
      <c r="P139" s="1019" t="s">
        <v>9361</v>
      </c>
      <c r="Q139" s="5510" t="s">
        <v>6852</v>
      </c>
      <c r="R139" s="3258" t="s">
        <v>36</v>
      </c>
      <c r="S139" s="4882"/>
      <c r="T139" s="3258"/>
      <c r="U139" s="3258"/>
      <c r="V139" s="3258"/>
      <c r="W139" s="3790">
        <f>表15_17[[#This Row],[Sales Amount]]-表15_17[[#This Row],[Cost]]</f>
        <v>0</v>
      </c>
      <c r="X139" s="3258" t="e">
        <f>表15_17[[#This Row],[Profit]]/表15_17[[#This Row],[Cost]]</f>
        <v>#DIV/0!</v>
      </c>
      <c r="Y139" s="3258"/>
      <c r="Z139" s="3259"/>
    </row>
    <row r="140" spans="1:26" s="709" customFormat="1">
      <c r="A140" s="4668" t="s">
        <v>263</v>
      </c>
      <c r="B140" s="4122" t="s">
        <v>9362</v>
      </c>
      <c r="C140" s="4861" t="s">
        <v>44</v>
      </c>
      <c r="D140" s="4940">
        <v>45466</v>
      </c>
      <c r="E140" s="4940">
        <v>45466</v>
      </c>
      <c r="F140" s="4331" t="s">
        <v>63</v>
      </c>
      <c r="G140" s="4886" t="s">
        <v>7680</v>
      </c>
      <c r="H140" s="3792" t="s">
        <v>9363</v>
      </c>
      <c r="I140" s="3246"/>
      <c r="J140" s="5326"/>
      <c r="K140" s="4886" t="s">
        <v>9364</v>
      </c>
      <c r="L140" s="3246"/>
      <c r="M140" s="3267"/>
      <c r="N140" s="3267"/>
      <c r="O140" s="3267"/>
      <c r="P140" s="4239" t="s">
        <v>9365</v>
      </c>
      <c r="Q140" s="5510" t="s">
        <v>128</v>
      </c>
      <c r="R140" s="3258" t="s">
        <v>36</v>
      </c>
      <c r="S140" s="3258"/>
      <c r="T140" s="3258"/>
      <c r="U140" s="3258"/>
      <c r="V140" s="3258"/>
      <c r="W140" s="3790">
        <f>表15_17[[#This Row],[Sales Amount]]-表15_17[[#This Row],[Cost]]</f>
        <v>0</v>
      </c>
      <c r="X140" s="3258" t="e">
        <f>表15_17[[#This Row],[Profit]]/表15_17[[#This Row],[Cost]]</f>
        <v>#DIV/0!</v>
      </c>
      <c r="Y140" s="3258"/>
      <c r="Z140" s="3259"/>
    </row>
    <row r="141" spans="1:26" s="117" customFormat="1">
      <c r="A141" s="4668" t="s">
        <v>263</v>
      </c>
      <c r="B141" s="4886" t="s">
        <v>9366</v>
      </c>
      <c r="C141" s="4861" t="s">
        <v>44</v>
      </c>
      <c r="D141" s="4940">
        <v>45466</v>
      </c>
      <c r="E141" s="4940">
        <v>45466</v>
      </c>
      <c r="F141" s="4886" t="s">
        <v>63</v>
      </c>
      <c r="G141" s="4122" t="s">
        <v>7680</v>
      </c>
      <c r="H141" s="2932" t="s">
        <v>9363</v>
      </c>
      <c r="I141" s="4861"/>
      <c r="J141" s="5326"/>
      <c r="K141" s="4122" t="s">
        <v>9364</v>
      </c>
      <c r="L141" s="3246"/>
      <c r="M141" s="4903"/>
      <c r="N141" s="4903"/>
      <c r="O141" s="4903"/>
      <c r="P141" s="4239" t="s">
        <v>9365</v>
      </c>
      <c r="Q141" s="5510" t="s">
        <v>128</v>
      </c>
      <c r="R141" s="707" t="s">
        <v>36</v>
      </c>
      <c r="S141" s="4882"/>
      <c r="T141" s="4882"/>
      <c r="U141" s="4882"/>
      <c r="V141" s="4882"/>
      <c r="W141" s="5552">
        <f>表15_17[[#This Row],[Sales Amount]]-表15_17[[#This Row],[Cost]]</f>
        <v>0</v>
      </c>
      <c r="X141" s="4882" t="e">
        <f>表15_17[[#This Row],[Profit]]/表15_17[[#This Row],[Cost]]</f>
        <v>#DIV/0!</v>
      </c>
      <c r="Y141" s="707"/>
      <c r="Z141" s="5055"/>
    </row>
    <row r="142" spans="1:26" s="117" customFormat="1">
      <c r="A142" s="3787" t="s">
        <v>263</v>
      </c>
      <c r="B142" s="4331" t="s">
        <v>9367</v>
      </c>
      <c r="C142" s="4861" t="s">
        <v>44</v>
      </c>
      <c r="D142" s="3266">
        <v>45466</v>
      </c>
      <c r="E142" s="3266">
        <v>45466</v>
      </c>
      <c r="F142" s="4406" t="s">
        <v>63</v>
      </c>
      <c r="G142" s="4886" t="s">
        <v>7680</v>
      </c>
      <c r="H142" s="3792" t="s">
        <v>9363</v>
      </c>
      <c r="I142" s="3246"/>
      <c r="J142" s="5326"/>
      <c r="K142" s="4886" t="s">
        <v>9364</v>
      </c>
      <c r="L142" s="3246"/>
      <c r="M142" s="3267"/>
      <c r="N142" s="3267"/>
      <c r="O142" s="3267"/>
      <c r="P142" s="4334" t="s">
        <v>9365</v>
      </c>
      <c r="Q142" s="5510" t="s">
        <v>128</v>
      </c>
      <c r="R142" s="707" t="s">
        <v>36</v>
      </c>
      <c r="S142" s="3258"/>
      <c r="T142" s="3258"/>
      <c r="U142" s="3258"/>
      <c r="V142" s="3258"/>
      <c r="W142" s="3790">
        <f>表15_17[[#This Row],[Sales Amount]]-表15_17[[#This Row],[Cost]]</f>
        <v>0</v>
      </c>
      <c r="X142" s="3258" t="e">
        <f>表15_17[[#This Row],[Profit]]/表15_17[[#This Row],[Cost]]</f>
        <v>#DIV/0!</v>
      </c>
      <c r="Y142" s="3258"/>
      <c r="Z142" s="3259"/>
    </row>
    <row r="143" spans="1:26" s="709" customFormat="1" ht="15.75">
      <c r="A143" s="3787" t="s">
        <v>4815</v>
      </c>
      <c r="B143" s="3246" t="s">
        <v>9368</v>
      </c>
      <c r="C143" s="4839" t="s">
        <v>44</v>
      </c>
      <c r="D143" s="3279">
        <v>45459</v>
      </c>
      <c r="E143" s="3383">
        <v>45466</v>
      </c>
      <c r="F143" s="3275" t="s">
        <v>45</v>
      </c>
      <c r="G143" s="3275" t="s">
        <v>46</v>
      </c>
      <c r="H143" s="3788"/>
      <c r="I143" s="3246"/>
      <c r="J143" s="913" t="s">
        <v>32</v>
      </c>
      <c r="K143" s="3275" t="s">
        <v>47</v>
      </c>
      <c r="L143" s="5597">
        <v>405213</v>
      </c>
      <c r="M143" s="3267">
        <v>45468</v>
      </c>
      <c r="N143" s="3267">
        <v>45467</v>
      </c>
      <c r="O143" s="3267"/>
      <c r="P143" s="3283" t="s">
        <v>9369</v>
      </c>
      <c r="Q143" s="3789" t="s">
        <v>6852</v>
      </c>
      <c r="R143" s="3258" t="s">
        <v>51</v>
      </c>
      <c r="S143" s="4882"/>
      <c r="T143" s="3258"/>
      <c r="U143" s="3258"/>
      <c r="V143" s="3258"/>
      <c r="W143" s="3790">
        <f>表15_17[[#This Row],[Sales Amount]]-表15_17[[#This Row],[Cost]]</f>
        <v>0</v>
      </c>
      <c r="X143" s="3258" t="e">
        <f>表15_17[[#This Row],[Profit]]/表15_17[[#This Row],[Cost]]</f>
        <v>#DIV/0!</v>
      </c>
      <c r="Y143" s="3258"/>
      <c r="Z143" s="3259"/>
    </row>
    <row r="144" spans="1:26" s="709" customFormat="1">
      <c r="A144" s="5375" t="s">
        <v>468</v>
      </c>
      <c r="B144" s="4242" t="s">
        <v>9370</v>
      </c>
      <c r="C144" s="4845" t="s">
        <v>44</v>
      </c>
      <c r="D144" s="3262">
        <v>45457</v>
      </c>
      <c r="E144" s="3264">
        <v>45466</v>
      </c>
      <c r="F144" s="857" t="s">
        <v>245</v>
      </c>
      <c r="G144" s="4970" t="s">
        <v>9371</v>
      </c>
      <c r="H144" s="4844">
        <v>45482</v>
      </c>
      <c r="I144" s="4242" t="s">
        <v>9372</v>
      </c>
      <c r="J144" s="5375" t="s">
        <v>8136</v>
      </c>
      <c r="K144" s="4970" t="s">
        <v>9373</v>
      </c>
      <c r="L144" s="4845">
        <v>1833515</v>
      </c>
      <c r="M144" s="3262">
        <v>45469</v>
      </c>
      <c r="N144" s="3262">
        <v>45469</v>
      </c>
      <c r="O144" s="3377">
        <v>45482</v>
      </c>
      <c r="P144" s="3376" t="s">
        <v>9374</v>
      </c>
      <c r="Q144" s="5065" t="s">
        <v>75</v>
      </c>
      <c r="R144" s="3376" t="s">
        <v>9375</v>
      </c>
      <c r="S144" s="4845"/>
      <c r="T144" s="3679">
        <v>2293.75</v>
      </c>
      <c r="U144" s="3679">
        <v>2106.5</v>
      </c>
      <c r="V144" s="3268">
        <v>1</v>
      </c>
      <c r="W144" s="3679">
        <f>表15_17[[#This Row],[Sales Amount]]-表15_17[[#This Row],[Cost]]</f>
        <v>187.25</v>
      </c>
      <c r="X144" s="3269">
        <f>表15_17[[#This Row],[Profit]]/表15_17[[#This Row],[Cost]]</f>
        <v>8.8891526228340845E-2</v>
      </c>
      <c r="Y144" s="3268"/>
      <c r="Z144" s="3270"/>
    </row>
    <row r="145" spans="1:26" s="709" customFormat="1" ht="30">
      <c r="A145" s="3793" t="s">
        <v>8929</v>
      </c>
      <c r="B145" s="4104" t="s">
        <v>9376</v>
      </c>
      <c r="C145" s="4947" t="s">
        <v>28</v>
      </c>
      <c r="D145" s="3292">
        <v>45467</v>
      </c>
      <c r="E145" s="3314">
        <v>45467</v>
      </c>
      <c r="F145" s="3273" t="s">
        <v>167</v>
      </c>
      <c r="G145" s="4246" t="s">
        <v>9073</v>
      </c>
      <c r="H145" s="4936">
        <v>45474</v>
      </c>
      <c r="I145" s="4951"/>
      <c r="J145" s="5572" t="s">
        <v>859</v>
      </c>
      <c r="K145" s="4829" t="s">
        <v>9377</v>
      </c>
      <c r="L145" s="3293" t="s">
        <v>9278</v>
      </c>
      <c r="M145" s="4263">
        <v>45472</v>
      </c>
      <c r="N145" s="4263">
        <v>45470</v>
      </c>
      <c r="O145" s="3292">
        <v>45474</v>
      </c>
      <c r="P145" s="4246" t="s">
        <v>9378</v>
      </c>
      <c r="Q145" s="5065" t="s">
        <v>75</v>
      </c>
      <c r="R145" s="4205" t="s">
        <v>9379</v>
      </c>
      <c r="S145" s="3273" t="s">
        <v>67</v>
      </c>
      <c r="T145" s="3393">
        <v>2184</v>
      </c>
      <c r="U145" s="3273">
        <f>90*4+1205</f>
        <v>1565</v>
      </c>
      <c r="V145" s="3273">
        <v>1</v>
      </c>
      <c r="W145" s="3393">
        <f>表15_17[[#This Row],[Sales Amount]]-表15_17[[#This Row],[Cost]]</f>
        <v>619</v>
      </c>
      <c r="X145" s="3294">
        <f>表15_17[[#This Row],[Profit]]/表15_17[[#This Row],[Cost]]</f>
        <v>0.39552715654952075</v>
      </c>
      <c r="Y145" s="3273"/>
      <c r="Z145" s="3325"/>
    </row>
    <row r="146" spans="1:26" s="709" customFormat="1" ht="45">
      <c r="A146" s="3686" t="s">
        <v>409</v>
      </c>
      <c r="B146" s="4098" t="s">
        <v>9380</v>
      </c>
      <c r="C146" s="4845" t="s">
        <v>28</v>
      </c>
      <c r="D146" s="3262">
        <v>45449</v>
      </c>
      <c r="E146" s="856">
        <v>45467</v>
      </c>
      <c r="F146" s="3268" t="s">
        <v>45</v>
      </c>
      <c r="G146" s="3268" t="s">
        <v>801</v>
      </c>
      <c r="H146" s="3794">
        <v>45471</v>
      </c>
      <c r="I146" s="3268" t="s">
        <v>445</v>
      </c>
      <c r="J146" s="3513" t="s">
        <v>322</v>
      </c>
      <c r="K146" s="4908" t="s">
        <v>9381</v>
      </c>
      <c r="L146" s="3268">
        <v>533294</v>
      </c>
      <c r="M146" s="3262">
        <v>45469</v>
      </c>
      <c r="N146" s="3262">
        <v>45470</v>
      </c>
      <c r="O146" s="3262">
        <v>45471</v>
      </c>
      <c r="P146" s="4246" t="s">
        <v>9382</v>
      </c>
      <c r="Q146" s="3678" t="s">
        <v>75</v>
      </c>
      <c r="R146" s="4372" t="s">
        <v>9383</v>
      </c>
      <c r="S146" s="3268"/>
      <c r="T146" s="3679">
        <v>1772.5</v>
      </c>
      <c r="U146" s="3679">
        <v>1299.3499999999999</v>
      </c>
      <c r="V146" s="3268">
        <v>1</v>
      </c>
      <c r="W146" s="3679">
        <f>表15_17[[#This Row],[Sales Amount]]-表15_17[[#This Row],[Cost]]</f>
        <v>473.15000000000009</v>
      </c>
      <c r="X146" s="3269">
        <f>表15_17[[#This Row],[Profit]]/表15_17[[#This Row],[Cost]]</f>
        <v>0.36414361026667191</v>
      </c>
      <c r="Y146" s="3268"/>
      <c r="Z146" s="3270"/>
    </row>
    <row r="147" spans="1:26" s="709" customFormat="1">
      <c r="A147" s="3787" t="s">
        <v>8520</v>
      </c>
      <c r="B147" s="1188" t="s">
        <v>9384</v>
      </c>
      <c r="C147" s="4861" t="s">
        <v>28</v>
      </c>
      <c r="D147" s="3266">
        <v>45448</v>
      </c>
      <c r="E147" s="3795">
        <v>45467</v>
      </c>
      <c r="F147" s="3246" t="s">
        <v>45</v>
      </c>
      <c r="G147" s="3246" t="s">
        <v>46</v>
      </c>
      <c r="H147" s="3788"/>
      <c r="I147" s="3246"/>
      <c r="J147" s="3523" t="s">
        <v>32</v>
      </c>
      <c r="K147" s="4861" t="s">
        <v>47</v>
      </c>
      <c r="L147" s="3275" t="s">
        <v>9385</v>
      </c>
      <c r="M147" s="3267">
        <v>45469</v>
      </c>
      <c r="N147" s="3267">
        <v>45470</v>
      </c>
      <c r="O147" s="3267">
        <v>45472</v>
      </c>
      <c r="P147" s="3283" t="s">
        <v>9386</v>
      </c>
      <c r="Q147" s="3789" t="s">
        <v>6852</v>
      </c>
      <c r="R147" s="3258" t="s">
        <v>51</v>
      </c>
      <c r="S147" s="3258"/>
      <c r="T147" s="3258"/>
      <c r="U147" s="3258"/>
      <c r="V147" s="3258"/>
      <c r="W147" s="3790">
        <f>表15_17[[#This Row],[Sales Amount]]-表15_17[[#This Row],[Cost]]</f>
        <v>0</v>
      </c>
      <c r="X147" s="3258" t="e">
        <f>表15_17[[#This Row],[Profit]]/表15_17[[#This Row],[Cost]]</f>
        <v>#DIV/0!</v>
      </c>
      <c r="Y147" s="3258"/>
      <c r="Z147" s="3259"/>
    </row>
    <row r="148" spans="1:26">
      <c r="A148" s="3787" t="s">
        <v>409</v>
      </c>
      <c r="B148" s="709" t="s">
        <v>9387</v>
      </c>
      <c r="C148" s="4839" t="s">
        <v>28</v>
      </c>
      <c r="D148" s="3279">
        <v>45453</v>
      </c>
      <c r="E148" s="3383">
        <v>45467</v>
      </c>
      <c r="F148" s="3275" t="s">
        <v>45</v>
      </c>
      <c r="G148" s="3275" t="s">
        <v>46</v>
      </c>
      <c r="H148" s="3788"/>
      <c r="I148" s="3246"/>
      <c r="J148" s="3347" t="s">
        <v>32</v>
      </c>
      <c r="K148" s="4839" t="s">
        <v>47</v>
      </c>
      <c r="L148" s="3275" t="s">
        <v>9388</v>
      </c>
      <c r="M148" s="3267">
        <v>45469</v>
      </c>
      <c r="N148" s="3267">
        <v>45468</v>
      </c>
      <c r="O148" s="3267"/>
      <c r="P148" s="3283" t="s">
        <v>9389</v>
      </c>
      <c r="Q148" s="3789" t="s">
        <v>6852</v>
      </c>
      <c r="R148" s="3258" t="s">
        <v>36</v>
      </c>
      <c r="S148" s="3258"/>
      <c r="T148" s="3258"/>
      <c r="U148" s="3258"/>
      <c r="V148" s="3258"/>
      <c r="W148" s="3790">
        <f>表15_17[[#This Row],[Sales Amount]]-表15_17[[#This Row],[Cost]]</f>
        <v>0</v>
      </c>
      <c r="X148" s="3796" t="e">
        <f>表15_17[[#This Row],[Profit]]/表15_17[[#This Row],[Cost]]</f>
        <v>#DIV/0!</v>
      </c>
      <c r="Y148" s="3258"/>
      <c r="Z148" s="3259"/>
    </row>
    <row r="149" spans="1:26" ht="15.75">
      <c r="A149" s="3787" t="s">
        <v>4815</v>
      </c>
      <c r="B149" s="709" t="s">
        <v>9390</v>
      </c>
      <c r="C149" s="4839" t="s">
        <v>44</v>
      </c>
      <c r="D149" s="4957">
        <v>45459</v>
      </c>
      <c r="E149" s="4867">
        <v>45467</v>
      </c>
      <c r="F149" s="3275" t="s">
        <v>45</v>
      </c>
      <c r="G149" s="58" t="s">
        <v>46</v>
      </c>
      <c r="H149" s="3788"/>
      <c r="I149" s="4861"/>
      <c r="J149" s="3347" t="s">
        <v>32</v>
      </c>
      <c r="K149" s="4839" t="s">
        <v>47</v>
      </c>
      <c r="L149" s="3797" t="s">
        <v>9391</v>
      </c>
      <c r="M149" s="3267">
        <v>45469</v>
      </c>
      <c r="N149" s="3267">
        <v>45468</v>
      </c>
      <c r="O149" s="1635"/>
      <c r="P149" s="3283" t="s">
        <v>9392</v>
      </c>
      <c r="Q149" s="5510" t="s">
        <v>6852</v>
      </c>
      <c r="R149" s="3258" t="s">
        <v>36</v>
      </c>
      <c r="S149" s="3258"/>
      <c r="T149" s="3258"/>
      <c r="U149" s="3258"/>
      <c r="V149" s="3258"/>
      <c r="W149" s="3790">
        <f>表15_17[[#This Row],[Sales Amount]]-表15_17[[#This Row],[Cost]]</f>
        <v>0</v>
      </c>
      <c r="X149" s="3258" t="e">
        <f>表15_17[[#This Row],[Profit]]/表15_17[[#This Row],[Cost]]</f>
        <v>#DIV/0!</v>
      </c>
      <c r="Y149" s="3258"/>
      <c r="Z149" s="3259"/>
    </row>
    <row r="150" spans="1:26">
      <c r="A150" s="5326" t="s">
        <v>4815</v>
      </c>
      <c r="B150" s="3246" t="s">
        <v>9393</v>
      </c>
      <c r="C150" s="4839" t="s">
        <v>44</v>
      </c>
      <c r="D150" s="3280">
        <v>45459</v>
      </c>
      <c r="E150" s="3795">
        <v>45467</v>
      </c>
      <c r="F150" s="3275" t="s">
        <v>45</v>
      </c>
      <c r="G150" s="4839" t="s">
        <v>46</v>
      </c>
      <c r="H150" s="3788"/>
      <c r="I150" s="3246"/>
      <c r="J150" s="4901" t="s">
        <v>32</v>
      </c>
      <c r="K150" s="4839" t="s">
        <v>47</v>
      </c>
      <c r="L150" s="3275" t="s">
        <v>9394</v>
      </c>
      <c r="M150" s="3267">
        <v>45469</v>
      </c>
      <c r="N150" s="3267">
        <v>45468</v>
      </c>
      <c r="O150" s="3267">
        <v>45470</v>
      </c>
      <c r="P150" s="3283" t="s">
        <v>9395</v>
      </c>
      <c r="Q150" s="5510" t="s">
        <v>6852</v>
      </c>
      <c r="R150" s="3258" t="s">
        <v>51</v>
      </c>
      <c r="S150" s="3258"/>
      <c r="T150" s="3258"/>
      <c r="U150" s="3258"/>
      <c r="V150" s="3258"/>
      <c r="W150" s="3790">
        <f>表15_17[[#This Row],[Sales Amount]]-表15_17[[#This Row],[Cost]]</f>
        <v>0</v>
      </c>
      <c r="X150" s="3258" t="e">
        <f>表15_17[[#This Row],[Profit]]/表15_17[[#This Row],[Cost]]</f>
        <v>#DIV/0!</v>
      </c>
      <c r="Y150" s="3258"/>
      <c r="Z150" s="3259"/>
    </row>
    <row r="151" spans="1:26">
      <c r="A151" s="5326" t="s">
        <v>7678</v>
      </c>
      <c r="B151" s="2922" t="s">
        <v>9396</v>
      </c>
      <c r="C151" s="4861" t="s">
        <v>28</v>
      </c>
      <c r="D151" s="3266">
        <v>45464</v>
      </c>
      <c r="E151" s="3266">
        <v>45468</v>
      </c>
      <c r="F151" s="3246" t="s">
        <v>173</v>
      </c>
      <c r="G151" s="4861" t="s">
        <v>9229</v>
      </c>
      <c r="H151" s="3523" t="s">
        <v>8102</v>
      </c>
      <c r="I151" s="3246"/>
      <c r="J151" s="5325"/>
      <c r="K151" s="4861"/>
      <c r="L151" s="3246"/>
      <c r="M151" s="3267"/>
      <c r="N151" s="3267">
        <v>45474</v>
      </c>
      <c r="O151" s="3267">
        <v>45475</v>
      </c>
      <c r="P151" s="3283" t="s">
        <v>9397</v>
      </c>
      <c r="Q151" s="5510" t="s">
        <v>9226</v>
      </c>
      <c r="R151" s="2686" t="s">
        <v>9398</v>
      </c>
      <c r="S151" s="2156" t="s">
        <v>2373</v>
      </c>
      <c r="T151" s="2156"/>
      <c r="U151" s="2156"/>
      <c r="V151" s="2156"/>
      <c r="W151" s="2881">
        <f>表15_17[[#This Row],[Sales Amount]]-表15_17[[#This Row],[Cost]]</f>
        <v>0</v>
      </c>
      <c r="X151" s="2156" t="e">
        <f>表15_17[[#This Row],[Profit]]/表15_17[[#This Row],[Cost]]</f>
        <v>#DIV/0!</v>
      </c>
      <c r="Y151" s="2156"/>
      <c r="Z151" s="2884"/>
    </row>
    <row r="152" spans="1:26" s="117" customFormat="1">
      <c r="A152" s="3787" t="s">
        <v>7678</v>
      </c>
      <c r="B152" s="5352" t="s">
        <v>9399</v>
      </c>
      <c r="C152" s="3246" t="s">
        <v>28</v>
      </c>
      <c r="D152" s="3266">
        <v>45464</v>
      </c>
      <c r="E152" s="4940">
        <v>45468</v>
      </c>
      <c r="F152" s="3246" t="s">
        <v>173</v>
      </c>
      <c r="G152" s="3246" t="s">
        <v>9229</v>
      </c>
      <c r="H152" s="3523" t="s">
        <v>8102</v>
      </c>
      <c r="I152" s="3246"/>
      <c r="J152" s="3544"/>
      <c r="K152" s="3246"/>
      <c r="L152" s="709"/>
      <c r="M152" s="3267"/>
      <c r="N152" s="3267">
        <v>45475</v>
      </c>
      <c r="O152" s="3267">
        <v>45476</v>
      </c>
      <c r="P152" s="3283" t="s">
        <v>9397</v>
      </c>
      <c r="Q152" s="3789" t="s">
        <v>9226</v>
      </c>
      <c r="R152" s="3564" t="s">
        <v>9398</v>
      </c>
      <c r="S152" s="3258" t="s">
        <v>2373</v>
      </c>
      <c r="T152" s="3258"/>
      <c r="U152" s="3258"/>
      <c r="V152" s="3258"/>
      <c r="W152" s="3790">
        <f>表15_17[[#This Row],[Sales Amount]]-表15_17[[#This Row],[Cost]]</f>
        <v>0</v>
      </c>
      <c r="X152" s="3258" t="e">
        <f>表15_17[[#This Row],[Profit]]/表15_17[[#This Row],[Cost]]</f>
        <v>#DIV/0!</v>
      </c>
      <c r="Y152" s="3258"/>
      <c r="Z152" s="3259"/>
    </row>
    <row r="153" spans="1:26" s="709" customFormat="1">
      <c r="A153" s="3787" t="s">
        <v>7678</v>
      </c>
      <c r="B153" s="3537" t="s">
        <v>9400</v>
      </c>
      <c r="C153" s="3246" t="s">
        <v>28</v>
      </c>
      <c r="D153" s="3266">
        <v>45464</v>
      </c>
      <c r="E153" s="1612">
        <v>45468</v>
      </c>
      <c r="F153" s="3246" t="s">
        <v>173</v>
      </c>
      <c r="G153" s="3246" t="s">
        <v>9229</v>
      </c>
      <c r="H153" s="3523" t="s">
        <v>8102</v>
      </c>
      <c r="I153" s="3246"/>
      <c r="J153" s="3544"/>
      <c r="K153" s="3246"/>
      <c r="L153" s="3246"/>
      <c r="M153" s="3267"/>
      <c r="N153" s="3267">
        <v>45474</v>
      </c>
      <c r="O153" s="3267">
        <v>45475</v>
      </c>
      <c r="P153" s="3283" t="s">
        <v>9397</v>
      </c>
      <c r="Q153" s="3789" t="s">
        <v>9226</v>
      </c>
      <c r="R153" s="3564" t="s">
        <v>9398</v>
      </c>
      <c r="S153" s="3258" t="s">
        <v>2373</v>
      </c>
      <c r="T153" s="3258"/>
      <c r="U153" s="3258"/>
      <c r="V153" s="3258"/>
      <c r="W153" s="3790">
        <f>表15_17[[#This Row],[Sales Amount]]-表15_17[[#This Row],[Cost]]</f>
        <v>0</v>
      </c>
      <c r="X153" s="3258" t="e">
        <f>表15_17[[#This Row],[Profit]]/表15_17[[#This Row],[Cost]]</f>
        <v>#DIV/0!</v>
      </c>
      <c r="Y153" s="3258"/>
      <c r="Z153" s="3259"/>
    </row>
    <row r="154" spans="1:26" s="709" customFormat="1">
      <c r="A154" s="3787" t="s">
        <v>7678</v>
      </c>
      <c r="B154" s="5352" t="s">
        <v>9401</v>
      </c>
      <c r="C154" s="3246" t="s">
        <v>28</v>
      </c>
      <c r="D154" s="3266">
        <v>45464</v>
      </c>
      <c r="E154" s="4940">
        <v>45468</v>
      </c>
      <c r="F154" s="3246" t="s">
        <v>173</v>
      </c>
      <c r="G154" s="3246" t="s">
        <v>9229</v>
      </c>
      <c r="H154" s="3523" t="s">
        <v>8102</v>
      </c>
      <c r="I154" s="3246"/>
      <c r="J154" s="3544"/>
      <c r="K154" s="3246"/>
      <c r="M154" s="3267"/>
      <c r="N154" s="3267">
        <v>45474</v>
      </c>
      <c r="O154" s="3267">
        <v>45475</v>
      </c>
      <c r="P154" s="3283" t="s">
        <v>9397</v>
      </c>
      <c r="Q154" s="3789" t="s">
        <v>9226</v>
      </c>
      <c r="R154" s="3564" t="s">
        <v>9398</v>
      </c>
      <c r="S154" s="3258" t="s">
        <v>2373</v>
      </c>
      <c r="T154" s="3258"/>
      <c r="U154" s="3258"/>
      <c r="V154" s="3258"/>
      <c r="W154" s="3790">
        <f>表15_17[[#This Row],[Sales Amount]]-表15_17[[#This Row],[Cost]]</f>
        <v>0</v>
      </c>
      <c r="X154" s="3258" t="e">
        <f>表15_17[[#This Row],[Profit]]/表15_17[[#This Row],[Cost]]</f>
        <v>#DIV/0!</v>
      </c>
      <c r="Y154" s="3258"/>
      <c r="Z154" s="3259"/>
    </row>
    <row r="155" spans="1:26" s="709" customFormat="1">
      <c r="A155" s="3787" t="s">
        <v>409</v>
      </c>
      <c r="B155" s="3246" t="s">
        <v>9402</v>
      </c>
      <c r="C155" s="3275" t="s">
        <v>28</v>
      </c>
      <c r="D155" s="3279">
        <v>45443</v>
      </c>
      <c r="E155" s="5071">
        <v>45468</v>
      </c>
      <c r="F155" s="3275" t="s">
        <v>151</v>
      </c>
      <c r="G155" s="3275" t="s">
        <v>46</v>
      </c>
      <c r="H155" s="3788"/>
      <c r="I155" s="3246"/>
      <c r="J155" s="3347" t="s">
        <v>32</v>
      </c>
      <c r="K155" s="3275" t="s">
        <v>47</v>
      </c>
      <c r="L155" s="58" t="s">
        <v>9403</v>
      </c>
      <c r="M155" s="3267">
        <v>45470</v>
      </c>
      <c r="N155" s="3267">
        <v>45469</v>
      </c>
      <c r="O155" s="3267"/>
      <c r="P155" s="3283" t="s">
        <v>9404</v>
      </c>
      <c r="Q155" s="3789" t="s">
        <v>6852</v>
      </c>
      <c r="R155" s="3258" t="s">
        <v>36</v>
      </c>
      <c r="S155" s="3258"/>
      <c r="T155" s="3258"/>
      <c r="U155" s="3258"/>
      <c r="V155" s="3258"/>
      <c r="W155" s="3790">
        <f>表15_17[[#This Row],[Sales Amount]]-表15_17[[#This Row],[Cost]]</f>
        <v>0</v>
      </c>
      <c r="X155" s="3258" t="e">
        <f>表15_17[[#This Row],[Profit]]/表15_17[[#This Row],[Cost]]</f>
        <v>#DIV/0!</v>
      </c>
      <c r="Y155" s="3258"/>
      <c r="Z155" s="3259"/>
    </row>
    <row r="156" spans="1:26" s="709" customFormat="1">
      <c r="A156" s="3787" t="s">
        <v>409</v>
      </c>
      <c r="B156" s="709" t="s">
        <v>9405</v>
      </c>
      <c r="C156" s="3275" t="s">
        <v>28</v>
      </c>
      <c r="D156" s="3279">
        <v>45460</v>
      </c>
      <c r="E156" s="5152">
        <v>45468</v>
      </c>
      <c r="F156" s="3275" t="s">
        <v>260</v>
      </c>
      <c r="G156" s="3246" t="s">
        <v>46</v>
      </c>
      <c r="H156" s="3788"/>
      <c r="I156" s="3246"/>
      <c r="J156" s="3347" t="s">
        <v>32</v>
      </c>
      <c r="K156" s="3275" t="s">
        <v>47</v>
      </c>
      <c r="L156" s="3275" t="s">
        <v>9406</v>
      </c>
      <c r="M156" s="3267">
        <v>45470</v>
      </c>
      <c r="N156" s="3267">
        <v>45469</v>
      </c>
      <c r="O156" s="3267"/>
      <c r="P156" s="3283" t="s">
        <v>9407</v>
      </c>
      <c r="Q156" s="3715" t="s">
        <v>6852</v>
      </c>
      <c r="R156" s="3258" t="s">
        <v>36</v>
      </c>
      <c r="S156" s="3258"/>
      <c r="T156" s="3258"/>
      <c r="U156" s="3258"/>
      <c r="V156" s="3258"/>
      <c r="W156" s="3790">
        <f>表15_17[[#This Row],[Sales Amount]]-表15_17[[#This Row],[Cost]]</f>
        <v>0</v>
      </c>
      <c r="X156" s="3258" t="e">
        <f>表15_17[[#This Row],[Profit]]/表15_17[[#This Row],[Cost]]</f>
        <v>#DIV/0!</v>
      </c>
      <c r="Y156" s="3258"/>
      <c r="Z156" s="3259"/>
    </row>
    <row r="157" spans="1:26" s="709" customFormat="1">
      <c r="A157" s="3787" t="s">
        <v>409</v>
      </c>
      <c r="B157" s="3434" t="s">
        <v>9408</v>
      </c>
      <c r="C157" s="3275" t="s">
        <v>28</v>
      </c>
      <c r="D157" s="3279">
        <v>45459</v>
      </c>
      <c r="E157" s="5152">
        <v>45468</v>
      </c>
      <c r="F157" s="3275" t="s">
        <v>151</v>
      </c>
      <c r="G157" s="3246" t="s">
        <v>46</v>
      </c>
      <c r="H157" s="3788"/>
      <c r="I157" s="3246"/>
      <c r="J157" s="3347" t="s">
        <v>32</v>
      </c>
      <c r="K157" s="3275" t="s">
        <v>47</v>
      </c>
      <c r="L157" s="58" t="s">
        <v>9409</v>
      </c>
      <c r="M157" s="3267">
        <v>45470</v>
      </c>
      <c r="N157" s="3267">
        <v>45470</v>
      </c>
      <c r="O157" s="3267"/>
      <c r="P157" s="3283" t="s">
        <v>9410</v>
      </c>
      <c r="Q157" s="3789" t="s">
        <v>6852</v>
      </c>
      <c r="R157" s="3258" t="s">
        <v>36</v>
      </c>
      <c r="S157" s="3258"/>
      <c r="T157" s="3258"/>
      <c r="U157" s="3258"/>
      <c r="V157" s="3258"/>
      <c r="W157" s="3790">
        <f>表15_17[[#This Row],[Sales Amount]]-表15_17[[#This Row],[Cost]]</f>
        <v>0</v>
      </c>
      <c r="X157" s="3258" t="e">
        <f>表15_17[[#This Row],[Profit]]/表15_17[[#This Row],[Cost]]</f>
        <v>#DIV/0!</v>
      </c>
      <c r="Y157" s="3258"/>
      <c r="Z157" s="3259"/>
    </row>
    <row r="158" spans="1:26" s="709" customFormat="1">
      <c r="A158" s="3787" t="s">
        <v>2396</v>
      </c>
      <c r="B158" s="3348" t="s">
        <v>9411</v>
      </c>
      <c r="C158" s="3348" t="s">
        <v>28</v>
      </c>
      <c r="D158" s="3266">
        <v>45466</v>
      </c>
      <c r="E158" s="5052">
        <v>45468</v>
      </c>
      <c r="F158" s="3348" t="s">
        <v>173</v>
      </c>
      <c r="G158" s="3348" t="s">
        <v>6204</v>
      </c>
      <c r="H158" s="3788">
        <v>45475</v>
      </c>
      <c r="I158" s="3246"/>
      <c r="J158" s="3523" t="s">
        <v>8977</v>
      </c>
      <c r="K158" s="4331" t="s">
        <v>8978</v>
      </c>
      <c r="M158" s="3267">
        <v>45475</v>
      </c>
      <c r="N158" s="3267">
        <v>45475</v>
      </c>
      <c r="O158" s="3267">
        <v>45481</v>
      </c>
      <c r="P158" s="3283" t="s">
        <v>9412</v>
      </c>
      <c r="Q158" s="3789" t="s">
        <v>862</v>
      </c>
      <c r="R158" s="3258" t="s">
        <v>9413</v>
      </c>
      <c r="S158" s="3258"/>
      <c r="T158" s="3258">
        <v>785</v>
      </c>
      <c r="U158" s="3258">
        <v>525.5</v>
      </c>
      <c r="V158" s="3258">
        <v>1</v>
      </c>
      <c r="W158" s="3790">
        <f>表15_17[[#This Row],[Sales Amount]]-表15_17[[#This Row],[Cost]]</f>
        <v>259.5</v>
      </c>
      <c r="X158" s="3796">
        <f>表15_17[[#This Row],[Profit]]/表15_17[[#This Row],[Cost]]</f>
        <v>0.49381541389153188</v>
      </c>
      <c r="Y158" s="3258"/>
      <c r="Z158" s="3259"/>
    </row>
    <row r="159" spans="1:26" s="709" customFormat="1">
      <c r="A159" s="3787" t="s">
        <v>409</v>
      </c>
      <c r="B159" s="1188" t="s">
        <v>9414</v>
      </c>
      <c r="C159" s="4839" t="s">
        <v>28</v>
      </c>
      <c r="D159" s="3279">
        <v>45459</v>
      </c>
      <c r="E159" s="3795">
        <v>45468</v>
      </c>
      <c r="F159" s="3275" t="s">
        <v>151</v>
      </c>
      <c r="G159" s="4861" t="s">
        <v>46</v>
      </c>
      <c r="H159" s="3788"/>
      <c r="I159" s="3246"/>
      <c r="J159" s="4901" t="s">
        <v>32</v>
      </c>
      <c r="K159" s="4839" t="s">
        <v>47</v>
      </c>
      <c r="L159" s="3275" t="s">
        <v>9415</v>
      </c>
      <c r="M159" s="3267">
        <v>45470</v>
      </c>
      <c r="N159" s="3267">
        <v>45470</v>
      </c>
      <c r="O159" s="3267"/>
      <c r="P159" s="3283" t="s">
        <v>9416</v>
      </c>
      <c r="Q159" s="3789" t="s">
        <v>6852</v>
      </c>
      <c r="R159" s="3258" t="s">
        <v>36</v>
      </c>
      <c r="S159" s="3258"/>
      <c r="T159" s="3258"/>
      <c r="U159" s="3258"/>
      <c r="V159" s="3258"/>
      <c r="W159" s="3790">
        <f>表15_17[[#This Row],[Sales Amount]]-表15_17[[#This Row],[Cost]]</f>
        <v>0</v>
      </c>
      <c r="X159" s="3258" t="e">
        <f>表15_17[[#This Row],[Profit]]/表15_17[[#This Row],[Cost]]</f>
        <v>#DIV/0!</v>
      </c>
      <c r="Y159" s="3258"/>
      <c r="Z159" s="3259"/>
    </row>
    <row r="160" spans="1:26" s="709" customFormat="1">
      <c r="A160" s="3787" t="s">
        <v>4815</v>
      </c>
      <c r="B160" s="3434" t="s">
        <v>9417</v>
      </c>
      <c r="C160" s="4839" t="s">
        <v>44</v>
      </c>
      <c r="D160" s="3279">
        <v>45459</v>
      </c>
      <c r="E160" s="3795">
        <v>45468</v>
      </c>
      <c r="F160" s="3275" t="s">
        <v>45</v>
      </c>
      <c r="G160" s="4839" t="s">
        <v>46</v>
      </c>
      <c r="H160" s="3788"/>
      <c r="I160" s="3246"/>
      <c r="J160" s="4901" t="s">
        <v>32</v>
      </c>
      <c r="K160" s="4839" t="s">
        <v>47</v>
      </c>
      <c r="L160" s="3275" t="s">
        <v>9418</v>
      </c>
      <c r="M160" s="3267">
        <v>45470</v>
      </c>
      <c r="N160" s="3267">
        <v>45470</v>
      </c>
      <c r="O160" s="3267"/>
      <c r="P160" s="3283" t="s">
        <v>9419</v>
      </c>
      <c r="Q160" s="3789" t="s">
        <v>6852</v>
      </c>
      <c r="R160" s="3258" t="s">
        <v>51</v>
      </c>
      <c r="S160" s="3258"/>
      <c r="T160" s="3258"/>
      <c r="U160" s="3258"/>
      <c r="V160" s="3258"/>
      <c r="W160" s="3790">
        <f>表15_17[[#This Row],[Sales Amount]]-表15_17[[#This Row],[Cost]]</f>
        <v>0</v>
      </c>
      <c r="X160" s="3258" t="e">
        <f>表15_17[[#This Row],[Profit]]/表15_17[[#This Row],[Cost]]</f>
        <v>#DIV/0!</v>
      </c>
      <c r="Y160" s="3258"/>
      <c r="Z160" s="3259"/>
    </row>
    <row r="161" spans="1:26" s="2962" customFormat="1">
      <c r="A161" s="2949" t="s">
        <v>4815</v>
      </c>
      <c r="B161" s="2950" t="s">
        <v>9420</v>
      </c>
      <c r="C161" s="5598" t="s">
        <v>44</v>
      </c>
      <c r="D161" s="2951">
        <v>45459</v>
      </c>
      <c r="E161" s="2952">
        <v>45468</v>
      </c>
      <c r="F161" s="2953" t="s">
        <v>45</v>
      </c>
      <c r="G161" s="5598" t="s">
        <v>46</v>
      </c>
      <c r="H161" s="2954"/>
      <c r="I161" s="2955"/>
      <c r="J161" s="5599" t="s">
        <v>32</v>
      </c>
      <c r="K161" s="5598" t="s">
        <v>47</v>
      </c>
      <c r="L161" s="2953" t="s">
        <v>9421</v>
      </c>
      <c r="M161" s="2956">
        <v>45470</v>
      </c>
      <c r="N161" s="2956">
        <v>45470</v>
      </c>
      <c r="O161" s="2956">
        <v>45473</v>
      </c>
      <c r="P161" s="2957" t="s">
        <v>9422</v>
      </c>
      <c r="Q161" s="2958" t="s">
        <v>6852</v>
      </c>
      <c r="R161" s="2959" t="s">
        <v>9423</v>
      </c>
      <c r="S161" s="2959"/>
      <c r="T161" s="2959"/>
      <c r="U161" s="2959"/>
      <c r="V161" s="2959"/>
      <c r="W161" s="2960">
        <f>表15_17[[#This Row],[Sales Amount]]-表15_17[[#This Row],[Cost]]</f>
        <v>0</v>
      </c>
      <c r="X161" s="2959" t="e">
        <f>表15_17[[#This Row],[Profit]]/表15_17[[#This Row],[Cost]]</f>
        <v>#DIV/0!</v>
      </c>
      <c r="Y161" s="2959"/>
      <c r="Z161" s="2961"/>
    </row>
    <row r="162" spans="1:26" s="709" customFormat="1">
      <c r="A162" s="2842" t="s">
        <v>3866</v>
      </c>
      <c r="B162" s="2663" t="s">
        <v>9424</v>
      </c>
      <c r="C162" s="3275" t="s">
        <v>28</v>
      </c>
      <c r="D162" s="2029">
        <v>45457</v>
      </c>
      <c r="E162" s="2926">
        <v>45468</v>
      </c>
      <c r="F162" s="739" t="s">
        <v>45</v>
      </c>
      <c r="G162" s="3275" t="s">
        <v>46</v>
      </c>
      <c r="H162" s="2888"/>
      <c r="I162" s="2886"/>
      <c r="J162" s="3347" t="s">
        <v>32</v>
      </c>
      <c r="K162" s="3275" t="s">
        <v>47</v>
      </c>
      <c r="L162" s="739" t="s">
        <v>9425</v>
      </c>
      <c r="M162" s="2593">
        <v>45470</v>
      </c>
      <c r="N162" s="2593">
        <v>45470</v>
      </c>
      <c r="O162" s="2593">
        <v>45475</v>
      </c>
      <c r="P162" s="2874" t="s">
        <v>9426</v>
      </c>
      <c r="Q162" s="2875" t="s">
        <v>6852</v>
      </c>
      <c r="R162" s="2879" t="s">
        <v>51</v>
      </c>
      <c r="S162" s="2879"/>
      <c r="T162" s="2879"/>
      <c r="U162" s="2879"/>
      <c r="V162" s="2879"/>
      <c r="W162" s="2891">
        <f>表15_17[[#This Row],[Sales Amount]]-表15_17[[#This Row],[Cost]]</f>
        <v>0</v>
      </c>
      <c r="X162" s="2879" t="e">
        <f>表15_17[[#This Row],[Profit]]/表15_17[[#This Row],[Cost]]</f>
        <v>#DIV/0!</v>
      </c>
      <c r="Y162" s="2879"/>
      <c r="Z162" s="2892"/>
    </row>
    <row r="163" spans="1:26" s="709" customFormat="1" ht="45">
      <c r="A163" s="3686" t="s">
        <v>622</v>
      </c>
      <c r="B163" s="4150" t="s">
        <v>9427</v>
      </c>
      <c r="C163" s="3268" t="s">
        <v>28</v>
      </c>
      <c r="D163" s="4241">
        <v>45457</v>
      </c>
      <c r="E163" s="879">
        <v>45469</v>
      </c>
      <c r="F163" s="3268" t="s">
        <v>93</v>
      </c>
      <c r="G163" s="4242" t="s">
        <v>302</v>
      </c>
      <c r="H163" s="3798">
        <v>45474</v>
      </c>
      <c r="I163" s="3268"/>
      <c r="J163" s="3513" t="s">
        <v>32</v>
      </c>
      <c r="K163" s="3272" t="s">
        <v>1445</v>
      </c>
      <c r="L163" s="2935" t="s">
        <v>9428</v>
      </c>
      <c r="M163" s="3366">
        <v>45474</v>
      </c>
      <c r="N163" s="3366">
        <v>45474</v>
      </c>
      <c r="O163" s="3262">
        <v>45474</v>
      </c>
      <c r="P163" s="4246" t="s">
        <v>9429</v>
      </c>
      <c r="Q163" s="3678" t="s">
        <v>75</v>
      </c>
      <c r="R163" s="3376" t="s">
        <v>9430</v>
      </c>
      <c r="S163" s="3268" t="s">
        <v>67</v>
      </c>
      <c r="T163" s="3679">
        <v>8425</v>
      </c>
      <c r="U163" s="3268">
        <f>585+90+7450</f>
        <v>8125</v>
      </c>
      <c r="V163" s="3268">
        <v>1</v>
      </c>
      <c r="W163" s="3679">
        <f>表15_17[[#This Row],[Sales Amount]]-表15_17[[#This Row],[Cost]]</f>
        <v>300</v>
      </c>
      <c r="X163" s="3269">
        <f>表15_17[[#This Row],[Profit]]/表15_17[[#This Row],[Cost]]</f>
        <v>3.6923076923076927E-2</v>
      </c>
      <c r="Y163" s="3268"/>
      <c r="Z163" s="3270"/>
    </row>
    <row r="164" spans="1:26" s="709" customFormat="1">
      <c r="A164" s="3787" t="s">
        <v>409</v>
      </c>
      <c r="B164" s="3434" t="s">
        <v>9431</v>
      </c>
      <c r="C164" s="3275" t="s">
        <v>28</v>
      </c>
      <c r="D164" s="3279">
        <v>45459</v>
      </c>
      <c r="E164" s="3795">
        <v>45469</v>
      </c>
      <c r="F164" s="3275" t="s">
        <v>151</v>
      </c>
      <c r="G164" s="3275" t="s">
        <v>46</v>
      </c>
      <c r="H164" s="3788"/>
      <c r="I164" s="3246"/>
      <c r="J164" s="3347" t="s">
        <v>32</v>
      </c>
      <c r="K164" s="3275" t="s">
        <v>47</v>
      </c>
      <c r="L164" s="58" t="s">
        <v>9432</v>
      </c>
      <c r="M164" s="3267">
        <v>45471</v>
      </c>
      <c r="N164" s="3267">
        <v>45471</v>
      </c>
      <c r="O164" s="3267"/>
      <c r="P164" s="3283" t="s">
        <v>9433</v>
      </c>
      <c r="Q164" s="3789" t="s">
        <v>6852</v>
      </c>
      <c r="R164" s="3258" t="s">
        <v>36</v>
      </c>
      <c r="S164" s="3258"/>
      <c r="T164" s="3258"/>
      <c r="U164" s="3258"/>
      <c r="V164" s="3258"/>
      <c r="W164" s="3790">
        <f>表15_17[[#This Row],[Sales Amount]]-表15_17[[#This Row],[Cost]]</f>
        <v>0</v>
      </c>
      <c r="X164" s="3258" t="e">
        <f>表15_17[[#This Row],[Profit]]/表15_17[[#This Row],[Cost]]</f>
        <v>#DIV/0!</v>
      </c>
      <c r="Y164" s="3258"/>
      <c r="Z164" s="3259"/>
    </row>
    <row r="165" spans="1:26">
      <c r="A165" s="5326" t="s">
        <v>409</v>
      </c>
      <c r="B165" s="3434" t="s">
        <v>9434</v>
      </c>
      <c r="C165" s="4839" t="s">
        <v>28</v>
      </c>
      <c r="D165" s="4957">
        <v>45460</v>
      </c>
      <c r="E165" s="5152">
        <v>45469</v>
      </c>
      <c r="F165" s="4839" t="s">
        <v>260</v>
      </c>
      <c r="G165" s="4861" t="s">
        <v>829</v>
      </c>
      <c r="H165" s="5550"/>
      <c r="I165" s="4861"/>
      <c r="J165" s="913" t="s">
        <v>32</v>
      </c>
      <c r="K165" s="4839" t="s">
        <v>47</v>
      </c>
      <c r="L165" s="4839" t="s">
        <v>9435</v>
      </c>
      <c r="M165" s="3267">
        <v>45471</v>
      </c>
      <c r="N165" s="3267">
        <v>45471</v>
      </c>
      <c r="O165" s="3267"/>
      <c r="P165" s="1019" t="s">
        <v>9436</v>
      </c>
      <c r="Q165" s="5510" t="s">
        <v>6852</v>
      </c>
      <c r="R165" s="4882" t="s">
        <v>36</v>
      </c>
      <c r="S165" s="4882"/>
      <c r="T165" s="3258"/>
      <c r="U165" s="3258"/>
      <c r="V165" s="3258"/>
      <c r="W165" s="3790">
        <f>表15_17[[#This Row],[Sales Amount]]-表15_17[[#This Row],[Cost]]</f>
        <v>0</v>
      </c>
      <c r="X165" s="3258" t="e">
        <f>表15_17[[#This Row],[Profit]]/表15_17[[#This Row],[Cost]]</f>
        <v>#DIV/0!</v>
      </c>
      <c r="Y165" s="3258"/>
      <c r="Z165" s="3259"/>
    </row>
    <row r="166" spans="1:26" s="709" customFormat="1">
      <c r="A166" s="3781" t="s">
        <v>2396</v>
      </c>
      <c r="B166" s="4407" t="s">
        <v>9437</v>
      </c>
      <c r="C166" s="3368" t="s">
        <v>28</v>
      </c>
      <c r="D166" s="3694">
        <v>45466</v>
      </c>
      <c r="E166" s="5499">
        <v>45469</v>
      </c>
      <c r="F166" s="4892" t="s">
        <v>173</v>
      </c>
      <c r="G166" t="s">
        <v>6204</v>
      </c>
      <c r="H166" s="3799">
        <v>45475</v>
      </c>
      <c r="I166" s="3075"/>
      <c r="J166" s="3800" t="s">
        <v>8977</v>
      </c>
      <c r="K166" s="3075" t="s">
        <v>8978</v>
      </c>
      <c r="L166" s="106"/>
      <c r="M166" s="3782">
        <v>45475</v>
      </c>
      <c r="N166" s="3782">
        <v>45475</v>
      </c>
      <c r="O166" s="3782">
        <v>45481</v>
      </c>
      <c r="P166" s="3368" t="s">
        <v>9438</v>
      </c>
      <c r="Q166" s="3783" t="s">
        <v>862</v>
      </c>
      <c r="R166" s="3255" t="s">
        <v>9439</v>
      </c>
      <c r="S166" s="3255"/>
      <c r="T166" s="3255">
        <v>785</v>
      </c>
      <c r="U166" s="3255">
        <v>565.5</v>
      </c>
      <c r="V166" s="3255">
        <v>1</v>
      </c>
      <c r="W166" s="3784">
        <f>表15_17[[#This Row],[Sales Amount]]-表15_17[[#This Row],[Cost]]</f>
        <v>219.5</v>
      </c>
      <c r="X166" s="3785">
        <f>表15_17[[#This Row],[Profit]]/表15_17[[#This Row],[Cost]]</f>
        <v>0.3881520778072502</v>
      </c>
      <c r="Y166" s="3255"/>
      <c r="Z166" s="3256"/>
    </row>
    <row r="167" spans="1:26" s="709" customFormat="1">
      <c r="A167" s="3787" t="s">
        <v>263</v>
      </c>
      <c r="B167" s="3246" t="s">
        <v>9440</v>
      </c>
      <c r="C167" s="3246" t="s">
        <v>44</v>
      </c>
      <c r="D167" s="3266">
        <v>45469</v>
      </c>
      <c r="E167" s="4940">
        <v>45469</v>
      </c>
      <c r="F167" s="3246" t="s">
        <v>135</v>
      </c>
      <c r="G167" s="3246" t="s">
        <v>265</v>
      </c>
      <c r="H167" s="3788"/>
      <c r="I167" s="3246"/>
      <c r="J167" s="3523"/>
      <c r="K167" s="3246" t="s">
        <v>9441</v>
      </c>
      <c r="M167" s="3267"/>
      <c r="N167" s="3267"/>
      <c r="O167" s="3267"/>
      <c r="P167" s="3283" t="s">
        <v>9442</v>
      </c>
      <c r="Q167" s="3789" t="s">
        <v>128</v>
      </c>
      <c r="R167" s="3258" t="s">
        <v>36</v>
      </c>
      <c r="S167" s="3258"/>
      <c r="T167" s="3258"/>
      <c r="U167" s="3258"/>
      <c r="V167" s="3258"/>
      <c r="W167" s="3790">
        <f>表15_17[[#This Row],[Sales Amount]]-表15_17[[#This Row],[Cost]]</f>
        <v>0</v>
      </c>
      <c r="X167" s="3258" t="e">
        <f>表15_17[[#This Row],[Profit]]/表15_17[[#This Row],[Cost]]</f>
        <v>#DIV/0!</v>
      </c>
      <c r="Y167" s="3258"/>
      <c r="Z167" s="3259"/>
    </row>
    <row r="168" spans="1:26" s="709" customFormat="1">
      <c r="A168" s="3781" t="s">
        <v>7885</v>
      </c>
      <c r="B168" s="3801" t="s">
        <v>9443</v>
      </c>
      <c r="C168" s="3241"/>
      <c r="D168" s="3675">
        <v>45460</v>
      </c>
      <c r="E168" s="5600">
        <v>45469</v>
      </c>
      <c r="F168" s="4895" t="s">
        <v>734</v>
      </c>
      <c r="G168" s="106" t="s">
        <v>829</v>
      </c>
      <c r="H168" s="3799"/>
      <c r="I168" s="3075"/>
      <c r="J168" s="3332" t="s">
        <v>32</v>
      </c>
      <c r="K168" s="3241" t="s">
        <v>310</v>
      </c>
      <c r="L168" s="529" t="s">
        <v>9444</v>
      </c>
      <c r="M168" s="3782">
        <v>45471</v>
      </c>
      <c r="N168" s="3782">
        <v>45470</v>
      </c>
      <c r="O168" s="3782">
        <v>45471</v>
      </c>
      <c r="P168" s="3622" t="s">
        <v>9445</v>
      </c>
      <c r="Q168" s="3783" t="s">
        <v>50</v>
      </c>
      <c r="R168" s="3255" t="s">
        <v>36</v>
      </c>
      <c r="S168" s="3255">
        <v>1581</v>
      </c>
      <c r="T168" s="3255"/>
      <c r="U168" s="3255"/>
      <c r="V168" s="3255"/>
      <c r="W168" s="3784">
        <f>表15_17[[#This Row],[Sales Amount]]-表15_17[[#This Row],[Cost]]</f>
        <v>0</v>
      </c>
      <c r="X168" s="3785" t="e">
        <f>表15_17[[#This Row],[Profit]]/表15_17[[#This Row],[Cost]]</f>
        <v>#DIV/0!</v>
      </c>
      <c r="Y168" s="3255"/>
      <c r="Z168" s="3256"/>
    </row>
    <row r="169" spans="1:26">
      <c r="A169" s="3781" t="s">
        <v>8244</v>
      </c>
      <c r="B169" t="s">
        <v>9446</v>
      </c>
      <c r="C169" s="3368" t="s">
        <v>28</v>
      </c>
      <c r="D169" s="3694">
        <v>45462</v>
      </c>
      <c r="E169" s="5498">
        <v>45469</v>
      </c>
      <c r="F169" s="4892" t="s">
        <v>98</v>
      </c>
      <c r="G169" t="s">
        <v>669</v>
      </c>
      <c r="H169" s="3802"/>
      <c r="I169" s="3075"/>
      <c r="J169" s="3803" t="s">
        <v>32</v>
      </c>
      <c r="K169" s="3241" t="s">
        <v>47</v>
      </c>
      <c r="L169" s="529" t="s">
        <v>9447</v>
      </c>
      <c r="M169" s="3782">
        <v>45471</v>
      </c>
      <c r="N169" s="3782">
        <v>45469</v>
      </c>
      <c r="O169" s="2634">
        <v>45470</v>
      </c>
      <c r="P169" s="3622" t="s">
        <v>9448</v>
      </c>
      <c r="Q169" s="3783" t="s">
        <v>6852</v>
      </c>
      <c r="R169" s="3255" t="s">
        <v>51</v>
      </c>
      <c r="S169" s="3255"/>
      <c r="T169" s="3255">
        <v>1580</v>
      </c>
      <c r="U169" s="3255"/>
      <c r="V169" s="3255"/>
      <c r="W169" s="3784">
        <f>表15_17[[#This Row],[Sales Amount]]-表15_17[[#This Row],[Cost]]</f>
        <v>1580</v>
      </c>
      <c r="X169" s="3785" t="e">
        <f>表15_17[[#This Row],[Profit]]/表15_17[[#This Row],[Cost]]</f>
        <v>#DIV/0!</v>
      </c>
      <c r="Y169" s="3255"/>
      <c r="Z169" s="3256"/>
    </row>
    <row r="170" spans="1:26" ht="45">
      <c r="A170" s="3686" t="s">
        <v>165</v>
      </c>
      <c r="B170" s="4307" t="s">
        <v>9449</v>
      </c>
      <c r="C170" s="4242" t="s">
        <v>28</v>
      </c>
      <c r="D170" s="3262">
        <v>45470</v>
      </c>
      <c r="E170" s="4916">
        <v>45470</v>
      </c>
      <c r="F170" s="4908" t="s">
        <v>1357</v>
      </c>
      <c r="G170" s="36" t="s">
        <v>9450</v>
      </c>
      <c r="H170" s="3798">
        <v>45476</v>
      </c>
      <c r="I170" s="3804" t="s">
        <v>618</v>
      </c>
      <c r="J170" s="3513" t="s">
        <v>322</v>
      </c>
      <c r="K170" s="4242" t="s">
        <v>9451</v>
      </c>
      <c r="L170" s="2934"/>
      <c r="M170" s="3805">
        <v>45478</v>
      </c>
      <c r="N170" s="3798">
        <v>45475</v>
      </c>
      <c r="O170" s="3262">
        <v>45476</v>
      </c>
      <c r="P170" s="3806" t="s">
        <v>9452</v>
      </c>
      <c r="Q170" s="3678" t="s">
        <v>75</v>
      </c>
      <c r="R170" s="3804" t="s">
        <v>9453</v>
      </c>
      <c r="S170" s="3807"/>
      <c r="T170" s="3808">
        <v>1662.5</v>
      </c>
      <c r="U170" s="3804">
        <v>1263.24</v>
      </c>
      <c r="V170" s="3268">
        <v>1</v>
      </c>
      <c r="W170" s="3679">
        <f>表15_17[[#This Row],[Sales Amount]]-表15_17[[#This Row],[Cost]]</f>
        <v>399.26</v>
      </c>
      <c r="X170" s="3269">
        <f>表15_17[[#This Row],[Profit]]/表15_17[[#This Row],[Cost]]</f>
        <v>0.31606028941452136</v>
      </c>
      <c r="Y170" s="3268"/>
      <c r="Z170" s="3270"/>
    </row>
    <row r="171" spans="1:26" ht="60">
      <c r="A171" s="5326" t="s">
        <v>9454</v>
      </c>
      <c r="B171" s="650" t="s">
        <v>9455</v>
      </c>
      <c r="C171" s="4861" t="s">
        <v>28</v>
      </c>
      <c r="D171" s="4863">
        <v>45463</v>
      </c>
      <c r="E171" s="5601">
        <v>45470</v>
      </c>
      <c r="F171" s="4861" t="s">
        <v>151</v>
      </c>
      <c r="G171" s="4861" t="s">
        <v>302</v>
      </c>
      <c r="H171" s="5329" t="s">
        <v>162</v>
      </c>
      <c r="I171" s="3570" t="s">
        <v>162</v>
      </c>
      <c r="J171" s="3570" t="s">
        <v>162</v>
      </c>
      <c r="K171" s="709" t="s">
        <v>9456</v>
      </c>
      <c r="L171" s="3246" t="s">
        <v>9457</v>
      </c>
      <c r="M171" s="3534">
        <v>45472</v>
      </c>
      <c r="N171" s="3267">
        <v>45475</v>
      </c>
      <c r="O171" s="4903">
        <v>45478</v>
      </c>
      <c r="P171" s="1019" t="s">
        <v>9458</v>
      </c>
      <c r="Q171" s="2941" t="s">
        <v>9226</v>
      </c>
      <c r="R171" s="3258" t="s">
        <v>9459</v>
      </c>
      <c r="S171" s="3258" t="s">
        <v>2373</v>
      </c>
      <c r="T171" s="3258"/>
      <c r="U171" s="3258"/>
      <c r="V171" s="3258"/>
      <c r="W171" s="3790">
        <f>表15_17[[#This Row],[Sales Amount]]-表15_17[[#This Row],[Cost]]</f>
        <v>0</v>
      </c>
      <c r="X171" s="3796" t="e">
        <f>表15_17[[#This Row],[Profit]]/表15_17[[#This Row],[Cost]]</f>
        <v>#DIV/0!</v>
      </c>
      <c r="Y171" s="3258"/>
      <c r="Z171" s="3259"/>
    </row>
    <row r="172" spans="1:26" s="709" customFormat="1" ht="60">
      <c r="A172" s="3787" t="s">
        <v>9454</v>
      </c>
      <c r="B172" s="650" t="s">
        <v>9460</v>
      </c>
      <c r="C172" s="3246" t="s">
        <v>28</v>
      </c>
      <c r="D172" s="4863">
        <v>45463</v>
      </c>
      <c r="E172" s="5601">
        <v>45470</v>
      </c>
      <c r="F172" s="4861" t="s">
        <v>151</v>
      </c>
      <c r="G172" s="709" t="s">
        <v>302</v>
      </c>
      <c r="H172" s="3570" t="s">
        <v>162</v>
      </c>
      <c r="I172" s="3570" t="s">
        <v>162</v>
      </c>
      <c r="J172" s="3570" t="s">
        <v>162</v>
      </c>
      <c r="K172" s="3246" t="s">
        <v>9456</v>
      </c>
      <c r="L172" s="709" t="s">
        <v>9461</v>
      </c>
      <c r="M172" s="3534">
        <v>45472</v>
      </c>
      <c r="N172" s="3267">
        <v>45475</v>
      </c>
      <c r="O172" s="3267">
        <v>45478</v>
      </c>
      <c r="P172" s="4334" t="s">
        <v>9462</v>
      </c>
      <c r="Q172" s="3809" t="s">
        <v>9226</v>
      </c>
      <c r="R172" s="3258" t="s">
        <v>9463</v>
      </c>
      <c r="S172" s="3258" t="s">
        <v>2373</v>
      </c>
      <c r="T172" s="3258"/>
      <c r="U172" s="3258"/>
      <c r="V172" s="3258"/>
      <c r="W172" s="3790">
        <f>表15_17[[#This Row],[Sales Amount]]-表15_17[[#This Row],[Cost]]</f>
        <v>0</v>
      </c>
      <c r="X172" s="3796" t="e">
        <f>表15_17[[#This Row],[Profit]]/表15_17[[#This Row],[Cost]]</f>
        <v>#DIV/0!</v>
      </c>
      <c r="Y172" s="3258"/>
      <c r="Z172" s="3259"/>
    </row>
    <row r="173" spans="1:26" s="117" customFormat="1">
      <c r="A173" s="5471" t="s">
        <v>3064</v>
      </c>
      <c r="B173" s="3810" t="s">
        <v>9464</v>
      </c>
      <c r="C173" s="4874" t="s">
        <v>28</v>
      </c>
      <c r="D173" s="5602">
        <v>45461</v>
      </c>
      <c r="E173" s="5600">
        <v>45470</v>
      </c>
      <c r="F173" s="106" t="s">
        <v>45</v>
      </c>
      <c r="G173" s="4874" t="s">
        <v>46</v>
      </c>
      <c r="H173" s="5548"/>
      <c r="I173" s="3075"/>
      <c r="J173" s="5171" t="s">
        <v>32</v>
      </c>
      <c r="K173" s="7" t="s">
        <v>47</v>
      </c>
      <c r="L173" s="4895" t="s">
        <v>9465</v>
      </c>
      <c r="M173" s="3782">
        <v>45472</v>
      </c>
      <c r="N173" s="3782">
        <v>45472</v>
      </c>
      <c r="O173" s="746">
        <v>45474</v>
      </c>
      <c r="P173" s="762" t="s">
        <v>9466</v>
      </c>
      <c r="Q173" s="5553" t="s">
        <v>6852</v>
      </c>
      <c r="R173" s="3255"/>
      <c r="S173" s="3255"/>
      <c r="T173" s="3255"/>
      <c r="U173" s="3255"/>
      <c r="V173" s="3255"/>
      <c r="W173" s="3784">
        <f>表15_17[[#This Row],[Sales Amount]]-表15_17[[#This Row],[Cost]]</f>
        <v>0</v>
      </c>
      <c r="X173" s="3785" t="e">
        <f>表15_17[[#This Row],[Profit]]/表15_17[[#This Row],[Cost]]</f>
        <v>#DIV/0!</v>
      </c>
      <c r="Y173" s="3255"/>
      <c r="Z173" s="3256"/>
    </row>
    <row r="174" spans="1:26" s="709" customFormat="1">
      <c r="A174" s="5326" t="s">
        <v>409</v>
      </c>
      <c r="B174" s="1188" t="s">
        <v>9467</v>
      </c>
      <c r="C174" s="4839" t="s">
        <v>28</v>
      </c>
      <c r="D174" s="4957">
        <v>45460</v>
      </c>
      <c r="E174" s="5152">
        <v>45470</v>
      </c>
      <c r="F174" s="58" t="s">
        <v>260</v>
      </c>
      <c r="G174" s="709" t="s">
        <v>46</v>
      </c>
      <c r="H174" s="2929"/>
      <c r="I174" s="3246"/>
      <c r="J174" s="913" t="s">
        <v>32</v>
      </c>
      <c r="K174" s="3275" t="s">
        <v>47</v>
      </c>
      <c r="L174" s="4839" t="s">
        <v>9468</v>
      </c>
      <c r="M174" s="3267">
        <v>45472</v>
      </c>
      <c r="N174" s="3267">
        <v>45471</v>
      </c>
      <c r="O174" s="4903"/>
      <c r="P174" s="1019" t="s">
        <v>9469</v>
      </c>
      <c r="Q174" s="5510" t="s">
        <v>6852</v>
      </c>
      <c r="R174" s="3258" t="s">
        <v>36</v>
      </c>
      <c r="S174" s="3258"/>
      <c r="T174" s="3258"/>
      <c r="U174" s="3258"/>
      <c r="V174" s="3258"/>
      <c r="W174" s="3790">
        <f>表15_17[[#This Row],[Sales Amount]]-表15_17[[#This Row],[Cost]]</f>
        <v>0</v>
      </c>
      <c r="X174" s="3258" t="e">
        <f>表15_17[[#This Row],[Profit]]/表15_17[[#This Row],[Cost]]</f>
        <v>#DIV/0!</v>
      </c>
      <c r="Y174" s="3258"/>
      <c r="Z174" s="3259"/>
    </row>
    <row r="175" spans="1:26" s="709" customFormat="1">
      <c r="A175" s="5326" t="s">
        <v>409</v>
      </c>
      <c r="B175" s="709" t="s">
        <v>9470</v>
      </c>
      <c r="C175" s="3246" t="s">
        <v>28</v>
      </c>
      <c r="D175" s="4940">
        <v>45464</v>
      </c>
      <c r="E175" s="5379">
        <v>45470</v>
      </c>
      <c r="F175" s="709" t="s">
        <v>151</v>
      </c>
      <c r="G175" s="709" t="s">
        <v>46</v>
      </c>
      <c r="H175" s="2929"/>
      <c r="I175" s="3246"/>
      <c r="J175" s="913" t="s">
        <v>32</v>
      </c>
      <c r="K175" s="58" t="s">
        <v>47</v>
      </c>
      <c r="L175" s="3275" t="s">
        <v>9471</v>
      </c>
      <c r="M175" s="3267">
        <v>45472</v>
      </c>
      <c r="N175" s="3267">
        <v>45472</v>
      </c>
      <c r="O175" s="4903"/>
      <c r="P175" s="1019" t="s">
        <v>9472</v>
      </c>
      <c r="Q175" s="5510" t="s">
        <v>6852</v>
      </c>
      <c r="R175" s="3258" t="s">
        <v>36</v>
      </c>
      <c r="S175" s="3258"/>
      <c r="T175" s="3258"/>
      <c r="U175" s="3258"/>
      <c r="V175" s="3258"/>
      <c r="W175" s="3790">
        <f>表15_17[[#This Row],[Sales Amount]]-表15_17[[#This Row],[Cost]]</f>
        <v>0</v>
      </c>
      <c r="X175" s="3258" t="e">
        <f>表15_17[[#This Row],[Profit]]/表15_17[[#This Row],[Cost]]</f>
        <v>#DIV/0!</v>
      </c>
      <c r="Y175" s="3258"/>
      <c r="Z175" s="3259"/>
    </row>
    <row r="176" spans="1:26">
      <c r="A176" s="3787" t="s">
        <v>4815</v>
      </c>
      <c r="B176" s="3434" t="s">
        <v>9473</v>
      </c>
      <c r="C176" s="3246" t="s">
        <v>44</v>
      </c>
      <c r="D176" s="3526">
        <v>45459</v>
      </c>
      <c r="E176" s="2927">
        <v>45470</v>
      </c>
      <c r="F176" s="4861" t="s">
        <v>9474</v>
      </c>
      <c r="G176" s="709" t="s">
        <v>829</v>
      </c>
      <c r="H176" s="3788"/>
      <c r="I176" s="3246"/>
      <c r="J176" s="3347" t="s">
        <v>32</v>
      </c>
      <c r="K176" s="3275" t="s">
        <v>47</v>
      </c>
      <c r="L176" s="3275" t="s">
        <v>9475</v>
      </c>
      <c r="M176" s="3267">
        <v>45472</v>
      </c>
      <c r="N176" s="3267">
        <v>45471</v>
      </c>
      <c r="O176" s="3267">
        <v>45473</v>
      </c>
      <c r="P176" s="3283" t="s">
        <v>9476</v>
      </c>
      <c r="Q176" s="3789" t="s">
        <v>6852</v>
      </c>
      <c r="R176" s="3258" t="s">
        <v>51</v>
      </c>
      <c r="S176" s="3258"/>
      <c r="T176" s="3258"/>
      <c r="U176" s="3258"/>
      <c r="V176" s="3258"/>
      <c r="W176" s="3790">
        <f>表15_17[[#This Row],[Sales Amount]]-表15_17[[#This Row],[Cost]]</f>
        <v>0</v>
      </c>
      <c r="X176" s="3258" t="e">
        <f>表15_17[[#This Row],[Profit]]/表15_17[[#This Row],[Cost]]</f>
        <v>#DIV/0!</v>
      </c>
      <c r="Y176" s="3258"/>
      <c r="Z176" s="3259"/>
    </row>
    <row r="177" spans="1:26" s="709" customFormat="1">
      <c r="A177" s="3787" t="s">
        <v>3866</v>
      </c>
      <c r="B177" s="3246" t="s">
        <v>9477</v>
      </c>
      <c r="C177" s="3246" t="s">
        <v>28</v>
      </c>
      <c r="D177" s="3266">
        <v>45457</v>
      </c>
      <c r="E177" s="5379">
        <v>45470</v>
      </c>
      <c r="F177" s="3246" t="s">
        <v>45</v>
      </c>
      <c r="G177" s="709" t="s">
        <v>46</v>
      </c>
      <c r="H177" s="3788"/>
      <c r="I177" s="3246"/>
      <c r="J177" s="3347" t="s">
        <v>32</v>
      </c>
      <c r="K177" s="3275" t="s">
        <v>47</v>
      </c>
      <c r="L177" s="4839" t="s">
        <v>9478</v>
      </c>
      <c r="M177" s="3267">
        <v>45472</v>
      </c>
      <c r="N177" s="3267">
        <v>45471</v>
      </c>
      <c r="O177" s="3267"/>
      <c r="P177" s="3283" t="s">
        <v>9479</v>
      </c>
      <c r="Q177" s="3789" t="s">
        <v>6852</v>
      </c>
      <c r="R177" s="3258" t="s">
        <v>51</v>
      </c>
      <c r="S177" s="3258"/>
      <c r="T177" s="3258"/>
      <c r="U177" s="3258"/>
      <c r="V177" s="3258"/>
      <c r="W177" s="3790">
        <f>表15_17[[#This Row],[Sales Amount]]-表15_17[[#This Row],[Cost]]</f>
        <v>0</v>
      </c>
      <c r="X177" s="3258" t="e">
        <f>表15_17[[#This Row],[Profit]]/表15_17[[#This Row],[Cost]]</f>
        <v>#DIV/0!</v>
      </c>
      <c r="Y177" s="3258"/>
      <c r="Z177" s="3259"/>
    </row>
    <row r="178" spans="1:26" s="709" customFormat="1">
      <c r="A178" s="4668" t="s">
        <v>3866</v>
      </c>
      <c r="B178" s="3246" t="s">
        <v>9480</v>
      </c>
      <c r="C178" s="4861" t="s">
        <v>28</v>
      </c>
      <c r="D178" s="4940">
        <v>45442</v>
      </c>
      <c r="E178" s="1614">
        <v>45470</v>
      </c>
      <c r="F178" s="4861" t="s">
        <v>45</v>
      </c>
      <c r="G178" s="709" t="s">
        <v>46</v>
      </c>
      <c r="H178" s="5550"/>
      <c r="I178" s="3534"/>
      <c r="J178" s="4901" t="s">
        <v>32</v>
      </c>
      <c r="K178" s="4839" t="s">
        <v>47</v>
      </c>
      <c r="L178" s="4859" t="s">
        <v>9481</v>
      </c>
      <c r="M178" s="3267">
        <v>45472</v>
      </c>
      <c r="N178" s="3267">
        <v>45471</v>
      </c>
      <c r="O178" s="3267">
        <v>45473</v>
      </c>
      <c r="P178" s="1019" t="s">
        <v>8741</v>
      </c>
      <c r="Q178" s="5603" t="s">
        <v>6852</v>
      </c>
      <c r="R178" s="3267" t="s">
        <v>51</v>
      </c>
      <c r="S178" s="3258"/>
      <c r="T178" s="3258"/>
      <c r="U178" s="3258"/>
      <c r="V178" s="3258"/>
      <c r="W178" s="3790"/>
      <c r="X178" s="3796"/>
      <c r="Y178" s="3258"/>
      <c r="Z178" s="3259"/>
    </row>
    <row r="179" spans="1:26" s="709" customFormat="1">
      <c r="A179" s="3787" t="s">
        <v>409</v>
      </c>
      <c r="B179" s="3246" t="s">
        <v>9482</v>
      </c>
      <c r="C179" s="3246" t="s">
        <v>28</v>
      </c>
      <c r="D179" s="3266">
        <v>45462</v>
      </c>
      <c r="E179" s="5379">
        <v>45471</v>
      </c>
      <c r="F179" s="4861" t="s">
        <v>167</v>
      </c>
      <c r="G179" s="709" t="s">
        <v>46</v>
      </c>
      <c r="H179" s="3788"/>
      <c r="I179" s="3246"/>
      <c r="J179" s="3347" t="s">
        <v>32</v>
      </c>
      <c r="K179" s="3275" t="s">
        <v>47</v>
      </c>
      <c r="L179" s="58" t="s">
        <v>9483</v>
      </c>
      <c r="M179" s="3267"/>
      <c r="N179" s="3267">
        <v>45472</v>
      </c>
      <c r="O179" s="3267">
        <v>45474</v>
      </c>
      <c r="P179" s="3283" t="s">
        <v>9484</v>
      </c>
      <c r="Q179" s="3789" t="s">
        <v>6852</v>
      </c>
      <c r="R179" s="3258" t="s">
        <v>36</v>
      </c>
      <c r="S179" s="3258"/>
      <c r="T179" s="3258"/>
      <c r="U179" s="3258"/>
      <c r="V179" s="3258"/>
      <c r="W179" s="3790">
        <f>表15_17[[#This Row],[Sales Amount]]-表15_17[[#This Row],[Cost]]</f>
        <v>0</v>
      </c>
      <c r="X179" s="3258" t="e">
        <f>表15_17[[#This Row],[Profit]]/表15_17[[#This Row],[Cost]]</f>
        <v>#DIV/0!</v>
      </c>
      <c r="Y179" s="3258"/>
      <c r="Z179" s="3259"/>
    </row>
    <row r="180" spans="1:26" s="709" customFormat="1" ht="60">
      <c r="A180" s="3787" t="s">
        <v>9454</v>
      </c>
      <c r="B180" s="3348" t="s">
        <v>9485</v>
      </c>
      <c r="C180" s="3246" t="s">
        <v>28</v>
      </c>
      <c r="D180" s="3526">
        <v>45463</v>
      </c>
      <c r="E180" s="5601">
        <v>45471</v>
      </c>
      <c r="F180" s="4861" t="s">
        <v>151</v>
      </c>
      <c r="G180" s="709" t="s">
        <v>302</v>
      </c>
      <c r="H180" s="3570" t="s">
        <v>162</v>
      </c>
      <c r="I180" s="3570" t="s">
        <v>162</v>
      </c>
      <c r="J180" s="3570" t="s">
        <v>162</v>
      </c>
      <c r="K180" s="3246" t="s">
        <v>9456</v>
      </c>
      <c r="L180" s="709" t="s">
        <v>9486</v>
      </c>
      <c r="M180" s="3661">
        <v>45474</v>
      </c>
      <c r="N180" s="3267">
        <v>45475</v>
      </c>
      <c r="O180" s="3267">
        <v>45482</v>
      </c>
      <c r="P180" s="3283" t="s">
        <v>9487</v>
      </c>
      <c r="Q180" s="3809" t="s">
        <v>9226</v>
      </c>
      <c r="R180" s="3258" t="s">
        <v>9488</v>
      </c>
      <c r="S180" s="3258" t="s">
        <v>2373</v>
      </c>
      <c r="T180" s="3258"/>
      <c r="U180" s="3258"/>
      <c r="V180" s="3258"/>
      <c r="W180" s="3790">
        <f>表15_17[[#This Row],[Sales Amount]]-表15_17[[#This Row],[Cost]]</f>
        <v>0</v>
      </c>
      <c r="X180" s="3796" t="e">
        <f>表15_17[[#This Row],[Profit]]/表15_17[[#This Row],[Cost]]</f>
        <v>#DIV/0!</v>
      </c>
      <c r="Y180" s="3258"/>
      <c r="Z180" s="3259"/>
    </row>
    <row r="181" spans="1:26" s="709" customFormat="1">
      <c r="A181" s="5326" t="s">
        <v>4815</v>
      </c>
      <c r="B181" s="3246" t="s">
        <v>9489</v>
      </c>
      <c r="C181" s="4861" t="s">
        <v>28</v>
      </c>
      <c r="D181" s="4940">
        <v>45464</v>
      </c>
      <c r="E181" s="5379">
        <v>45471</v>
      </c>
      <c r="F181" s="4861" t="s">
        <v>45</v>
      </c>
      <c r="G181" s="3246" t="s">
        <v>46</v>
      </c>
      <c r="H181" s="5550"/>
      <c r="I181" s="4861"/>
      <c r="J181" s="913" t="s">
        <v>32</v>
      </c>
      <c r="K181" s="4839" t="s">
        <v>47</v>
      </c>
      <c r="L181" s="4839" t="s">
        <v>9490</v>
      </c>
      <c r="M181" s="3267">
        <v>45473</v>
      </c>
      <c r="N181" s="3267">
        <v>45472</v>
      </c>
      <c r="O181" s="3267">
        <v>45476</v>
      </c>
      <c r="P181" s="3283" t="s">
        <v>9491</v>
      </c>
      <c r="Q181" s="5510" t="s">
        <v>6852</v>
      </c>
      <c r="R181" s="3258" t="s">
        <v>9492</v>
      </c>
      <c r="S181" s="707"/>
      <c r="T181" s="3258"/>
      <c r="U181" s="3258"/>
      <c r="V181" s="3258"/>
      <c r="W181" s="3790">
        <f>表15_17[[#This Row],[Sales Amount]]-表15_17[[#This Row],[Cost]]</f>
        <v>0</v>
      </c>
      <c r="X181" s="3258" t="e">
        <f>表15_17[[#This Row],[Profit]]/表15_17[[#This Row],[Cost]]</f>
        <v>#DIV/0!</v>
      </c>
      <c r="Y181" s="3258"/>
      <c r="Z181" s="3259"/>
    </row>
    <row r="182" spans="1:26" s="709" customFormat="1">
      <c r="A182" s="3787" t="s">
        <v>3866</v>
      </c>
      <c r="B182" s="3246" t="s">
        <v>9493</v>
      </c>
      <c r="C182" s="4861" t="s">
        <v>28</v>
      </c>
      <c r="D182" s="3266">
        <v>45457</v>
      </c>
      <c r="E182" s="5379">
        <v>45471</v>
      </c>
      <c r="F182" s="3246" t="s">
        <v>45</v>
      </c>
      <c r="G182" s="3246" t="s">
        <v>46</v>
      </c>
      <c r="H182" s="3788"/>
      <c r="I182" s="3246"/>
      <c r="J182" s="3347" t="s">
        <v>32</v>
      </c>
      <c r="K182" s="3275" t="s">
        <v>47</v>
      </c>
      <c r="L182" s="58" t="s">
        <v>9494</v>
      </c>
      <c r="M182" s="3267"/>
      <c r="N182" s="3267" t="s">
        <v>9495</v>
      </c>
      <c r="O182" s="3267"/>
      <c r="P182" s="3283" t="s">
        <v>9496</v>
      </c>
      <c r="Q182" s="3789" t="s">
        <v>6852</v>
      </c>
      <c r="R182" s="3258" t="s">
        <v>51</v>
      </c>
      <c r="S182" s="3258"/>
      <c r="T182" s="3258"/>
      <c r="U182" s="3258"/>
      <c r="V182" s="3258"/>
      <c r="W182" s="3790">
        <f>表15_17[[#This Row],[Sales Amount]]-表15_17[[#This Row],[Cost]]</f>
        <v>0</v>
      </c>
      <c r="X182" s="3258" t="e">
        <f>表15_17[[#This Row],[Profit]]/表15_17[[#This Row],[Cost]]</f>
        <v>#DIV/0!</v>
      </c>
      <c r="Y182" s="3258"/>
      <c r="Z182" s="3259"/>
    </row>
    <row r="183" spans="1:26" s="709" customFormat="1">
      <c r="A183" s="5326" t="s">
        <v>409</v>
      </c>
      <c r="B183" s="4861" t="s">
        <v>9497</v>
      </c>
      <c r="C183" s="4861" t="s">
        <v>28</v>
      </c>
      <c r="D183" s="4940">
        <v>45459</v>
      </c>
      <c r="E183" s="5379">
        <v>45472</v>
      </c>
      <c r="F183" s="4861" t="s">
        <v>151</v>
      </c>
      <c r="G183" s="4861" t="s">
        <v>46</v>
      </c>
      <c r="H183" s="5550"/>
      <c r="I183" s="4861"/>
      <c r="J183" s="4901" t="s">
        <v>32</v>
      </c>
      <c r="K183" s="4839" t="s">
        <v>47</v>
      </c>
      <c r="L183" s="4839" t="s">
        <v>9498</v>
      </c>
      <c r="M183" s="4903"/>
      <c r="N183" s="4903">
        <v>45473</v>
      </c>
      <c r="O183" s="4903"/>
      <c r="P183" s="4871" t="s">
        <v>9499</v>
      </c>
      <c r="Q183" s="5510" t="s">
        <v>6852</v>
      </c>
      <c r="R183" s="707" t="s">
        <v>36</v>
      </c>
      <c r="S183" s="4882"/>
      <c r="T183" s="4882"/>
      <c r="U183" s="4882"/>
      <c r="V183" s="4882"/>
      <c r="W183" s="5552">
        <f>表15_17[[#This Row],[Sales Amount]]-表15_17[[#This Row],[Cost]]</f>
        <v>0</v>
      </c>
      <c r="X183" s="4882" t="e">
        <f>表15_17[[#This Row],[Profit]]/表15_17[[#This Row],[Cost]]</f>
        <v>#DIV/0!</v>
      </c>
      <c r="Y183" s="4882"/>
      <c r="Z183" s="4882"/>
    </row>
    <row r="184" spans="1:26" ht="30">
      <c r="A184" s="3811" t="s">
        <v>409</v>
      </c>
      <c r="B184" s="4098" t="s">
        <v>9500</v>
      </c>
      <c r="C184" s="4242" t="s">
        <v>28</v>
      </c>
      <c r="D184" s="3262">
        <v>45472</v>
      </c>
      <c r="E184" s="3264">
        <v>45472</v>
      </c>
      <c r="F184" s="4242" t="s">
        <v>135</v>
      </c>
      <c r="G184" s="4104" t="s">
        <v>9276</v>
      </c>
      <c r="H184" s="2930">
        <v>45475</v>
      </c>
      <c r="I184" s="3367" t="s">
        <v>9501</v>
      </c>
      <c r="J184" s="5375" t="s">
        <v>3593</v>
      </c>
      <c r="K184" s="4150" t="s">
        <v>9502</v>
      </c>
      <c r="L184" s="4845"/>
      <c r="M184" s="3366">
        <v>45478</v>
      </c>
      <c r="N184" s="3262">
        <v>45474</v>
      </c>
      <c r="O184" s="3262">
        <v>45475</v>
      </c>
      <c r="P184" s="4104" t="s">
        <v>9503</v>
      </c>
      <c r="Q184" s="3678" t="s">
        <v>75</v>
      </c>
      <c r="R184" s="4242" t="s">
        <v>9504</v>
      </c>
      <c r="S184" s="117"/>
      <c r="T184" s="3268">
        <v>960</v>
      </c>
      <c r="U184" s="3268">
        <v>460.4</v>
      </c>
      <c r="V184" s="3268">
        <v>1</v>
      </c>
      <c r="W184" s="3679">
        <f>表15_17[[#This Row],[Sales Amount]]-表15_17[[#This Row],[Cost]]</f>
        <v>499.6</v>
      </c>
      <c r="X184" s="3269">
        <f>表15_17[[#This Row],[Profit]]/表15_17[[#This Row],[Cost]]</f>
        <v>1.0851433536055606</v>
      </c>
      <c r="Y184" s="3268"/>
      <c r="Z184" s="3270"/>
    </row>
    <row r="185" spans="1:26" s="709" customFormat="1" ht="45">
      <c r="A185" s="3787" t="s">
        <v>9454</v>
      </c>
      <c r="B185" s="3246" t="s">
        <v>9505</v>
      </c>
      <c r="C185" s="4861" t="s">
        <v>28</v>
      </c>
      <c r="D185" s="3266">
        <v>45463</v>
      </c>
      <c r="E185" s="5052">
        <v>45472</v>
      </c>
      <c r="F185" s="4331" t="s">
        <v>151</v>
      </c>
      <c r="G185" s="3246" t="s">
        <v>302</v>
      </c>
      <c r="H185" s="3570" t="s">
        <v>162</v>
      </c>
      <c r="I185" s="3570" t="s">
        <v>162</v>
      </c>
      <c r="J185" s="3570" t="s">
        <v>162</v>
      </c>
      <c r="K185" s="4886" t="s">
        <v>9456</v>
      </c>
      <c r="L185" s="4861" t="s">
        <v>9506</v>
      </c>
      <c r="M185" s="3661">
        <v>45474</v>
      </c>
      <c r="N185" s="3267">
        <v>45476</v>
      </c>
      <c r="O185" s="3267">
        <v>45481</v>
      </c>
      <c r="P185" s="4334" t="s">
        <v>9507</v>
      </c>
      <c r="Q185" s="5576" t="s">
        <v>9226</v>
      </c>
      <c r="R185" s="707" t="s">
        <v>9508</v>
      </c>
      <c r="S185" s="3258" t="s">
        <v>2373</v>
      </c>
      <c r="T185" s="3258"/>
      <c r="U185" s="3258"/>
      <c r="V185" s="3258"/>
      <c r="W185" s="3790">
        <f>表15_17[[#This Row],[Sales Amount]]-表15_17[[#This Row],[Cost]]</f>
        <v>0</v>
      </c>
      <c r="X185" s="3796" t="e">
        <f>表15_17[[#This Row],[Profit]]/表15_17[[#This Row],[Cost]]</f>
        <v>#DIV/0!</v>
      </c>
      <c r="Y185" s="3258"/>
      <c r="Z185" s="3259"/>
    </row>
    <row r="186" spans="1:26" s="117" customFormat="1">
      <c r="A186" s="3787" t="s">
        <v>7678</v>
      </c>
      <c r="B186" s="3537" t="s">
        <v>9509</v>
      </c>
      <c r="C186" s="3246" t="s">
        <v>28</v>
      </c>
      <c r="D186" s="3266">
        <v>45473</v>
      </c>
      <c r="E186" s="3266">
        <v>45472</v>
      </c>
      <c r="F186" s="3246" t="s">
        <v>173</v>
      </c>
      <c r="G186" s="3246" t="s">
        <v>9510</v>
      </c>
      <c r="H186" s="2348" t="s">
        <v>8102</v>
      </c>
      <c r="I186" s="3246"/>
      <c r="J186" s="3544"/>
      <c r="K186" s="3246"/>
      <c r="L186" s="4861"/>
      <c r="M186" s="3267">
        <v>45478</v>
      </c>
      <c r="N186" s="3267">
        <v>45476</v>
      </c>
      <c r="O186" s="3267">
        <v>45478</v>
      </c>
      <c r="P186" s="3283" t="s">
        <v>9511</v>
      </c>
      <c r="Q186" s="3789" t="s">
        <v>9226</v>
      </c>
      <c r="R186" s="3564" t="s">
        <v>9512</v>
      </c>
      <c r="S186" s="3258" t="s">
        <v>2373</v>
      </c>
      <c r="T186" s="3258"/>
      <c r="U186" s="3258"/>
      <c r="V186" s="3258"/>
      <c r="W186" s="3790">
        <f>表15_17[[#This Row],[Sales Amount]]-表15_17[[#This Row],[Cost]]</f>
        <v>0</v>
      </c>
      <c r="X186" s="3258" t="e">
        <f>表15_17[[#This Row],[Profit]]/表15_17[[#This Row],[Cost]]</f>
        <v>#DIV/0!</v>
      </c>
      <c r="Y186" s="3258"/>
      <c r="Z186" s="3259"/>
    </row>
    <row r="187" spans="1:26" s="709" customFormat="1">
      <c r="A187" s="3787" t="s">
        <v>7678</v>
      </c>
      <c r="B187" s="3537" t="s">
        <v>9513</v>
      </c>
      <c r="C187" s="3246" t="s">
        <v>28</v>
      </c>
      <c r="D187" s="3266">
        <v>45473</v>
      </c>
      <c r="E187" s="3266">
        <v>45472</v>
      </c>
      <c r="F187" s="3246" t="s">
        <v>173</v>
      </c>
      <c r="G187" s="3246" t="s">
        <v>9510</v>
      </c>
      <c r="H187" s="3523" t="s">
        <v>8102</v>
      </c>
      <c r="I187" s="3246"/>
      <c r="J187" s="3544"/>
      <c r="K187" s="3246"/>
      <c r="L187" s="4861"/>
      <c r="M187" s="3267">
        <v>45481</v>
      </c>
      <c r="N187" s="3267">
        <v>45481</v>
      </c>
      <c r="O187" s="3267">
        <v>45483</v>
      </c>
      <c r="P187" s="3283" t="s">
        <v>9514</v>
      </c>
      <c r="Q187" s="3789" t="s">
        <v>9226</v>
      </c>
      <c r="R187" s="3564" t="s">
        <v>9515</v>
      </c>
      <c r="S187" s="3258" t="s">
        <v>2373</v>
      </c>
      <c r="T187" s="3258"/>
      <c r="U187" s="3258"/>
      <c r="V187" s="3258"/>
      <c r="W187" s="3790">
        <f>表15_17[[#This Row],[Sales Amount]]-表15_17[[#This Row],[Cost]]</f>
        <v>0</v>
      </c>
      <c r="X187" s="3258" t="e">
        <f>表15_17[[#This Row],[Profit]]/表15_17[[#This Row],[Cost]]</f>
        <v>#DIV/0!</v>
      </c>
      <c r="Y187" s="3258"/>
      <c r="Z187" s="3259"/>
    </row>
    <row r="188" spans="1:26" s="709" customFormat="1">
      <c r="A188" s="3787" t="s">
        <v>7678</v>
      </c>
      <c r="B188" s="3537" t="s">
        <v>9516</v>
      </c>
      <c r="C188" s="3246" t="s">
        <v>28</v>
      </c>
      <c r="D188" s="3266">
        <v>45473</v>
      </c>
      <c r="E188" s="1612">
        <v>45472</v>
      </c>
      <c r="F188" s="3246" t="s">
        <v>173</v>
      </c>
      <c r="G188" s="3246" t="s">
        <v>9510</v>
      </c>
      <c r="H188" s="3523" t="s">
        <v>8102</v>
      </c>
      <c r="I188" s="3246"/>
      <c r="J188" s="3544"/>
      <c r="K188" s="3246"/>
      <c r="L188" s="3246"/>
      <c r="M188" s="3267">
        <v>45478</v>
      </c>
      <c r="N188" s="3267">
        <v>45478</v>
      </c>
      <c r="O188" s="3267">
        <v>45483</v>
      </c>
      <c r="P188" s="3283" t="s">
        <v>9514</v>
      </c>
      <c r="Q188" s="3789" t="s">
        <v>9226</v>
      </c>
      <c r="R188" s="3564" t="s">
        <v>9515</v>
      </c>
      <c r="S188" s="3258" t="s">
        <v>2373</v>
      </c>
      <c r="T188" s="3258"/>
      <c r="U188" s="3258"/>
      <c r="V188" s="3258"/>
      <c r="W188" s="3790">
        <f>表15_17[[#This Row],[Sales Amount]]-表15_17[[#This Row],[Cost]]</f>
        <v>0</v>
      </c>
      <c r="X188" s="3258" t="e">
        <f>表15_17[[#This Row],[Profit]]/表15_17[[#This Row],[Cost]]</f>
        <v>#DIV/0!</v>
      </c>
      <c r="Y188" s="3258"/>
      <c r="Z188" s="3259"/>
    </row>
    <row r="189" spans="1:26" s="709" customFormat="1">
      <c r="A189" s="3787" t="s">
        <v>7678</v>
      </c>
      <c r="B189" s="3537" t="s">
        <v>9517</v>
      </c>
      <c r="C189" s="3246" t="s">
        <v>28</v>
      </c>
      <c r="D189" s="3266">
        <v>45473</v>
      </c>
      <c r="E189" s="1612">
        <v>45472</v>
      </c>
      <c r="F189" s="3246" t="s">
        <v>173</v>
      </c>
      <c r="G189" s="3246" t="s">
        <v>9510</v>
      </c>
      <c r="H189" s="3523" t="s">
        <v>8102</v>
      </c>
      <c r="I189" s="3246"/>
      <c r="J189" s="3544"/>
      <c r="K189" s="3246"/>
      <c r="L189" s="4861"/>
      <c r="M189" s="3267">
        <v>45478</v>
      </c>
      <c r="N189" s="3267">
        <v>45475</v>
      </c>
      <c r="O189" s="3267">
        <v>45476</v>
      </c>
      <c r="P189" s="3283" t="s">
        <v>9514</v>
      </c>
      <c r="Q189" s="3789" t="s">
        <v>9226</v>
      </c>
      <c r="R189" s="3564" t="s">
        <v>9515</v>
      </c>
      <c r="S189" s="3258" t="s">
        <v>2373</v>
      </c>
      <c r="T189" s="3258"/>
      <c r="U189" s="3258"/>
      <c r="V189" s="3258"/>
      <c r="W189" s="3790">
        <f>表15_17[[#This Row],[Sales Amount]]-表15_17[[#This Row],[Cost]]</f>
        <v>0</v>
      </c>
      <c r="X189" s="3258" t="e">
        <f>表15_17[[#This Row],[Profit]]/表15_17[[#This Row],[Cost]]</f>
        <v>#DIV/0!</v>
      </c>
      <c r="Y189" s="3258"/>
      <c r="Z189" s="3259"/>
    </row>
    <row r="190" spans="1:26" s="117" customFormat="1">
      <c r="A190" s="3787" t="s">
        <v>7678</v>
      </c>
      <c r="B190" s="3537" t="s">
        <v>9518</v>
      </c>
      <c r="C190" s="3246" t="s">
        <v>28</v>
      </c>
      <c r="D190" s="3266">
        <v>45473</v>
      </c>
      <c r="E190" s="3266">
        <v>45472</v>
      </c>
      <c r="F190" s="3246" t="s">
        <v>173</v>
      </c>
      <c r="G190" s="3246" t="s">
        <v>9510</v>
      </c>
      <c r="H190" s="3523" t="s">
        <v>8102</v>
      </c>
      <c r="I190" s="3246"/>
      <c r="J190" s="3544"/>
      <c r="K190" s="3246"/>
      <c r="L190" s="4861"/>
      <c r="M190" s="3267">
        <v>45481</v>
      </c>
      <c r="N190" s="3267">
        <v>45481</v>
      </c>
      <c r="O190" s="3267">
        <v>45483</v>
      </c>
      <c r="P190" s="1019" t="s">
        <v>9514</v>
      </c>
      <c r="Q190" s="3789" t="s">
        <v>9226</v>
      </c>
      <c r="R190" s="1419" t="s">
        <v>9515</v>
      </c>
      <c r="S190" s="3258" t="s">
        <v>2373</v>
      </c>
      <c r="T190" s="707"/>
      <c r="U190" s="3258"/>
      <c r="V190" s="3258"/>
      <c r="W190" s="3790">
        <f>表15_17[[#This Row],[Sales Amount]]-表15_17[[#This Row],[Cost]]</f>
        <v>0</v>
      </c>
      <c r="X190" s="3258" t="e">
        <f>表15_17[[#This Row],[Profit]]/表15_17[[#This Row],[Cost]]</f>
        <v>#DIV/0!</v>
      </c>
      <c r="Y190" s="3258"/>
      <c r="Z190" s="3259"/>
    </row>
    <row r="191" spans="1:26" s="117" customFormat="1">
      <c r="A191" s="3787" t="s">
        <v>7678</v>
      </c>
      <c r="B191" s="3537" t="s">
        <v>9519</v>
      </c>
      <c r="C191" s="3246" t="s">
        <v>200</v>
      </c>
      <c r="D191" s="3266">
        <v>45473</v>
      </c>
      <c r="E191" s="1612">
        <v>45472</v>
      </c>
      <c r="F191" s="3246" t="s">
        <v>173</v>
      </c>
      <c r="G191" s="3246" t="s">
        <v>9510</v>
      </c>
      <c r="H191" s="3523" t="s">
        <v>8102</v>
      </c>
      <c r="I191" s="3246"/>
      <c r="J191" s="3544"/>
      <c r="K191" s="3246"/>
      <c r="L191" s="4861"/>
      <c r="M191" s="3267">
        <v>45478</v>
      </c>
      <c r="N191" s="3267">
        <v>45476</v>
      </c>
      <c r="O191" s="3267">
        <v>45481</v>
      </c>
      <c r="P191" s="3283" t="s">
        <v>9514</v>
      </c>
      <c r="Q191" s="3789" t="s">
        <v>9226</v>
      </c>
      <c r="R191" s="1419" t="s">
        <v>9515</v>
      </c>
      <c r="S191" s="3258" t="s">
        <v>2373</v>
      </c>
      <c r="T191" s="3258"/>
      <c r="U191" s="3258"/>
      <c r="V191" s="2879"/>
      <c r="W191" s="3790">
        <f>表15_17[[#This Row],[Sales Amount]]-表15_17[[#This Row],[Cost]]</f>
        <v>0</v>
      </c>
      <c r="X191" s="3258" t="e">
        <f>表15_17[[#This Row],[Profit]]/表15_17[[#This Row],[Cost]]</f>
        <v>#DIV/0!</v>
      </c>
      <c r="Y191" s="3258"/>
      <c r="Z191" s="3259"/>
    </row>
    <row r="192" spans="1:26" ht="30">
      <c r="A192" s="3793" t="s">
        <v>7362</v>
      </c>
      <c r="B192" s="4246" t="s">
        <v>9520</v>
      </c>
      <c r="C192" s="3273" t="s">
        <v>28</v>
      </c>
      <c r="D192" s="3292">
        <v>45449</v>
      </c>
      <c r="E192" s="925">
        <v>45473</v>
      </c>
      <c r="F192" s="3273" t="s">
        <v>245</v>
      </c>
      <c r="G192" s="4909" t="s">
        <v>57</v>
      </c>
      <c r="H192" s="3418">
        <v>45475</v>
      </c>
      <c r="I192" s="3293" t="s">
        <v>618</v>
      </c>
      <c r="J192" s="3560" t="s">
        <v>1028</v>
      </c>
      <c r="K192" s="4321" t="s">
        <v>5663</v>
      </c>
      <c r="L192" s="3293" t="s">
        <v>9521</v>
      </c>
      <c r="M192" s="4263">
        <v>45476</v>
      </c>
      <c r="N192" s="4263">
        <v>45475</v>
      </c>
      <c r="O192" s="3292">
        <v>45475</v>
      </c>
      <c r="P192" s="4246" t="s">
        <v>9522</v>
      </c>
      <c r="Q192" s="3678" t="s">
        <v>75</v>
      </c>
      <c r="R192" s="4246" t="s">
        <v>9523</v>
      </c>
      <c r="S192" s="3273" t="s">
        <v>9198</v>
      </c>
      <c r="T192" s="3393">
        <v>950</v>
      </c>
      <c r="U192" s="3273">
        <v>863.63</v>
      </c>
      <c r="V192" s="3273">
        <v>1</v>
      </c>
      <c r="W192" s="3393">
        <f>表15_17[[#This Row],[Sales Amount]]-表15_17[[#This Row],[Cost]]</f>
        <v>86.37</v>
      </c>
      <c r="X192" s="3294">
        <f>表15_17[[#This Row],[Profit]]/表15_17[[#This Row],[Cost]]</f>
        <v>0.10000810532288133</v>
      </c>
      <c r="Y192" s="3273"/>
      <c r="Z192" s="3325"/>
    </row>
    <row r="193" spans="1:26" s="709" customFormat="1" ht="60">
      <c r="A193" s="3686" t="s">
        <v>622</v>
      </c>
      <c r="B193" s="4150" t="s">
        <v>9524</v>
      </c>
      <c r="C193" s="4242" t="s">
        <v>28</v>
      </c>
      <c r="D193" s="4241">
        <v>45457</v>
      </c>
      <c r="E193" s="4917">
        <v>45473</v>
      </c>
      <c r="F193" s="4242" t="s">
        <v>245</v>
      </c>
      <c r="G193" s="4242" t="s">
        <v>57</v>
      </c>
      <c r="H193" s="3798">
        <v>45476</v>
      </c>
      <c r="I193" s="3268"/>
      <c r="J193" s="3513" t="s">
        <v>32</v>
      </c>
      <c r="K193" s="3272" t="s">
        <v>1445</v>
      </c>
      <c r="L193" s="794">
        <v>1831597</v>
      </c>
      <c r="M193" s="3366">
        <v>45477</v>
      </c>
      <c r="N193" s="3262">
        <v>45476</v>
      </c>
      <c r="O193" s="3262">
        <v>45476</v>
      </c>
      <c r="P193" s="4246" t="s">
        <v>9525</v>
      </c>
      <c r="Q193" s="3678" t="s">
        <v>75</v>
      </c>
      <c r="R193" s="3376" t="s">
        <v>9526</v>
      </c>
      <c r="S193" s="3268" t="s">
        <v>67</v>
      </c>
      <c r="T193" s="3679">
        <v>6925</v>
      </c>
      <c r="U193" s="3268">
        <f>550+90+50+5850</f>
        <v>6540</v>
      </c>
      <c r="V193" s="3268">
        <v>1</v>
      </c>
      <c r="W193" s="3679">
        <f>表15_17[[#This Row],[Sales Amount]]-表15_17[[#This Row],[Cost]]</f>
        <v>385</v>
      </c>
      <c r="X193" s="3269">
        <f>表15_17[[#This Row],[Profit]]/表15_17[[#This Row],[Cost]]</f>
        <v>5.8868501529051986E-2</v>
      </c>
      <c r="Y193" s="3268"/>
      <c r="Z193" s="3270"/>
    </row>
    <row r="194" spans="1:26" s="709" customFormat="1">
      <c r="A194" s="3787" t="s">
        <v>409</v>
      </c>
      <c r="B194" s="709" t="s">
        <v>9527</v>
      </c>
      <c r="C194" s="3246" t="s">
        <v>28</v>
      </c>
      <c r="D194" s="3266">
        <v>45464</v>
      </c>
      <c r="E194" s="5052">
        <v>45473</v>
      </c>
      <c r="F194" s="3246" t="s">
        <v>151</v>
      </c>
      <c r="G194" s="3246" t="s">
        <v>46</v>
      </c>
      <c r="H194" s="3788"/>
      <c r="I194" s="3246"/>
      <c r="J194" s="3347" t="s">
        <v>32</v>
      </c>
      <c r="K194" s="3275" t="s">
        <v>47</v>
      </c>
      <c r="L194" s="58" t="s">
        <v>9528</v>
      </c>
      <c r="M194" s="3267">
        <v>45474</v>
      </c>
      <c r="N194" s="3267">
        <v>45474</v>
      </c>
      <c r="O194" s="3267"/>
      <c r="P194" s="3283" t="s">
        <v>9529</v>
      </c>
      <c r="Q194" s="5510" t="s">
        <v>6852</v>
      </c>
      <c r="R194" s="3258" t="s">
        <v>36</v>
      </c>
      <c r="S194" s="3258"/>
      <c r="T194" s="3258"/>
      <c r="U194" s="3258"/>
      <c r="V194" s="3258"/>
      <c r="W194" s="3790">
        <f>表15_17[[#This Row],[Sales Amount]]-表15_17[[#This Row],[Cost]]</f>
        <v>0</v>
      </c>
      <c r="X194" s="3796" t="e">
        <f>表15_17[[#This Row],[Profit]]/表15_17[[#This Row],[Cost]]</f>
        <v>#DIV/0!</v>
      </c>
      <c r="Y194" s="3258"/>
      <c r="Z194" s="3259"/>
    </row>
    <row r="195" spans="1:26" s="709" customFormat="1">
      <c r="A195" s="3787" t="s">
        <v>4815</v>
      </c>
      <c r="B195" s="3246" t="s">
        <v>9530</v>
      </c>
      <c r="C195" s="3246" t="s">
        <v>28</v>
      </c>
      <c r="D195" s="3266">
        <v>45464</v>
      </c>
      <c r="E195" s="5560">
        <v>45473</v>
      </c>
      <c r="F195" s="3246" t="s">
        <v>45</v>
      </c>
      <c r="G195" s="3246" t="s">
        <v>46</v>
      </c>
      <c r="H195" s="3788"/>
      <c r="I195" s="3246"/>
      <c r="J195" s="3347" t="s">
        <v>32</v>
      </c>
      <c r="K195" s="3275" t="s">
        <v>47</v>
      </c>
      <c r="L195" s="1113" t="s">
        <v>9531</v>
      </c>
      <c r="M195" s="3661">
        <v>45474</v>
      </c>
      <c r="N195" s="3267">
        <v>45474</v>
      </c>
      <c r="O195" s="3267">
        <v>45478</v>
      </c>
      <c r="P195" s="3283" t="s">
        <v>9532</v>
      </c>
      <c r="Q195" s="5510" t="s">
        <v>6852</v>
      </c>
      <c r="R195" s="3258" t="s">
        <v>51</v>
      </c>
      <c r="S195" s="3258"/>
      <c r="T195" s="3258"/>
      <c r="U195" s="3258"/>
      <c r="V195" s="3258"/>
      <c r="W195" s="3790">
        <f>表15_17[[#This Row],[Sales Amount]]-表15_17[[#This Row],[Cost]]</f>
        <v>0</v>
      </c>
      <c r="X195" s="3258" t="e">
        <f>表15_17[[#This Row],[Profit]]/表15_17[[#This Row],[Cost]]</f>
        <v>#DIV/0!</v>
      </c>
      <c r="Y195" s="3258"/>
      <c r="Z195" s="3259"/>
    </row>
    <row r="196" spans="1:26" s="709" customFormat="1" ht="45">
      <c r="A196" s="3787" t="s">
        <v>9454</v>
      </c>
      <c r="B196" s="4331" t="s">
        <v>9533</v>
      </c>
      <c r="C196" s="3246" t="s">
        <v>28</v>
      </c>
      <c r="D196" s="3266">
        <v>45464</v>
      </c>
      <c r="E196" s="5052">
        <v>45473</v>
      </c>
      <c r="F196" s="4331" t="s">
        <v>135</v>
      </c>
      <c r="G196" s="4861" t="s">
        <v>302</v>
      </c>
      <c r="H196" s="3570" t="s">
        <v>162</v>
      </c>
      <c r="I196" s="1187" t="s">
        <v>162</v>
      </c>
      <c r="J196" s="3570" t="s">
        <v>162</v>
      </c>
      <c r="K196" s="4331" t="s">
        <v>9456</v>
      </c>
      <c r="L196" s="3812" t="s">
        <v>9534</v>
      </c>
      <c r="M196" s="3535">
        <v>45480</v>
      </c>
      <c r="N196" s="3267">
        <v>45478</v>
      </c>
      <c r="O196" s="3267">
        <v>45483</v>
      </c>
      <c r="P196" s="4334" t="s">
        <v>9535</v>
      </c>
      <c r="Q196" s="5576" t="s">
        <v>9226</v>
      </c>
      <c r="R196" s="3258" t="s">
        <v>9536</v>
      </c>
      <c r="S196" s="3258" t="s">
        <v>2373</v>
      </c>
      <c r="T196" s="3258"/>
      <c r="U196" s="3258"/>
      <c r="V196" s="3258"/>
      <c r="W196" s="3790">
        <f>表15_17[[#This Row],[Sales Amount]]-表15_17[[#This Row],[Cost]]</f>
        <v>0</v>
      </c>
      <c r="X196" s="3796" t="e">
        <f>表15_17[[#This Row],[Profit]]/表15_17[[#This Row],[Cost]]</f>
        <v>#DIV/0!</v>
      </c>
      <c r="Y196" s="3258"/>
      <c r="Z196" s="3259"/>
    </row>
    <row r="197" spans="1:26" s="709" customFormat="1">
      <c r="A197" s="3787" t="s">
        <v>409</v>
      </c>
      <c r="B197" s="3246" t="s">
        <v>9537</v>
      </c>
      <c r="C197" s="3246" t="s">
        <v>28</v>
      </c>
      <c r="D197" s="3266">
        <v>45464</v>
      </c>
      <c r="E197" s="5052">
        <v>45474</v>
      </c>
      <c r="F197" s="3246" t="s">
        <v>151</v>
      </c>
      <c r="G197" s="4861" t="s">
        <v>46</v>
      </c>
      <c r="H197" s="3788"/>
      <c r="I197" s="3246"/>
      <c r="J197" s="3347" t="s">
        <v>32</v>
      </c>
      <c r="K197" s="3275" t="s">
        <v>47</v>
      </c>
      <c r="L197" s="3275" t="s">
        <v>9538</v>
      </c>
      <c r="M197" s="3267"/>
      <c r="N197" s="3267">
        <v>45473</v>
      </c>
      <c r="O197" s="3267"/>
      <c r="P197" s="3283" t="s">
        <v>9539</v>
      </c>
      <c r="Q197" s="5510" t="s">
        <v>6852</v>
      </c>
      <c r="R197" s="3258" t="s">
        <v>36</v>
      </c>
      <c r="S197" s="3258"/>
      <c r="T197" s="3258"/>
      <c r="U197" s="3258"/>
      <c r="V197" s="3258"/>
      <c r="W197" s="3790">
        <f>表15_17[[#This Row],[Sales Amount]]-表15_17[[#This Row],[Cost]]</f>
        <v>0</v>
      </c>
      <c r="X197" s="3796" t="e">
        <f>表15_17[[#This Row],[Profit]]/表15_17[[#This Row],[Cost]]</f>
        <v>#DIV/0!</v>
      </c>
      <c r="Y197" s="3258"/>
      <c r="Z197" s="3259"/>
    </row>
    <row r="198" spans="1:26" s="709" customFormat="1">
      <c r="A198" s="3787" t="s">
        <v>4815</v>
      </c>
      <c r="B198" s="3246" t="s">
        <v>9540</v>
      </c>
      <c r="C198" s="3246" t="s">
        <v>28</v>
      </c>
      <c r="D198" s="3266">
        <v>45463</v>
      </c>
      <c r="E198" s="5379">
        <v>45474</v>
      </c>
      <c r="F198" s="3246" t="s">
        <v>45</v>
      </c>
      <c r="G198" s="3246" t="s">
        <v>46</v>
      </c>
      <c r="H198" s="3788"/>
      <c r="I198" s="3246"/>
      <c r="J198" s="3347" t="s">
        <v>32</v>
      </c>
      <c r="K198" s="3275" t="s">
        <v>47</v>
      </c>
      <c r="L198" s="58" t="s">
        <v>9541</v>
      </c>
      <c r="M198" s="3267"/>
      <c r="N198" s="3267">
        <v>45473</v>
      </c>
      <c r="O198" s="3267">
        <v>45475</v>
      </c>
      <c r="P198" s="3283" t="s">
        <v>9542</v>
      </c>
      <c r="Q198" s="5510" t="s">
        <v>6852</v>
      </c>
      <c r="R198" s="3258" t="s">
        <v>51</v>
      </c>
      <c r="S198" s="3258"/>
      <c r="T198" s="3258"/>
      <c r="U198" s="3258"/>
      <c r="V198" s="3258"/>
      <c r="W198" s="3790">
        <f>表15_17[[#This Row],[Sales Amount]]-表15_17[[#This Row],[Cost]]</f>
        <v>0</v>
      </c>
      <c r="X198" s="3258" t="e">
        <f>表15_17[[#This Row],[Profit]]/表15_17[[#This Row],[Cost]]</f>
        <v>#DIV/0!</v>
      </c>
      <c r="Y198" s="3258"/>
      <c r="Z198" s="3259"/>
    </row>
    <row r="199" spans="1:26" s="709" customFormat="1">
      <c r="A199" s="5326" t="s">
        <v>4815</v>
      </c>
      <c r="B199" s="3246" t="s">
        <v>9543</v>
      </c>
      <c r="C199" s="4861" t="s">
        <v>44</v>
      </c>
      <c r="D199" s="3266">
        <v>45459</v>
      </c>
      <c r="E199" s="5379">
        <v>45474</v>
      </c>
      <c r="F199" s="4861" t="s">
        <v>45</v>
      </c>
      <c r="G199" s="4861" t="s">
        <v>46</v>
      </c>
      <c r="H199" s="2929"/>
      <c r="I199" s="3246"/>
      <c r="J199" s="913" t="s">
        <v>32</v>
      </c>
      <c r="K199" s="3275" t="s">
        <v>47</v>
      </c>
      <c r="L199" s="3275" t="s">
        <v>9544</v>
      </c>
      <c r="M199" s="3267">
        <v>45476</v>
      </c>
      <c r="N199" s="3267">
        <v>45476</v>
      </c>
      <c r="O199" s="4903">
        <v>45479</v>
      </c>
      <c r="P199" s="1019" t="s">
        <v>9545</v>
      </c>
      <c r="Q199" s="5510" t="s">
        <v>6852</v>
      </c>
      <c r="R199" s="3258" t="s">
        <v>51</v>
      </c>
      <c r="S199" s="3258"/>
      <c r="T199" s="3258"/>
      <c r="U199" s="3258"/>
      <c r="V199" s="3258"/>
      <c r="W199" s="3790">
        <f>表15_17[[#This Row],[Sales Amount]]-表15_17[[#This Row],[Cost]]</f>
        <v>0</v>
      </c>
      <c r="X199" s="3258" t="e">
        <f>表15_17[[#This Row],[Profit]]/表15_17[[#This Row],[Cost]]</f>
        <v>#DIV/0!</v>
      </c>
      <c r="Y199" s="3258"/>
      <c r="Z199" s="3259"/>
    </row>
    <row r="200" spans="1:26" s="709" customFormat="1">
      <c r="A200" s="3781" t="s">
        <v>7885</v>
      </c>
      <c r="B200" s="3810" t="s">
        <v>9546</v>
      </c>
      <c r="C200" s="4874" t="s">
        <v>28</v>
      </c>
      <c r="D200" s="2923">
        <v>45467</v>
      </c>
      <c r="E200" s="5499">
        <v>45474</v>
      </c>
      <c r="F200" s="3075" t="s">
        <v>734</v>
      </c>
      <c r="G200" s="3069" t="s">
        <v>829</v>
      </c>
      <c r="H200" s="3799"/>
      <c r="I200" s="3075"/>
      <c r="J200" s="3800" t="s">
        <v>32</v>
      </c>
      <c r="K200" s="3800" t="s">
        <v>310</v>
      </c>
      <c r="L200" s="5516" t="s">
        <v>9547</v>
      </c>
      <c r="M200" s="3782">
        <v>45476</v>
      </c>
      <c r="N200" s="746">
        <v>45475</v>
      </c>
      <c r="O200" s="3782">
        <v>45476</v>
      </c>
      <c r="P200" s="3622" t="s">
        <v>9548</v>
      </c>
      <c r="Q200" s="5553" t="s">
        <v>50</v>
      </c>
      <c r="R200" s="3255" t="s">
        <v>9536</v>
      </c>
      <c r="S200" s="3255"/>
      <c r="T200" s="3255">
        <v>1580</v>
      </c>
      <c r="U200" s="3255"/>
      <c r="V200" s="3255"/>
      <c r="W200" s="3784">
        <f>表15_17[[#This Row],[Sales Amount]]-表15_17[[#This Row],[Cost]]</f>
        <v>1580</v>
      </c>
      <c r="X200" s="3785" t="e">
        <f>表15_17[[#This Row],[Profit]]/表15_17[[#This Row],[Cost]]</f>
        <v>#DIV/0!</v>
      </c>
      <c r="Y200" s="3255"/>
      <c r="Z200" s="3256"/>
    </row>
    <row r="201" spans="1:26" s="709" customFormat="1">
      <c r="A201" s="3787" t="s">
        <v>409</v>
      </c>
      <c r="B201" s="3246" t="s">
        <v>9549</v>
      </c>
      <c r="C201" s="4861" t="s">
        <v>28</v>
      </c>
      <c r="D201" s="3266">
        <v>45463</v>
      </c>
      <c r="E201" s="5379">
        <v>45474</v>
      </c>
      <c r="F201" s="3246" t="s">
        <v>45</v>
      </c>
      <c r="G201" s="3246" t="s">
        <v>46</v>
      </c>
      <c r="H201" s="3788"/>
      <c r="I201" s="3246"/>
      <c r="J201" s="3347" t="s">
        <v>32</v>
      </c>
      <c r="K201" s="3275" t="s">
        <v>47</v>
      </c>
      <c r="L201" s="1572" t="s">
        <v>9550</v>
      </c>
      <c r="M201" s="3267">
        <v>45475</v>
      </c>
      <c r="N201" s="3267">
        <v>45474</v>
      </c>
      <c r="O201" s="3267"/>
      <c r="P201" s="3283" t="s">
        <v>9551</v>
      </c>
      <c r="Q201" s="3789" t="s">
        <v>6852</v>
      </c>
      <c r="R201" s="707" t="s">
        <v>36</v>
      </c>
      <c r="S201" s="3258"/>
      <c r="T201" s="3258"/>
      <c r="U201" s="3258"/>
      <c r="V201" s="3258"/>
      <c r="W201" s="3790">
        <f>表15_17[[#This Row],[Sales Amount]]-表15_17[[#This Row],[Cost]]</f>
        <v>0</v>
      </c>
      <c r="X201" s="3258" t="e">
        <f>表15_17[[#This Row],[Profit]]/表15_17[[#This Row],[Cost]]</f>
        <v>#DIV/0!</v>
      </c>
      <c r="Y201" s="3258"/>
      <c r="Z201" s="3259"/>
    </row>
    <row r="202" spans="1:26">
      <c r="A202" s="3787" t="s">
        <v>4815</v>
      </c>
      <c r="B202" s="3246" t="s">
        <v>9552</v>
      </c>
      <c r="C202" s="4861" t="s">
        <v>28</v>
      </c>
      <c r="D202" s="3266">
        <v>45463</v>
      </c>
      <c r="E202" s="2927">
        <v>45474</v>
      </c>
      <c r="F202" s="3246" t="s">
        <v>45</v>
      </c>
      <c r="G202" s="3246" t="s">
        <v>46</v>
      </c>
      <c r="H202" s="3788"/>
      <c r="I202" s="3434"/>
      <c r="J202" s="3347" t="s">
        <v>32</v>
      </c>
      <c r="K202" s="3275" t="s">
        <v>47</v>
      </c>
      <c r="L202" s="58" t="s">
        <v>9553</v>
      </c>
      <c r="M202" s="3267">
        <v>45474</v>
      </c>
      <c r="N202" s="3267">
        <v>45474</v>
      </c>
      <c r="O202" s="3267"/>
      <c r="P202" s="3283" t="s">
        <v>9554</v>
      </c>
      <c r="Q202" s="3789" t="s">
        <v>6852</v>
      </c>
      <c r="R202" s="3255" t="s">
        <v>51</v>
      </c>
      <c r="S202" s="3258"/>
      <c r="T202" s="3258"/>
      <c r="U202" s="3258"/>
      <c r="V202" s="3258"/>
      <c r="W202" s="3790">
        <f>表15_17[[#This Row],[Sales Amount]]-表15_17[[#This Row],[Cost]]</f>
        <v>0</v>
      </c>
      <c r="X202" s="3258" t="e">
        <f>表15_17[[#This Row],[Profit]]/表15_17[[#This Row],[Cost]]</f>
        <v>#DIV/0!</v>
      </c>
      <c r="Y202" s="3258"/>
      <c r="Z202" s="3259"/>
    </row>
    <row r="203" spans="1:26">
      <c r="A203" s="3787" t="s">
        <v>4815</v>
      </c>
      <c r="B203" s="3246" t="s">
        <v>9555</v>
      </c>
      <c r="C203" s="4861" t="s">
        <v>28</v>
      </c>
      <c r="D203" s="3266">
        <v>45464</v>
      </c>
      <c r="E203" s="5052">
        <v>45474</v>
      </c>
      <c r="F203" s="3246" t="s">
        <v>45</v>
      </c>
      <c r="G203" s="3246" t="s">
        <v>46</v>
      </c>
      <c r="H203" s="3788"/>
      <c r="I203" s="3246"/>
      <c r="J203" s="3347" t="s">
        <v>32</v>
      </c>
      <c r="K203" s="3275" t="s">
        <v>47</v>
      </c>
      <c r="L203" s="58" t="s">
        <v>9556</v>
      </c>
      <c r="M203" s="3267">
        <v>45475</v>
      </c>
      <c r="N203" s="3267">
        <v>45474</v>
      </c>
      <c r="O203" s="3267">
        <v>45478</v>
      </c>
      <c r="P203" s="3283" t="s">
        <v>9557</v>
      </c>
      <c r="Q203" s="3789" t="s">
        <v>6852</v>
      </c>
      <c r="R203" s="3258" t="s">
        <v>36</v>
      </c>
      <c r="S203" s="3258"/>
      <c r="T203" s="3258"/>
      <c r="U203" s="3258"/>
      <c r="V203" s="3258"/>
      <c r="W203" s="3790">
        <f>表15_17[[#This Row],[Sales Amount]]-表15_17[[#This Row],[Cost]]</f>
        <v>0</v>
      </c>
      <c r="X203" s="3258" t="e">
        <f>表15_17[[#This Row],[Profit]]/表15_17[[#This Row],[Cost]]</f>
        <v>#DIV/0!</v>
      </c>
      <c r="Y203" s="3258"/>
      <c r="Z203" s="3259"/>
    </row>
    <row r="204" spans="1:26" s="709" customFormat="1">
      <c r="A204" s="3787" t="s">
        <v>263</v>
      </c>
      <c r="B204" s="3246" t="s">
        <v>9558</v>
      </c>
      <c r="C204" s="4861" t="s">
        <v>44</v>
      </c>
      <c r="D204" s="3266">
        <v>45474</v>
      </c>
      <c r="E204" s="4940">
        <v>45474</v>
      </c>
      <c r="F204" s="3246" t="s">
        <v>135</v>
      </c>
      <c r="G204" s="3246" t="s">
        <v>9559</v>
      </c>
      <c r="H204" s="3788"/>
      <c r="I204" s="3246"/>
      <c r="J204" s="3523"/>
      <c r="K204" s="3246" t="s">
        <v>8279</v>
      </c>
      <c r="M204" s="3267"/>
      <c r="N204" s="3267"/>
      <c r="O204" s="3267"/>
      <c r="P204" s="3283" t="s">
        <v>9560</v>
      </c>
      <c r="Q204" s="3789" t="s">
        <v>128</v>
      </c>
      <c r="R204" s="3258" t="s">
        <v>36</v>
      </c>
      <c r="S204" s="3258"/>
      <c r="T204" s="3258"/>
      <c r="U204" s="3258"/>
      <c r="V204" s="3258"/>
      <c r="W204" s="3790">
        <f>表15_17[[#This Row],[Sales Amount]]-表15_17[[#This Row],[Cost]]</f>
        <v>0</v>
      </c>
      <c r="X204" s="3258" t="e">
        <f>表15_17[[#This Row],[Profit]]/表15_17[[#This Row],[Cost]]</f>
        <v>#DIV/0!</v>
      </c>
      <c r="Y204" s="3258"/>
      <c r="Z204" s="3259"/>
    </row>
    <row r="205" spans="1:26">
      <c r="A205" s="3787" t="s">
        <v>4321</v>
      </c>
      <c r="B205" s="709" t="s">
        <v>9561</v>
      </c>
      <c r="C205" s="4861" t="s">
        <v>28</v>
      </c>
      <c r="D205" s="3266">
        <v>45463</v>
      </c>
      <c r="E205" s="5052">
        <v>45475</v>
      </c>
      <c r="F205" s="3246" t="s">
        <v>245</v>
      </c>
      <c r="G205" s="3246" t="s">
        <v>57</v>
      </c>
      <c r="H205" s="3788"/>
      <c r="I205" s="3246"/>
      <c r="J205" s="3347" t="s">
        <v>32</v>
      </c>
      <c r="K205" s="3275" t="s">
        <v>47</v>
      </c>
      <c r="L205" s="58">
        <v>1659237</v>
      </c>
      <c r="M205" s="3267">
        <v>45477</v>
      </c>
      <c r="N205" s="3267">
        <v>45476</v>
      </c>
      <c r="O205" s="3267"/>
      <c r="P205" s="3283" t="s">
        <v>9562</v>
      </c>
      <c r="Q205" s="3789" t="s">
        <v>6852</v>
      </c>
      <c r="R205" s="3258" t="s">
        <v>36</v>
      </c>
      <c r="S205" s="3258"/>
      <c r="T205" s="3258"/>
      <c r="U205" s="3258"/>
      <c r="V205" s="3258"/>
      <c r="W205" s="3790">
        <f>表15_17[[#This Row],[Sales Amount]]-表15_17[[#This Row],[Cost]]</f>
        <v>0</v>
      </c>
      <c r="X205" s="3258" t="e">
        <f>表15_17[[#This Row],[Profit]]/表15_17[[#This Row],[Cost]]</f>
        <v>#DIV/0!</v>
      </c>
      <c r="Y205" s="3258"/>
      <c r="Z205" s="3259"/>
    </row>
    <row r="206" spans="1:26">
      <c r="A206" s="3787" t="s">
        <v>409</v>
      </c>
      <c r="B206" s="3246" t="s">
        <v>9563</v>
      </c>
      <c r="C206" s="4861" t="s">
        <v>28</v>
      </c>
      <c r="D206" s="3266">
        <v>45467</v>
      </c>
      <c r="E206" s="1614">
        <v>45475</v>
      </c>
      <c r="F206" s="3246" t="s">
        <v>260</v>
      </c>
      <c r="G206" s="3246" t="s">
        <v>46</v>
      </c>
      <c r="H206" s="3788"/>
      <c r="I206" s="3246"/>
      <c r="J206" s="3347" t="s">
        <v>32</v>
      </c>
      <c r="K206" s="3275" t="s">
        <v>47</v>
      </c>
      <c r="L206" s="2818" t="s">
        <v>9564</v>
      </c>
      <c r="M206" s="3267">
        <v>45478</v>
      </c>
      <c r="N206" s="3267">
        <v>45441</v>
      </c>
      <c r="O206" s="3267">
        <v>45444</v>
      </c>
      <c r="P206" s="3283" t="s">
        <v>9565</v>
      </c>
      <c r="Q206" s="3789" t="s">
        <v>6852</v>
      </c>
      <c r="R206" s="3258" t="s">
        <v>36</v>
      </c>
      <c r="S206" s="3258"/>
      <c r="T206" s="3258"/>
      <c r="U206" s="3258"/>
      <c r="V206" s="3258"/>
      <c r="W206" s="3790">
        <f>表15_17[[#This Row],[Sales Amount]]-表15_17[[#This Row],[Cost]]</f>
        <v>0</v>
      </c>
      <c r="X206" s="3796" t="e">
        <f>表15_17[[#This Row],[Profit]]/表15_17[[#This Row],[Cost]]</f>
        <v>#DIV/0!</v>
      </c>
      <c r="Y206" s="3258"/>
      <c r="Z206" s="3259"/>
    </row>
    <row r="207" spans="1:26" s="709" customFormat="1">
      <c r="A207" s="3787" t="s">
        <v>409</v>
      </c>
      <c r="B207" s="3246" t="s">
        <v>9566</v>
      </c>
      <c r="C207" s="4861" t="s">
        <v>28</v>
      </c>
      <c r="D207" s="3266">
        <v>45467</v>
      </c>
      <c r="E207" s="3716">
        <v>45475</v>
      </c>
      <c r="F207" s="3246" t="s">
        <v>260</v>
      </c>
      <c r="G207" s="3246" t="s">
        <v>46</v>
      </c>
      <c r="H207" s="3788"/>
      <c r="I207" s="3246"/>
      <c r="J207" s="3347" t="s">
        <v>32</v>
      </c>
      <c r="K207" s="3275" t="s">
        <v>47</v>
      </c>
      <c r="L207" s="58" t="s">
        <v>9567</v>
      </c>
      <c r="M207" s="3267">
        <v>45478</v>
      </c>
      <c r="N207" s="3267">
        <v>45476</v>
      </c>
      <c r="O207" s="3267"/>
      <c r="P207" s="3283" t="s">
        <v>9568</v>
      </c>
      <c r="Q207" s="3789" t="s">
        <v>6852</v>
      </c>
      <c r="R207" s="3258" t="s">
        <v>36</v>
      </c>
      <c r="S207" s="3258"/>
      <c r="T207" s="3258"/>
      <c r="U207" s="3258"/>
      <c r="V207" s="3258"/>
      <c r="W207" s="3790">
        <f>表15_17[[#This Row],[Sales Amount]]-表15_17[[#This Row],[Cost]]</f>
        <v>0</v>
      </c>
      <c r="X207" s="3796" t="e">
        <f>表15_17[[#This Row],[Profit]]/表15_17[[#This Row],[Cost]]</f>
        <v>#DIV/0!</v>
      </c>
      <c r="Y207" s="3258"/>
      <c r="Z207" s="3259"/>
    </row>
    <row r="208" spans="1:26" s="709" customFormat="1">
      <c r="A208" s="3787" t="s">
        <v>7998</v>
      </c>
      <c r="B208" s="3246" t="s">
        <v>9569</v>
      </c>
      <c r="C208" s="4861" t="s">
        <v>28</v>
      </c>
      <c r="D208" s="3266">
        <v>45468</v>
      </c>
      <c r="E208" s="1614">
        <v>45475</v>
      </c>
      <c r="F208" s="3246" t="s">
        <v>151</v>
      </c>
      <c r="G208" s="3246" t="s">
        <v>801</v>
      </c>
      <c r="H208" s="3788" t="s">
        <v>810</v>
      </c>
      <c r="I208" s="3246"/>
      <c r="J208" s="5326" t="s">
        <v>32</v>
      </c>
      <c r="K208" s="3246" t="s">
        <v>9570</v>
      </c>
      <c r="M208" s="3267"/>
      <c r="N208" s="3267"/>
      <c r="O208" s="3267"/>
      <c r="P208" s="4334" t="s">
        <v>9571</v>
      </c>
      <c r="Q208" s="3789" t="s">
        <v>862</v>
      </c>
      <c r="R208" s="3258" t="s">
        <v>36</v>
      </c>
      <c r="S208" s="3258"/>
      <c r="T208" s="3258"/>
      <c r="U208" s="3258"/>
      <c r="V208" s="3255"/>
      <c r="W208" s="3784">
        <f>表15_17[[#This Row],[Sales Amount]]-表15_17[[#This Row],[Cost]]</f>
        <v>0</v>
      </c>
      <c r="X208" s="3255" t="e">
        <f>表15_17[[#This Row],[Profit]]/表15_17[[#This Row],[Cost]]</f>
        <v>#DIV/0!</v>
      </c>
      <c r="Y208" s="3255"/>
      <c r="Z208" s="3256"/>
    </row>
    <row r="209" spans="1:26" s="2962" customFormat="1">
      <c r="A209" s="3813" t="s">
        <v>4815</v>
      </c>
      <c r="B209" s="3814" t="s">
        <v>9572</v>
      </c>
      <c r="C209" s="5604" t="s">
        <v>28</v>
      </c>
      <c r="D209" s="3815">
        <v>45464</v>
      </c>
      <c r="E209" s="2963">
        <v>45475</v>
      </c>
      <c r="F209" s="3814" t="s">
        <v>45</v>
      </c>
      <c r="G209" s="3814" t="s">
        <v>46</v>
      </c>
      <c r="H209" s="3816"/>
      <c r="I209" s="3814"/>
      <c r="J209" s="3817" t="s">
        <v>32</v>
      </c>
      <c r="K209" s="3818" t="s">
        <v>47</v>
      </c>
      <c r="L209" s="3818" t="s">
        <v>9573</v>
      </c>
      <c r="M209" s="3819">
        <v>45475</v>
      </c>
      <c r="N209" s="3819">
        <v>45474</v>
      </c>
      <c r="O209" s="3819">
        <v>45478</v>
      </c>
      <c r="P209" s="3820" t="s">
        <v>9574</v>
      </c>
      <c r="Q209" s="3821" t="s">
        <v>6852</v>
      </c>
      <c r="R209" s="3822" t="s">
        <v>9575</v>
      </c>
      <c r="S209" s="3822"/>
      <c r="T209" s="3822"/>
      <c r="U209" s="3822"/>
      <c r="V209" s="3822"/>
      <c r="W209" s="3823">
        <f>表15_17[[#This Row],[Sales Amount]]-表15_17[[#This Row],[Cost]]</f>
        <v>0</v>
      </c>
      <c r="X209" s="3822" t="e">
        <f>表15_17[[#This Row],[Profit]]/表15_17[[#This Row],[Cost]]</f>
        <v>#DIV/0!</v>
      </c>
      <c r="Y209" s="3822"/>
      <c r="Z209" s="3824"/>
    </row>
    <row r="210" spans="1:26" s="709" customFormat="1">
      <c r="A210" s="3787" t="s">
        <v>4815</v>
      </c>
      <c r="B210" s="3246" t="s">
        <v>9576</v>
      </c>
      <c r="C210" s="4861" t="s">
        <v>28</v>
      </c>
      <c r="D210" s="3266">
        <v>45464</v>
      </c>
      <c r="E210" s="1614">
        <v>45475</v>
      </c>
      <c r="F210" s="3246" t="s">
        <v>45</v>
      </c>
      <c r="G210" s="3246" t="s">
        <v>46</v>
      </c>
      <c r="H210" s="3788"/>
      <c r="I210" s="3246"/>
      <c r="J210" s="3347" t="s">
        <v>32</v>
      </c>
      <c r="K210" s="3275" t="s">
        <v>47</v>
      </c>
      <c r="L210" s="3275">
        <v>342249</v>
      </c>
      <c r="M210" s="3267">
        <v>45475</v>
      </c>
      <c r="N210" s="3267">
        <v>45475</v>
      </c>
      <c r="O210" s="3267">
        <v>45479</v>
      </c>
      <c r="P210" s="3283" t="s">
        <v>9577</v>
      </c>
      <c r="Q210" s="3789" t="s">
        <v>6852</v>
      </c>
      <c r="R210" s="3258" t="s">
        <v>51</v>
      </c>
      <c r="S210" s="3258"/>
      <c r="T210" s="3258"/>
      <c r="U210" s="3258"/>
      <c r="V210" s="3258"/>
      <c r="W210" s="3790">
        <f>表15_17[[#This Row],[Sales Amount]]-表15_17[[#This Row],[Cost]]</f>
        <v>0</v>
      </c>
      <c r="X210" s="3258" t="e">
        <f>表15_17[[#This Row],[Profit]]/表15_17[[#This Row],[Cost]]</f>
        <v>#DIV/0!</v>
      </c>
      <c r="Y210" s="3258"/>
      <c r="Z210" s="3259"/>
    </row>
    <row r="211" spans="1:26" s="709" customFormat="1">
      <c r="A211" s="3787" t="s">
        <v>409</v>
      </c>
      <c r="B211" s="3246" t="s">
        <v>9578</v>
      </c>
      <c r="C211" s="709" t="s">
        <v>28</v>
      </c>
      <c r="D211" s="3266">
        <v>45466</v>
      </c>
      <c r="E211" s="3563">
        <v>45476</v>
      </c>
      <c r="F211" s="709" t="s">
        <v>45</v>
      </c>
      <c r="G211" s="709" t="s">
        <v>46</v>
      </c>
      <c r="H211" s="3788"/>
      <c r="I211" s="3246"/>
      <c r="J211" s="3347" t="s">
        <v>32</v>
      </c>
      <c r="K211" s="3275" t="s">
        <v>47</v>
      </c>
      <c r="L211" s="3275" t="s">
        <v>9579</v>
      </c>
      <c r="M211" s="3267">
        <v>45480</v>
      </c>
      <c r="N211" s="3267">
        <v>45478</v>
      </c>
      <c r="O211" s="3267">
        <v>45481</v>
      </c>
      <c r="P211" s="1019" t="s">
        <v>9580</v>
      </c>
      <c r="Q211" s="3789" t="s">
        <v>6852</v>
      </c>
      <c r="R211" s="3258" t="s">
        <v>36</v>
      </c>
      <c r="S211" s="3258"/>
      <c r="T211" s="3258"/>
      <c r="U211" s="3258"/>
      <c r="V211" s="3258"/>
      <c r="W211" s="3790">
        <f>表15_17[[#This Row],[Sales Amount]]-表15_17[[#This Row],[Cost]]</f>
        <v>0</v>
      </c>
      <c r="X211" s="3258" t="e">
        <f>表15_17[[#This Row],[Profit]]/表15_17[[#This Row],[Cost]]</f>
        <v>#DIV/0!</v>
      </c>
      <c r="Y211" s="3258"/>
      <c r="Z211" s="3259"/>
    </row>
    <row r="212" spans="1:26" s="709" customFormat="1">
      <c r="A212" s="3787" t="s">
        <v>409</v>
      </c>
      <c r="B212" s="709" t="s">
        <v>9581</v>
      </c>
      <c r="C212" s="3246" t="s">
        <v>28</v>
      </c>
      <c r="D212" s="3266">
        <v>45467</v>
      </c>
      <c r="E212" s="3825">
        <v>45476</v>
      </c>
      <c r="F212" s="709" t="s">
        <v>260</v>
      </c>
      <c r="G212" s="709" t="s">
        <v>46</v>
      </c>
      <c r="H212" s="3788"/>
      <c r="I212" s="3246"/>
      <c r="J212" s="3347" t="s">
        <v>32</v>
      </c>
      <c r="K212" s="3275" t="s">
        <v>47</v>
      </c>
      <c r="L212" s="3275" t="s">
        <v>9582</v>
      </c>
      <c r="M212" s="3267">
        <v>45478</v>
      </c>
      <c r="N212" s="3267">
        <v>45475</v>
      </c>
      <c r="O212" s="3267"/>
      <c r="P212" s="1019" t="s">
        <v>9583</v>
      </c>
      <c r="Q212" s="3789" t="s">
        <v>6852</v>
      </c>
      <c r="R212" s="3258" t="s">
        <v>36</v>
      </c>
      <c r="S212" s="3258"/>
      <c r="T212" s="3258"/>
      <c r="U212" s="3258"/>
      <c r="V212" s="3258"/>
      <c r="W212" s="3790">
        <f>表15_17[[#This Row],[Sales Amount]]-表15_17[[#This Row],[Cost]]</f>
        <v>0</v>
      </c>
      <c r="X212" s="3796" t="e">
        <f>表15_17[[#This Row],[Profit]]/表15_17[[#This Row],[Cost]]</f>
        <v>#DIV/0!</v>
      </c>
      <c r="Y212" s="3258"/>
      <c r="Z212" s="3259"/>
    </row>
    <row r="213" spans="1:26" s="709" customFormat="1">
      <c r="A213" s="3787" t="s">
        <v>409</v>
      </c>
      <c r="B213" s="709" t="s">
        <v>9584</v>
      </c>
      <c r="C213" s="3246" t="s">
        <v>28</v>
      </c>
      <c r="D213" s="3266">
        <v>45467</v>
      </c>
      <c r="E213" s="3825">
        <v>45476</v>
      </c>
      <c r="F213" s="709" t="s">
        <v>260</v>
      </c>
      <c r="G213" s="709" t="s">
        <v>46</v>
      </c>
      <c r="H213" s="3788"/>
      <c r="I213" s="3246"/>
      <c r="J213" s="3347" t="s">
        <v>32</v>
      </c>
      <c r="K213" s="3275" t="s">
        <v>47</v>
      </c>
      <c r="L213" s="3275" t="s">
        <v>9585</v>
      </c>
      <c r="M213" s="3267">
        <v>45476</v>
      </c>
      <c r="N213" s="3267">
        <v>45475</v>
      </c>
      <c r="O213" s="3267"/>
      <c r="P213" s="3283" t="s">
        <v>9586</v>
      </c>
      <c r="Q213" s="3789" t="s">
        <v>6852</v>
      </c>
      <c r="R213" s="3258" t="s">
        <v>36</v>
      </c>
      <c r="S213" s="3258"/>
      <c r="T213" s="3258"/>
      <c r="U213" s="3258"/>
      <c r="V213" s="3258"/>
      <c r="W213" s="3790">
        <f>表15_17[[#This Row],[Sales Amount]]-表15_17[[#This Row],[Cost]]</f>
        <v>0</v>
      </c>
      <c r="X213" s="3796" t="e">
        <f>表15_17[[#This Row],[Profit]]/表15_17[[#This Row],[Cost]]</f>
        <v>#DIV/0!</v>
      </c>
      <c r="Y213" s="3258"/>
      <c r="Z213" s="3259"/>
    </row>
    <row r="214" spans="1:26">
      <c r="A214" s="3557" t="s">
        <v>26</v>
      </c>
      <c r="B214" s="4122" t="s">
        <v>9587</v>
      </c>
      <c r="C214" s="4331" t="s">
        <v>28</v>
      </c>
      <c r="D214" s="3534">
        <v>45460</v>
      </c>
      <c r="E214" s="3535">
        <v>45477</v>
      </c>
      <c r="F214" s="4122" t="s">
        <v>29</v>
      </c>
      <c r="G214" s="650" t="s">
        <v>1350</v>
      </c>
      <c r="H214" s="3526">
        <v>45482</v>
      </c>
      <c r="I214" s="3246" t="s">
        <v>926</v>
      </c>
      <c r="J214" s="3523" t="s">
        <v>32</v>
      </c>
      <c r="K214" s="3246" t="s">
        <v>9588</v>
      </c>
      <c r="L214" s="3246">
        <v>1832247</v>
      </c>
      <c r="M214" s="3267">
        <v>45479</v>
      </c>
      <c r="N214" s="3267">
        <v>45479</v>
      </c>
      <c r="O214" s="3267">
        <v>45483</v>
      </c>
      <c r="P214" s="4334" t="s">
        <v>9589</v>
      </c>
      <c r="Q214" s="3809" t="s">
        <v>9226</v>
      </c>
      <c r="R214" s="3258" t="s">
        <v>9590</v>
      </c>
      <c r="S214" s="3258"/>
      <c r="T214" s="3790">
        <v>1808.5</v>
      </c>
      <c r="U214" s="3790">
        <v>1610</v>
      </c>
      <c r="V214" s="3258">
        <v>1</v>
      </c>
      <c r="W214" s="3790">
        <f>表15_17[[#This Row],[Sales Amount]]-表15_17[[#This Row],[Cost]]</f>
        <v>198.5</v>
      </c>
      <c r="X214" s="3796">
        <f>表15_17[[#This Row],[Profit]]/表15_17[[#This Row],[Cost]]</f>
        <v>0.1232919254658385</v>
      </c>
      <c r="Y214" s="3258"/>
      <c r="Z214" s="3259"/>
    </row>
    <row r="215" spans="1:26" s="709" customFormat="1" ht="15.75">
      <c r="A215" s="5326" t="s">
        <v>409</v>
      </c>
      <c r="B215" s="709" t="s">
        <v>9591</v>
      </c>
      <c r="C215" s="709" t="s">
        <v>28</v>
      </c>
      <c r="D215" s="3266">
        <v>45466</v>
      </c>
      <c r="E215" s="3716">
        <v>45477</v>
      </c>
      <c r="F215" s="709" t="s">
        <v>2225</v>
      </c>
      <c r="G215" s="4861" t="s">
        <v>57</v>
      </c>
      <c r="H215" s="5550"/>
      <c r="I215" s="3246"/>
      <c r="J215" s="3347" t="s">
        <v>32</v>
      </c>
      <c r="K215" s="58" t="s">
        <v>47</v>
      </c>
      <c r="L215" s="3826" t="s">
        <v>9592</v>
      </c>
      <c r="M215" s="3267">
        <v>45480</v>
      </c>
      <c r="N215" s="3267">
        <v>45479</v>
      </c>
      <c r="O215" s="3267">
        <v>45480</v>
      </c>
      <c r="P215" s="3283" t="s">
        <v>9593</v>
      </c>
      <c r="Q215" s="3789" t="s">
        <v>6852</v>
      </c>
      <c r="R215" s="4882" t="s">
        <v>36</v>
      </c>
      <c r="S215" s="4882"/>
      <c r="T215" s="3258"/>
      <c r="U215" s="3258"/>
      <c r="V215" s="3258"/>
      <c r="W215" s="3790">
        <f>表15_17[[#This Row],[Sales Amount]]-表15_17[[#This Row],[Cost]]</f>
        <v>0</v>
      </c>
      <c r="X215" s="3796" t="e">
        <f>表15_17[[#This Row],[Profit]]/表15_17[[#This Row],[Cost]]</f>
        <v>#DIV/0!</v>
      </c>
      <c r="Y215" s="3258"/>
      <c r="Z215" s="3259"/>
    </row>
    <row r="216" spans="1:26">
      <c r="A216" s="3787" t="s">
        <v>3064</v>
      </c>
      <c r="B216" s="3434" t="s">
        <v>9594</v>
      </c>
      <c r="C216" s="3434" t="s">
        <v>28</v>
      </c>
      <c r="D216" s="3672">
        <v>45462</v>
      </c>
      <c r="E216" s="3524">
        <v>45477</v>
      </c>
      <c r="F216" s="3434" t="s">
        <v>45</v>
      </c>
      <c r="G216" s="3434" t="s">
        <v>46</v>
      </c>
      <c r="H216" s="3570"/>
      <c r="I216" s="3434"/>
      <c r="J216" s="3347" t="s">
        <v>32</v>
      </c>
      <c r="K216" s="3357" t="s">
        <v>47</v>
      </c>
      <c r="L216" s="3357" t="s">
        <v>9595</v>
      </c>
      <c r="M216" s="3827">
        <v>45480</v>
      </c>
      <c r="N216" s="3827">
        <v>45479</v>
      </c>
      <c r="O216" s="3827">
        <v>45481</v>
      </c>
      <c r="P216" s="3605" t="s">
        <v>9596</v>
      </c>
      <c r="Q216" s="3715" t="s">
        <v>6852</v>
      </c>
      <c r="R216" s="3258" t="s">
        <v>36</v>
      </c>
      <c r="S216" s="3569"/>
      <c r="T216" s="3569"/>
      <c r="U216" s="3569"/>
      <c r="V216" s="3569"/>
      <c r="W216" s="3828">
        <f>表15_17[[#This Row],[Sales Amount]]-表15_17[[#This Row],[Cost]]</f>
        <v>0</v>
      </c>
      <c r="X216" s="3569" t="e">
        <f>表15_17[[#This Row],[Profit]]/表15_17[[#This Row],[Cost]]</f>
        <v>#DIV/0!</v>
      </c>
      <c r="Y216" s="3569"/>
      <c r="Z216" s="3829"/>
    </row>
    <row r="217" spans="1:26" s="709" customFormat="1">
      <c r="A217" s="3787" t="s">
        <v>26</v>
      </c>
      <c r="B217" s="4408" t="s">
        <v>9597</v>
      </c>
      <c r="C217" s="4331" t="s">
        <v>28</v>
      </c>
      <c r="D217" s="3534">
        <v>45453</v>
      </c>
      <c r="E217" s="3535">
        <v>45478</v>
      </c>
      <c r="F217" s="4331" t="s">
        <v>1357</v>
      </c>
      <c r="G217" s="4331" t="s">
        <v>46</v>
      </c>
      <c r="H217" s="3526">
        <v>45483</v>
      </c>
      <c r="I217" s="3246" t="s">
        <v>926</v>
      </c>
      <c r="J217" s="3523" t="s">
        <v>32</v>
      </c>
      <c r="K217" s="3246" t="s">
        <v>9588</v>
      </c>
      <c r="L217" s="3246" t="s">
        <v>9598</v>
      </c>
      <c r="M217" s="3534">
        <v>45481</v>
      </c>
      <c r="N217" s="3534">
        <v>45481</v>
      </c>
      <c r="O217" s="3534">
        <v>45483</v>
      </c>
      <c r="P217" s="4408" t="s">
        <v>9599</v>
      </c>
      <c r="Q217" s="3809" t="s">
        <v>9226</v>
      </c>
      <c r="R217" s="4331" t="s">
        <v>9600</v>
      </c>
      <c r="S217" s="3246"/>
      <c r="T217" s="3246">
        <v>1633.5</v>
      </c>
      <c r="U217" s="3830">
        <v>1460</v>
      </c>
      <c r="V217" s="3246">
        <v>1</v>
      </c>
      <c r="W217" s="3830">
        <f>表15_17[[#This Row],[Sales Amount]]-表15_17[[#This Row],[Cost]]</f>
        <v>173.5</v>
      </c>
      <c r="X217" s="3246">
        <f>表15_17[[#This Row],[Profit]]/表15_17[[#This Row],[Cost]]</f>
        <v>0.11883561643835616</v>
      </c>
      <c r="Y217" s="3246"/>
      <c r="Z217" s="3248"/>
    </row>
    <row r="218" spans="1:26" s="709" customFormat="1" ht="15.75">
      <c r="A218" s="5326" t="s">
        <v>4815</v>
      </c>
      <c r="B218" s="709" t="s">
        <v>9601</v>
      </c>
      <c r="C218" s="4861" t="s">
        <v>28</v>
      </c>
      <c r="D218" s="4940">
        <v>45467</v>
      </c>
      <c r="E218" s="5052">
        <v>45478</v>
      </c>
      <c r="F218" s="4861" t="s">
        <v>93</v>
      </c>
      <c r="G218" s="4861" t="s">
        <v>46</v>
      </c>
      <c r="H218" s="3788"/>
      <c r="I218" s="4861"/>
      <c r="J218" s="2348" t="s">
        <v>32</v>
      </c>
      <c r="K218" s="709" t="s">
        <v>47</v>
      </c>
      <c r="L218" s="3831" t="s">
        <v>9602</v>
      </c>
      <c r="M218" s="3267">
        <v>45482</v>
      </c>
      <c r="N218" s="3267">
        <v>45481</v>
      </c>
      <c r="O218" s="3267">
        <v>45482</v>
      </c>
      <c r="P218" s="1019" t="s">
        <v>9603</v>
      </c>
      <c r="Q218" s="2890" t="s">
        <v>6852</v>
      </c>
      <c r="R218" s="3258" t="s">
        <v>51</v>
      </c>
      <c r="S218" s="3258"/>
      <c r="T218" s="3258"/>
      <c r="U218" s="3258"/>
      <c r="V218" s="3258"/>
      <c r="W218" s="3790">
        <f>表15_17[[#This Row],[Sales Amount]]-表15_17[[#This Row],[Cost]]</f>
        <v>0</v>
      </c>
      <c r="X218" s="3258" t="e">
        <f>表15_17[[#This Row],[Profit]]/表15_17[[#This Row],[Cost]]</f>
        <v>#DIV/0!</v>
      </c>
      <c r="Y218" s="3258"/>
      <c r="Z218" s="3259"/>
    </row>
    <row r="219" spans="1:26" s="709" customFormat="1">
      <c r="A219" s="5326" t="s">
        <v>409</v>
      </c>
      <c r="B219" s="3246" t="s">
        <v>9604</v>
      </c>
      <c r="C219" s="4861" t="s">
        <v>28</v>
      </c>
      <c r="D219" s="3266">
        <v>45467</v>
      </c>
      <c r="E219" s="1614">
        <v>45478</v>
      </c>
      <c r="F219" s="4861" t="s">
        <v>2225</v>
      </c>
      <c r="G219" s="3246" t="s">
        <v>57</v>
      </c>
      <c r="H219" s="3788"/>
      <c r="I219" s="3246"/>
      <c r="J219" s="3347" t="s">
        <v>168</v>
      </c>
      <c r="K219" s="3275" t="s">
        <v>47</v>
      </c>
      <c r="L219" s="3832">
        <v>1909772</v>
      </c>
      <c r="M219" s="3267">
        <v>45480</v>
      </c>
      <c r="N219" s="3267">
        <v>45479</v>
      </c>
      <c r="O219" s="3267">
        <v>45480</v>
      </c>
      <c r="P219" s="3283" t="s">
        <v>9605</v>
      </c>
      <c r="Q219" s="3789" t="s">
        <v>6852</v>
      </c>
      <c r="R219" s="3258" t="s">
        <v>36</v>
      </c>
      <c r="S219" s="3258"/>
      <c r="T219" s="3258"/>
      <c r="U219" s="3258"/>
      <c r="V219" s="3258"/>
      <c r="W219" s="3790">
        <f>表15_17[[#This Row],[Sales Amount]]-表15_17[[#This Row],[Cost]]</f>
        <v>0</v>
      </c>
      <c r="X219" s="3258" t="e">
        <f>表15_17[[#This Row],[Profit]]/表15_17[[#This Row],[Cost]]</f>
        <v>#DIV/0!</v>
      </c>
      <c r="Y219" s="3258"/>
      <c r="Z219" s="3259"/>
    </row>
    <row r="220" spans="1:26" s="709" customFormat="1">
      <c r="A220" s="5326" t="s">
        <v>799</v>
      </c>
      <c r="B220" s="3246" t="s">
        <v>9606</v>
      </c>
      <c r="C220" s="4861" t="s">
        <v>28</v>
      </c>
      <c r="D220" s="3266">
        <v>45470</v>
      </c>
      <c r="E220" s="1614">
        <v>45480</v>
      </c>
      <c r="F220" s="3246" t="s">
        <v>45</v>
      </c>
      <c r="G220" s="3246" t="s">
        <v>46</v>
      </c>
      <c r="H220" s="3788"/>
      <c r="I220" s="3246"/>
      <c r="J220" s="3523" t="s">
        <v>32</v>
      </c>
      <c r="K220" s="3246" t="s">
        <v>47</v>
      </c>
      <c r="L220" s="3275" t="s">
        <v>9607</v>
      </c>
      <c r="M220" s="3267">
        <v>45482</v>
      </c>
      <c r="N220" s="3267">
        <v>45482</v>
      </c>
      <c r="O220" s="3267">
        <v>45484</v>
      </c>
      <c r="P220" s="3283" t="s">
        <v>9608</v>
      </c>
      <c r="Q220" s="3789" t="s">
        <v>6852</v>
      </c>
      <c r="R220" s="3258" t="s">
        <v>9609</v>
      </c>
      <c r="S220" s="3258"/>
      <c r="T220" s="3258"/>
      <c r="U220" s="3258"/>
      <c r="V220" s="3258"/>
      <c r="W220" s="3790">
        <f>表15_17[[#This Row],[Sales Amount]]-表15_17[[#This Row],[Cost]]</f>
        <v>0</v>
      </c>
      <c r="X220" s="3258" t="e">
        <f>表15_17[[#This Row],[Profit]]/表15_17[[#This Row],[Cost]]</f>
        <v>#DIV/0!</v>
      </c>
      <c r="Y220" s="3258"/>
      <c r="Z220" s="3259"/>
    </row>
    <row r="221" spans="1:26">
      <c r="A221" s="3787" t="s">
        <v>409</v>
      </c>
      <c r="B221" s="3246" t="s">
        <v>9610</v>
      </c>
      <c r="C221" s="4861" t="s">
        <v>28</v>
      </c>
      <c r="D221" s="3266">
        <v>45467</v>
      </c>
      <c r="E221" s="1614">
        <v>45480</v>
      </c>
      <c r="F221" s="3246" t="s">
        <v>2225</v>
      </c>
      <c r="G221" s="3246" t="s">
        <v>57</v>
      </c>
      <c r="H221" s="3788"/>
      <c r="I221" s="3246"/>
      <c r="J221" s="3347" t="s">
        <v>32</v>
      </c>
      <c r="K221" s="3275" t="s">
        <v>47</v>
      </c>
      <c r="L221" s="58">
        <v>1909924</v>
      </c>
      <c r="M221" s="3267">
        <v>45481</v>
      </c>
      <c r="N221" s="3267">
        <v>45481</v>
      </c>
      <c r="O221" s="3267"/>
      <c r="P221" s="3283" t="s">
        <v>9611</v>
      </c>
      <c r="Q221" s="3789" t="s">
        <v>6852</v>
      </c>
      <c r="R221" s="3258" t="s">
        <v>36</v>
      </c>
      <c r="S221" s="3258"/>
      <c r="T221" s="3258"/>
      <c r="U221" s="3258"/>
      <c r="V221" s="3258"/>
      <c r="W221" s="3790">
        <f>表15_17[[#This Row],[Sales Amount]]-表15_17[[#This Row],[Cost]]</f>
        <v>0</v>
      </c>
      <c r="X221" s="3258" t="e">
        <f>表15_17[[#This Row],[Profit]]/表15_17[[#This Row],[Cost]]</f>
        <v>#DIV/0!</v>
      </c>
      <c r="Y221" s="3258"/>
      <c r="Z221" s="3259"/>
    </row>
    <row r="222" spans="1:26" s="709" customFormat="1">
      <c r="A222" s="3787" t="s">
        <v>263</v>
      </c>
      <c r="B222" s="3434" t="s">
        <v>9612</v>
      </c>
      <c r="C222" s="4902" t="s">
        <v>44</v>
      </c>
      <c r="D222" s="3672">
        <v>45480</v>
      </c>
      <c r="E222" s="3672">
        <v>45480</v>
      </c>
      <c r="F222" s="3434" t="s">
        <v>151</v>
      </c>
      <c r="G222" s="4902" t="s">
        <v>9613</v>
      </c>
      <c r="H222" s="3570"/>
      <c r="I222" s="3434"/>
      <c r="J222" s="3523"/>
      <c r="K222" s="3434" t="s">
        <v>9364</v>
      </c>
      <c r="L222" s="3434"/>
      <c r="M222" s="3827"/>
      <c r="N222" s="3827"/>
      <c r="O222" s="3827"/>
      <c r="P222" s="3605" t="s">
        <v>9614</v>
      </c>
      <c r="Q222" s="3789" t="s">
        <v>128</v>
      </c>
      <c r="R222" s="3569" t="s">
        <v>36</v>
      </c>
      <c r="S222" s="3569"/>
      <c r="T222" s="3569">
        <v>3906.28</v>
      </c>
      <c r="U222" s="3569">
        <f>161.28+1426+1301</f>
        <v>2888.2799999999997</v>
      </c>
      <c r="V222" s="3569"/>
      <c r="W222" s="3828">
        <f>表15_17[[#This Row],[Sales Amount]]-表15_17[[#This Row],[Cost]]</f>
        <v>1018.0000000000005</v>
      </c>
      <c r="X222" s="3569">
        <f>表15_17[[#This Row],[Profit]]/表15_17[[#This Row],[Cost]]</f>
        <v>0.3524589028764526</v>
      </c>
      <c r="Y222" s="3569"/>
      <c r="Z222" s="3829"/>
    </row>
    <row r="223" spans="1:26">
      <c r="A223" s="3787" t="s">
        <v>263</v>
      </c>
      <c r="B223" s="3434" t="s">
        <v>9615</v>
      </c>
      <c r="C223" s="4902" t="s">
        <v>44</v>
      </c>
      <c r="D223" s="3672">
        <v>45480</v>
      </c>
      <c r="E223" s="3672">
        <v>45480</v>
      </c>
      <c r="F223" s="3434" t="s">
        <v>151</v>
      </c>
      <c r="G223" s="3434" t="s">
        <v>9613</v>
      </c>
      <c r="H223" s="3570"/>
      <c r="I223" s="3434"/>
      <c r="J223" s="3523"/>
      <c r="K223" s="3434" t="s">
        <v>9364</v>
      </c>
      <c r="L223" s="1188"/>
      <c r="M223" s="3827"/>
      <c r="N223" s="3827"/>
      <c r="O223" s="3827"/>
      <c r="P223" s="3605" t="s">
        <v>9614</v>
      </c>
      <c r="Q223" s="3789" t="s">
        <v>128</v>
      </c>
      <c r="R223" s="3569" t="s">
        <v>36</v>
      </c>
      <c r="S223" s="3569"/>
      <c r="T223" s="3569">
        <v>3906.28</v>
      </c>
      <c r="U223" s="3569">
        <f>161.28+1426+1301</f>
        <v>2888.2799999999997</v>
      </c>
      <c r="V223" s="3569"/>
      <c r="W223" s="3828">
        <f>表15_17[[#This Row],[Sales Amount]]-表15_17[[#This Row],[Cost]]</f>
        <v>1018.0000000000005</v>
      </c>
      <c r="X223" s="3569">
        <f>表15_17[[#This Row],[Profit]]/表15_17[[#This Row],[Cost]]</f>
        <v>0.3524589028764526</v>
      </c>
      <c r="Y223" s="3569"/>
      <c r="Z223" s="3829"/>
    </row>
    <row r="224" spans="1:26">
      <c r="A224" s="3781" t="s">
        <v>263</v>
      </c>
      <c r="B224" s="3075" t="s">
        <v>9616</v>
      </c>
      <c r="C224" s="3075" t="s">
        <v>44</v>
      </c>
      <c r="D224" s="3694">
        <v>45513</v>
      </c>
      <c r="E224" s="3694">
        <v>45513</v>
      </c>
      <c r="F224" s="3075" t="s">
        <v>151</v>
      </c>
      <c r="G224" s="3075" t="s">
        <v>9613</v>
      </c>
      <c r="H224" s="3802"/>
      <c r="I224" s="3075"/>
      <c r="J224" s="3800"/>
      <c r="K224" s="3075" t="s">
        <v>9364</v>
      </c>
      <c r="L224" s="106"/>
      <c r="M224" s="3782"/>
      <c r="N224" s="3782"/>
      <c r="O224" s="3782"/>
      <c r="P224" s="3622" t="s">
        <v>9617</v>
      </c>
      <c r="Q224" s="3783" t="s">
        <v>128</v>
      </c>
      <c r="R224" s="3255"/>
      <c r="S224" s="3255"/>
      <c r="T224" s="3255"/>
      <c r="U224" s="3255"/>
      <c r="V224" s="3255"/>
      <c r="W224" s="3784">
        <f>表15_17[[#This Row],[Sales Amount]]-表15_17[[#This Row],[Cost]]</f>
        <v>0</v>
      </c>
      <c r="X224" s="3255" t="e">
        <f>表15_17[[#This Row],[Profit]]/表15_17[[#This Row],[Cost]]</f>
        <v>#DIV/0!</v>
      </c>
      <c r="Y224" s="3255"/>
      <c r="Z224" s="3256"/>
    </row>
    <row r="225" spans="1:26" s="709" customFormat="1">
      <c r="A225" s="3781" t="s">
        <v>263</v>
      </c>
      <c r="B225" s="3075" t="s">
        <v>9618</v>
      </c>
      <c r="C225" s="4874" t="s">
        <v>44</v>
      </c>
      <c r="D225" s="3694">
        <v>45513</v>
      </c>
      <c r="E225" s="3694">
        <v>45513</v>
      </c>
      <c r="F225" s="3075" t="s">
        <v>151</v>
      </c>
      <c r="G225" s="3075" t="s">
        <v>9613</v>
      </c>
      <c r="H225" s="2931"/>
      <c r="I225" s="106"/>
      <c r="J225" s="3800"/>
      <c r="K225" s="3075" t="s">
        <v>9364</v>
      </c>
      <c r="L225" s="3075"/>
      <c r="M225" s="3782"/>
      <c r="N225" s="3782"/>
      <c r="O225" s="3782"/>
      <c r="P225" s="3622" t="s">
        <v>9617</v>
      </c>
      <c r="Q225" s="3783" t="s">
        <v>128</v>
      </c>
      <c r="R225" s="3255"/>
      <c r="S225" s="3255"/>
      <c r="T225" s="3255"/>
      <c r="U225" s="3255"/>
      <c r="V225" s="3255"/>
      <c r="W225" s="3784">
        <f>表15_17[[#This Row],[Sales Amount]]-表15_17[[#This Row],[Cost]]</f>
        <v>0</v>
      </c>
      <c r="X225" s="3255" t="e">
        <f>表15_17[[#This Row],[Profit]]/表15_17[[#This Row],[Cost]]</f>
        <v>#DIV/0!</v>
      </c>
      <c r="Y225" s="3255"/>
      <c r="Z225" s="3256"/>
    </row>
    <row r="226" spans="1:26" s="1188" customFormat="1">
      <c r="A226" s="3833"/>
      <c r="B226" s="3552"/>
      <c r="C226" s="4874"/>
      <c r="D226" s="3069"/>
      <c r="E226" s="3834"/>
      <c r="F226" s="4217"/>
      <c r="G226" s="4152"/>
      <c r="H226" s="3800"/>
      <c r="I226" s="3800"/>
      <c r="J226" s="3800"/>
      <c r="K226" s="3800"/>
      <c r="L226" s="4874"/>
      <c r="M226" s="3782"/>
      <c r="N226" s="3782"/>
      <c r="O226" s="5024"/>
      <c r="P226" s="4280"/>
      <c r="Q226" s="3714"/>
      <c r="R226" s="3255"/>
      <c r="S226" s="4328"/>
      <c r="T226" s="3255"/>
      <c r="U226" s="3255"/>
      <c r="V226" s="3255"/>
      <c r="W226" s="3784"/>
      <c r="X226" s="3255"/>
      <c r="Y226" s="3255"/>
      <c r="Z226" s="3256"/>
    </row>
    <row r="227" spans="1:26" s="709" customFormat="1">
      <c r="A227" s="3781"/>
      <c r="B227" s="3075"/>
      <c r="C227" s="4874"/>
      <c r="D227" s="3694"/>
      <c r="E227" s="3737"/>
      <c r="F227" s="3075"/>
      <c r="G227" s="3075"/>
      <c r="H227" s="3799"/>
      <c r="I227" s="3075"/>
      <c r="J227" s="3800"/>
      <c r="K227" s="3075"/>
      <c r="L227" s="3075"/>
      <c r="M227" s="3782"/>
      <c r="N227" s="3782"/>
      <c r="O227" s="3782"/>
      <c r="P227" s="3622"/>
      <c r="Q227" s="3783"/>
      <c r="R227" s="3255"/>
      <c r="S227" s="3255"/>
      <c r="T227" s="3255"/>
      <c r="U227" s="3255"/>
      <c r="V227" s="3255"/>
      <c r="W227" s="3784"/>
      <c r="X227" s="3255"/>
      <c r="Y227" s="3255"/>
      <c r="Z227" s="3256"/>
    </row>
    <row r="228" spans="1:26">
      <c r="A228" s="3781"/>
      <c r="B228" s="4280"/>
      <c r="C228" s="4971"/>
      <c r="D228" s="4409"/>
      <c r="E228" s="3550"/>
      <c r="F228" s="4217"/>
      <c r="G228" s="4152"/>
      <c r="H228" s="3799"/>
      <c r="I228" s="3075"/>
      <c r="J228" s="3800"/>
      <c r="K228" s="3835"/>
      <c r="L228" s="5605"/>
      <c r="M228" s="3069"/>
      <c r="N228" s="3069"/>
      <c r="O228" s="3069"/>
      <c r="P228" s="4280"/>
      <c r="Q228" s="3714"/>
      <c r="R228" s="3075"/>
      <c r="S228" s="3075"/>
      <c r="T228" s="3075"/>
      <c r="U228" s="3075"/>
      <c r="V228" s="3075"/>
      <c r="W228" s="3836"/>
      <c r="X228" s="3075"/>
      <c r="Y228" s="3075"/>
      <c r="Z228" s="3250"/>
    </row>
    <row r="229" spans="1:26">
      <c r="A229" s="3781"/>
      <c r="B229" s="3837"/>
      <c r="C229" s="4874"/>
      <c r="D229" s="3694"/>
      <c r="E229" s="3694"/>
      <c r="F229" s="3075"/>
      <c r="G229" s="3075"/>
      <c r="H229" s="3523"/>
      <c r="I229" s="3075"/>
      <c r="J229" s="3838"/>
      <c r="K229" s="3839"/>
      <c r="L229" s="3839"/>
      <c r="M229" s="3840"/>
      <c r="N229" s="3782"/>
      <c r="O229" s="3782"/>
      <c r="P229" s="3622"/>
      <c r="Q229" s="3783"/>
      <c r="R229" s="3841"/>
      <c r="S229" s="3255"/>
      <c r="T229" s="3255"/>
      <c r="U229" s="3255"/>
      <c r="V229" s="3255"/>
      <c r="W229" s="3784"/>
      <c r="X229" s="3255"/>
      <c r="Y229" s="3255"/>
      <c r="Z229" s="3256"/>
    </row>
    <row r="230" spans="1:26">
      <c r="A230" s="3781"/>
      <c r="B230" s="3075"/>
      <c r="C230" s="4874"/>
      <c r="D230" s="3694"/>
      <c r="E230" s="3737"/>
      <c r="F230" s="3075"/>
      <c r="G230" s="3075"/>
      <c r="H230" s="3799"/>
      <c r="I230" s="3075"/>
      <c r="J230" s="3800"/>
      <c r="K230" s="3075"/>
      <c r="L230" s="3241"/>
      <c r="M230" s="3782"/>
      <c r="N230" s="3782"/>
      <c r="O230" s="3782"/>
      <c r="P230" s="3622"/>
      <c r="Q230" s="3783"/>
      <c r="R230" s="3255"/>
      <c r="S230" s="3255"/>
      <c r="T230" s="3255"/>
      <c r="U230" s="3255"/>
      <c r="V230" s="3255"/>
      <c r="W230" s="3784"/>
      <c r="X230" s="3785"/>
      <c r="Y230" s="3255"/>
      <c r="Z230" s="3256"/>
    </row>
    <row r="231" spans="1:26" ht="17.25">
      <c r="A231" s="5471"/>
      <c r="B231" s="3075"/>
      <c r="C231" s="3075"/>
      <c r="D231" s="5498"/>
      <c r="E231" s="5499"/>
      <c r="F231" s="3075"/>
      <c r="G231" s="3075"/>
      <c r="H231" s="5548"/>
      <c r="I231" s="3075"/>
      <c r="J231" s="3800"/>
      <c r="K231" s="3075"/>
      <c r="L231" s="3842"/>
      <c r="M231" s="3782"/>
      <c r="N231" s="3782"/>
      <c r="O231" s="3782"/>
      <c r="P231" s="3622"/>
      <c r="Q231" s="3783"/>
      <c r="R231" s="3255"/>
      <c r="S231" s="3255"/>
      <c r="T231" s="3255"/>
      <c r="U231" s="3255"/>
      <c r="V231" s="3255"/>
      <c r="W231" s="3784"/>
      <c r="X231" s="3785"/>
      <c r="Y231" s="3255"/>
      <c r="Z231" s="3256"/>
    </row>
    <row r="232" spans="1:26">
      <c r="A232" s="5471"/>
      <c r="B232" s="3075"/>
      <c r="C232" s="3075"/>
      <c r="D232" s="5498"/>
      <c r="E232" s="5499"/>
      <c r="F232" s="3075"/>
      <c r="G232" s="3075"/>
      <c r="H232" s="5548"/>
      <c r="I232" s="3075"/>
      <c r="J232" s="3800"/>
      <c r="K232" s="4874"/>
      <c r="L232" s="3075"/>
      <c r="M232" s="3782"/>
      <c r="N232" s="3782"/>
      <c r="O232" s="3782"/>
      <c r="P232" s="3622"/>
      <c r="Q232" s="3783"/>
      <c r="R232" s="4873"/>
      <c r="S232" s="4873"/>
      <c r="T232" s="3255"/>
      <c r="U232" s="3255"/>
      <c r="V232" s="3255"/>
      <c r="W232" s="3784"/>
      <c r="X232" s="3785"/>
      <c r="Y232" s="3255"/>
      <c r="Z232" s="3256"/>
    </row>
    <row r="233" spans="1:26">
      <c r="A233" s="5471"/>
      <c r="B233" s="3075"/>
      <c r="C233" s="3075"/>
      <c r="D233" s="5498"/>
      <c r="E233" s="5499"/>
      <c r="F233" s="3075"/>
      <c r="G233" s="3075"/>
      <c r="H233" s="5548"/>
      <c r="I233" s="3075"/>
      <c r="J233" s="3800"/>
      <c r="K233" s="4971"/>
      <c r="L233" s="3075"/>
      <c r="M233" s="3782"/>
      <c r="N233" s="3782"/>
      <c r="O233" s="3782"/>
      <c r="P233" s="4328"/>
      <c r="Q233" s="3783"/>
      <c r="R233" s="3255"/>
      <c r="S233" s="3255"/>
      <c r="T233" s="3255"/>
      <c r="U233" s="3255"/>
      <c r="V233" s="3255"/>
      <c r="W233" s="3784"/>
      <c r="X233" s="3255"/>
      <c r="Y233" s="3255"/>
      <c r="Z233" s="3256"/>
    </row>
    <row r="234" spans="1:26">
      <c r="A234" s="3781"/>
      <c r="B234" s="3075"/>
      <c r="C234" s="4874"/>
      <c r="D234" s="5498"/>
      <c r="E234" s="5499"/>
      <c r="F234" s="3075"/>
      <c r="G234" s="3075"/>
      <c r="H234" s="3651"/>
      <c r="I234" s="3075"/>
      <c r="J234" s="3800"/>
      <c r="K234" s="3075"/>
      <c r="L234" s="3075"/>
      <c r="M234" s="3782"/>
      <c r="N234" s="3782"/>
      <c r="O234" s="3782"/>
      <c r="P234" s="4328"/>
      <c r="Q234" s="5553"/>
      <c r="R234" s="26"/>
      <c r="S234" s="3255"/>
      <c r="T234" s="3255"/>
      <c r="U234" s="3255"/>
      <c r="V234" s="3255"/>
      <c r="W234" s="3784"/>
      <c r="X234" s="3255"/>
      <c r="Y234" s="3255"/>
      <c r="Z234" s="3256"/>
    </row>
    <row r="235" spans="1:26">
      <c r="A235" s="3781"/>
      <c r="B235" s="3246"/>
      <c r="C235" s="4861"/>
      <c r="D235" s="4940"/>
      <c r="E235" s="5052"/>
      <c r="F235" s="3246"/>
      <c r="G235" s="4953"/>
      <c r="H235" s="3788"/>
      <c r="I235" s="3246"/>
      <c r="J235" s="3523"/>
      <c r="K235" s="3246"/>
      <c r="L235" s="3246"/>
      <c r="M235" s="3267"/>
      <c r="N235" s="3267"/>
      <c r="O235" s="3782"/>
      <c r="P235" s="4328"/>
      <c r="Q235" s="5553"/>
      <c r="R235" s="3255"/>
      <c r="S235" s="4873"/>
      <c r="T235" s="3255"/>
      <c r="U235" s="3255"/>
      <c r="V235" s="3255"/>
      <c r="W235" s="3784"/>
      <c r="X235" s="3785"/>
      <c r="Y235" s="3255"/>
      <c r="Z235" s="3256"/>
    </row>
    <row r="236" spans="1:26">
      <c r="A236" s="3781"/>
      <c r="B236" s="3246"/>
      <c r="C236" s="4861"/>
      <c r="D236" s="4940"/>
      <c r="E236" s="5052"/>
      <c r="F236" s="3246"/>
      <c r="G236" s="4953"/>
      <c r="H236" s="3788"/>
      <c r="I236" s="3246"/>
      <c r="J236" s="3523"/>
      <c r="K236" s="3246"/>
      <c r="L236" s="3246"/>
      <c r="M236" s="3267"/>
      <c r="N236" s="3267"/>
      <c r="O236" s="3782"/>
      <c r="P236" s="3622"/>
      <c r="Q236" s="5553"/>
      <c r="R236" s="3255"/>
      <c r="S236" s="4873"/>
      <c r="T236" s="3255"/>
      <c r="U236" s="3255"/>
      <c r="V236" s="3255"/>
      <c r="W236" s="3784"/>
      <c r="X236" s="3785"/>
      <c r="Y236" s="3255"/>
      <c r="Z236" s="3256"/>
    </row>
    <row r="237" spans="1:26">
      <c r="A237" s="3781"/>
      <c r="B237" s="3075"/>
      <c r="C237" s="4874"/>
      <c r="D237" s="5498"/>
      <c r="E237" s="5606"/>
      <c r="F237" s="3075"/>
      <c r="G237" s="3075"/>
      <c r="H237" s="3802"/>
      <c r="I237" s="3075"/>
      <c r="J237" s="3843"/>
      <c r="K237" s="3075"/>
      <c r="L237" s="3075"/>
      <c r="M237" s="3782"/>
      <c r="N237" s="3782"/>
      <c r="O237" s="3782"/>
      <c r="P237" s="3622"/>
      <c r="Q237" s="5553"/>
      <c r="R237" s="4873"/>
      <c r="S237" s="4873"/>
      <c r="T237" s="3255"/>
      <c r="U237" s="3255"/>
      <c r="V237" s="3255"/>
      <c r="W237" s="3784"/>
      <c r="X237" s="3785"/>
      <c r="Y237" s="3255"/>
      <c r="Z237" s="3256"/>
    </row>
    <row r="238" spans="1:26">
      <c r="A238" s="3781"/>
      <c r="D238" s="3694"/>
      <c r="E238" s="3844"/>
      <c r="G238" s="106"/>
      <c r="H238" s="3845"/>
      <c r="I238" s="3075"/>
      <c r="J238" s="3843"/>
      <c r="K238" s="3075"/>
      <c r="L238" s="106"/>
      <c r="M238" s="3782"/>
      <c r="N238" s="3782"/>
      <c r="O238" s="3782"/>
      <c r="P238" s="3622"/>
      <c r="Q238" s="3783"/>
      <c r="R238" s="3255"/>
      <c r="S238" s="3255"/>
      <c r="T238" s="3255"/>
      <c r="U238" s="3255"/>
      <c r="V238" s="3255"/>
      <c r="W238" s="3784"/>
      <c r="X238" s="3785"/>
      <c r="Y238" s="3255"/>
      <c r="Z238" s="3256"/>
    </row>
    <row r="239" spans="1:26">
      <c r="A239" s="3781"/>
      <c r="B239" s="3075"/>
      <c r="C239" s="3075"/>
      <c r="D239" s="3694"/>
      <c r="E239" s="5606"/>
      <c r="F239" s="3075"/>
      <c r="G239" s="3075"/>
      <c r="H239" s="3802"/>
      <c r="I239" s="3075"/>
      <c r="J239" s="3843"/>
      <c r="K239" s="3075"/>
      <c r="L239" s="3075"/>
      <c r="M239" s="3782"/>
      <c r="N239" s="3782"/>
      <c r="O239" s="3782"/>
      <c r="P239" s="3622"/>
      <c r="Q239" s="3783"/>
      <c r="R239" s="3255"/>
      <c r="S239" s="4873"/>
      <c r="T239" s="3255"/>
      <c r="U239" s="3255"/>
      <c r="V239" s="3255"/>
      <c r="W239" s="3784"/>
      <c r="X239" s="3785"/>
      <c r="Y239" s="3255"/>
      <c r="Z239" s="3256"/>
    </row>
    <row r="240" spans="1:26">
      <c r="A240" s="3781"/>
      <c r="B240" s="3075"/>
      <c r="C240" s="3075"/>
      <c r="D240" s="3694"/>
      <c r="E240" s="5606"/>
      <c r="F240" s="3075"/>
      <c r="G240" s="3075"/>
      <c r="H240" s="3802"/>
      <c r="I240" s="3075"/>
      <c r="J240" s="3843"/>
      <c r="K240" s="3075"/>
      <c r="L240" s="3075"/>
      <c r="M240" s="3782"/>
      <c r="N240" s="3782"/>
      <c r="O240" s="3782"/>
      <c r="P240" s="3622"/>
      <c r="Q240" s="3783"/>
      <c r="R240" s="3255"/>
      <c r="S240" s="4873"/>
      <c r="T240" s="3255"/>
      <c r="U240" s="3255"/>
      <c r="V240" s="3255"/>
      <c r="W240" s="3784"/>
      <c r="X240" s="3785"/>
      <c r="Y240" s="3255"/>
      <c r="Z240" s="3256"/>
    </row>
    <row r="241" spans="1:26">
      <c r="A241" s="3781"/>
      <c r="B241" s="3075"/>
      <c r="C241" s="3075"/>
      <c r="D241" s="3694"/>
      <c r="E241" s="5499"/>
      <c r="F241" s="3075"/>
      <c r="G241" s="3075"/>
      <c r="H241" s="3846"/>
      <c r="I241" s="3712"/>
      <c r="J241" s="3800"/>
      <c r="K241" s="3075"/>
      <c r="L241" s="3712"/>
      <c r="M241" s="3782"/>
      <c r="N241" s="3782"/>
      <c r="O241" s="3782"/>
      <c r="P241" s="3622"/>
      <c r="Q241" s="3783"/>
      <c r="R241" s="3255"/>
      <c r="S241" s="4873"/>
      <c r="T241" s="3255"/>
      <c r="U241" s="3255"/>
      <c r="V241" s="3255"/>
      <c r="W241" s="3784"/>
      <c r="X241" s="3785"/>
      <c r="Y241" s="3255"/>
      <c r="Z241" s="3256"/>
    </row>
    <row r="242" spans="1:26">
      <c r="A242" s="3781"/>
      <c r="B242" s="3368"/>
      <c r="C242" s="3075"/>
      <c r="D242" s="3069"/>
      <c r="E242" s="5607"/>
      <c r="F242" s="3368"/>
      <c r="G242" s="3368"/>
      <c r="H242" s="3075"/>
      <c r="I242" s="3075"/>
      <c r="J242" s="3075"/>
      <c r="K242" s="3368"/>
      <c r="L242" s="3075"/>
      <c r="M242" s="3782"/>
      <c r="N242" s="3782"/>
      <c r="O242" s="3782"/>
      <c r="P242" s="3368"/>
      <c r="Q242" s="3714"/>
      <c r="R242" s="3255"/>
      <c r="S242" s="4873"/>
      <c r="T242" s="3255"/>
      <c r="U242" s="3255"/>
      <c r="V242" s="3255"/>
      <c r="W242" s="3784"/>
      <c r="X242" s="3785"/>
      <c r="Y242" s="3255"/>
      <c r="Z242" s="3256"/>
    </row>
    <row r="243" spans="1:26">
      <c r="A243" s="3781"/>
      <c r="B243" s="4892"/>
      <c r="C243" s="3075"/>
      <c r="D243" s="4975"/>
      <c r="E243" s="4975"/>
      <c r="F243" s="3075"/>
      <c r="G243" s="3075"/>
      <c r="H243" s="3075"/>
      <c r="I243" s="3075"/>
      <c r="J243" s="3075"/>
      <c r="K243" s="3075"/>
      <c r="L243" s="3075"/>
      <c r="M243" s="3782"/>
      <c r="N243" s="3782"/>
      <c r="O243" s="3782"/>
      <c r="P243" s="3622"/>
      <c r="Q243" s="3714"/>
      <c r="R243" s="3255"/>
      <c r="S243" s="4873"/>
      <c r="T243" s="3255"/>
      <c r="U243" s="3255"/>
      <c r="V243" s="3255"/>
      <c r="W243" s="3784"/>
      <c r="X243" s="3785"/>
      <c r="Y243" s="3255"/>
      <c r="Z243" s="3256"/>
    </row>
    <row r="244" spans="1:26">
      <c r="A244" s="3781"/>
      <c r="B244" s="4971"/>
      <c r="C244" s="3075"/>
      <c r="D244" s="5498"/>
      <c r="E244" s="5498"/>
      <c r="F244" s="3075"/>
      <c r="G244" s="3075"/>
      <c r="H244" s="3799"/>
      <c r="I244" s="3075"/>
      <c r="J244" s="3800"/>
      <c r="K244" s="3075"/>
      <c r="L244" s="3075"/>
      <c r="M244" s="3782"/>
      <c r="N244" s="3782"/>
      <c r="O244" s="3782"/>
      <c r="P244" s="3622"/>
      <c r="Q244" s="3783"/>
      <c r="R244" s="3255"/>
      <c r="S244" s="4873"/>
      <c r="T244" s="3255"/>
      <c r="U244" s="3255"/>
      <c r="V244" s="3255"/>
      <c r="W244" s="3784"/>
      <c r="X244" s="3785"/>
      <c r="Y244" s="3255"/>
      <c r="Z244" s="3256"/>
    </row>
    <row r="245" spans="1:26">
      <c r="A245" s="3847"/>
      <c r="B245" s="4152"/>
      <c r="C245" s="3075"/>
      <c r="D245" s="3069"/>
      <c r="E245" s="3550"/>
      <c r="F245" s="3067"/>
      <c r="G245" s="4217"/>
      <c r="H245" s="3800"/>
      <c r="I245" s="3800"/>
      <c r="J245" s="3800"/>
      <c r="K245" s="4280"/>
      <c r="L245" s="4280"/>
      <c r="M245" s="3782"/>
      <c r="N245" s="3782"/>
      <c r="O245" s="3782"/>
      <c r="P245" s="4328"/>
      <c r="Q245" s="3783"/>
      <c r="R245" s="4390"/>
      <c r="S245" s="5026"/>
      <c r="T245" s="3255"/>
      <c r="U245" s="3255"/>
      <c r="V245" s="3255"/>
      <c r="W245" s="3784"/>
      <c r="X245" s="3785"/>
      <c r="Y245" s="3255"/>
      <c r="Z245" s="3256"/>
    </row>
    <row r="246" spans="1:26" ht="73.900000000000006" customHeight="1">
      <c r="A246" s="3781"/>
      <c r="B246" s="2855"/>
      <c r="C246" s="4217"/>
      <c r="D246" s="3069"/>
      <c r="E246" s="3550"/>
      <c r="F246" s="4217"/>
      <c r="G246" s="4217"/>
      <c r="H246" s="3848"/>
      <c r="I246" s="3075"/>
      <c r="J246" s="3849"/>
      <c r="K246" s="4217"/>
      <c r="L246" s="3075"/>
      <c r="M246" s="3069"/>
      <c r="N246" s="3069"/>
      <c r="O246" s="4409"/>
      <c r="P246" s="4280"/>
      <c r="Q246" s="3714"/>
      <c r="R246" s="3075"/>
      <c r="S246" s="4874"/>
      <c r="T246" s="3075"/>
      <c r="U246" s="3075"/>
      <c r="V246" s="3075"/>
      <c r="W246" s="3836"/>
      <c r="X246" s="3276"/>
      <c r="Y246" s="3075"/>
      <c r="Z246" s="3250"/>
    </row>
    <row r="247" spans="1:26">
      <c r="A247" s="3781"/>
      <c r="B247" s="4152"/>
      <c r="C247" s="4217"/>
      <c r="D247" s="3069"/>
      <c r="E247" s="3069"/>
      <c r="F247" s="4217"/>
      <c r="G247" s="3837"/>
      <c r="H247" s="3850"/>
      <c r="I247" s="3069"/>
      <c r="J247" s="3851"/>
      <c r="K247" s="4217"/>
      <c r="L247" s="3075"/>
      <c r="M247" s="3782"/>
      <c r="N247" s="3782"/>
      <c r="O247" s="3782"/>
      <c r="P247" s="4219"/>
      <c r="Q247" s="3714"/>
      <c r="R247" s="3255"/>
      <c r="S247" s="4873"/>
      <c r="T247" s="3255"/>
      <c r="U247" s="3255"/>
      <c r="V247" s="3255"/>
      <c r="W247" s="3784"/>
      <c r="X247" s="3785"/>
      <c r="Y247" s="3255"/>
      <c r="Z247" s="3256"/>
    </row>
    <row r="248" spans="1:26">
      <c r="A248" s="3781"/>
      <c r="B248" s="4217"/>
      <c r="C248" s="4217"/>
      <c r="D248" s="3069"/>
      <c r="E248" s="3550"/>
      <c r="F248" s="3075"/>
      <c r="G248" s="3309"/>
      <c r="H248" s="3075"/>
      <c r="I248" s="3075"/>
      <c r="J248" s="3852"/>
      <c r="K248" s="3075"/>
      <c r="L248" s="3473"/>
      <c r="M248" s="3069"/>
      <c r="N248" s="3069"/>
      <c r="O248" s="3069"/>
      <c r="P248" s="4410"/>
      <c r="Q248" s="3714"/>
      <c r="R248" s="3075"/>
      <c r="S248" s="4874"/>
      <c r="T248" s="3075"/>
      <c r="U248" s="3075"/>
      <c r="V248" s="3075"/>
      <c r="W248" s="3836"/>
      <c r="X248" s="3075"/>
      <c r="Y248" s="3075"/>
      <c r="Z248" s="3250"/>
    </row>
    <row r="249" spans="1:26">
      <c r="A249" s="3781"/>
      <c r="B249" s="4217"/>
      <c r="C249" s="4217"/>
      <c r="D249" s="4409"/>
      <c r="E249" s="3550"/>
      <c r="F249" s="4217"/>
      <c r="G249" s="4280"/>
      <c r="H249" s="3075"/>
      <c r="I249" s="3075"/>
      <c r="J249" s="3852"/>
      <c r="K249" s="3075"/>
      <c r="L249" s="3473"/>
      <c r="M249" s="3782"/>
      <c r="N249" s="3782"/>
      <c r="O249" s="3782"/>
      <c r="P249" s="4328"/>
      <c r="Q249" s="3714"/>
      <c r="R249" s="3368"/>
      <c r="S249" s="5026"/>
      <c r="T249" s="3255"/>
      <c r="U249" s="3255"/>
      <c r="V249" s="3255"/>
      <c r="W249" s="3784"/>
      <c r="X249" s="3785"/>
      <c r="Y249" s="3255"/>
      <c r="Z249" s="3256"/>
    </row>
    <row r="250" spans="1:26">
      <c r="A250" s="3781"/>
      <c r="B250" s="3067"/>
      <c r="C250" s="3075"/>
      <c r="D250" s="3069"/>
      <c r="E250" s="4972"/>
      <c r="F250" s="3075"/>
      <c r="G250" s="3075"/>
      <c r="H250" s="3075"/>
      <c r="I250" s="3075"/>
      <c r="J250" s="3800"/>
      <c r="K250" s="3067"/>
      <c r="L250" s="3075"/>
      <c r="M250" s="3069"/>
      <c r="N250" s="3069"/>
      <c r="O250" s="3651"/>
      <c r="P250" s="4323"/>
      <c r="Q250" s="3714"/>
      <c r="R250" s="3075"/>
      <c r="S250" s="4874"/>
      <c r="T250" s="3075"/>
      <c r="U250" s="3075"/>
      <c r="V250" s="3075"/>
      <c r="W250" s="3836"/>
      <c r="X250" s="3075"/>
      <c r="Y250" s="3075"/>
      <c r="Z250" s="3250"/>
    </row>
    <row r="251" spans="1:26">
      <c r="A251" s="3781"/>
      <c r="B251" s="3368"/>
      <c r="C251" s="3075"/>
      <c r="D251" s="3069"/>
      <c r="E251" s="4975"/>
      <c r="F251" s="3075"/>
      <c r="G251" s="3075"/>
      <c r="H251" s="3075"/>
      <c r="I251" s="3075"/>
      <c r="J251" s="3852"/>
      <c r="K251" s="3075"/>
      <c r="L251" s="3473"/>
      <c r="M251" s="3782"/>
      <c r="N251" s="3782"/>
      <c r="O251" s="3782"/>
      <c r="P251" s="3853"/>
      <c r="Q251" s="3714"/>
      <c r="R251" s="3255"/>
      <c r="S251" s="4873"/>
      <c r="T251" s="3255"/>
      <c r="U251" s="3255"/>
      <c r="V251" s="3255"/>
      <c r="W251" s="3784"/>
      <c r="X251" s="3785"/>
      <c r="Y251" s="3255"/>
      <c r="Z251" s="3256"/>
    </row>
    <row r="252" spans="1:26">
      <c r="A252" s="3781"/>
      <c r="B252" s="3075"/>
      <c r="C252" s="3075"/>
      <c r="D252" s="3694"/>
      <c r="E252" s="3737"/>
      <c r="F252" s="3075"/>
      <c r="G252" s="3075"/>
      <c r="H252" s="3075"/>
      <c r="I252" s="3075"/>
      <c r="J252" s="3851"/>
      <c r="K252" s="3075"/>
      <c r="L252" s="3837"/>
      <c r="M252" s="3782"/>
      <c r="N252" s="3782"/>
      <c r="O252" s="3782"/>
      <c r="P252" s="4328"/>
      <c r="Q252" s="3714"/>
      <c r="R252" s="3255"/>
      <c r="S252" s="4873"/>
      <c r="T252" s="3255"/>
      <c r="U252" s="3255"/>
      <c r="V252" s="3255"/>
      <c r="W252" s="3784"/>
      <c r="X252" s="3854"/>
      <c r="Y252" s="3255"/>
      <c r="Z252" s="3256"/>
    </row>
    <row r="253" spans="1:26">
      <c r="A253" s="3781"/>
      <c r="B253" s="3075"/>
      <c r="C253" s="3075"/>
      <c r="D253" s="3694"/>
      <c r="E253" s="5499"/>
      <c r="F253" s="3075"/>
      <c r="G253" s="3075"/>
      <c r="H253" s="3075"/>
      <c r="I253" s="3075"/>
      <c r="J253" s="3851"/>
      <c r="K253" s="3075"/>
      <c r="L253" s="3075"/>
      <c r="M253" s="3782"/>
      <c r="N253" s="3782"/>
      <c r="O253" s="3782"/>
      <c r="P253" s="4328"/>
      <c r="Q253" s="3714"/>
      <c r="R253" s="3255"/>
      <c r="S253" s="4873"/>
      <c r="T253" s="3255"/>
      <c r="U253" s="3255"/>
      <c r="V253" s="3255"/>
      <c r="W253" s="3784"/>
      <c r="X253" s="3785"/>
      <c r="Y253" s="3255"/>
      <c r="Z253" s="3256"/>
    </row>
    <row r="254" spans="1:26">
      <c r="A254" s="5370"/>
      <c r="B254" s="4971"/>
      <c r="C254" s="4874"/>
      <c r="D254" s="5086"/>
      <c r="E254" s="5086"/>
      <c r="F254" s="4971"/>
      <c r="G254" s="4217"/>
      <c r="H254" s="3075"/>
      <c r="I254" s="3075"/>
      <c r="J254" s="5471"/>
      <c r="K254" s="3075"/>
      <c r="L254" s="4874"/>
      <c r="M254" s="5024"/>
      <c r="N254" s="5024"/>
      <c r="O254" s="4974"/>
      <c r="P254" s="5087"/>
      <c r="Q254" s="5553"/>
      <c r="R254" s="5049"/>
      <c r="S254" s="5049"/>
      <c r="T254" s="4873"/>
      <c r="U254" s="4873"/>
      <c r="V254" s="4873"/>
      <c r="W254" s="5554"/>
      <c r="X254" s="5570"/>
      <c r="Y254" s="4873"/>
      <c r="Z254" s="4873"/>
    </row>
    <row r="255" spans="1:26" ht="14.25" customHeight="1">
      <c r="A255" s="3847"/>
      <c r="B255" s="4217"/>
      <c r="C255" s="4874"/>
      <c r="D255" s="3069"/>
      <c r="E255" s="3069"/>
      <c r="F255" s="3075"/>
      <c r="G255" s="4971"/>
      <c r="H255" s="3075"/>
      <c r="I255" s="3075"/>
      <c r="J255" s="3800"/>
      <c r="K255" s="5483"/>
      <c r="L255" s="5608"/>
      <c r="M255" s="3782"/>
      <c r="N255" s="3782"/>
      <c r="O255" s="3782"/>
      <c r="P255" s="3855"/>
      <c r="Q255" s="3714"/>
      <c r="R255" s="3255"/>
      <c r="S255" s="3075"/>
      <c r="T255" s="3255"/>
      <c r="U255" s="3255"/>
      <c r="V255" s="3255"/>
      <c r="W255" s="5554"/>
      <c r="X255" s="4873"/>
      <c r="Y255" s="3255"/>
      <c r="Z255" s="3256"/>
    </row>
    <row r="256" spans="1:26">
      <c r="A256" s="3847"/>
      <c r="B256" s="4217"/>
      <c r="C256" s="3075"/>
      <c r="D256" s="3069"/>
      <c r="E256" s="3069"/>
      <c r="F256" s="3075"/>
      <c r="G256" s="3368"/>
      <c r="H256" s="3075"/>
      <c r="I256" s="3075"/>
      <c r="J256" s="3800"/>
      <c r="K256" s="3067"/>
      <c r="L256" s="5609"/>
      <c r="M256" s="3782"/>
      <c r="N256" s="3782"/>
      <c r="O256" s="3782"/>
      <c r="P256" s="4328"/>
      <c r="Q256" s="3714"/>
      <c r="R256" s="3255"/>
      <c r="S256" s="3075"/>
      <c r="T256" s="3255"/>
      <c r="U256" s="3255"/>
      <c r="V256" s="3255"/>
      <c r="W256" s="3784"/>
      <c r="X256" s="3785"/>
      <c r="Y256" s="3255"/>
      <c r="Z256" s="3256"/>
    </row>
    <row r="257" spans="1:35">
      <c r="A257" s="3781"/>
      <c r="B257" s="52"/>
      <c r="D257" s="4975"/>
      <c r="E257" s="4975"/>
      <c r="F257" s="4152"/>
      <c r="G257" s="4217"/>
      <c r="H257" s="4874"/>
      <c r="I257" s="3075"/>
      <c r="J257" s="3800"/>
      <c r="K257" s="4152"/>
      <c r="L257" s="3075"/>
      <c r="M257" s="3069"/>
      <c r="N257" s="3069"/>
      <c r="O257" s="3651"/>
      <c r="P257" s="4141"/>
      <c r="Q257" s="5480"/>
      <c r="R257" s="3075"/>
      <c r="S257" s="3075"/>
      <c r="T257" s="3075"/>
      <c r="U257" s="3075"/>
      <c r="V257" s="3075"/>
      <c r="W257" s="3836"/>
      <c r="X257" s="3276"/>
      <c r="Y257" s="3075"/>
      <c r="Z257" s="3250"/>
    </row>
    <row r="258" spans="1:35">
      <c r="A258" s="5471"/>
      <c r="B258" s="3075"/>
      <c r="C258" s="3075"/>
      <c r="D258" s="5498"/>
      <c r="E258" s="5499"/>
      <c r="F258" s="3075"/>
      <c r="G258" s="3075"/>
      <c r="H258" s="106"/>
      <c r="I258" s="3075"/>
      <c r="J258" s="3851"/>
      <c r="K258" s="3075"/>
      <c r="L258" s="3075"/>
      <c r="M258" s="3782"/>
      <c r="N258" s="3782"/>
      <c r="O258" s="3782"/>
      <c r="P258" s="3622"/>
      <c r="Q258" s="5480"/>
      <c r="R258" s="3255"/>
      <c r="S258" s="3255"/>
      <c r="T258" s="3255"/>
      <c r="U258" s="3255"/>
      <c r="V258" s="3255"/>
      <c r="W258" s="3784"/>
      <c r="X258" s="3785"/>
      <c r="Y258" s="3255"/>
      <c r="Z258" s="3256"/>
    </row>
    <row r="259" spans="1:35">
      <c r="A259" s="5471"/>
      <c r="B259" s="4874"/>
      <c r="C259" s="4874"/>
      <c r="D259" s="3069"/>
      <c r="E259" s="3069"/>
      <c r="F259" s="4874"/>
      <c r="G259" s="3075"/>
      <c r="H259" s="3075"/>
      <c r="I259" s="3075"/>
      <c r="J259" s="5471"/>
      <c r="K259" s="3075"/>
      <c r="L259" s="3075"/>
      <c r="M259" s="3782"/>
      <c r="N259" s="3782"/>
      <c r="O259" s="3782"/>
      <c r="P259" s="3622"/>
      <c r="Q259" s="5480"/>
      <c r="R259" s="3255"/>
      <c r="S259" s="4873"/>
      <c r="T259" s="3255"/>
      <c r="U259" s="3255"/>
      <c r="V259" s="3255"/>
      <c r="W259" s="3784"/>
      <c r="X259" s="3854"/>
      <c r="Y259" s="3255"/>
      <c r="Z259" s="3256"/>
    </row>
    <row r="260" spans="1:35">
      <c r="A260" s="3781"/>
      <c r="B260" s="3075"/>
      <c r="C260" s="4874"/>
      <c r="D260" s="3694"/>
      <c r="E260" s="3737"/>
      <c r="F260" s="3075"/>
      <c r="G260" s="3075"/>
      <c r="H260" s="3075"/>
      <c r="I260" s="3075"/>
      <c r="J260" s="5610"/>
      <c r="K260" s="3075"/>
      <c r="L260" s="3075"/>
      <c r="M260" s="3782"/>
      <c r="N260" s="3782"/>
      <c r="O260" s="3782"/>
      <c r="P260" s="4219"/>
      <c r="Q260" s="5480"/>
      <c r="R260" s="3255"/>
      <c r="S260" s="3255"/>
      <c r="T260" s="3255"/>
      <c r="U260" s="3255"/>
      <c r="V260" s="3255"/>
      <c r="W260" s="3784"/>
      <c r="X260" s="3785"/>
      <c r="Y260" s="3255"/>
      <c r="Z260" s="3256"/>
    </row>
    <row r="261" spans="1:35">
      <c r="A261" s="3781"/>
      <c r="B261" s="4217"/>
      <c r="C261" s="3075"/>
      <c r="D261" s="3069"/>
      <c r="E261" s="3069"/>
      <c r="F261" s="4217"/>
      <c r="G261" s="4217"/>
      <c r="H261" s="3075"/>
      <c r="I261" s="3075"/>
      <c r="J261" s="3800"/>
      <c r="K261" s="4217"/>
      <c r="L261" s="106"/>
      <c r="M261" s="3069"/>
      <c r="N261" s="3069"/>
      <c r="O261" s="3651"/>
      <c r="P261" s="4280"/>
      <c r="Q261" s="3714"/>
      <c r="R261" s="3075"/>
      <c r="S261" s="3075"/>
      <c r="T261" s="3075"/>
      <c r="U261" s="3075"/>
      <c r="V261" s="3075"/>
      <c r="W261" s="3836"/>
      <c r="X261" s="3276"/>
      <c r="Y261" s="3075"/>
      <c r="Z261" s="3250"/>
    </row>
    <row r="262" spans="1:35">
      <c r="A262" s="3833"/>
      <c r="B262" s="4217"/>
      <c r="C262" s="3075"/>
      <c r="D262" s="4409"/>
      <c r="E262" s="4409"/>
      <c r="F262" s="4217"/>
      <c r="G262" s="3075"/>
      <c r="H262" s="3075"/>
      <c r="I262" s="3075"/>
      <c r="J262" s="3849"/>
      <c r="K262" s="3075"/>
      <c r="L262" s="3075"/>
      <c r="M262" s="3782"/>
      <c r="N262" s="3782"/>
      <c r="O262" s="3856"/>
      <c r="P262" s="4328"/>
      <c r="Q262" s="3783"/>
      <c r="R262" s="4280"/>
      <c r="S262" s="4280"/>
      <c r="T262" s="3255"/>
      <c r="U262" s="3255"/>
      <c r="V262" s="3255"/>
      <c r="W262" s="3784"/>
      <c r="X262" s="3785"/>
      <c r="Y262" s="3255"/>
      <c r="Z262" s="3256"/>
    </row>
    <row r="263" spans="1:35">
      <c r="A263" s="3847"/>
      <c r="B263" s="3075"/>
      <c r="C263" s="3368"/>
      <c r="D263" s="3069"/>
      <c r="E263" s="4975"/>
      <c r="F263" s="3368"/>
      <c r="G263" s="3368"/>
      <c r="H263" s="3075"/>
      <c r="I263" s="3075"/>
      <c r="J263" s="3849"/>
      <c r="K263" s="3075"/>
      <c r="L263" s="3782"/>
      <c r="M263" s="3782"/>
      <c r="N263" s="3782"/>
      <c r="O263" s="3782"/>
      <c r="P263" s="3622"/>
      <c r="Q263" s="3783"/>
      <c r="R263" s="4390"/>
      <c r="S263" s="4390"/>
      <c r="T263" s="3255"/>
      <c r="U263" s="3255"/>
      <c r="V263" s="3255"/>
      <c r="W263" s="3784"/>
      <c r="X263" s="3785"/>
      <c r="Y263" s="3255"/>
      <c r="Z263" s="3256"/>
    </row>
    <row r="264" spans="1:35">
      <c r="A264" s="5471"/>
      <c r="B264" s="5086"/>
      <c r="C264" s="4971"/>
      <c r="D264" s="5086"/>
      <c r="E264" s="5086"/>
      <c r="F264" s="4971"/>
      <c r="G264" s="4217"/>
      <c r="H264" s="5548"/>
      <c r="I264" s="4874"/>
      <c r="J264" s="5471"/>
      <c r="K264" s="5433"/>
      <c r="L264" s="147"/>
      <c r="M264" s="4975"/>
      <c r="N264" s="4975"/>
      <c r="O264" s="4975"/>
      <c r="P264" s="5049"/>
      <c r="Q264" s="5480"/>
      <c r="R264" s="4874"/>
      <c r="S264" s="4874"/>
      <c r="T264" s="4874"/>
      <c r="U264" s="4874"/>
      <c r="V264" s="4874"/>
      <c r="W264" s="5580"/>
      <c r="X264" s="4874"/>
      <c r="Y264" s="4874"/>
      <c r="Z264" s="4874"/>
    </row>
    <row r="265" spans="1:35">
      <c r="A265" s="5471"/>
      <c r="B265" s="4874"/>
      <c r="C265" s="4874"/>
      <c r="D265" s="5498"/>
      <c r="E265" s="5499"/>
      <c r="F265" s="4874"/>
      <c r="G265" s="4874"/>
      <c r="H265" s="4874"/>
      <c r="I265" s="4874"/>
      <c r="J265" s="5610"/>
      <c r="K265" s="4874"/>
      <c r="L265" s="4874"/>
      <c r="M265" s="5024"/>
      <c r="N265" s="5024"/>
      <c r="O265" s="5024"/>
      <c r="P265" s="5087"/>
      <c r="Q265" s="5480"/>
      <c r="R265" s="4873"/>
      <c r="S265" s="4873"/>
      <c r="T265" s="4873"/>
      <c r="U265" s="4873"/>
      <c r="V265" s="4873"/>
      <c r="W265" s="5554"/>
      <c r="X265" s="5570"/>
      <c r="Y265" s="4873"/>
      <c r="Z265" s="4873"/>
    </row>
    <row r="266" spans="1:35">
      <c r="A266" s="5471"/>
      <c r="B266" s="4971"/>
      <c r="C266" s="4874"/>
      <c r="D266" s="5498"/>
      <c r="E266" s="5499"/>
      <c r="F266" s="4874"/>
      <c r="G266" s="4874"/>
      <c r="H266" s="4874"/>
      <c r="I266" s="4874"/>
      <c r="J266" s="4874"/>
      <c r="K266" s="4874"/>
      <c r="L266" s="4874"/>
      <c r="M266" s="5024"/>
      <c r="N266" s="5024"/>
      <c r="O266" s="5024"/>
      <c r="P266" s="4892"/>
      <c r="Q266" s="5480"/>
      <c r="R266" s="4873"/>
      <c r="S266" s="4873"/>
      <c r="T266" s="4873"/>
      <c r="U266" s="4873"/>
      <c r="V266" s="4873"/>
      <c r="W266" s="5554"/>
      <c r="X266" s="5570"/>
      <c r="Y266" s="4873"/>
      <c r="Z266" s="4873"/>
    </row>
    <row r="267" spans="1:35">
      <c r="A267" s="5471"/>
      <c r="B267" s="4874"/>
      <c r="C267" s="4874"/>
      <c r="D267" s="5498"/>
      <c r="E267" s="5499"/>
      <c r="F267" s="4874"/>
      <c r="G267" s="4874"/>
      <c r="H267" s="4874"/>
      <c r="I267" s="4874"/>
      <c r="J267" s="4874"/>
      <c r="K267" s="4874"/>
      <c r="L267" s="4874"/>
      <c r="M267" s="5024"/>
      <c r="N267" s="5024"/>
      <c r="O267" s="5024"/>
      <c r="P267" s="5087"/>
      <c r="Q267" s="5480"/>
      <c r="R267" s="4873"/>
      <c r="S267" s="4873"/>
      <c r="T267" s="4873"/>
      <c r="U267" s="4873"/>
      <c r="V267" s="4873"/>
      <c r="W267" s="5554"/>
      <c r="X267" s="5570"/>
      <c r="Y267" s="4873"/>
      <c r="Z267" s="4873"/>
    </row>
    <row r="268" spans="1:35">
      <c r="A268" s="5471"/>
      <c r="B268" s="5499"/>
      <c r="C268" s="4874"/>
      <c r="D268" s="5499"/>
      <c r="E268" s="5499"/>
      <c r="F268" s="4874"/>
      <c r="G268" s="4874"/>
      <c r="H268" s="4874"/>
      <c r="I268" s="4874"/>
      <c r="J268" s="4874"/>
      <c r="K268" s="4874"/>
      <c r="L268" s="4874"/>
      <c r="M268" s="5024"/>
      <c r="N268" s="5024"/>
      <c r="O268" s="5024"/>
      <c r="P268" s="5087"/>
      <c r="Q268" s="5553"/>
      <c r="R268" s="5611"/>
      <c r="S268" s="4873"/>
      <c r="T268" s="4873"/>
      <c r="U268" s="4873"/>
      <c r="V268" s="4873"/>
      <c r="W268" s="5554"/>
      <c r="X268" s="4873"/>
      <c r="Y268" s="4873"/>
      <c r="Z268" s="4873"/>
      <c r="AF268" s="144"/>
      <c r="AG268" s="144"/>
      <c r="AH268" s="144"/>
      <c r="AI268" s="147"/>
    </row>
    <row r="269" spans="1:35">
      <c r="A269" s="5471"/>
      <c r="B269" s="5499"/>
      <c r="C269" s="4874"/>
      <c r="D269" s="5499"/>
      <c r="E269" s="5499"/>
      <c r="F269" s="4874"/>
      <c r="G269" s="4874"/>
      <c r="H269" s="4874"/>
      <c r="I269" s="4874"/>
      <c r="J269" s="4874"/>
      <c r="K269" s="4874"/>
      <c r="L269" s="4874"/>
      <c r="M269" s="5024"/>
      <c r="N269" s="5024"/>
      <c r="O269" s="5024"/>
      <c r="P269" s="5087"/>
      <c r="Q269" s="5553"/>
      <c r="R269" s="5611"/>
      <c r="S269" s="4873"/>
      <c r="T269" s="4873"/>
      <c r="U269" s="4873"/>
      <c r="V269" s="4873"/>
      <c r="W269" s="5554"/>
      <c r="X269" s="4873"/>
      <c r="Y269" s="4873"/>
      <c r="Z269" s="4873"/>
      <c r="AF269" s="144"/>
      <c r="AG269" s="144"/>
      <c r="AH269" s="144"/>
      <c r="AI269" s="147"/>
    </row>
    <row r="270" spans="1:35">
      <c r="A270" s="5471"/>
      <c r="B270" s="4971"/>
      <c r="C270" s="4874"/>
      <c r="D270" s="4975"/>
      <c r="E270" s="4975"/>
      <c r="F270" s="4971"/>
      <c r="G270" s="4971"/>
      <c r="H270" s="4874"/>
      <c r="I270" s="4975"/>
      <c r="J270" s="5612"/>
      <c r="K270" s="4971"/>
      <c r="L270" s="4975"/>
      <c r="M270" s="4975"/>
      <c r="N270" s="4975"/>
      <c r="O270" s="4975"/>
      <c r="P270" s="5049"/>
      <c r="Q270" s="5480"/>
      <c r="R270" s="4975"/>
      <c r="S270" s="4874"/>
      <c r="T270" s="4874"/>
      <c r="U270" s="4874"/>
      <c r="V270" s="4874"/>
      <c r="W270" s="5580"/>
      <c r="X270" s="5103"/>
      <c r="Y270" s="4874"/>
      <c r="Z270" s="4874"/>
      <c r="AF270" s="144"/>
      <c r="AG270" s="144"/>
      <c r="AH270" s="144"/>
      <c r="AI270" s="147"/>
    </row>
    <row r="271" spans="1:35">
      <c r="A271" s="5471"/>
      <c r="B271" s="4892"/>
      <c r="C271" s="4874"/>
      <c r="D271" s="5498"/>
      <c r="E271" s="5498"/>
      <c r="F271" s="4874"/>
      <c r="G271" s="4874"/>
      <c r="H271" s="5613"/>
      <c r="I271" s="4874"/>
      <c r="J271" s="5471"/>
      <c r="K271" s="4892"/>
      <c r="L271" s="4874"/>
      <c r="M271" s="5024"/>
      <c r="N271" s="5024"/>
      <c r="O271" s="5024"/>
      <c r="P271" s="5027"/>
      <c r="Q271" s="5553"/>
      <c r="R271" s="5611"/>
      <c r="S271" s="4873"/>
      <c r="T271" s="4873"/>
      <c r="U271" s="4873"/>
      <c r="V271" s="4873"/>
      <c r="W271" s="5554"/>
      <c r="X271" s="4873"/>
      <c r="Y271" s="4873"/>
      <c r="Z271" s="4873"/>
    </row>
    <row r="272" spans="1:35">
      <c r="A272" s="3781"/>
      <c r="B272" s="4217"/>
      <c r="D272" s="4975"/>
      <c r="E272" s="4975"/>
      <c r="F272" s="4152"/>
      <c r="G272" s="106"/>
      <c r="H272" s="3075"/>
      <c r="I272" s="3075"/>
      <c r="J272" s="5471"/>
      <c r="K272" s="4971"/>
      <c r="L272" s="3075"/>
      <c r="M272" s="3069"/>
      <c r="N272" s="3069"/>
      <c r="O272" s="3651"/>
      <c r="P272" s="4280"/>
      <c r="Q272" s="3714"/>
      <c r="R272" s="3075"/>
      <c r="S272" s="4874"/>
      <c r="T272" s="3075"/>
      <c r="U272" s="3075"/>
      <c r="V272" s="3075"/>
      <c r="W272" s="5580"/>
      <c r="X272" s="5103"/>
      <c r="Y272" s="3075"/>
      <c r="Z272" s="3250"/>
    </row>
    <row r="273" spans="1:26">
      <c r="A273" s="3781"/>
      <c r="B273" s="3075"/>
      <c r="C273" s="3075"/>
      <c r="D273" s="3694"/>
      <c r="E273" s="3737"/>
      <c r="F273" s="3075"/>
      <c r="G273" s="3075"/>
      <c r="H273" s="3075"/>
      <c r="I273" s="3075"/>
      <c r="J273" s="3851"/>
      <c r="K273" s="3075"/>
      <c r="L273" s="3075"/>
      <c r="M273" s="3782"/>
      <c r="N273" s="3782"/>
      <c r="O273" s="3782"/>
      <c r="P273" s="4328"/>
      <c r="Q273" s="3714"/>
      <c r="R273" s="3255"/>
      <c r="S273" s="3255"/>
      <c r="T273" s="3255"/>
      <c r="U273" s="3255"/>
      <c r="V273" s="3255"/>
      <c r="W273" s="2811"/>
      <c r="X273" s="2882"/>
      <c r="Y273" s="3255"/>
      <c r="Z273" s="3256"/>
    </row>
    <row r="274" spans="1:26">
      <c r="A274" s="3781"/>
      <c r="C274" s="4874"/>
      <c r="D274" s="5498"/>
      <c r="E274" s="5499"/>
      <c r="F274" s="3075"/>
      <c r="G274" s="3075"/>
      <c r="H274" s="106"/>
      <c r="I274" s="4874"/>
      <c r="J274" s="5610"/>
      <c r="K274" s="3075"/>
      <c r="L274" s="3075"/>
      <c r="M274" s="3782"/>
      <c r="N274" s="3782"/>
      <c r="O274" s="3782"/>
      <c r="P274" s="4328"/>
      <c r="Q274" s="5480"/>
      <c r="R274" s="3255"/>
      <c r="S274" s="3255"/>
      <c r="T274" s="3255"/>
      <c r="U274" s="3255"/>
      <c r="V274" s="3255"/>
      <c r="W274" s="3784"/>
      <c r="X274" s="3785"/>
      <c r="Y274" s="3255"/>
      <c r="Z274" s="3256"/>
    </row>
    <row r="275" spans="1:26">
      <c r="A275" s="3781"/>
      <c r="B275" s="3075"/>
      <c r="C275" s="3075"/>
      <c r="D275" s="5498"/>
      <c r="E275" s="5498"/>
      <c r="G275" s="3075"/>
      <c r="H275" s="4874"/>
      <c r="I275" s="3075"/>
      <c r="J275" s="3851"/>
      <c r="K275" s="4874"/>
      <c r="L275" s="106"/>
      <c r="M275" s="3782"/>
      <c r="N275" s="3782"/>
      <c r="O275" s="3782"/>
      <c r="P275" s="3622"/>
      <c r="Q275" s="3714"/>
      <c r="R275" s="3255"/>
      <c r="S275" s="4873"/>
      <c r="T275" s="3255"/>
      <c r="U275" s="3255"/>
      <c r="V275" s="3255"/>
      <c r="W275" s="3784"/>
      <c r="X275" s="3785"/>
      <c r="Y275" s="3255"/>
      <c r="Z275" s="3256"/>
    </row>
    <row r="276" spans="1:26">
      <c r="A276" s="3781"/>
      <c r="B276" s="3075"/>
      <c r="C276" s="4874"/>
      <c r="D276" s="3694"/>
      <c r="E276" s="3737"/>
      <c r="F276" s="3075"/>
      <c r="G276" s="3075"/>
      <c r="H276" s="4874"/>
      <c r="I276" s="3075"/>
      <c r="J276" s="3851"/>
      <c r="K276" s="3075"/>
      <c r="L276" s="3075"/>
      <c r="M276" s="3782"/>
      <c r="N276" s="3782"/>
      <c r="O276" s="3782"/>
      <c r="P276" s="4328"/>
      <c r="Q276" s="5480"/>
      <c r="R276" s="3255"/>
      <c r="S276" s="3255"/>
      <c r="T276" s="3255"/>
      <c r="U276" s="3255"/>
      <c r="V276" s="3255"/>
      <c r="W276" s="3784"/>
      <c r="X276" s="3785"/>
      <c r="Y276" s="3255"/>
      <c r="Z276" s="3256"/>
    </row>
    <row r="277" spans="1:26">
      <c r="A277" s="3781"/>
      <c r="C277" s="4874"/>
      <c r="D277" s="3694"/>
      <c r="E277" s="3737"/>
      <c r="F277" s="3075"/>
      <c r="G277" s="3075"/>
      <c r="H277" s="4874"/>
      <c r="I277" s="3075"/>
      <c r="J277" s="3851"/>
      <c r="K277" s="3075"/>
      <c r="L277" s="3075"/>
      <c r="M277" s="3782"/>
      <c r="N277" s="3782"/>
      <c r="O277" s="3782"/>
      <c r="P277" s="4328"/>
      <c r="Q277" s="5480"/>
      <c r="R277" s="3255"/>
      <c r="S277" s="3255"/>
      <c r="T277" s="3255"/>
      <c r="U277" s="3255"/>
      <c r="V277" s="3255"/>
      <c r="W277" s="3784"/>
      <c r="X277" s="3785"/>
      <c r="Y277" s="3255"/>
      <c r="Z277" s="3256"/>
    </row>
    <row r="278" spans="1:26">
      <c r="A278" s="3781"/>
      <c r="B278" s="3075"/>
      <c r="C278" s="4874"/>
      <c r="D278" s="3694"/>
      <c r="E278" s="3694"/>
      <c r="F278" s="3075"/>
      <c r="G278" s="3075"/>
      <c r="H278" s="4874"/>
      <c r="I278" s="3075"/>
      <c r="J278" s="3075"/>
      <c r="K278" s="3075"/>
      <c r="L278" s="3075"/>
      <c r="M278" s="3782"/>
      <c r="N278" s="3782"/>
      <c r="O278" s="3782"/>
      <c r="P278" s="3622"/>
      <c r="Q278" s="5553"/>
      <c r="R278" s="3841"/>
      <c r="S278" s="3255"/>
      <c r="T278" s="3255"/>
      <c r="U278" s="3255"/>
      <c r="V278" s="3255"/>
      <c r="W278" s="3784"/>
      <c r="X278" s="3255"/>
      <c r="Y278" s="3255"/>
      <c r="Z278" s="3256"/>
    </row>
    <row r="279" spans="1:26">
      <c r="A279" s="3781"/>
      <c r="B279" s="3075"/>
      <c r="C279" s="4874"/>
      <c r="D279" s="3694"/>
      <c r="E279" s="3694"/>
      <c r="F279" s="3075"/>
      <c r="G279" s="3075"/>
      <c r="H279" s="4874"/>
      <c r="I279" s="3075"/>
      <c r="J279" s="3075"/>
      <c r="K279" s="3075"/>
      <c r="L279" s="3075"/>
      <c r="M279" s="3782"/>
      <c r="N279" s="3782"/>
      <c r="O279" s="3782"/>
      <c r="P279" s="3622"/>
      <c r="Q279" s="5553"/>
      <c r="R279" s="3841"/>
      <c r="S279" s="3255"/>
      <c r="T279" s="3255"/>
      <c r="U279" s="3255"/>
      <c r="V279" s="3255"/>
      <c r="W279" s="3784"/>
      <c r="X279" s="3255"/>
      <c r="Y279" s="3255"/>
      <c r="Z279" s="3256"/>
    </row>
    <row r="280" spans="1:26">
      <c r="A280" s="3781"/>
      <c r="B280" s="4152"/>
      <c r="C280" s="4874"/>
      <c r="D280" s="4975"/>
      <c r="E280" s="4975"/>
      <c r="F280" s="4152"/>
      <c r="G280" s="106"/>
      <c r="H280" s="3075"/>
      <c r="I280" s="3075"/>
      <c r="J280" s="3800"/>
      <c r="K280" s="4152"/>
      <c r="L280" s="3075"/>
      <c r="M280" s="3069"/>
      <c r="N280" s="3069"/>
      <c r="O280" s="3651"/>
      <c r="P280" s="4141"/>
      <c r="Q280" s="5480"/>
      <c r="R280" s="3075"/>
      <c r="S280" s="3075"/>
      <c r="T280" s="3075"/>
      <c r="U280" s="3075"/>
      <c r="V280" s="3075"/>
      <c r="W280" s="3836"/>
      <c r="X280" s="3276"/>
      <c r="Y280" s="3075"/>
      <c r="Z280" s="3250"/>
    </row>
    <row r="281" spans="1:26">
      <c r="A281" s="3781"/>
      <c r="C281" s="4874"/>
      <c r="D281" s="4975"/>
      <c r="E281" s="4975"/>
      <c r="F281" s="3067"/>
      <c r="G281" s="3067"/>
      <c r="H281" s="5614"/>
      <c r="I281" s="3075"/>
      <c r="J281" s="3800"/>
      <c r="K281" s="106"/>
      <c r="L281" s="3075"/>
      <c r="M281" s="3069"/>
      <c r="N281" s="3069"/>
      <c r="O281" s="3069"/>
      <c r="P281" s="3857"/>
      <c r="Q281" s="5480"/>
      <c r="R281" s="3075"/>
      <c r="S281" s="3075"/>
      <c r="T281" s="3075"/>
      <c r="U281" s="3075"/>
      <c r="V281" s="3075"/>
      <c r="W281" s="3836"/>
      <c r="X281" s="3276"/>
      <c r="Y281" s="3075"/>
      <c r="Z281" s="3250"/>
    </row>
    <row r="282" spans="1:26">
      <c r="A282" s="3781"/>
      <c r="B282" s="3075"/>
      <c r="C282" s="4874"/>
      <c r="D282" s="4975"/>
      <c r="E282" s="4975"/>
      <c r="F282" s="3075"/>
      <c r="G282" s="3075"/>
      <c r="H282" s="3848"/>
      <c r="I282" s="3075"/>
      <c r="J282" s="3800"/>
      <c r="K282" s="3075"/>
      <c r="L282" s="3075"/>
      <c r="M282" s="3069"/>
      <c r="N282" s="3069"/>
      <c r="O282" s="3069"/>
      <c r="P282" s="3309"/>
      <c r="Q282" s="5480"/>
      <c r="R282" s="3075"/>
      <c r="S282" s="3075"/>
      <c r="T282" s="3075"/>
      <c r="U282" s="3075"/>
      <c r="V282" s="3075"/>
      <c r="W282" s="3836"/>
      <c r="X282" s="3276"/>
      <c r="Y282" s="3075"/>
      <c r="Z282" s="3250"/>
    </row>
    <row r="283" spans="1:26">
      <c r="A283" s="3781"/>
      <c r="B283" s="3075"/>
      <c r="C283" s="4874"/>
      <c r="D283" s="3694"/>
      <c r="E283" s="3694"/>
      <c r="G283" s="106"/>
      <c r="H283" s="3802"/>
      <c r="I283" s="3075"/>
      <c r="J283" s="3800"/>
      <c r="K283" s="4874"/>
      <c r="L283" s="3075"/>
      <c r="M283" s="3782"/>
      <c r="N283" s="3782"/>
      <c r="O283" s="3782"/>
      <c r="P283" s="3622"/>
      <c r="Q283" s="3783"/>
      <c r="R283" s="3255"/>
      <c r="S283" s="3255"/>
      <c r="T283" s="3255"/>
      <c r="U283" s="3255"/>
      <c r="V283" s="3255"/>
      <c r="W283" s="3784">
        <f>表15_17[[#This Row],[Sales Amount]]-表15_17[[#This Row],[Cost]]</f>
        <v>0</v>
      </c>
      <c r="X283" s="3785" t="e">
        <f>表15_17[[#This Row],[Profit]]/表15_17[[#This Row],[Cost]]</f>
        <v>#DIV/0!</v>
      </c>
      <c r="Y283" s="3255"/>
      <c r="Z283" s="3256"/>
    </row>
    <row r="284" spans="1:26">
      <c r="A284" s="3781"/>
      <c r="B284" s="3075"/>
      <c r="C284" s="4874"/>
      <c r="D284" s="3069"/>
      <c r="E284" s="3069"/>
      <c r="F284" s="3075"/>
      <c r="G284" s="3309"/>
      <c r="H284" s="3075"/>
      <c r="I284" s="3075"/>
      <c r="J284" s="3800"/>
      <c r="K284" s="4892"/>
      <c r="L284" s="3075"/>
      <c r="M284" s="3069"/>
      <c r="N284" s="3069"/>
      <c r="O284" s="3069"/>
      <c r="P284" s="3067"/>
      <c r="Q284" s="3714"/>
      <c r="R284" s="3075"/>
      <c r="S284" s="3075"/>
      <c r="T284" s="3075"/>
      <c r="U284" s="3075"/>
      <c r="V284" s="3075"/>
      <c r="W284" s="3836"/>
      <c r="X284" s="3276"/>
      <c r="Y284" s="3075"/>
      <c r="Z284" s="3250"/>
    </row>
    <row r="285" spans="1:26">
      <c r="A285" s="5471"/>
      <c r="B285" s="3067"/>
      <c r="C285" s="3075"/>
      <c r="D285" s="3069"/>
      <c r="E285" s="3069"/>
      <c r="F285" s="3075"/>
      <c r="G285" s="106"/>
      <c r="H285" s="3075"/>
      <c r="I285" s="3075"/>
      <c r="J285" s="3800"/>
      <c r="K285" s="3075"/>
      <c r="L285" s="3075"/>
      <c r="M285" s="3069"/>
      <c r="N285" s="3069"/>
      <c r="O285" s="3651"/>
      <c r="P285" s="52"/>
      <c r="Q285" s="5480"/>
      <c r="R285" s="3075"/>
      <c r="S285" s="3075"/>
      <c r="T285" s="3075"/>
      <c r="U285" s="3075"/>
      <c r="V285" s="3075"/>
      <c r="W285" s="3836"/>
      <c r="X285" s="3075"/>
      <c r="Y285" s="3075"/>
      <c r="Z285" s="3250"/>
    </row>
    <row r="286" spans="1:26">
      <c r="A286" s="3847"/>
      <c r="B286" s="4217"/>
      <c r="C286" s="4874"/>
      <c r="D286" s="3069"/>
      <c r="E286" s="3069"/>
      <c r="F286" s="3075"/>
      <c r="G286" s="3368"/>
      <c r="H286" s="3800"/>
      <c r="I286" s="3075"/>
      <c r="J286" s="3800"/>
      <c r="K286" s="3800"/>
      <c r="L286" s="3858"/>
      <c r="M286" s="3782"/>
      <c r="N286" s="3782"/>
      <c r="O286" s="3782"/>
      <c r="P286" s="4328"/>
      <c r="Q286" s="3714"/>
      <c r="R286" s="3255"/>
      <c r="S286" s="3075"/>
      <c r="T286" s="3255"/>
      <c r="U286" s="3255"/>
      <c r="V286" s="3255"/>
      <c r="W286" s="3784"/>
      <c r="X286" s="3785"/>
      <c r="Y286" s="3255"/>
      <c r="Z286" s="3256"/>
    </row>
    <row r="287" spans="1:26">
      <c r="A287" s="3781"/>
      <c r="B287" s="3075"/>
      <c r="C287" s="3075"/>
      <c r="D287" s="3694"/>
      <c r="E287" s="3694"/>
      <c r="F287" s="3075"/>
      <c r="G287" s="3075"/>
      <c r="H287" s="3845"/>
      <c r="I287" s="3859"/>
      <c r="J287" s="3800"/>
      <c r="K287" s="3075"/>
      <c r="L287" s="3075"/>
      <c r="M287" s="3782"/>
      <c r="N287" s="3782"/>
      <c r="O287" s="3782"/>
      <c r="P287" s="3622" t="s">
        <v>9619</v>
      </c>
      <c r="Q287" s="3783"/>
      <c r="R287" s="3255"/>
      <c r="S287" s="3255"/>
      <c r="T287" s="3255"/>
      <c r="U287" s="3255"/>
      <c r="V287" s="3255"/>
      <c r="W287" s="3784">
        <f>表15_17[[#This Row],[Sales Amount]]-表15_17[[#This Row],[Cost]]</f>
        <v>0</v>
      </c>
      <c r="X287" s="3785" t="e">
        <f>表15_17[[#This Row],[Profit]]/表15_17[[#This Row],[Cost]]</f>
        <v>#DIV/0!</v>
      </c>
      <c r="Y287" s="3255"/>
      <c r="Z287" s="3256"/>
    </row>
    <row r="288" spans="1:26">
      <c r="H288" s="7"/>
      <c r="I288" s="7"/>
    </row>
    <row r="290" spans="3:27">
      <c r="G290" s="144"/>
      <c r="AA290" s="147"/>
    </row>
    <row r="291" spans="3:27">
      <c r="H291" s="147"/>
      <c r="I291" s="144"/>
      <c r="J291" s="106"/>
      <c r="M291" s="7"/>
      <c r="AA291" s="147"/>
    </row>
    <row r="292" spans="3:27">
      <c r="H292" s="147"/>
      <c r="I292" s="144"/>
      <c r="J292" s="106"/>
      <c r="L292" s="106"/>
      <c r="M292" s="7"/>
      <c r="N292" s="7"/>
      <c r="O292" s="7"/>
      <c r="Q292" s="144"/>
      <c r="R292" s="144"/>
      <c r="S292" s="147"/>
      <c r="AA292" s="147"/>
    </row>
    <row r="293" spans="3:27">
      <c r="C293" s="144"/>
      <c r="D293" s="7"/>
      <c r="Q293" s="144"/>
      <c r="R293" s="144"/>
      <c r="S293" s="147"/>
      <c r="T293" s="106"/>
    </row>
    <row r="294" spans="3:27">
      <c r="G294" s="7"/>
      <c r="L294" s="106"/>
      <c r="M294" s="7"/>
      <c r="S294" s="144"/>
    </row>
    <row r="295" spans="3:27">
      <c r="P295"/>
    </row>
    <row r="298" spans="3:27">
      <c r="P298" s="144"/>
    </row>
    <row r="301" spans="3:27">
      <c r="P301" s="144"/>
    </row>
    <row r="302" spans="3:27">
      <c r="O302" s="7"/>
    </row>
  </sheetData>
  <phoneticPr fontId="27" type="noConversion"/>
  <conditionalFormatting sqref="B1">
    <cfRule type="duplicateValues" dxfId="204" priority="1"/>
  </conditionalFormatting>
  <pageMargins left="0.7" right="0.7" top="0.75" bottom="0.75" header="0.3" footer="0.3"/>
  <pageSetup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18BC1-2C56-4A61-BD2D-D9E8CCE1A396}">
  <dimension ref="A1:AI186"/>
  <sheetViews>
    <sheetView tabSelected="1" zoomScaleNormal="100" workbookViewId="0">
      <pane xSplit="7" ySplit="1" topLeftCell="H2" activePane="bottomRight" state="frozen"/>
      <selection pane="bottomRight" activeCell="H5" sqref="H5"/>
      <selection pane="bottomLeft" activeCell="L240" sqref="L240"/>
      <selection pane="topRight" activeCell="H1" sqref="H1"/>
    </sheetView>
  </sheetViews>
  <sheetFormatPr defaultColWidth="9" defaultRowHeight="15"/>
  <cols>
    <col min="1" max="1" width="17.875" style="52" customWidth="1"/>
    <col min="2" max="2" width="15.25" style="52" customWidth="1"/>
    <col min="3" max="3" width="11.875" style="106" customWidth="1"/>
    <col min="4" max="4" width="10.875" style="2598" customWidth="1"/>
    <col min="5" max="5" width="12" style="2598" customWidth="1"/>
    <col min="6" max="6" width="11.25" style="7" customWidth="1"/>
    <col min="7" max="7" width="24.125" style="43" customWidth="1"/>
    <col min="8" max="8" width="28.25" style="315" customWidth="1"/>
    <col min="9" max="9" width="15.875" style="7" customWidth="1"/>
    <col min="10" max="10" width="14.875" style="7" customWidth="1"/>
    <col min="11" max="11" width="29.25" style="7" customWidth="1"/>
    <col min="12" max="12" width="16" style="147" customWidth="1"/>
    <col min="13" max="13" width="17.25" style="144" customWidth="1"/>
    <col min="14" max="14" width="13.25" style="144" customWidth="1"/>
    <col min="15" max="15" width="13.25" style="1207" customWidth="1"/>
    <col min="16" max="16" width="47" style="147" customWidth="1"/>
    <col min="17" max="17" width="9" style="106" bestFit="1"/>
    <col min="18" max="18" width="14.25" style="106" customWidth="1"/>
    <col min="19" max="19" width="12.25" style="147" customWidth="1"/>
    <col min="20" max="20" width="14" style="106" bestFit="1" customWidth="1"/>
    <col min="21" max="21" width="9.875" style="106" bestFit="1" customWidth="1"/>
    <col min="22" max="22" width="15.25" style="106" bestFit="1" customWidth="1"/>
    <col min="23" max="23" width="9" style="106" bestFit="1"/>
    <col min="24" max="24" width="12.125" style="876" bestFit="1" customWidth="1"/>
    <col min="25" max="25" width="9" style="106" bestFit="1"/>
    <col min="26" max="26" width="10.875" style="106" bestFit="1" customWidth="1"/>
    <col min="27" max="16384" width="9" style="106"/>
  </cols>
  <sheetData>
    <row r="1" spans="1:27" ht="17.25" customHeight="1">
      <c r="A1" s="5472" t="s">
        <v>0</v>
      </c>
      <c r="B1" s="5472" t="s">
        <v>1</v>
      </c>
      <c r="C1" s="5472" t="s">
        <v>2</v>
      </c>
      <c r="D1" s="5615" t="s">
        <v>3</v>
      </c>
      <c r="E1" s="5616" t="s">
        <v>4</v>
      </c>
      <c r="F1" s="5617" t="s">
        <v>5</v>
      </c>
      <c r="G1" s="4825" t="s">
        <v>6</v>
      </c>
      <c r="H1" s="4805" t="s">
        <v>7</v>
      </c>
      <c r="I1" s="4827" t="s">
        <v>8</v>
      </c>
      <c r="J1" s="5540" t="s">
        <v>9</v>
      </c>
      <c r="K1" s="5541" t="s">
        <v>10</v>
      </c>
      <c r="L1" s="5618" t="s">
        <v>11</v>
      </c>
      <c r="M1" s="5473" t="s">
        <v>12</v>
      </c>
      <c r="N1" s="5472" t="s">
        <v>13</v>
      </c>
      <c r="O1" s="5472" t="s">
        <v>14</v>
      </c>
      <c r="P1" s="5543" t="s">
        <v>15</v>
      </c>
      <c r="Q1" s="5544" t="s">
        <v>16</v>
      </c>
      <c r="R1" s="5544" t="s">
        <v>17</v>
      </c>
      <c r="S1" s="5543" t="s">
        <v>18</v>
      </c>
      <c r="T1" s="5619" t="s">
        <v>19</v>
      </c>
      <c r="U1" s="5544" t="s">
        <v>20</v>
      </c>
      <c r="V1" s="5544" t="s">
        <v>21</v>
      </c>
      <c r="W1" s="5544" t="s">
        <v>22</v>
      </c>
      <c r="X1" s="5547" t="s">
        <v>23</v>
      </c>
      <c r="Y1" s="5547" t="s">
        <v>24</v>
      </c>
      <c r="Z1" s="5547" t="s">
        <v>25</v>
      </c>
    </row>
    <row r="2" spans="1:27" s="117" customFormat="1" ht="60" hidden="1" customHeight="1">
      <c r="A2" s="2919" t="s">
        <v>9620</v>
      </c>
      <c r="B2" s="1848" t="s">
        <v>9621</v>
      </c>
      <c r="C2" s="1848" t="s">
        <v>28</v>
      </c>
      <c r="D2" s="2907">
        <v>45470</v>
      </c>
      <c r="E2" s="2174">
        <v>45478</v>
      </c>
      <c r="F2" s="1848" t="s">
        <v>45</v>
      </c>
      <c r="G2" s="2971" t="s">
        <v>46</v>
      </c>
      <c r="H2" s="4806">
        <v>45483</v>
      </c>
      <c r="I2" s="4774" t="s">
        <v>899</v>
      </c>
      <c r="J2" s="2988" t="s">
        <v>32</v>
      </c>
      <c r="K2" s="4281" t="s">
        <v>9622</v>
      </c>
      <c r="L2" s="745" t="s">
        <v>9623</v>
      </c>
      <c r="M2" s="2907">
        <v>45480</v>
      </c>
      <c r="N2" s="2907">
        <v>45480</v>
      </c>
      <c r="O2" s="1935">
        <v>45485</v>
      </c>
      <c r="P2" s="1844" t="s">
        <v>9624</v>
      </c>
      <c r="Q2" s="2969" t="s">
        <v>75</v>
      </c>
      <c r="R2" s="4119" t="s">
        <v>9625</v>
      </c>
      <c r="S2" s="1254" t="s">
        <v>67</v>
      </c>
      <c r="T2" s="2994">
        <v>1635</v>
      </c>
      <c r="U2" s="2994">
        <f>1080+90</f>
        <v>1170</v>
      </c>
      <c r="V2" s="1848">
        <v>1</v>
      </c>
      <c r="W2" s="2994">
        <f>表15_1731[[#This Row],[Sales Amount]]-表15_1731[[#This Row],[Cost]]</f>
        <v>465</v>
      </c>
      <c r="X2" s="2970">
        <f>表15_1731[[#This Row],[Profit]]/表15_1731[[#This Row],[Cost]]</f>
        <v>0.39743589743589741</v>
      </c>
      <c r="Y2" s="1848"/>
      <c r="Z2" s="2971"/>
    </row>
    <row r="3" spans="1:27" s="1372" customFormat="1" ht="17.25" hidden="1" customHeight="1">
      <c r="A3" s="4669" t="s">
        <v>26</v>
      </c>
      <c r="B3" s="5404" t="s">
        <v>9626</v>
      </c>
      <c r="C3" s="5277" t="s">
        <v>28</v>
      </c>
      <c r="D3" s="5406">
        <v>45471</v>
      </c>
      <c r="E3" s="5382">
        <v>45496</v>
      </c>
      <c r="F3" s="5277" t="s">
        <v>29</v>
      </c>
      <c r="G3" s="4758" t="s">
        <v>57</v>
      </c>
      <c r="H3" s="708">
        <v>45502</v>
      </c>
      <c r="I3" s="4775" t="s">
        <v>115</v>
      </c>
      <c r="J3" s="5326" t="s">
        <v>32</v>
      </c>
      <c r="K3" s="4861" t="s">
        <v>9627</v>
      </c>
      <c r="L3" s="4864">
        <v>2697828</v>
      </c>
      <c r="M3" s="5538">
        <v>45499</v>
      </c>
      <c r="N3" s="4953">
        <v>45499</v>
      </c>
      <c r="O3" s="4953">
        <v>45502</v>
      </c>
      <c r="P3" s="4864" t="s">
        <v>9628</v>
      </c>
      <c r="Q3" s="5620" t="s">
        <v>9226</v>
      </c>
      <c r="R3" s="4861" t="s">
        <v>9629</v>
      </c>
      <c r="S3" s="4834"/>
      <c r="T3" s="5577">
        <v>1773.5</v>
      </c>
      <c r="U3" s="5577">
        <v>1465</v>
      </c>
      <c r="V3" s="4861">
        <v>1</v>
      </c>
      <c r="W3" s="5577">
        <f>表15_1731[[#This Row],[Sales Amount]]-表15_1731[[#This Row],[Cost]]</f>
        <v>308.5</v>
      </c>
      <c r="X3" s="5378">
        <f>表15_1731[[#This Row],[Profit]]/表15_1731[[#This Row],[Cost]]</f>
        <v>0.210580204778157</v>
      </c>
      <c r="Y3" s="4861"/>
      <c r="Z3" s="5073"/>
      <c r="AA3" s="2456"/>
    </row>
    <row r="4" spans="1:27" s="660" customFormat="1" hidden="1">
      <c r="A4" s="4669" t="s">
        <v>26</v>
      </c>
      <c r="B4" s="5277" t="s">
        <v>9630</v>
      </c>
      <c r="C4" s="5277" t="s">
        <v>28</v>
      </c>
      <c r="D4" s="5403">
        <v>45482</v>
      </c>
      <c r="E4" s="5621">
        <v>45492</v>
      </c>
      <c r="F4" s="5277" t="s">
        <v>29</v>
      </c>
      <c r="G4" s="4758" t="s">
        <v>57</v>
      </c>
      <c r="H4" s="4807">
        <v>45496</v>
      </c>
      <c r="I4" s="4776">
        <v>0.45833333333333331</v>
      </c>
      <c r="J4" s="5622" t="s">
        <v>9631</v>
      </c>
      <c r="K4" s="5277" t="s">
        <v>9627</v>
      </c>
      <c r="L4" s="5118">
        <v>3321577</v>
      </c>
      <c r="M4" s="5406">
        <v>45496</v>
      </c>
      <c r="N4" s="5406">
        <v>45496</v>
      </c>
      <c r="O4" s="5406">
        <v>45496</v>
      </c>
      <c r="P4" s="1365" t="s">
        <v>9632</v>
      </c>
      <c r="Q4" s="5539" t="s">
        <v>9226</v>
      </c>
      <c r="R4" s="5277" t="s">
        <v>9633</v>
      </c>
      <c r="S4" s="5118"/>
      <c r="T4" s="5623">
        <v>1393.5</v>
      </c>
      <c r="U4" s="5623">
        <v>1265</v>
      </c>
      <c r="V4" s="5277">
        <v>1</v>
      </c>
      <c r="W4" s="5623">
        <f>表15_1731[[#This Row],[Sales Amount]]-表15_1731[[#This Row],[Cost]]</f>
        <v>128.5</v>
      </c>
      <c r="X4" s="5409">
        <f>表15_1731[[#This Row],[Profit]]/表15_1731[[#This Row],[Cost]]</f>
        <v>0.10158102766798419</v>
      </c>
      <c r="Y4" s="5277"/>
      <c r="Z4" s="4758"/>
      <c r="AA4" s="1723"/>
    </row>
    <row r="5" spans="1:27" s="681" customFormat="1" ht="30" hidden="1">
      <c r="A5" s="4670" t="s">
        <v>26</v>
      </c>
      <c r="B5" s="5624" t="s">
        <v>9634</v>
      </c>
      <c r="C5" s="5277" t="s">
        <v>28</v>
      </c>
      <c r="D5" s="5403">
        <v>45460</v>
      </c>
      <c r="E5" s="5621">
        <v>45492</v>
      </c>
      <c r="F5" s="5404" t="s">
        <v>29</v>
      </c>
      <c r="G5" s="4759" t="s">
        <v>1350</v>
      </c>
      <c r="H5" s="4808">
        <v>45492</v>
      </c>
      <c r="I5" s="4777">
        <v>0.45833333333333331</v>
      </c>
      <c r="J5" s="5622" t="s">
        <v>32</v>
      </c>
      <c r="K5" s="5622" t="s">
        <v>9588</v>
      </c>
      <c r="L5" s="5118">
        <v>1832219</v>
      </c>
      <c r="M5" s="5406">
        <v>45493</v>
      </c>
      <c r="N5" s="5406">
        <v>45492</v>
      </c>
      <c r="O5" s="5406">
        <v>45495</v>
      </c>
      <c r="P5" s="5405" t="s">
        <v>9635</v>
      </c>
      <c r="Q5" s="5539" t="s">
        <v>9226</v>
      </c>
      <c r="R5" s="5277" t="s">
        <v>9636</v>
      </c>
      <c r="S5" s="5405"/>
      <c r="T5" s="5623">
        <v>1596</v>
      </c>
      <c r="U5" s="5623">
        <v>1440</v>
      </c>
      <c r="V5" s="5277">
        <v>1</v>
      </c>
      <c r="W5" s="5623">
        <f>表15_1731[[#This Row],[Sales Amount]]-表15_1731[[#This Row],[Cost]]</f>
        <v>156</v>
      </c>
      <c r="X5" s="5409">
        <f>表15_1731[[#This Row],[Profit]]/表15_1731[[#This Row],[Cost]]</f>
        <v>0.10833333333333334</v>
      </c>
      <c r="Y5" s="5277"/>
      <c r="Z5" s="4758"/>
      <c r="AA5" s="2459"/>
    </row>
    <row r="6" spans="1:27" s="1350" customFormat="1" ht="30" hidden="1">
      <c r="A6" s="4669" t="s">
        <v>26</v>
      </c>
      <c r="B6" s="5277" t="s">
        <v>9637</v>
      </c>
      <c r="C6" s="5277" t="s">
        <v>28</v>
      </c>
      <c r="D6" s="5406">
        <v>45482</v>
      </c>
      <c r="E6" s="5382">
        <v>45496</v>
      </c>
      <c r="F6" s="5277" t="s">
        <v>29</v>
      </c>
      <c r="G6" s="4758" t="s">
        <v>57</v>
      </c>
      <c r="H6" s="661"/>
      <c r="I6" s="4656"/>
      <c r="J6" s="5326" t="s">
        <v>32</v>
      </c>
      <c r="K6" s="4861" t="s">
        <v>9638</v>
      </c>
      <c r="L6" s="4864">
        <v>2697780</v>
      </c>
      <c r="M6" s="5406">
        <v>45499</v>
      </c>
      <c r="N6" s="4953">
        <v>45498</v>
      </c>
      <c r="O6" s="4953">
        <v>45499</v>
      </c>
      <c r="P6" s="4864" t="s">
        <v>9639</v>
      </c>
      <c r="Q6" s="5620" t="s">
        <v>9226</v>
      </c>
      <c r="R6" s="4861" t="s">
        <v>9640</v>
      </c>
      <c r="S6" s="4834"/>
      <c r="T6" s="5577">
        <v>2152</v>
      </c>
      <c r="U6" s="4861">
        <v>530</v>
      </c>
      <c r="V6" s="4861">
        <v>1</v>
      </c>
      <c r="W6" s="5577">
        <f>表15_1731[[#This Row],[Sales Amount]]-表15_1731[[#This Row],[Cost]]</f>
        <v>1622</v>
      </c>
      <c r="X6" s="5378">
        <f>表15_1731[[#This Row],[Profit]]/表15_1731[[#This Row],[Cost]]</f>
        <v>3.060377358490566</v>
      </c>
      <c r="Y6" s="4861"/>
      <c r="Z6" s="5073"/>
    </row>
    <row r="7" spans="1:27" hidden="1">
      <c r="A7" s="4669" t="s">
        <v>26</v>
      </c>
      <c r="B7" s="5277" t="s">
        <v>9641</v>
      </c>
      <c r="C7" s="5277" t="s">
        <v>28</v>
      </c>
      <c r="D7" s="5403">
        <v>45482</v>
      </c>
      <c r="E7" s="5621">
        <v>45492</v>
      </c>
      <c r="F7" s="5277" t="s">
        <v>29</v>
      </c>
      <c r="G7" s="4758" t="s">
        <v>57</v>
      </c>
      <c r="H7" s="4807">
        <v>45496</v>
      </c>
      <c r="I7" s="4776">
        <v>0.375</v>
      </c>
      <c r="J7" s="5622" t="s">
        <v>32</v>
      </c>
      <c r="K7" s="5277" t="s">
        <v>9627</v>
      </c>
      <c r="L7" s="5118">
        <v>3321573</v>
      </c>
      <c r="M7" s="5406">
        <v>45496</v>
      </c>
      <c r="N7" s="1416">
        <v>45496</v>
      </c>
      <c r="O7" s="5406">
        <v>45496</v>
      </c>
      <c r="P7" s="5118" t="s">
        <v>9642</v>
      </c>
      <c r="Q7" s="5539" t="s">
        <v>9226</v>
      </c>
      <c r="R7" s="5277" t="s">
        <v>9643</v>
      </c>
      <c r="S7" s="5118"/>
      <c r="T7" s="5623">
        <v>1393.5</v>
      </c>
      <c r="U7" s="5623">
        <v>1265</v>
      </c>
      <c r="V7" s="5277">
        <v>1</v>
      </c>
      <c r="W7" s="5623">
        <f>表15_1731[[#This Row],[Sales Amount]]-表15_1731[[#This Row],[Cost]]</f>
        <v>128.5</v>
      </c>
      <c r="X7" s="5409">
        <f>表15_1731[[#This Row],[Profit]]/表15_1731[[#This Row],[Cost]]</f>
        <v>0.10158102766798419</v>
      </c>
      <c r="Y7" s="5277"/>
      <c r="Z7" s="4758"/>
    </row>
    <row r="8" spans="1:27" s="1350" customFormat="1" hidden="1">
      <c r="A8" s="4671" t="s">
        <v>26</v>
      </c>
      <c r="B8" s="4970" t="s">
        <v>9644</v>
      </c>
      <c r="C8" s="4970" t="s">
        <v>28</v>
      </c>
      <c r="D8" s="5625">
        <v>45453</v>
      </c>
      <c r="E8" s="5626">
        <v>45478</v>
      </c>
      <c r="F8" s="4970" t="s">
        <v>1357</v>
      </c>
      <c r="G8" s="4760" t="s">
        <v>46</v>
      </c>
      <c r="H8" s="4806" t="s">
        <v>9645</v>
      </c>
      <c r="I8" s="4641"/>
      <c r="J8" s="5627" t="s">
        <v>32</v>
      </c>
      <c r="K8" s="5531" t="s">
        <v>9646</v>
      </c>
      <c r="L8" s="4838" t="s">
        <v>9647</v>
      </c>
      <c r="M8" s="5207">
        <v>45481</v>
      </c>
      <c r="N8" s="5207">
        <v>45481</v>
      </c>
      <c r="O8" s="5207">
        <v>45483</v>
      </c>
      <c r="P8" s="4829" t="s">
        <v>9648</v>
      </c>
      <c r="Q8" s="5515" t="s">
        <v>862</v>
      </c>
      <c r="R8" s="4921" t="s">
        <v>9649</v>
      </c>
      <c r="S8" s="4838"/>
      <c r="T8" s="4921"/>
      <c r="U8" s="4921"/>
      <c r="V8" s="4921"/>
      <c r="W8" s="5174"/>
      <c r="X8" s="5213"/>
      <c r="Y8" s="4921"/>
      <c r="Z8" s="4765"/>
    </row>
    <row r="9" spans="1:27" s="1350" customFormat="1" hidden="1">
      <c r="A9" s="4669" t="s">
        <v>26</v>
      </c>
      <c r="B9" s="5277" t="s">
        <v>9650</v>
      </c>
      <c r="C9" s="5277" t="s">
        <v>28</v>
      </c>
      <c r="D9" s="5403">
        <v>45490</v>
      </c>
      <c r="E9" s="5621">
        <v>45499</v>
      </c>
      <c r="F9" s="5277" t="s">
        <v>29</v>
      </c>
      <c r="G9" s="4758" t="s">
        <v>9651</v>
      </c>
      <c r="H9" s="3118">
        <v>45503</v>
      </c>
      <c r="I9" s="4776">
        <v>0.41666666666666669</v>
      </c>
      <c r="J9" s="5622" t="s">
        <v>32</v>
      </c>
      <c r="K9" s="5277" t="s">
        <v>9588</v>
      </c>
      <c r="L9" s="5118">
        <v>3930112</v>
      </c>
      <c r="M9" s="5406">
        <v>45501</v>
      </c>
      <c r="N9" s="4953">
        <v>45501</v>
      </c>
      <c r="O9" s="4953">
        <v>45503</v>
      </c>
      <c r="P9" s="4864" t="s">
        <v>9652</v>
      </c>
      <c r="Q9" s="5620" t="s">
        <v>9226</v>
      </c>
      <c r="R9" s="4864" t="s">
        <v>9653</v>
      </c>
      <c r="S9" s="4834"/>
      <c r="T9" s="5577">
        <v>1683.5</v>
      </c>
      <c r="U9" s="5577">
        <v>1460</v>
      </c>
      <c r="V9" s="4861">
        <v>1</v>
      </c>
      <c r="W9" s="5623">
        <f>表15_1731[[#This Row],[Sales Amount]]-表15_1731[[#This Row],[Cost]]</f>
        <v>223.5</v>
      </c>
      <c r="X9" s="5409">
        <f>表15_1731[[#This Row],[Profit]]/表15_1731[[#This Row],[Cost]]</f>
        <v>0.15308219178082191</v>
      </c>
      <c r="Y9" s="4861"/>
      <c r="Z9" s="5073"/>
    </row>
    <row r="10" spans="1:27" ht="30" hidden="1">
      <c r="A10" s="3738" t="s">
        <v>468</v>
      </c>
      <c r="B10" s="4307" t="s">
        <v>9654</v>
      </c>
      <c r="C10" s="3364" t="s">
        <v>44</v>
      </c>
      <c r="D10" s="5207">
        <v>45475</v>
      </c>
      <c r="E10" s="5208">
        <v>45491</v>
      </c>
      <c r="F10" s="3364" t="s">
        <v>93</v>
      </c>
      <c r="G10" s="3708" t="s">
        <v>3510</v>
      </c>
      <c r="H10" s="838">
        <v>45492</v>
      </c>
      <c r="I10" s="4778" t="s">
        <v>3565</v>
      </c>
      <c r="J10" s="3721" t="s">
        <v>2306</v>
      </c>
      <c r="K10" s="4307" t="s">
        <v>9655</v>
      </c>
      <c r="L10" s="3293" t="s">
        <v>9656</v>
      </c>
      <c r="M10" s="5210">
        <v>45494</v>
      </c>
      <c r="N10" s="5210">
        <v>45492</v>
      </c>
      <c r="O10" s="3377">
        <v>45492</v>
      </c>
      <c r="P10" s="3317" t="s">
        <v>9657</v>
      </c>
      <c r="Q10" s="3722" t="s">
        <v>75</v>
      </c>
      <c r="R10" s="4307" t="s">
        <v>9658</v>
      </c>
      <c r="S10" s="4307" t="s">
        <v>9659</v>
      </c>
      <c r="T10" s="3364">
        <v>715</v>
      </c>
      <c r="U10" s="3364">
        <v>577.47</v>
      </c>
      <c r="V10" s="3364">
        <v>1</v>
      </c>
      <c r="W10" s="3723">
        <f>表15_17[[#This Row],[Sales Amount]]-表15_17[[#This Row],[Cost]]</f>
        <v>498.75000000000011</v>
      </c>
      <c r="X10" s="3724">
        <f>表15_17[[#This Row],[Profit]]/表15_17[[#This Row],[Cost]]</f>
        <v>0.51675369886858147</v>
      </c>
      <c r="Y10" s="3364"/>
      <c r="Z10" s="3708"/>
    </row>
    <row r="11" spans="1:27" s="52" customFormat="1" ht="45" hidden="1">
      <c r="A11" s="3686" t="s">
        <v>468</v>
      </c>
      <c r="B11" s="4242" t="s">
        <v>9660</v>
      </c>
      <c r="C11" s="3268" t="s">
        <v>44</v>
      </c>
      <c r="D11" s="3860">
        <v>45479</v>
      </c>
      <c r="E11" s="3861">
        <v>45496</v>
      </c>
      <c r="F11" s="3268" t="s">
        <v>29</v>
      </c>
      <c r="G11" s="3270" t="s">
        <v>57</v>
      </c>
      <c r="H11" s="838">
        <v>45498</v>
      </c>
      <c r="I11" s="4779" t="s">
        <v>583</v>
      </c>
      <c r="J11" s="3513" t="s">
        <v>8136</v>
      </c>
      <c r="K11" s="4242" t="s">
        <v>4376</v>
      </c>
      <c r="L11" s="4411" t="s">
        <v>9661</v>
      </c>
      <c r="M11" s="3366">
        <v>45499</v>
      </c>
      <c r="N11" s="3366">
        <v>45497</v>
      </c>
      <c r="O11" s="3463">
        <v>45498</v>
      </c>
      <c r="P11" s="4246" t="s">
        <v>9662</v>
      </c>
      <c r="Q11" s="3678" t="s">
        <v>75</v>
      </c>
      <c r="R11" s="4242" t="s">
        <v>9663</v>
      </c>
      <c r="S11" s="4242" t="s">
        <v>9659</v>
      </c>
      <c r="T11" s="3679">
        <v>1945</v>
      </c>
      <c r="U11" s="3679">
        <v>1168.2</v>
      </c>
      <c r="V11" s="3268">
        <v>1</v>
      </c>
      <c r="W11" s="3679">
        <f>表15_1731[[#This Row],[Sales Amount]]-表15_1731[[#This Row],[Cost]]</f>
        <v>776.8</v>
      </c>
      <c r="X11" s="3269">
        <f>表15_1731[[#This Row],[Profit]]/表15_1731[[#This Row],[Cost]]</f>
        <v>0.66495463105632591</v>
      </c>
      <c r="Y11" s="3268"/>
      <c r="Z11" s="3270"/>
    </row>
    <row r="12" spans="1:27" s="52" customFormat="1" ht="45" hidden="1">
      <c r="A12" s="3738" t="s">
        <v>468</v>
      </c>
      <c r="B12" s="4307" t="s">
        <v>9664</v>
      </c>
      <c r="C12" s="3364" t="s">
        <v>44</v>
      </c>
      <c r="D12" s="3467">
        <v>45479</v>
      </c>
      <c r="E12" s="3862">
        <v>45496</v>
      </c>
      <c r="F12" s="3364" t="s">
        <v>29</v>
      </c>
      <c r="G12" s="3708" t="s">
        <v>57</v>
      </c>
      <c r="H12" s="62">
        <v>45498</v>
      </c>
      <c r="I12" s="4780" t="s">
        <v>672</v>
      </c>
      <c r="J12" s="3392" t="s">
        <v>8136</v>
      </c>
      <c r="K12" s="4970" t="s">
        <v>4376</v>
      </c>
      <c r="L12" s="4412" t="s">
        <v>9665</v>
      </c>
      <c r="M12" s="3366">
        <v>45499</v>
      </c>
      <c r="N12" s="3366">
        <v>45497</v>
      </c>
      <c r="O12" s="3463">
        <v>45498</v>
      </c>
      <c r="P12" s="4321" t="s">
        <v>9666</v>
      </c>
      <c r="Q12" s="5515" t="s">
        <v>75</v>
      </c>
      <c r="R12" s="4307" t="s">
        <v>9667</v>
      </c>
      <c r="S12" s="4307" t="s">
        <v>9659</v>
      </c>
      <c r="T12" s="3679">
        <v>1945</v>
      </c>
      <c r="U12" s="3679">
        <v>1168.2</v>
      </c>
      <c r="V12" s="3268">
        <v>1</v>
      </c>
      <c r="W12" s="3679">
        <f>表15_1731[[#This Row],[Sales Amount]]-表15_1731[[#This Row],[Cost]]</f>
        <v>776.8</v>
      </c>
      <c r="X12" s="3269">
        <f>表15_1731[[#This Row],[Profit]]/表15_1731[[#This Row],[Cost]]</f>
        <v>0.66495463105632591</v>
      </c>
      <c r="Y12" s="3364"/>
      <c r="Z12" s="3708"/>
    </row>
    <row r="13" spans="1:27" s="52" customFormat="1" ht="45" hidden="1">
      <c r="A13" s="3738" t="s">
        <v>468</v>
      </c>
      <c r="B13" s="4307" t="s">
        <v>9668</v>
      </c>
      <c r="C13" s="3364" t="s">
        <v>200</v>
      </c>
      <c r="D13" s="3467">
        <v>45464</v>
      </c>
      <c r="E13" s="3862">
        <v>45492</v>
      </c>
      <c r="F13" s="3364" t="s">
        <v>29</v>
      </c>
      <c r="G13" s="3708" t="s">
        <v>57</v>
      </c>
      <c r="H13" s="838">
        <v>45495</v>
      </c>
      <c r="I13" s="4385" t="s">
        <v>445</v>
      </c>
      <c r="J13" s="3721" t="s">
        <v>32</v>
      </c>
      <c r="K13" s="4970" t="s">
        <v>2728</v>
      </c>
      <c r="L13" s="3273">
        <v>1981337</v>
      </c>
      <c r="M13" s="3467">
        <v>45494</v>
      </c>
      <c r="N13" s="3467">
        <v>45493</v>
      </c>
      <c r="O13" s="3366">
        <v>45495</v>
      </c>
      <c r="P13" s="4321" t="s">
        <v>9669</v>
      </c>
      <c r="Q13" s="5515" t="s">
        <v>75</v>
      </c>
      <c r="R13" s="4307" t="s">
        <v>9670</v>
      </c>
      <c r="S13" s="4307" t="s">
        <v>9659</v>
      </c>
      <c r="T13" s="3723">
        <v>1295</v>
      </c>
      <c r="U13" s="3723">
        <v>1030</v>
      </c>
      <c r="V13" s="3364">
        <v>1</v>
      </c>
      <c r="W13" s="3723">
        <f>表15_1731[[#This Row],[Sales Amount]]-表15_1731[[#This Row],[Cost]]</f>
        <v>265</v>
      </c>
      <c r="X13" s="3724">
        <f>表15_1731[[#This Row],[Profit]]/表15_1731[[#This Row],[Cost]]</f>
        <v>0.25728155339805825</v>
      </c>
      <c r="Y13" s="3364"/>
      <c r="Z13" s="3708"/>
    </row>
    <row r="14" spans="1:27" s="1350" customFormat="1" ht="45" hidden="1">
      <c r="A14" s="3738" t="s">
        <v>468</v>
      </c>
      <c r="B14" s="5628" t="s">
        <v>9671</v>
      </c>
      <c r="C14" s="3364" t="s">
        <v>44</v>
      </c>
      <c r="D14" s="3467">
        <v>45475</v>
      </c>
      <c r="E14" s="1387">
        <v>45491</v>
      </c>
      <c r="F14" s="3364" t="s">
        <v>93</v>
      </c>
      <c r="G14" s="3708" t="s">
        <v>3510</v>
      </c>
      <c r="H14" s="838">
        <v>45492</v>
      </c>
      <c r="I14" s="4778" t="s">
        <v>650</v>
      </c>
      <c r="J14" s="3721" t="s">
        <v>2306</v>
      </c>
      <c r="K14" s="4921" t="s">
        <v>9655</v>
      </c>
      <c r="L14" s="3293" t="s">
        <v>9672</v>
      </c>
      <c r="M14" s="3440">
        <v>45494</v>
      </c>
      <c r="N14" s="3440">
        <v>45492</v>
      </c>
      <c r="O14" s="3377">
        <v>45492</v>
      </c>
      <c r="P14" s="3727" t="s">
        <v>9673</v>
      </c>
      <c r="Q14" s="5515" t="s">
        <v>75</v>
      </c>
      <c r="R14" s="4380" t="s">
        <v>9674</v>
      </c>
      <c r="S14" s="4307" t="s">
        <v>9659</v>
      </c>
      <c r="T14" s="3364">
        <v>715</v>
      </c>
      <c r="U14" s="4321">
        <v>577.47</v>
      </c>
      <c r="V14" s="3364">
        <v>1</v>
      </c>
      <c r="W14" s="3723">
        <f>表15_1731[[#This Row],[Sales Amount]]-表15_1731[[#This Row],[Cost]]</f>
        <v>137.52999999999997</v>
      </c>
      <c r="X14" s="3724">
        <f>表15_1731[[#This Row],[Profit]]/表15_1731[[#This Row],[Cost]]</f>
        <v>0.23815955807228076</v>
      </c>
      <c r="Y14" s="3364"/>
      <c r="Z14" s="3708"/>
    </row>
    <row r="15" spans="1:27" s="52" customFormat="1" ht="60" hidden="1">
      <c r="A15" s="2866" t="s">
        <v>468</v>
      </c>
      <c r="B15" s="4242" t="s">
        <v>9675</v>
      </c>
      <c r="C15" s="3268" t="s">
        <v>200</v>
      </c>
      <c r="D15" s="3262">
        <v>45489</v>
      </c>
      <c r="E15" s="3264">
        <v>45489</v>
      </c>
      <c r="F15" s="3268" t="s">
        <v>260</v>
      </c>
      <c r="G15" s="3325" t="s">
        <v>9676</v>
      </c>
      <c r="H15" s="838">
        <v>45498</v>
      </c>
      <c r="I15" s="4779" t="s">
        <v>9677</v>
      </c>
      <c r="J15" s="3367" t="s">
        <v>435</v>
      </c>
      <c r="K15" s="4908" t="s">
        <v>9678</v>
      </c>
      <c r="L15" s="4233" t="s">
        <v>162</v>
      </c>
      <c r="M15" s="3863">
        <v>45496</v>
      </c>
      <c r="N15" s="4413">
        <v>45497</v>
      </c>
      <c r="O15" s="3262">
        <v>45498</v>
      </c>
      <c r="P15" s="4246" t="s">
        <v>9679</v>
      </c>
      <c r="Q15" s="5065" t="s">
        <v>75</v>
      </c>
      <c r="R15" s="4242" t="s">
        <v>9680</v>
      </c>
      <c r="S15" s="4242" t="s">
        <v>9659</v>
      </c>
      <c r="T15" s="3679">
        <v>1195</v>
      </c>
      <c r="U15" s="3268">
        <v>704</v>
      </c>
      <c r="V15" s="3268">
        <v>1</v>
      </c>
      <c r="W15" s="3679">
        <f>表15_1731[[#This Row],[Sales Amount]]-表15_1731[[#This Row],[Cost]]</f>
        <v>491</v>
      </c>
      <c r="X15" s="3269">
        <f>表15_1731[[#This Row],[Profit]]/表15_1731[[#This Row],[Cost]]</f>
        <v>0.69744318181818177</v>
      </c>
      <c r="Y15" s="3268"/>
      <c r="Z15" s="3270"/>
    </row>
    <row r="16" spans="1:27" s="52" customFormat="1" ht="60" hidden="1">
      <c r="A16" s="3738" t="s">
        <v>7362</v>
      </c>
      <c r="B16" s="4307" t="s">
        <v>9681</v>
      </c>
      <c r="C16" s="3364" t="s">
        <v>28</v>
      </c>
      <c r="D16" s="3467">
        <v>45470</v>
      </c>
      <c r="E16" s="3719">
        <v>45481</v>
      </c>
      <c r="F16" s="3364" t="s">
        <v>93</v>
      </c>
      <c r="G16" s="3708" t="s">
        <v>302</v>
      </c>
      <c r="H16" s="1220">
        <v>45485</v>
      </c>
      <c r="I16" s="3466" t="s">
        <v>618</v>
      </c>
      <c r="J16" s="3721" t="s">
        <v>3010</v>
      </c>
      <c r="K16" s="4307" t="s">
        <v>5663</v>
      </c>
      <c r="L16" s="3864" t="s">
        <v>9682</v>
      </c>
      <c r="M16" s="4379">
        <v>45485</v>
      </c>
      <c r="N16" s="3467">
        <v>45484</v>
      </c>
      <c r="O16" s="3865">
        <v>45485</v>
      </c>
      <c r="P16" s="4321" t="s">
        <v>9683</v>
      </c>
      <c r="Q16" s="3722" t="s">
        <v>75</v>
      </c>
      <c r="R16" s="4321" t="s">
        <v>9684</v>
      </c>
      <c r="S16" s="4307" t="s">
        <v>9659</v>
      </c>
      <c r="T16" s="3364">
        <v>1255</v>
      </c>
      <c r="U16" s="3364">
        <v>941</v>
      </c>
      <c r="V16" s="3364">
        <v>1</v>
      </c>
      <c r="W16" s="3723">
        <f>表15_1731[[#This Row],[Sales Amount]]-表15_1731[[#This Row],[Cost]]</f>
        <v>314</v>
      </c>
      <c r="X16" s="3724">
        <f>表15_1731[[#This Row],[Profit]]/表15_1731[[#This Row],[Cost]]</f>
        <v>0.33368756641870351</v>
      </c>
      <c r="Y16" s="3364"/>
      <c r="Z16" s="3708"/>
    </row>
    <row r="17" spans="1:26" s="52" customFormat="1" ht="30" hidden="1">
      <c r="A17" s="3738" t="s">
        <v>7362</v>
      </c>
      <c r="B17" s="3364" t="s">
        <v>9685</v>
      </c>
      <c r="C17" s="3364" t="s">
        <v>28</v>
      </c>
      <c r="D17" s="3467">
        <v>45477</v>
      </c>
      <c r="E17" s="3719">
        <v>45486</v>
      </c>
      <c r="F17" s="3364" t="s">
        <v>93</v>
      </c>
      <c r="G17" s="3708" t="s">
        <v>302</v>
      </c>
      <c r="H17" s="4452">
        <v>45489</v>
      </c>
      <c r="I17" s="4385" t="s">
        <v>618</v>
      </c>
      <c r="J17" s="3721" t="s">
        <v>3010</v>
      </c>
      <c r="K17" s="4921" t="s">
        <v>5663</v>
      </c>
      <c r="L17" s="3727" t="s">
        <v>9686</v>
      </c>
      <c r="M17" s="3440">
        <v>45489</v>
      </c>
      <c r="N17" s="3467">
        <v>45488</v>
      </c>
      <c r="O17" s="3865">
        <v>45489</v>
      </c>
      <c r="P17" s="4321" t="s">
        <v>9687</v>
      </c>
      <c r="Q17" s="5515" t="s">
        <v>75</v>
      </c>
      <c r="R17" s="4321" t="s">
        <v>9688</v>
      </c>
      <c r="S17" s="4307" t="s">
        <v>9659</v>
      </c>
      <c r="T17" s="3723">
        <v>1000</v>
      </c>
      <c r="U17" s="3364">
        <v>866</v>
      </c>
      <c r="V17" s="3364">
        <v>1</v>
      </c>
      <c r="W17" s="3723">
        <f>表15_1731[[#This Row],[Sales Amount]]-表15_1731[[#This Row],[Cost]]</f>
        <v>134</v>
      </c>
      <c r="X17" s="3724">
        <f>表15_1731[[#This Row],[Profit]]/表15_1731[[#This Row],[Cost]]</f>
        <v>0.15473441108545036</v>
      </c>
      <c r="Y17" s="3364"/>
      <c r="Z17" s="3708"/>
    </row>
    <row r="18" spans="1:26" s="52" customFormat="1" hidden="1">
      <c r="A18" s="3866" t="s">
        <v>3533</v>
      </c>
      <c r="B18" s="3439" t="s">
        <v>9689</v>
      </c>
      <c r="C18" s="3439" t="s">
        <v>28</v>
      </c>
      <c r="D18" s="3649">
        <v>45476</v>
      </c>
      <c r="E18" s="3867">
        <v>45484</v>
      </c>
      <c r="F18" s="3439" t="s">
        <v>151</v>
      </c>
      <c r="G18" s="3739" t="s">
        <v>8558</v>
      </c>
      <c r="H18" s="4809" t="s">
        <v>9690</v>
      </c>
      <c r="I18" s="3681"/>
      <c r="J18" s="3869" t="s">
        <v>32</v>
      </c>
      <c r="K18" s="4839" t="s">
        <v>47</v>
      </c>
      <c r="L18" s="3289">
        <v>616381</v>
      </c>
      <c r="M18" s="3650">
        <v>45487</v>
      </c>
      <c r="N18" s="3650">
        <v>45485</v>
      </c>
      <c r="O18" s="3650">
        <v>45487</v>
      </c>
      <c r="P18" s="3429" t="s">
        <v>9691</v>
      </c>
      <c r="Q18" s="5620" t="s">
        <v>6852</v>
      </c>
      <c r="R18" s="3439" t="s">
        <v>51</v>
      </c>
      <c r="S18" s="3429"/>
      <c r="T18" s="3439"/>
      <c r="U18" s="3439"/>
      <c r="V18" s="3439"/>
      <c r="W18" s="3439"/>
      <c r="X18" s="3870"/>
      <c r="Y18" s="3439"/>
      <c r="Z18" s="3739"/>
    </row>
    <row r="19" spans="1:26" s="1350" customFormat="1" ht="30" hidden="1">
      <c r="A19" s="4668" t="s">
        <v>9692</v>
      </c>
      <c r="B19" s="4886" t="s">
        <v>9693</v>
      </c>
      <c r="C19" s="4861" t="s">
        <v>28</v>
      </c>
      <c r="D19" s="4953">
        <v>45483</v>
      </c>
      <c r="E19" s="4885">
        <v>45499</v>
      </c>
      <c r="F19" s="4861" t="s">
        <v>45</v>
      </c>
      <c r="G19" s="4761" t="s">
        <v>9694</v>
      </c>
      <c r="H19" s="1015">
        <v>45502</v>
      </c>
      <c r="I19" s="4781">
        <v>0.68055555555555558</v>
      </c>
      <c r="J19" s="5326" t="s">
        <v>9695</v>
      </c>
      <c r="K19" s="4864" t="s">
        <v>9696</v>
      </c>
      <c r="L19" s="4864">
        <v>415707</v>
      </c>
      <c r="M19" s="4953">
        <v>45501</v>
      </c>
      <c r="N19" s="4953">
        <v>45502</v>
      </c>
      <c r="O19" s="4953">
        <v>45503</v>
      </c>
      <c r="P19" s="4890" t="s">
        <v>9697</v>
      </c>
      <c r="Q19" s="5576" t="s">
        <v>9226</v>
      </c>
      <c r="R19" s="4861" t="s">
        <v>9698</v>
      </c>
      <c r="S19" s="4864"/>
      <c r="T19" s="5577">
        <v>1450</v>
      </c>
      <c r="U19" s="4861">
        <v>1260</v>
      </c>
      <c r="V19" s="4861">
        <v>1</v>
      </c>
      <c r="W19" s="5577">
        <f>表15_1731[[#This Row],[Sales Amount]]-表15_1731[[#This Row],[Cost]]</f>
        <v>190</v>
      </c>
      <c r="X19" s="5378">
        <f>表15_1731[[#This Row],[Profit]]/表15_1731[[#This Row],[Cost]]</f>
        <v>0.15079365079365079</v>
      </c>
      <c r="Y19" s="4861"/>
      <c r="Z19" s="5073"/>
    </row>
    <row r="20" spans="1:26" s="52" customFormat="1" hidden="1">
      <c r="A20" s="2905" t="s">
        <v>3064</v>
      </c>
      <c r="B20" s="3439" t="s">
        <v>9699</v>
      </c>
      <c r="C20" s="3439" t="s">
        <v>28</v>
      </c>
      <c r="D20" s="3649">
        <v>45476</v>
      </c>
      <c r="E20" s="3867">
        <v>45483</v>
      </c>
      <c r="F20" s="3439" t="s">
        <v>45</v>
      </c>
      <c r="G20" s="3739" t="s">
        <v>46</v>
      </c>
      <c r="H20" s="4807"/>
      <c r="I20" s="3681"/>
      <c r="J20" s="3869" t="s">
        <v>32</v>
      </c>
      <c r="K20" s="4839" t="s">
        <v>47</v>
      </c>
      <c r="L20" s="723" t="s">
        <v>9700</v>
      </c>
      <c r="M20" s="3650">
        <v>45485</v>
      </c>
      <c r="N20" s="3534">
        <v>45484</v>
      </c>
      <c r="O20" s="3534">
        <v>45485</v>
      </c>
      <c r="P20" s="3289" t="s">
        <v>9701</v>
      </c>
      <c r="Q20" s="5620" t="s">
        <v>6852</v>
      </c>
      <c r="R20" s="3246" t="s">
        <v>51</v>
      </c>
      <c r="S20" s="3300"/>
      <c r="T20" s="3246"/>
      <c r="U20" s="3246"/>
      <c r="V20" s="3246"/>
      <c r="W20" s="3246"/>
      <c r="X20" s="3257"/>
      <c r="Y20" s="3246"/>
      <c r="Z20" s="3248"/>
    </row>
    <row r="21" spans="1:26" s="1350" customFormat="1" ht="90" hidden="1">
      <c r="A21" s="3866" t="s">
        <v>3064</v>
      </c>
      <c r="B21" s="3439" t="s">
        <v>9702</v>
      </c>
      <c r="C21" s="3439" t="s">
        <v>28</v>
      </c>
      <c r="D21" s="3650">
        <v>45471</v>
      </c>
      <c r="E21" s="2452">
        <v>45494</v>
      </c>
      <c r="F21" s="3439" t="s">
        <v>29</v>
      </c>
      <c r="G21" s="3739" t="s">
        <v>57</v>
      </c>
      <c r="H21" s="4810">
        <v>45498</v>
      </c>
      <c r="I21" s="4782" t="s">
        <v>790</v>
      </c>
      <c r="J21" s="3869" t="s">
        <v>9695</v>
      </c>
      <c r="K21" s="5277" t="s">
        <v>9703</v>
      </c>
      <c r="L21" s="3812">
        <v>2692415</v>
      </c>
      <c r="M21" s="3871">
        <v>45497</v>
      </c>
      <c r="N21" s="3871">
        <v>45497</v>
      </c>
      <c r="O21" s="3534">
        <v>45498</v>
      </c>
      <c r="P21" s="4324" t="s">
        <v>9704</v>
      </c>
      <c r="Q21" s="5576" t="s">
        <v>9226</v>
      </c>
      <c r="R21" s="3246" t="s">
        <v>9705</v>
      </c>
      <c r="S21" s="4331" t="s">
        <v>9659</v>
      </c>
      <c r="T21" s="3872">
        <v>1427.5</v>
      </c>
      <c r="U21" s="3872">
        <v>1281.2</v>
      </c>
      <c r="V21" s="3439">
        <v>1</v>
      </c>
      <c r="W21" s="3872">
        <f>表15_1731[[#This Row],[Sales Amount]]-表15_1731[[#This Row],[Cost]]</f>
        <v>146.29999999999995</v>
      </c>
      <c r="X21" s="3870">
        <f>表15_1731[[#This Row],[Profit]]/表15_1731[[#This Row],[Cost]]</f>
        <v>0.11418982204183574</v>
      </c>
      <c r="Y21" s="3439"/>
      <c r="Z21" s="3739"/>
    </row>
    <row r="22" spans="1:26" s="52" customFormat="1" hidden="1">
      <c r="A22" s="2905" t="s">
        <v>3064</v>
      </c>
      <c r="B22" s="3439" t="s">
        <v>9706</v>
      </c>
      <c r="C22" s="3439" t="s">
        <v>28</v>
      </c>
      <c r="D22" s="3649">
        <v>45469</v>
      </c>
      <c r="E22" s="3867">
        <v>45479</v>
      </c>
      <c r="F22" s="3439" t="s">
        <v>45</v>
      </c>
      <c r="G22" s="3739" t="s">
        <v>46</v>
      </c>
      <c r="H22" s="4807"/>
      <c r="I22" s="3681"/>
      <c r="J22" s="3869" t="s">
        <v>32</v>
      </c>
      <c r="K22" s="4839" t="s">
        <v>47</v>
      </c>
      <c r="L22" s="723" t="s">
        <v>9707</v>
      </c>
      <c r="M22" s="3650">
        <v>45481</v>
      </c>
      <c r="N22" s="3650">
        <v>45481</v>
      </c>
      <c r="O22" s="3650">
        <v>45482</v>
      </c>
      <c r="P22" s="3429" t="s">
        <v>9708</v>
      </c>
      <c r="Q22" s="5620" t="s">
        <v>6852</v>
      </c>
      <c r="R22" s="3439" t="s">
        <v>51</v>
      </c>
      <c r="S22" s="3429"/>
      <c r="T22" s="3439"/>
      <c r="U22" s="3439"/>
      <c r="V22" s="3439"/>
      <c r="W22" s="3439"/>
      <c r="X22" s="3870"/>
      <c r="Y22" s="3439"/>
      <c r="Z22" s="3739"/>
    </row>
    <row r="23" spans="1:26" s="52" customFormat="1" ht="120" hidden="1">
      <c r="A23" s="3686" t="s">
        <v>9709</v>
      </c>
      <c r="B23" s="4242" t="s">
        <v>9710</v>
      </c>
      <c r="C23" s="3268" t="s">
        <v>200</v>
      </c>
      <c r="D23" s="4413">
        <v>45503</v>
      </c>
      <c r="E23" s="2986">
        <v>45503</v>
      </c>
      <c r="F23" s="3268" t="s">
        <v>245</v>
      </c>
      <c r="G23" s="4274" t="s">
        <v>9711</v>
      </c>
      <c r="H23" s="838">
        <v>45513</v>
      </c>
      <c r="I23" s="4783" t="s">
        <v>9712</v>
      </c>
      <c r="J23" s="3513" t="s">
        <v>510</v>
      </c>
      <c r="K23" s="4845" t="s">
        <v>9713</v>
      </c>
      <c r="L23" s="794" t="s">
        <v>9278</v>
      </c>
      <c r="M23" s="3440">
        <v>45513</v>
      </c>
      <c r="N23" s="3440">
        <v>45512</v>
      </c>
      <c r="O23" s="3467">
        <v>45514</v>
      </c>
      <c r="P23" s="3762" t="s">
        <v>9714</v>
      </c>
      <c r="Q23" s="5065" t="s">
        <v>75</v>
      </c>
      <c r="R23" s="4307" t="s">
        <v>9715</v>
      </c>
      <c r="S23" s="3273" t="s">
        <v>67</v>
      </c>
      <c r="T23" s="3679">
        <v>1690</v>
      </c>
      <c r="U23" s="3873">
        <v>1262</v>
      </c>
      <c r="V23" s="3268">
        <v>1</v>
      </c>
      <c r="W23" s="3679">
        <f>表15_1731[[#This Row],[Sales Amount]]-表15_1731[[#This Row],[Cost]]</f>
        <v>428</v>
      </c>
      <c r="X23" s="3269">
        <f>表15_1731[[#This Row],[Profit]]/表15_1731[[#This Row],[Cost]]</f>
        <v>0.33914421553090335</v>
      </c>
      <c r="Y23" s="3268"/>
      <c r="Z23" s="3270"/>
    </row>
    <row r="24" spans="1:26" s="52" customFormat="1" ht="60" hidden="1">
      <c r="A24" s="3787" t="s">
        <v>9716</v>
      </c>
      <c r="B24" s="3246" t="s">
        <v>9717</v>
      </c>
      <c r="C24" s="3246" t="s">
        <v>451</v>
      </c>
      <c r="D24" s="3534">
        <v>45474</v>
      </c>
      <c r="E24" s="3534">
        <v>45474</v>
      </c>
      <c r="F24" s="3246" t="s">
        <v>45</v>
      </c>
      <c r="G24" s="3287" t="s">
        <v>9718</v>
      </c>
      <c r="H24" s="1014">
        <v>45484</v>
      </c>
      <c r="I24" s="4784">
        <v>0.375</v>
      </c>
      <c r="J24" s="3523" t="s">
        <v>9719</v>
      </c>
      <c r="K24" s="4861" t="s">
        <v>9720</v>
      </c>
      <c r="L24" s="3289"/>
      <c r="M24" s="3534">
        <v>45483</v>
      </c>
      <c r="N24" s="3534">
        <v>45483</v>
      </c>
      <c r="O24" s="3534">
        <v>45485</v>
      </c>
      <c r="P24" s="3289" t="s">
        <v>9721</v>
      </c>
      <c r="Q24" s="5576" t="s">
        <v>9226</v>
      </c>
      <c r="R24" s="3246" t="s">
        <v>9722</v>
      </c>
      <c r="S24" s="3289"/>
      <c r="T24" s="3246">
        <v>1650</v>
      </c>
      <c r="U24" s="3830">
        <v>1266.48</v>
      </c>
      <c r="V24" s="3246">
        <v>1</v>
      </c>
      <c r="W24" s="3830">
        <f>表15_1731[[#This Row],[Sales Amount]]-表15_1731[[#This Row],[Cost]]</f>
        <v>383.52</v>
      </c>
      <c r="X24" s="3257">
        <f>表15_1731[[#This Row],[Profit]]/表15_1731[[#This Row],[Cost]]</f>
        <v>0.30282357400037896</v>
      </c>
      <c r="Y24" s="3246"/>
      <c r="Z24" s="3248"/>
    </row>
    <row r="25" spans="1:26" s="52" customFormat="1" ht="30" hidden="1">
      <c r="A25" s="3787" t="s">
        <v>9716</v>
      </c>
      <c r="B25" s="4331" t="s">
        <v>9723</v>
      </c>
      <c r="C25" s="3275" t="s">
        <v>704</v>
      </c>
      <c r="D25" s="3279">
        <v>45498</v>
      </c>
      <c r="E25" s="1139">
        <v>45498</v>
      </c>
      <c r="F25" s="3275" t="s">
        <v>151</v>
      </c>
      <c r="G25" s="4762" t="s">
        <v>9724</v>
      </c>
      <c r="H25" s="4811">
        <v>45511</v>
      </c>
      <c r="I25" s="4785">
        <v>0.375</v>
      </c>
      <c r="J25" s="3330" t="s">
        <v>784</v>
      </c>
      <c r="K25" s="4852" t="s">
        <v>9725</v>
      </c>
      <c r="L25" s="2998"/>
      <c r="M25" s="3534">
        <v>45505</v>
      </c>
      <c r="N25" s="3534">
        <v>45507</v>
      </c>
      <c r="O25" s="3534">
        <v>45511</v>
      </c>
      <c r="P25" s="4408" t="s">
        <v>9726</v>
      </c>
      <c r="Q25" s="5576" t="s">
        <v>9226</v>
      </c>
      <c r="R25" s="3246" t="s">
        <v>9727</v>
      </c>
      <c r="S25" s="3300"/>
      <c r="T25" s="3830">
        <v>2226.27</v>
      </c>
      <c r="U25" s="3830">
        <v>1844.64</v>
      </c>
      <c r="V25" s="3246">
        <v>1</v>
      </c>
      <c r="W25" s="3830">
        <f>表15_1731[[#This Row],[Sales Amount]]-表15_1731[[#This Row],[Cost]]</f>
        <v>381.62999999999988</v>
      </c>
      <c r="X25" s="3257">
        <f>表15_1731[[#This Row],[Profit]]/表15_1731[[#This Row],[Cost]]</f>
        <v>0.20688589643507668</v>
      </c>
      <c r="Y25" s="3246"/>
      <c r="Z25" s="3248"/>
    </row>
    <row r="26" spans="1:26" s="1350" customFormat="1" ht="30" hidden="1">
      <c r="A26" s="3787" t="s">
        <v>9716</v>
      </c>
      <c r="B26" s="4331" t="s">
        <v>9728</v>
      </c>
      <c r="C26" s="3275" t="s">
        <v>28</v>
      </c>
      <c r="D26" s="3279">
        <v>45497</v>
      </c>
      <c r="E26" s="1139">
        <v>45497</v>
      </c>
      <c r="F26" s="3275" t="s">
        <v>260</v>
      </c>
      <c r="G26" s="3316" t="s">
        <v>9729</v>
      </c>
      <c r="H26" s="4811">
        <v>45506</v>
      </c>
      <c r="I26" s="3235" t="s">
        <v>7280</v>
      </c>
      <c r="J26" s="3330" t="s">
        <v>72</v>
      </c>
      <c r="K26" s="4852" t="s">
        <v>9730</v>
      </c>
      <c r="L26" s="3300"/>
      <c r="M26" s="3534">
        <v>45504</v>
      </c>
      <c r="N26" s="3534">
        <v>45504</v>
      </c>
      <c r="O26" s="3534">
        <v>45517</v>
      </c>
      <c r="P26" s="4408" t="s">
        <v>9731</v>
      </c>
      <c r="Q26" s="5576" t="s">
        <v>9226</v>
      </c>
      <c r="R26" s="3246" t="s">
        <v>9732</v>
      </c>
      <c r="S26" s="3300"/>
      <c r="T26" s="3830">
        <v>3225</v>
      </c>
      <c r="U26" s="3246">
        <v>2665</v>
      </c>
      <c r="V26" s="3246">
        <v>1</v>
      </c>
      <c r="W26" s="3830">
        <f>表15_1731[[#This Row],[Sales Amount]]-表15_1731[[#This Row],[Cost]]</f>
        <v>560</v>
      </c>
      <c r="X26" s="3257">
        <f>表15_1731[[#This Row],[Profit]]/表15_1731[[#This Row],[Cost]]</f>
        <v>0.21013133208255161</v>
      </c>
      <c r="Y26" s="3246"/>
      <c r="Z26" s="3248"/>
    </row>
    <row r="27" spans="1:26" s="52" customFormat="1" ht="30" hidden="1">
      <c r="A27" s="2905" t="s">
        <v>9716</v>
      </c>
      <c r="B27" s="3275" t="s">
        <v>9733</v>
      </c>
      <c r="C27" s="3275" t="s">
        <v>44</v>
      </c>
      <c r="D27" s="3279">
        <v>45501</v>
      </c>
      <c r="E27" s="1139">
        <v>45501</v>
      </c>
      <c r="F27" s="3275" t="s">
        <v>151</v>
      </c>
      <c r="G27" s="3316" t="s">
        <v>9734</v>
      </c>
      <c r="H27" s="4812">
        <v>45512</v>
      </c>
      <c r="I27" s="4785">
        <v>0.41666666666666669</v>
      </c>
      <c r="J27" s="3330" t="s">
        <v>1673</v>
      </c>
      <c r="K27" s="4913" t="s">
        <v>9735</v>
      </c>
      <c r="L27" s="3874"/>
      <c r="M27" s="3534">
        <v>45505</v>
      </c>
      <c r="N27" s="3534">
        <v>45509</v>
      </c>
      <c r="O27" s="3534">
        <v>45512</v>
      </c>
      <c r="P27" s="3289" t="s">
        <v>9736</v>
      </c>
      <c r="Q27" s="5620" t="s">
        <v>9226</v>
      </c>
      <c r="R27" s="3246" t="s">
        <v>9737</v>
      </c>
      <c r="S27" s="3300"/>
      <c r="T27" s="3830">
        <v>2998.73</v>
      </c>
      <c r="U27" s="3246">
        <v>3003.77</v>
      </c>
      <c r="V27" s="3246">
        <v>1</v>
      </c>
      <c r="W27" s="3830">
        <f>表15_1731[[#This Row],[Sales Amount]]-表15_1731[[#This Row],[Cost]]</f>
        <v>-5.0399999999999636</v>
      </c>
      <c r="X27" s="3257">
        <f>表15_1731[[#This Row],[Profit]]/表15_1731[[#This Row],[Cost]]</f>
        <v>-1.6778914497448086E-3</v>
      </c>
      <c r="Y27" s="3246"/>
      <c r="Z27" s="3248"/>
    </row>
    <row r="28" spans="1:26" s="52" customFormat="1" hidden="1">
      <c r="A28" s="2348" t="s">
        <v>9716</v>
      </c>
      <c r="B28" s="3246" t="s">
        <v>9738</v>
      </c>
      <c r="C28" s="3246" t="s">
        <v>28</v>
      </c>
      <c r="D28" s="3534">
        <v>45489</v>
      </c>
      <c r="E28" s="912">
        <v>45489</v>
      </c>
      <c r="F28" s="3246" t="s">
        <v>260</v>
      </c>
      <c r="G28" s="3248" t="s">
        <v>9739</v>
      </c>
      <c r="H28" s="1680">
        <v>45498</v>
      </c>
      <c r="I28" s="4786" t="s">
        <v>7280</v>
      </c>
      <c r="J28" s="3523" t="s">
        <v>9740</v>
      </c>
      <c r="K28" s="4861" t="s">
        <v>9720</v>
      </c>
      <c r="L28" s="3289"/>
      <c r="M28" s="3534">
        <v>45495</v>
      </c>
      <c r="N28" s="4414">
        <v>45497</v>
      </c>
      <c r="O28" s="4415">
        <v>45502</v>
      </c>
      <c r="P28" s="4408" t="s">
        <v>9741</v>
      </c>
      <c r="Q28" s="5576" t="s">
        <v>9226</v>
      </c>
      <c r="R28" s="3246" t="s">
        <v>9742</v>
      </c>
      <c r="S28" s="3289"/>
      <c r="T28" s="3830">
        <v>3669.85</v>
      </c>
      <c r="U28" s="3830">
        <v>3048.2</v>
      </c>
      <c r="V28" s="3246">
        <v>1</v>
      </c>
      <c r="W28" s="2999">
        <f>表15_1731[[#This Row],[Sales Amount]]-表15_1731[[#This Row],[Cost]]</f>
        <v>621.65000000000009</v>
      </c>
      <c r="X28" s="3258">
        <f>表15_1731[[#This Row],[Profit]]/表15_1731[[#This Row],[Cost]]</f>
        <v>0.20394003018174664</v>
      </c>
      <c r="Y28" s="3246"/>
      <c r="Z28" s="3248"/>
    </row>
    <row r="29" spans="1:26" s="2918" customFormat="1" hidden="1">
      <c r="A29" s="2905" t="s">
        <v>9716</v>
      </c>
      <c r="B29" s="6065" t="s">
        <v>9743</v>
      </c>
      <c r="C29" s="6065" t="s">
        <v>28</v>
      </c>
      <c r="D29" s="6066">
        <v>45502</v>
      </c>
      <c r="E29" s="6066">
        <v>45502</v>
      </c>
      <c r="F29" s="6065" t="s">
        <v>260</v>
      </c>
      <c r="G29" s="6067" t="s">
        <v>6204</v>
      </c>
      <c r="H29" s="4811">
        <v>45506</v>
      </c>
      <c r="I29" s="6068" t="s">
        <v>9744</v>
      </c>
      <c r="J29" s="6069" t="s">
        <v>9740</v>
      </c>
      <c r="K29" s="6065" t="s">
        <v>9720</v>
      </c>
      <c r="L29" s="3300"/>
      <c r="M29" s="6070">
        <v>45510</v>
      </c>
      <c r="N29" s="6070">
        <v>45505</v>
      </c>
      <c r="O29" s="6070">
        <v>45507</v>
      </c>
      <c r="P29" s="6071" t="s">
        <v>9745</v>
      </c>
      <c r="Q29" s="6072" t="s">
        <v>9226</v>
      </c>
      <c r="R29" s="6073" t="s">
        <v>9746</v>
      </c>
      <c r="S29" s="6074"/>
      <c r="T29" s="6075">
        <v>1650</v>
      </c>
      <c r="U29" s="6075">
        <v>1258.05</v>
      </c>
      <c r="V29" s="6073">
        <v>1</v>
      </c>
      <c r="W29" s="2995">
        <f>表15_1731[[#This Row],[Sales Amount]]-表15_1731[[#This Row],[Cost]]</f>
        <v>391.95000000000005</v>
      </c>
      <c r="X29" s="2477">
        <f>表15_1731[[#This Row],[Profit]]/表15_1731[[#This Row],[Cost]]</f>
        <v>0.31155359484917139</v>
      </c>
      <c r="Y29" s="6073"/>
      <c r="Z29" s="6076"/>
    </row>
    <row r="30" spans="1:26" s="1350" customFormat="1" hidden="1">
      <c r="A30" s="3866" t="s">
        <v>799</v>
      </c>
      <c r="B30" s="3275" t="s">
        <v>9747</v>
      </c>
      <c r="C30" s="6065" t="s">
        <v>44</v>
      </c>
      <c r="D30" s="3279">
        <v>45475</v>
      </c>
      <c r="E30" s="3383">
        <v>45491</v>
      </c>
      <c r="F30" s="3275" t="s">
        <v>45</v>
      </c>
      <c r="G30" s="3739" t="s">
        <v>9748</v>
      </c>
      <c r="H30" s="4811"/>
      <c r="I30" s="3527"/>
      <c r="J30" s="3347" t="s">
        <v>32</v>
      </c>
      <c r="K30" s="6065" t="s">
        <v>47</v>
      </c>
      <c r="L30" s="723">
        <v>963137</v>
      </c>
      <c r="M30" s="3534">
        <v>45493</v>
      </c>
      <c r="N30" s="3534">
        <v>45492</v>
      </c>
      <c r="O30" s="3534">
        <v>45495</v>
      </c>
      <c r="P30" s="3289" t="s">
        <v>9749</v>
      </c>
      <c r="Q30" s="6072" t="s">
        <v>6852</v>
      </c>
      <c r="R30" s="3246" t="s">
        <v>51</v>
      </c>
      <c r="S30" s="3300"/>
      <c r="T30" s="3246"/>
      <c r="U30" s="3246"/>
      <c r="V30" s="3246"/>
      <c r="W30" s="3246"/>
      <c r="X30" s="3257"/>
      <c r="Y30" s="3246"/>
      <c r="Z30" s="3248"/>
    </row>
    <row r="31" spans="1:26" s="52" customFormat="1" hidden="1">
      <c r="A31" s="3866" t="s">
        <v>799</v>
      </c>
      <c r="B31" s="3439" t="s">
        <v>9750</v>
      </c>
      <c r="C31" s="6077" t="s">
        <v>28</v>
      </c>
      <c r="D31" s="3649">
        <v>45490</v>
      </c>
      <c r="E31" s="3867">
        <v>45503</v>
      </c>
      <c r="F31" s="3439" t="s">
        <v>45</v>
      </c>
      <c r="G31" s="3739" t="s">
        <v>46</v>
      </c>
      <c r="H31" s="4807"/>
      <c r="I31" s="3681"/>
      <c r="J31" s="3869" t="s">
        <v>32</v>
      </c>
      <c r="K31" s="6065" t="s">
        <v>47</v>
      </c>
      <c r="L31" s="3289">
        <v>825234</v>
      </c>
      <c r="M31" s="3650">
        <v>45505</v>
      </c>
      <c r="N31" s="3534">
        <v>45504</v>
      </c>
      <c r="O31" s="3534">
        <v>45506</v>
      </c>
      <c r="P31" s="3289" t="s">
        <v>9751</v>
      </c>
      <c r="Q31" s="6072" t="s">
        <v>6852</v>
      </c>
      <c r="R31" s="3246" t="s">
        <v>51</v>
      </c>
      <c r="S31" s="3300"/>
      <c r="T31" s="3246"/>
      <c r="U31" s="3246"/>
      <c r="V31" s="3246"/>
      <c r="W31" s="3246"/>
      <c r="X31" s="3257"/>
      <c r="Y31" s="3246"/>
      <c r="Z31" s="3248"/>
    </row>
    <row r="32" spans="1:26" s="52" customFormat="1" hidden="1">
      <c r="A32" s="3866" t="s">
        <v>799</v>
      </c>
      <c r="B32" s="3439" t="s">
        <v>9752</v>
      </c>
      <c r="C32" s="6077" t="s">
        <v>28</v>
      </c>
      <c r="D32" s="3649">
        <v>45485</v>
      </c>
      <c r="E32" s="3867">
        <v>45499</v>
      </c>
      <c r="F32" s="3439" t="s">
        <v>135</v>
      </c>
      <c r="G32" s="3739" t="s">
        <v>46</v>
      </c>
      <c r="H32" s="4807"/>
      <c r="I32" s="3681"/>
      <c r="J32" s="3869" t="s">
        <v>32</v>
      </c>
      <c r="K32" s="6065" t="s">
        <v>47</v>
      </c>
      <c r="L32" s="3289" t="s">
        <v>9753</v>
      </c>
      <c r="M32" s="3650">
        <v>45501</v>
      </c>
      <c r="N32" s="3534">
        <v>45499</v>
      </c>
      <c r="O32" s="3534">
        <v>45502</v>
      </c>
      <c r="P32" s="3289" t="s">
        <v>9754</v>
      </c>
      <c r="Q32" s="6072" t="s">
        <v>6852</v>
      </c>
      <c r="R32" s="3246" t="s">
        <v>51</v>
      </c>
      <c r="S32" s="3300"/>
      <c r="T32" s="3246"/>
      <c r="U32" s="3246"/>
      <c r="V32" s="3246"/>
      <c r="W32" s="3246"/>
      <c r="X32" s="3257"/>
      <c r="Y32" s="3246"/>
      <c r="Z32" s="3248"/>
    </row>
    <row r="33" spans="1:26" s="52" customFormat="1" hidden="1">
      <c r="A33" s="3866" t="s">
        <v>799</v>
      </c>
      <c r="B33" s="3439" t="s">
        <v>9755</v>
      </c>
      <c r="C33" s="6077" t="s">
        <v>28</v>
      </c>
      <c r="D33" s="3649">
        <v>45490</v>
      </c>
      <c r="E33" s="3867">
        <v>45501</v>
      </c>
      <c r="F33" s="3439" t="s">
        <v>45</v>
      </c>
      <c r="G33" s="3739" t="s">
        <v>46</v>
      </c>
      <c r="H33" s="4807"/>
      <c r="I33" s="3681"/>
      <c r="J33" s="3869" t="s">
        <v>32</v>
      </c>
      <c r="K33" s="6065" t="s">
        <v>47</v>
      </c>
      <c r="L33" s="3289" t="s">
        <v>9756</v>
      </c>
      <c r="M33" s="3875">
        <v>45502</v>
      </c>
      <c r="N33" s="3534">
        <v>45502</v>
      </c>
      <c r="O33" s="3534">
        <v>45503</v>
      </c>
      <c r="P33" s="3289" t="s">
        <v>9757</v>
      </c>
      <c r="Q33" s="6072" t="s">
        <v>6852</v>
      </c>
      <c r="R33" s="3246" t="s">
        <v>9746</v>
      </c>
      <c r="S33" s="3300"/>
      <c r="T33" s="3246"/>
      <c r="U33" s="3246"/>
      <c r="V33" s="3246"/>
      <c r="W33" s="3246"/>
      <c r="X33" s="3257"/>
      <c r="Y33" s="3246"/>
      <c r="Z33" s="3248"/>
    </row>
    <row r="34" spans="1:26" s="52" customFormat="1" hidden="1">
      <c r="A34" s="3866" t="s">
        <v>799</v>
      </c>
      <c r="B34" s="3439" t="s">
        <v>9758</v>
      </c>
      <c r="C34" s="6077" t="s">
        <v>44</v>
      </c>
      <c r="D34" s="3649">
        <v>45480</v>
      </c>
      <c r="E34" s="2906">
        <v>45491</v>
      </c>
      <c r="F34" s="3439" t="s">
        <v>135</v>
      </c>
      <c r="G34" s="3739" t="s">
        <v>9759</v>
      </c>
      <c r="H34" s="4807"/>
      <c r="I34" s="3681"/>
      <c r="J34" s="3869" t="s">
        <v>32</v>
      </c>
      <c r="K34" s="6065" t="s">
        <v>47</v>
      </c>
      <c r="L34" s="723">
        <v>377556</v>
      </c>
      <c r="M34" s="3650">
        <v>45493</v>
      </c>
      <c r="N34" s="3534">
        <v>45493</v>
      </c>
      <c r="O34" s="3534">
        <v>45495</v>
      </c>
      <c r="P34" s="3289" t="s">
        <v>9760</v>
      </c>
      <c r="Q34" s="6072" t="s">
        <v>6852</v>
      </c>
      <c r="R34" s="3246" t="s">
        <v>51</v>
      </c>
      <c r="S34" s="3300"/>
      <c r="T34" s="3246"/>
      <c r="U34" s="3246"/>
      <c r="V34" s="3246"/>
      <c r="W34" s="3246"/>
      <c r="X34" s="3257"/>
      <c r="Y34" s="3246"/>
      <c r="Z34" s="3248"/>
    </row>
    <row r="35" spans="1:26" s="52" customFormat="1" ht="30" hidden="1">
      <c r="A35" s="3787" t="s">
        <v>5307</v>
      </c>
      <c r="B35" s="3246" t="s">
        <v>9761</v>
      </c>
      <c r="C35" s="6073" t="s">
        <v>1508</v>
      </c>
      <c r="D35" s="3876"/>
      <c r="E35" s="2987">
        <v>45503</v>
      </c>
      <c r="F35" s="3528" t="s">
        <v>738</v>
      </c>
      <c r="G35" s="4763"/>
      <c r="H35" s="1015">
        <v>45517</v>
      </c>
      <c r="I35" s="3527"/>
      <c r="J35" s="3523" t="s">
        <v>9762</v>
      </c>
      <c r="K35" s="6073" t="s">
        <v>47</v>
      </c>
      <c r="L35" s="723"/>
      <c r="M35" s="3534"/>
      <c r="N35" s="3534">
        <v>45503</v>
      </c>
      <c r="O35" s="3534">
        <v>45503</v>
      </c>
      <c r="P35" s="4408" t="s">
        <v>9763</v>
      </c>
      <c r="Q35" s="6078" t="s">
        <v>50</v>
      </c>
      <c r="R35" s="3246" t="s">
        <v>36</v>
      </c>
      <c r="S35" s="4331"/>
      <c r="T35" s="3246"/>
      <c r="U35" s="3246"/>
      <c r="V35" s="3246"/>
      <c r="W35" s="3246"/>
      <c r="X35" s="3257"/>
      <c r="Y35" s="3246"/>
      <c r="Z35" s="3248"/>
    </row>
    <row r="36" spans="1:26" s="52" customFormat="1" hidden="1">
      <c r="A36" s="3866" t="s">
        <v>4321</v>
      </c>
      <c r="B36" s="915" t="s">
        <v>9764</v>
      </c>
      <c r="C36" s="6065" t="s">
        <v>44</v>
      </c>
      <c r="D36" s="3279">
        <v>45479</v>
      </c>
      <c r="E36" s="3383">
        <v>45495</v>
      </c>
      <c r="F36" s="3275" t="s">
        <v>56</v>
      </c>
      <c r="G36" s="3739" t="s">
        <v>46</v>
      </c>
      <c r="H36" s="4811"/>
      <c r="I36" s="3527"/>
      <c r="J36" s="3347" t="s">
        <v>32</v>
      </c>
      <c r="K36" s="6065" t="s">
        <v>47</v>
      </c>
      <c r="L36" s="723" t="s">
        <v>9765</v>
      </c>
      <c r="M36" s="3534">
        <v>45497</v>
      </c>
      <c r="N36" s="3534">
        <v>45496</v>
      </c>
      <c r="O36" s="3534">
        <v>45498</v>
      </c>
      <c r="P36" s="3289" t="s">
        <v>9766</v>
      </c>
      <c r="Q36" s="6072" t="s">
        <v>6852</v>
      </c>
      <c r="R36" s="3246" t="s">
        <v>51</v>
      </c>
      <c r="S36" s="4834"/>
      <c r="T36" s="3246"/>
      <c r="U36" s="3246"/>
      <c r="V36" s="3246"/>
      <c r="W36" s="3246"/>
      <c r="X36" s="3257"/>
      <c r="Y36" s="3246"/>
      <c r="Z36" s="3248"/>
    </row>
    <row r="37" spans="1:26" s="1350" customFormat="1" hidden="1">
      <c r="A37" s="3866" t="s">
        <v>9767</v>
      </c>
      <c r="B37" s="3439" t="s">
        <v>9768</v>
      </c>
      <c r="C37" s="3275" t="s">
        <v>28</v>
      </c>
      <c r="D37" s="3279">
        <v>45486</v>
      </c>
      <c r="E37" s="3279">
        <v>45494</v>
      </c>
      <c r="F37" s="3275" t="s">
        <v>151</v>
      </c>
      <c r="G37" s="3739" t="s">
        <v>46</v>
      </c>
      <c r="H37" s="4813"/>
      <c r="I37" s="3527"/>
      <c r="J37" s="3347" t="s">
        <v>32</v>
      </c>
      <c r="K37" s="3275" t="s">
        <v>47</v>
      </c>
      <c r="L37" s="3877" t="s">
        <v>9769</v>
      </c>
      <c r="M37" s="3534">
        <v>45496</v>
      </c>
      <c r="N37" s="3534">
        <v>45496</v>
      </c>
      <c r="O37" s="3534">
        <v>45498</v>
      </c>
      <c r="P37" s="3289" t="s">
        <v>9770</v>
      </c>
      <c r="Q37" s="6072" t="s">
        <v>6852</v>
      </c>
      <c r="R37" s="3246" t="s">
        <v>9771</v>
      </c>
      <c r="S37" s="3300"/>
      <c r="T37" s="3246"/>
      <c r="U37" s="3246"/>
      <c r="V37" s="3246"/>
      <c r="W37" s="3246"/>
      <c r="X37" s="3257"/>
      <c r="Y37" s="3246"/>
      <c r="Z37" s="3248"/>
    </row>
    <row r="38" spans="1:26" s="52" customFormat="1" hidden="1">
      <c r="A38" s="3866" t="s">
        <v>409</v>
      </c>
      <c r="B38" s="3275" t="s">
        <v>9772</v>
      </c>
      <c r="C38" s="6065" t="s">
        <v>44</v>
      </c>
      <c r="D38" s="3279">
        <v>45475</v>
      </c>
      <c r="E38" s="3383">
        <v>45485</v>
      </c>
      <c r="F38" s="3275" t="s">
        <v>56</v>
      </c>
      <c r="G38" s="3739" t="s">
        <v>46</v>
      </c>
      <c r="H38" s="4811"/>
      <c r="I38" s="3527"/>
      <c r="J38" s="3347" t="s">
        <v>32</v>
      </c>
      <c r="K38" s="6065" t="s">
        <v>47</v>
      </c>
      <c r="L38" s="3289" t="s">
        <v>9773</v>
      </c>
      <c r="M38" s="3534">
        <v>45486</v>
      </c>
      <c r="N38" s="3534">
        <v>45484</v>
      </c>
      <c r="O38" s="3534">
        <v>45488</v>
      </c>
      <c r="P38" s="3289" t="s">
        <v>9774</v>
      </c>
      <c r="Q38" s="6072" t="s">
        <v>6852</v>
      </c>
      <c r="R38" s="3246" t="s">
        <v>36</v>
      </c>
      <c r="S38" s="3300"/>
      <c r="T38" s="3246"/>
      <c r="U38" s="3246"/>
      <c r="V38" s="3246"/>
      <c r="W38" s="3246"/>
      <c r="X38" s="3257"/>
      <c r="Y38" s="3246"/>
      <c r="Z38" s="3248"/>
    </row>
    <row r="39" spans="1:26" s="1350" customFormat="1" hidden="1">
      <c r="A39" s="2905" t="s">
        <v>409</v>
      </c>
      <c r="B39" s="3439" t="s">
        <v>9775</v>
      </c>
      <c r="C39" s="6077" t="s">
        <v>28</v>
      </c>
      <c r="D39" s="3649">
        <v>45480</v>
      </c>
      <c r="E39" s="3867">
        <v>45489</v>
      </c>
      <c r="F39" s="3439" t="s">
        <v>45</v>
      </c>
      <c r="G39" s="3739" t="s">
        <v>46</v>
      </c>
      <c r="H39" s="4807"/>
      <c r="I39" s="3681"/>
      <c r="J39" s="3869" t="s">
        <v>32</v>
      </c>
      <c r="K39" s="6065" t="s">
        <v>47</v>
      </c>
      <c r="L39" s="3258" t="s">
        <v>9776</v>
      </c>
      <c r="M39" s="3650">
        <v>45491</v>
      </c>
      <c r="N39" s="3534">
        <v>45490</v>
      </c>
      <c r="O39" s="3534">
        <v>45492</v>
      </c>
      <c r="P39" s="3289" t="s">
        <v>9777</v>
      </c>
      <c r="Q39" s="6072" t="s">
        <v>6852</v>
      </c>
      <c r="R39" s="3246" t="s">
        <v>36</v>
      </c>
      <c r="S39" s="3300"/>
      <c r="T39" s="3246"/>
      <c r="U39" s="3246"/>
      <c r="V39" s="3246"/>
      <c r="W39" s="3246"/>
      <c r="X39" s="3257"/>
      <c r="Y39" s="3246"/>
      <c r="Z39" s="3248"/>
    </row>
    <row r="40" spans="1:26" s="52" customFormat="1" hidden="1">
      <c r="A40" s="2905" t="s">
        <v>409</v>
      </c>
      <c r="B40" s="3878" t="s">
        <v>9778</v>
      </c>
      <c r="C40" s="6077" t="s">
        <v>28</v>
      </c>
      <c r="D40" s="3649">
        <v>45491</v>
      </c>
      <c r="E40" s="3867">
        <v>45501</v>
      </c>
      <c r="F40" s="3439" t="s">
        <v>151</v>
      </c>
      <c r="G40" s="3739" t="s">
        <v>46</v>
      </c>
      <c r="H40" s="4807"/>
      <c r="I40" s="3681"/>
      <c r="J40" s="3869" t="s">
        <v>32</v>
      </c>
      <c r="K40" s="6065" t="s">
        <v>47</v>
      </c>
      <c r="L40" s="3289" t="s">
        <v>9779</v>
      </c>
      <c r="M40" s="3650">
        <v>45503</v>
      </c>
      <c r="N40" s="3534">
        <v>45501</v>
      </c>
      <c r="O40" s="3534">
        <v>45503</v>
      </c>
      <c r="P40" s="3289" t="s">
        <v>9780</v>
      </c>
      <c r="Q40" s="6072" t="s">
        <v>6852</v>
      </c>
      <c r="R40" s="3246" t="s">
        <v>36</v>
      </c>
      <c r="S40" s="3300"/>
      <c r="T40" s="3246"/>
      <c r="U40" s="3246"/>
      <c r="V40" s="3246"/>
      <c r="W40" s="3246"/>
      <c r="X40" s="3257"/>
      <c r="Y40" s="3246"/>
      <c r="Z40" s="3248"/>
    </row>
    <row r="41" spans="1:26" s="52" customFormat="1" ht="15.75" hidden="1">
      <c r="A41" s="3866" t="s">
        <v>409</v>
      </c>
      <c r="B41" s="3275" t="s">
        <v>9781</v>
      </c>
      <c r="C41" s="3275" t="s">
        <v>44</v>
      </c>
      <c r="D41" s="3279">
        <v>45471</v>
      </c>
      <c r="E41" s="5071">
        <v>45484</v>
      </c>
      <c r="F41" s="3275" t="s">
        <v>2225</v>
      </c>
      <c r="G41" s="3739" t="s">
        <v>57</v>
      </c>
      <c r="H41" s="4811"/>
      <c r="I41" s="3527"/>
      <c r="J41" s="3347" t="s">
        <v>32</v>
      </c>
      <c r="K41" s="6065" t="s">
        <v>47</v>
      </c>
      <c r="L41" s="3879">
        <v>2551087</v>
      </c>
      <c r="M41" s="3534">
        <v>45486</v>
      </c>
      <c r="N41" s="3534">
        <v>45485</v>
      </c>
      <c r="O41" s="3534">
        <v>45486</v>
      </c>
      <c r="P41" s="3289" t="s">
        <v>9782</v>
      </c>
      <c r="Q41" s="6072" t="s">
        <v>6852</v>
      </c>
      <c r="R41" s="3246" t="s">
        <v>36</v>
      </c>
      <c r="S41" s="3300"/>
      <c r="T41" s="3246"/>
      <c r="U41" s="3246"/>
      <c r="V41" s="3246"/>
      <c r="W41" s="3246"/>
      <c r="X41" s="3257"/>
      <c r="Y41" s="3246"/>
      <c r="Z41" s="3248"/>
    </row>
    <row r="42" spans="1:26" s="36" customFormat="1" ht="60" hidden="1">
      <c r="A42" s="3738" t="s">
        <v>409</v>
      </c>
      <c r="B42" s="36" t="s">
        <v>9783</v>
      </c>
      <c r="C42" s="3364" t="s">
        <v>28</v>
      </c>
      <c r="D42" s="3467">
        <v>45470</v>
      </c>
      <c r="E42" s="3719">
        <v>45491</v>
      </c>
      <c r="F42" s="3364" t="s">
        <v>2225</v>
      </c>
      <c r="G42" s="3708" t="s">
        <v>57</v>
      </c>
      <c r="H42" s="893">
        <v>45496</v>
      </c>
      <c r="I42" s="3466" t="s">
        <v>9022</v>
      </c>
      <c r="J42" s="3721" t="s">
        <v>32</v>
      </c>
      <c r="K42" s="6079" t="s">
        <v>8879</v>
      </c>
      <c r="L42" s="2936" t="s">
        <v>9784</v>
      </c>
      <c r="M42" s="3440">
        <v>45492</v>
      </c>
      <c r="N42" s="3440">
        <v>45492</v>
      </c>
      <c r="O42" s="3467">
        <v>45496</v>
      </c>
      <c r="P42" s="3727" t="s">
        <v>9785</v>
      </c>
      <c r="Q42" s="6080" t="s">
        <v>75</v>
      </c>
      <c r="R42" s="4307" t="s">
        <v>9786</v>
      </c>
      <c r="S42" s="4307" t="s">
        <v>9659</v>
      </c>
      <c r="T42" s="3723">
        <v>1130</v>
      </c>
      <c r="U42" s="3776">
        <v>875</v>
      </c>
      <c r="V42" s="3364">
        <v>1</v>
      </c>
      <c r="W42" s="3723">
        <f>表15_1731[[#This Row],[Sales Amount]]-表15_1731[[#This Row],[Cost]]</f>
        <v>255</v>
      </c>
      <c r="X42" s="3724" t="e">
        <f>表15_17[[#This Row],[Profit]]/表15_17[[#This Row],[Cost]]</f>
        <v>#DIV/0!</v>
      </c>
      <c r="Y42" s="3364"/>
      <c r="Z42" s="3708"/>
    </row>
    <row r="43" spans="1:26" s="52" customFormat="1" hidden="1">
      <c r="A43" s="3866" t="s">
        <v>409</v>
      </c>
      <c r="B43" s="3439" t="s">
        <v>9787</v>
      </c>
      <c r="C43" s="3439" t="s">
        <v>28</v>
      </c>
      <c r="D43" s="3649">
        <v>45482</v>
      </c>
      <c r="E43" s="2906">
        <v>45494</v>
      </c>
      <c r="F43" s="3439" t="s">
        <v>56</v>
      </c>
      <c r="G43" s="3739" t="s">
        <v>46</v>
      </c>
      <c r="H43" s="4807"/>
      <c r="I43" s="3681"/>
      <c r="J43" s="3869" t="s">
        <v>32</v>
      </c>
      <c r="K43" s="6065" t="s">
        <v>47</v>
      </c>
      <c r="L43" s="723" t="s">
        <v>9788</v>
      </c>
      <c r="M43" s="3650">
        <v>45494</v>
      </c>
      <c r="N43" s="3534">
        <v>45492</v>
      </c>
      <c r="O43" s="3534">
        <v>45495</v>
      </c>
      <c r="P43" s="3289" t="s">
        <v>9789</v>
      </c>
      <c r="Q43" s="6072" t="s">
        <v>6852</v>
      </c>
      <c r="R43" s="3246" t="s">
        <v>51</v>
      </c>
      <c r="S43" s="3300"/>
      <c r="T43" s="3246"/>
      <c r="U43" s="3246"/>
      <c r="V43" s="3246"/>
      <c r="W43" s="3246"/>
      <c r="X43" s="3257"/>
      <c r="Y43" s="3246"/>
      <c r="Z43" s="3248"/>
    </row>
    <row r="44" spans="1:26" s="1350" customFormat="1" hidden="1">
      <c r="A44" s="3866" t="s">
        <v>409</v>
      </c>
      <c r="B44" s="3439" t="s">
        <v>9790</v>
      </c>
      <c r="C44" s="3439" t="s">
        <v>44</v>
      </c>
      <c r="D44" s="3649">
        <v>45489</v>
      </c>
      <c r="E44" s="2906">
        <v>45500</v>
      </c>
      <c r="F44" s="3439" t="s">
        <v>56</v>
      </c>
      <c r="G44" s="3739" t="s">
        <v>46</v>
      </c>
      <c r="H44" s="4807"/>
      <c r="I44" s="3681"/>
      <c r="J44" s="3869" t="s">
        <v>32</v>
      </c>
      <c r="K44" s="6065" t="s">
        <v>47</v>
      </c>
      <c r="L44" s="3289" t="s">
        <v>9791</v>
      </c>
      <c r="M44" s="3650">
        <v>45502</v>
      </c>
      <c r="N44" s="3534">
        <v>45500</v>
      </c>
      <c r="O44" s="3534">
        <v>45502</v>
      </c>
      <c r="P44" s="3289" t="s">
        <v>9792</v>
      </c>
      <c r="Q44" s="6072" t="s">
        <v>6852</v>
      </c>
      <c r="R44" s="3246" t="s">
        <v>36</v>
      </c>
      <c r="S44" s="3300"/>
      <c r="T44" s="3246"/>
      <c r="U44" s="3246"/>
      <c r="V44" s="3246"/>
      <c r="W44" s="3246"/>
      <c r="X44" s="3257"/>
      <c r="Y44" s="3246"/>
      <c r="Z44" s="3248"/>
    </row>
    <row r="45" spans="1:26" s="52" customFormat="1" hidden="1">
      <c r="A45" s="3866" t="s">
        <v>409</v>
      </c>
      <c r="B45" s="3275" t="s">
        <v>9793</v>
      </c>
      <c r="C45" s="3275" t="s">
        <v>44</v>
      </c>
      <c r="D45" s="3279">
        <v>45475</v>
      </c>
      <c r="E45" s="1631">
        <v>45484</v>
      </c>
      <c r="F45" s="3275" t="s">
        <v>56</v>
      </c>
      <c r="G45" s="3739" t="s">
        <v>46</v>
      </c>
      <c r="H45" s="4811"/>
      <c r="I45" s="3527"/>
      <c r="J45" s="3347" t="s">
        <v>32</v>
      </c>
      <c r="K45" s="6065" t="s">
        <v>47</v>
      </c>
      <c r="L45" s="723" t="s">
        <v>9794</v>
      </c>
      <c r="M45" s="3534">
        <v>45486</v>
      </c>
      <c r="N45" s="3534">
        <v>45485</v>
      </c>
      <c r="O45" s="3534">
        <v>45491</v>
      </c>
      <c r="P45" s="3289" t="s">
        <v>9795</v>
      </c>
      <c r="Q45" s="6072" t="s">
        <v>6852</v>
      </c>
      <c r="R45" s="3246" t="s">
        <v>36</v>
      </c>
      <c r="S45" s="3300"/>
      <c r="T45" s="3246"/>
      <c r="U45" s="3246"/>
      <c r="V45" s="3246"/>
      <c r="W45" s="3246"/>
      <c r="X45" s="3257"/>
      <c r="Y45" s="3246"/>
      <c r="Z45" s="3248"/>
    </row>
    <row r="46" spans="1:26" s="36" customFormat="1" hidden="1">
      <c r="A46" s="3866" t="s">
        <v>409</v>
      </c>
      <c r="B46" s="3439" t="s">
        <v>9796</v>
      </c>
      <c r="C46" s="3439" t="s">
        <v>28</v>
      </c>
      <c r="D46" s="3649">
        <v>45488</v>
      </c>
      <c r="E46" s="3867">
        <v>45502</v>
      </c>
      <c r="F46" s="3439" t="s">
        <v>260</v>
      </c>
      <c r="G46" s="3739" t="s">
        <v>46</v>
      </c>
      <c r="H46" s="4807"/>
      <c r="I46" s="3681"/>
      <c r="J46" s="3869" t="s">
        <v>32</v>
      </c>
      <c r="K46" s="6065" t="s">
        <v>47</v>
      </c>
      <c r="L46" s="3289" t="s">
        <v>9797</v>
      </c>
      <c r="M46" s="3650">
        <v>45503</v>
      </c>
      <c r="N46" s="3534">
        <v>45503</v>
      </c>
      <c r="O46" s="3534">
        <v>45505</v>
      </c>
      <c r="P46" s="848" t="s">
        <v>9798</v>
      </c>
      <c r="Q46" s="6072" t="s">
        <v>6852</v>
      </c>
      <c r="R46" s="3246" t="s">
        <v>36</v>
      </c>
      <c r="S46" s="3300"/>
      <c r="T46" s="3246"/>
      <c r="U46" s="3246"/>
      <c r="V46" s="3246"/>
      <c r="W46" s="3246"/>
      <c r="X46" s="3257"/>
      <c r="Y46" s="3246"/>
      <c r="Z46" s="3248"/>
    </row>
    <row r="47" spans="1:26" s="1350" customFormat="1" hidden="1">
      <c r="A47" s="3866" t="s">
        <v>409</v>
      </c>
      <c r="B47" s="3439" t="s">
        <v>9799</v>
      </c>
      <c r="C47" s="3439" t="s">
        <v>28</v>
      </c>
      <c r="D47" s="3649">
        <v>45480</v>
      </c>
      <c r="E47" s="3867">
        <v>45489</v>
      </c>
      <c r="F47" s="3439" t="s">
        <v>151</v>
      </c>
      <c r="G47" s="3739" t="s">
        <v>46</v>
      </c>
      <c r="H47" s="4807"/>
      <c r="I47" s="3681"/>
      <c r="J47" s="3869" t="s">
        <v>32</v>
      </c>
      <c r="K47" s="6065" t="s">
        <v>47</v>
      </c>
      <c r="L47" s="3258" t="s">
        <v>9800</v>
      </c>
      <c r="M47" s="3650">
        <v>45492</v>
      </c>
      <c r="N47" s="3534">
        <v>45490</v>
      </c>
      <c r="O47" s="3534">
        <v>45492</v>
      </c>
      <c r="P47" s="3289" t="s">
        <v>9801</v>
      </c>
      <c r="Q47" s="6072" t="s">
        <v>6852</v>
      </c>
      <c r="R47" s="3246" t="s">
        <v>36</v>
      </c>
      <c r="S47" s="3300"/>
      <c r="T47" s="3246"/>
      <c r="U47" s="3246"/>
      <c r="V47" s="3246"/>
      <c r="W47" s="3246"/>
      <c r="X47" s="3257"/>
      <c r="Y47" s="3246"/>
      <c r="Z47" s="3248"/>
    </row>
    <row r="48" spans="1:26" s="1350" customFormat="1" hidden="1">
      <c r="A48" s="3866" t="s">
        <v>409</v>
      </c>
      <c r="B48" s="3439" t="s">
        <v>9802</v>
      </c>
      <c r="C48" s="3439" t="s">
        <v>28</v>
      </c>
      <c r="D48" s="3649">
        <v>45488</v>
      </c>
      <c r="E48" s="2906">
        <v>45502</v>
      </c>
      <c r="F48" s="3439" t="s">
        <v>260</v>
      </c>
      <c r="G48" s="3739" t="s">
        <v>46</v>
      </c>
      <c r="H48" s="4807"/>
      <c r="I48" s="3681"/>
      <c r="J48" s="3869" t="s">
        <v>32</v>
      </c>
      <c r="K48" s="6065" t="s">
        <v>47</v>
      </c>
      <c r="L48" s="4408" t="s">
        <v>9803</v>
      </c>
      <c r="M48" s="3650">
        <v>45503</v>
      </c>
      <c r="N48" s="3534">
        <v>45503</v>
      </c>
      <c r="O48" s="3534">
        <v>45503</v>
      </c>
      <c r="P48" s="3289" t="s">
        <v>9804</v>
      </c>
      <c r="Q48" s="6072" t="s">
        <v>6852</v>
      </c>
      <c r="R48" s="3246" t="s">
        <v>36</v>
      </c>
      <c r="S48" s="3300"/>
      <c r="T48" s="3246"/>
      <c r="U48" s="3246"/>
      <c r="V48" s="3246"/>
      <c r="W48" s="3246"/>
      <c r="X48" s="3257"/>
      <c r="Y48" s="3246"/>
      <c r="Z48" s="3248"/>
    </row>
    <row r="49" spans="1:26" s="36" customFormat="1" hidden="1">
      <c r="A49" s="3866" t="s">
        <v>409</v>
      </c>
      <c r="B49" s="1350" t="s">
        <v>9805</v>
      </c>
      <c r="C49" s="3439" t="s">
        <v>28</v>
      </c>
      <c r="D49" s="3649">
        <v>45494</v>
      </c>
      <c r="E49" s="3867">
        <v>45502</v>
      </c>
      <c r="F49" s="3439" t="s">
        <v>2225</v>
      </c>
      <c r="G49" s="3739" t="s">
        <v>57</v>
      </c>
      <c r="H49" s="4807"/>
      <c r="I49" s="3681"/>
      <c r="J49" s="3869" t="s">
        <v>32</v>
      </c>
      <c r="K49" s="3275" t="s">
        <v>47</v>
      </c>
      <c r="L49" s="3289">
        <v>3701385</v>
      </c>
      <c r="M49" s="3650">
        <v>45505</v>
      </c>
      <c r="N49" s="3534">
        <v>45504</v>
      </c>
      <c r="O49" s="3534">
        <v>45506</v>
      </c>
      <c r="P49" s="3289" t="s">
        <v>9806</v>
      </c>
      <c r="Q49" s="3880" t="s">
        <v>6852</v>
      </c>
      <c r="R49" s="3246" t="s">
        <v>36</v>
      </c>
      <c r="S49" s="3300"/>
      <c r="T49" s="3246"/>
      <c r="U49" s="3246"/>
      <c r="V49" s="3246"/>
      <c r="W49" s="3246"/>
      <c r="X49" s="3257"/>
      <c r="Y49" s="3246"/>
      <c r="Z49" s="3248"/>
    </row>
    <row r="50" spans="1:26" s="1350" customFormat="1" hidden="1">
      <c r="A50" s="5622" t="s">
        <v>409</v>
      </c>
      <c r="B50" s="5277" t="s">
        <v>9807</v>
      </c>
      <c r="C50" s="5277" t="s">
        <v>28</v>
      </c>
      <c r="D50" s="5403">
        <v>45480</v>
      </c>
      <c r="E50" s="5621">
        <v>45489</v>
      </c>
      <c r="F50" s="5277" t="s">
        <v>45</v>
      </c>
      <c r="G50" s="4758" t="s">
        <v>46</v>
      </c>
      <c r="H50" s="4807"/>
      <c r="I50" s="4656"/>
      <c r="J50" s="5622" t="s">
        <v>32</v>
      </c>
      <c r="K50" s="4839" t="s">
        <v>47</v>
      </c>
      <c r="L50" s="5629" t="s">
        <v>9808</v>
      </c>
      <c r="M50" s="5406">
        <v>45491</v>
      </c>
      <c r="N50" s="4953">
        <v>45489</v>
      </c>
      <c r="O50" s="4953">
        <v>45492</v>
      </c>
      <c r="P50" s="4864" t="s">
        <v>9809</v>
      </c>
      <c r="Q50" s="5620" t="s">
        <v>6852</v>
      </c>
      <c r="R50" s="4861" t="s">
        <v>36</v>
      </c>
      <c r="S50" s="4834"/>
      <c r="T50" s="4861"/>
      <c r="U50" s="4861"/>
      <c r="V50" s="4861"/>
      <c r="W50" s="4861"/>
      <c r="X50" s="5378"/>
      <c r="Y50" s="4861"/>
      <c r="Z50" s="4861"/>
    </row>
    <row r="51" spans="1:26" s="52" customFormat="1" hidden="1">
      <c r="A51" s="5173" t="s">
        <v>409</v>
      </c>
      <c r="B51" s="5630" t="s">
        <v>9810</v>
      </c>
      <c r="C51" s="5283" t="s">
        <v>28</v>
      </c>
      <c r="D51" s="5631">
        <v>45486</v>
      </c>
      <c r="E51" s="5632">
        <v>45498</v>
      </c>
      <c r="F51" s="5283" t="s">
        <v>1017</v>
      </c>
      <c r="G51" s="4764" t="s">
        <v>46</v>
      </c>
      <c r="H51" s="4814"/>
      <c r="I51" s="4661"/>
      <c r="J51" s="5173" t="s">
        <v>32</v>
      </c>
      <c r="K51" s="5283" t="s">
        <v>47</v>
      </c>
      <c r="L51" s="5105" t="s">
        <v>9811</v>
      </c>
      <c r="M51" s="5390">
        <v>45499</v>
      </c>
      <c r="N51" s="4975">
        <v>45498</v>
      </c>
      <c r="O51" s="4975">
        <v>45500</v>
      </c>
      <c r="P51" s="5120" t="s">
        <v>9812</v>
      </c>
      <c r="Q51" s="5633" t="s">
        <v>50</v>
      </c>
      <c r="R51" s="4874" t="s">
        <v>9813</v>
      </c>
      <c r="S51" s="5122"/>
      <c r="T51" s="4874"/>
      <c r="U51" s="4874"/>
      <c r="V51" s="4874"/>
      <c r="W51" s="5580"/>
      <c r="X51" s="5184"/>
      <c r="Y51" s="4874"/>
      <c r="Z51" s="4874"/>
    </row>
    <row r="52" spans="1:26" s="36" customFormat="1" hidden="1">
      <c r="A52" s="5622" t="s">
        <v>409</v>
      </c>
      <c r="B52" s="4839" t="s">
        <v>9814</v>
      </c>
      <c r="C52" s="4839" t="s">
        <v>44</v>
      </c>
      <c r="D52" s="4957">
        <v>45477</v>
      </c>
      <c r="E52" s="5071">
        <v>45486</v>
      </c>
      <c r="F52" s="4839" t="s">
        <v>45</v>
      </c>
      <c r="G52" s="4758" t="s">
        <v>46</v>
      </c>
      <c r="H52" s="4811"/>
      <c r="I52" s="4646"/>
      <c r="J52" s="4901" t="s">
        <v>32</v>
      </c>
      <c r="K52" s="4839" t="s">
        <v>47</v>
      </c>
      <c r="L52" s="4882" t="s">
        <v>9815</v>
      </c>
      <c r="M52" s="4953">
        <v>45488</v>
      </c>
      <c r="N52" s="4953">
        <v>45487</v>
      </c>
      <c r="O52" s="4953">
        <v>45489</v>
      </c>
      <c r="P52" s="4864" t="s">
        <v>9816</v>
      </c>
      <c r="Q52" s="5620" t="s">
        <v>6852</v>
      </c>
      <c r="R52" s="4861" t="s">
        <v>36</v>
      </c>
      <c r="S52" s="4834"/>
      <c r="T52" s="4861"/>
      <c r="U52" s="4861"/>
      <c r="V52" s="4861"/>
      <c r="W52" s="4861"/>
      <c r="X52" s="5378"/>
      <c r="Y52" s="4861"/>
      <c r="Z52" s="4861"/>
    </row>
    <row r="53" spans="1:26" s="52" customFormat="1" hidden="1">
      <c r="A53" s="5622" t="s">
        <v>409</v>
      </c>
      <c r="B53" s="5277" t="s">
        <v>9817</v>
      </c>
      <c r="C53" s="5277" t="s">
        <v>28</v>
      </c>
      <c r="D53" s="5403">
        <v>45487</v>
      </c>
      <c r="E53" s="5621">
        <v>45488</v>
      </c>
      <c r="F53" s="5277" t="s">
        <v>260</v>
      </c>
      <c r="G53" s="4758" t="s">
        <v>46</v>
      </c>
      <c r="H53" s="4807"/>
      <c r="I53" s="4656"/>
      <c r="J53" s="5622" t="s">
        <v>32</v>
      </c>
      <c r="K53" s="4839" t="s">
        <v>47</v>
      </c>
      <c r="L53" s="723" t="s">
        <v>9818</v>
      </c>
      <c r="M53" s="5406">
        <v>45490</v>
      </c>
      <c r="N53" s="4953">
        <v>45488</v>
      </c>
      <c r="O53" s="4953">
        <v>45491</v>
      </c>
      <c r="P53" s="4864" t="s">
        <v>9819</v>
      </c>
      <c r="Q53" s="5620" t="s">
        <v>6852</v>
      </c>
      <c r="R53" s="4861" t="s">
        <v>36</v>
      </c>
      <c r="S53" s="4834"/>
      <c r="T53" s="4861"/>
      <c r="U53" s="4861"/>
      <c r="V53" s="4861"/>
      <c r="W53" s="4861"/>
      <c r="X53" s="5378"/>
      <c r="Y53" s="4861"/>
      <c r="Z53" s="4861"/>
    </row>
    <row r="54" spans="1:26" s="1350" customFormat="1" hidden="1">
      <c r="A54" s="5622" t="s">
        <v>409</v>
      </c>
      <c r="B54" s="4839" t="s">
        <v>9820</v>
      </c>
      <c r="C54" s="4839" t="s">
        <v>44</v>
      </c>
      <c r="D54" s="4957">
        <v>45477</v>
      </c>
      <c r="E54" s="5071">
        <v>45488</v>
      </c>
      <c r="F54" s="4839" t="s">
        <v>151</v>
      </c>
      <c r="G54" s="4758" t="s">
        <v>46</v>
      </c>
      <c r="H54" s="4811"/>
      <c r="I54" s="4646"/>
      <c r="J54" s="4901" t="s">
        <v>32</v>
      </c>
      <c r="K54" s="4839" t="s">
        <v>47</v>
      </c>
      <c r="L54" s="4882" t="s">
        <v>9821</v>
      </c>
      <c r="M54" s="4953">
        <v>45490</v>
      </c>
      <c r="N54" s="4953">
        <v>45489</v>
      </c>
      <c r="O54" s="4953">
        <v>45490</v>
      </c>
      <c r="P54" s="4864" t="s">
        <v>9822</v>
      </c>
      <c r="Q54" s="5620" t="s">
        <v>6852</v>
      </c>
      <c r="R54" s="4861" t="s">
        <v>36</v>
      </c>
      <c r="S54" s="4834"/>
      <c r="T54" s="4861"/>
      <c r="U54" s="4861"/>
      <c r="V54" s="4861"/>
      <c r="W54" s="4861"/>
      <c r="X54" s="5378"/>
      <c r="Y54" s="4861"/>
      <c r="Z54" s="4861"/>
    </row>
    <row r="55" spans="1:26" s="1350" customFormat="1" hidden="1">
      <c r="A55" s="5622" t="s">
        <v>409</v>
      </c>
      <c r="B55" s="5277" t="s">
        <v>9823</v>
      </c>
      <c r="C55" s="5277" t="s">
        <v>28</v>
      </c>
      <c r="D55" s="5403">
        <v>45486</v>
      </c>
      <c r="E55" s="5621">
        <v>45500</v>
      </c>
      <c r="F55" s="5277" t="s">
        <v>151</v>
      </c>
      <c r="G55" s="4758" t="s">
        <v>46</v>
      </c>
      <c r="H55" s="4807"/>
      <c r="I55" s="4656"/>
      <c r="J55" s="5622" t="s">
        <v>32</v>
      </c>
      <c r="K55" s="4839" t="s">
        <v>47</v>
      </c>
      <c r="L55" s="4864" t="s">
        <v>9824</v>
      </c>
      <c r="M55" s="5406">
        <v>45502</v>
      </c>
      <c r="N55" s="4953">
        <v>45501</v>
      </c>
      <c r="O55" s="4953">
        <v>45503</v>
      </c>
      <c r="P55" s="4864" t="s">
        <v>9825</v>
      </c>
      <c r="Q55" s="5620" t="s">
        <v>6852</v>
      </c>
      <c r="R55" s="4861" t="s">
        <v>36</v>
      </c>
      <c r="S55" s="4834"/>
      <c r="T55" s="4861"/>
      <c r="U55" s="4861"/>
      <c r="V55" s="4861"/>
      <c r="W55" s="4861"/>
      <c r="X55" s="5378"/>
      <c r="Y55" s="4861"/>
      <c r="Z55" s="4861"/>
    </row>
    <row r="56" spans="1:26" s="1350" customFormat="1" hidden="1">
      <c r="A56" s="5622" t="s">
        <v>409</v>
      </c>
      <c r="B56" s="4839" t="s">
        <v>9826</v>
      </c>
      <c r="C56" s="4839" t="s">
        <v>44</v>
      </c>
      <c r="D56" s="4957">
        <v>45477</v>
      </c>
      <c r="E56" s="5071">
        <v>45490</v>
      </c>
      <c r="F56" s="4839" t="s">
        <v>151</v>
      </c>
      <c r="G56" s="4758" t="s">
        <v>46</v>
      </c>
      <c r="H56" s="4811"/>
      <c r="I56" s="4646"/>
      <c r="J56" s="4901" t="s">
        <v>32</v>
      </c>
      <c r="K56" s="4839" t="s">
        <v>47</v>
      </c>
      <c r="L56" s="4882" t="s">
        <v>9827</v>
      </c>
      <c r="M56" s="4953">
        <v>45490</v>
      </c>
      <c r="N56" s="4953">
        <v>45489</v>
      </c>
      <c r="O56" s="4953">
        <v>45491</v>
      </c>
      <c r="P56" s="4864" t="s">
        <v>9828</v>
      </c>
      <c r="Q56" s="5620" t="s">
        <v>6852</v>
      </c>
      <c r="R56" s="4861" t="s">
        <v>36</v>
      </c>
      <c r="S56" s="4834"/>
      <c r="T56" s="4861"/>
      <c r="U56" s="4861"/>
      <c r="V56" s="4861"/>
      <c r="W56" s="4861"/>
      <c r="X56" s="5378"/>
      <c r="Y56" s="4861"/>
      <c r="Z56" s="4861"/>
    </row>
    <row r="57" spans="1:26" s="1350" customFormat="1" hidden="1">
      <c r="A57" s="5622" t="s">
        <v>409</v>
      </c>
      <c r="B57" s="4839" t="s">
        <v>9829</v>
      </c>
      <c r="C57" s="4839" t="s">
        <v>44</v>
      </c>
      <c r="D57" s="4957">
        <v>45475</v>
      </c>
      <c r="E57" s="5071">
        <v>45487</v>
      </c>
      <c r="F57" s="4839" t="s">
        <v>56</v>
      </c>
      <c r="G57" s="4758" t="s">
        <v>46</v>
      </c>
      <c r="H57" s="834"/>
      <c r="I57" s="4646"/>
      <c r="J57" s="4901" t="s">
        <v>32</v>
      </c>
      <c r="K57" s="4839" t="s">
        <v>47</v>
      </c>
      <c r="L57" s="4882" t="s">
        <v>9830</v>
      </c>
      <c r="M57" s="4885">
        <v>45489</v>
      </c>
      <c r="N57" s="4953">
        <v>45488</v>
      </c>
      <c r="O57" s="4953">
        <v>45490</v>
      </c>
      <c r="P57" s="4864" t="s">
        <v>9831</v>
      </c>
      <c r="Q57" s="5620" t="s">
        <v>6852</v>
      </c>
      <c r="R57" s="4861" t="s">
        <v>36</v>
      </c>
      <c r="S57" s="4834"/>
      <c r="T57" s="4861"/>
      <c r="U57" s="4953"/>
      <c r="V57" s="4861"/>
      <c r="W57" s="4861"/>
      <c r="X57" s="5378"/>
      <c r="Y57" s="4861"/>
      <c r="Z57" s="4861"/>
    </row>
    <row r="58" spans="1:26" s="1350" customFormat="1" hidden="1">
      <c r="A58" s="3866" t="s">
        <v>409</v>
      </c>
      <c r="B58" s="5277" t="s">
        <v>9832</v>
      </c>
      <c r="C58" s="5277" t="s">
        <v>28</v>
      </c>
      <c r="D58" s="5403">
        <v>45471</v>
      </c>
      <c r="E58" s="5621">
        <v>45484</v>
      </c>
      <c r="F58" s="5277" t="s">
        <v>2225</v>
      </c>
      <c r="G58" s="4758" t="s">
        <v>57</v>
      </c>
      <c r="H58" s="4807"/>
      <c r="I58" s="4656"/>
      <c r="J58" s="5622" t="s">
        <v>32</v>
      </c>
      <c r="K58" s="4839" t="s">
        <v>47</v>
      </c>
      <c r="L58" s="723">
        <v>2550837</v>
      </c>
      <c r="M58" s="5406">
        <v>45486</v>
      </c>
      <c r="N58" s="5406">
        <v>45484</v>
      </c>
      <c r="O58" s="5406">
        <v>45485</v>
      </c>
      <c r="P58" s="5118" t="s">
        <v>9833</v>
      </c>
      <c r="Q58" s="5620" t="s">
        <v>6852</v>
      </c>
      <c r="R58" s="5277" t="s">
        <v>36</v>
      </c>
      <c r="S58" s="5118"/>
      <c r="T58" s="5277"/>
      <c r="U58" s="5277"/>
      <c r="V58" s="5277"/>
      <c r="W58" s="5623">
        <f>表15_17[[#This Row],[Sales Amount]]-表15_17[[#This Row],[Cost]]</f>
        <v>229.5</v>
      </c>
      <c r="X58" s="5409">
        <f>表15_17[[#This Row],[Profit]]/表15_17[[#This Row],[Cost]]</f>
        <v>0.25628140703517588</v>
      </c>
      <c r="Y58" s="5277"/>
      <c r="Z58" s="5277"/>
    </row>
    <row r="59" spans="1:26" s="52" customFormat="1" hidden="1">
      <c r="A59" s="5622" t="s">
        <v>409</v>
      </c>
      <c r="B59" s="5277" t="s">
        <v>9834</v>
      </c>
      <c r="C59" s="5277" t="s">
        <v>28</v>
      </c>
      <c r="D59" s="5403">
        <v>45490</v>
      </c>
      <c r="E59" s="5621">
        <v>45502</v>
      </c>
      <c r="F59" s="5277" t="s">
        <v>2225</v>
      </c>
      <c r="G59" s="4758" t="s">
        <v>57</v>
      </c>
      <c r="H59" s="4807"/>
      <c r="I59" s="4656"/>
      <c r="J59" s="5622" t="s">
        <v>32</v>
      </c>
      <c r="K59" s="4839" t="s">
        <v>47</v>
      </c>
      <c r="L59" s="723">
        <v>3701689</v>
      </c>
      <c r="M59" s="5406">
        <v>45505</v>
      </c>
      <c r="N59" s="4953">
        <v>45503</v>
      </c>
      <c r="O59" s="4953">
        <v>45505</v>
      </c>
      <c r="P59" s="4864" t="s">
        <v>9835</v>
      </c>
      <c r="Q59" s="5620" t="s">
        <v>6852</v>
      </c>
      <c r="R59" s="4861" t="s">
        <v>36</v>
      </c>
      <c r="S59" s="4834"/>
      <c r="T59" s="4861"/>
      <c r="U59" s="4861"/>
      <c r="V59" s="4861"/>
      <c r="W59" s="4861"/>
      <c r="X59" s="5378"/>
      <c r="Y59" s="4861"/>
      <c r="Z59" s="4861"/>
    </row>
    <row r="60" spans="1:26" s="1350" customFormat="1" hidden="1">
      <c r="A60" s="5622" t="s">
        <v>409</v>
      </c>
      <c r="B60" s="5277" t="s">
        <v>9836</v>
      </c>
      <c r="C60" s="5277" t="s">
        <v>28</v>
      </c>
      <c r="D60" s="5403">
        <v>45467</v>
      </c>
      <c r="E60" s="5634">
        <v>45485</v>
      </c>
      <c r="F60" s="5277" t="s">
        <v>2225</v>
      </c>
      <c r="G60" s="4758" t="s">
        <v>57</v>
      </c>
      <c r="H60" s="4807"/>
      <c r="I60" s="4656"/>
      <c r="J60" s="5622" t="s">
        <v>32</v>
      </c>
      <c r="K60" s="4839" t="s">
        <v>47</v>
      </c>
      <c r="L60" s="4882">
        <v>3337812</v>
      </c>
      <c r="M60" s="5406">
        <v>45487</v>
      </c>
      <c r="N60" s="5406">
        <v>45486</v>
      </c>
      <c r="O60" s="5406">
        <v>45488</v>
      </c>
      <c r="P60" s="5118" t="s">
        <v>9837</v>
      </c>
      <c r="Q60" s="5620" t="s">
        <v>6852</v>
      </c>
      <c r="R60" s="5277" t="s">
        <v>36</v>
      </c>
      <c r="S60" s="5118"/>
      <c r="T60" s="5277"/>
      <c r="U60" s="5277"/>
      <c r="V60" s="5277"/>
      <c r="W60" s="5623">
        <f>表15_17[[#This Row],[Sales Amount]]-表15_17[[#This Row],[Cost]]</f>
        <v>0</v>
      </c>
      <c r="X60" s="5409" t="e">
        <f>表15_17[[#This Row],[Profit]]/表15_17[[#This Row],[Cost]]</f>
        <v>#DIV/0!</v>
      </c>
      <c r="Y60" s="5277"/>
      <c r="Z60" s="5277"/>
    </row>
    <row r="61" spans="1:26" s="1350" customFormat="1" ht="15.75" hidden="1">
      <c r="A61" s="5622" t="s">
        <v>409</v>
      </c>
      <c r="B61" s="5277" t="s">
        <v>9838</v>
      </c>
      <c r="C61" s="5277" t="s">
        <v>28</v>
      </c>
      <c r="D61" s="5403">
        <v>45491</v>
      </c>
      <c r="E61" s="5621">
        <v>45496</v>
      </c>
      <c r="F61" s="5277" t="s">
        <v>2225</v>
      </c>
      <c r="G61" s="4758" t="s">
        <v>57</v>
      </c>
      <c r="H61" s="4807"/>
      <c r="I61" s="4656"/>
      <c r="J61" s="5622" t="s">
        <v>32</v>
      </c>
      <c r="K61" s="4839" t="s">
        <v>47</v>
      </c>
      <c r="L61" s="5635">
        <v>3698959</v>
      </c>
      <c r="M61" s="5406">
        <v>45498</v>
      </c>
      <c r="N61" s="4953">
        <v>45497</v>
      </c>
      <c r="O61" s="4953">
        <v>45499</v>
      </c>
      <c r="P61" s="4864" t="s">
        <v>9839</v>
      </c>
      <c r="Q61" s="5620" t="s">
        <v>6852</v>
      </c>
      <c r="R61" s="4861" t="s">
        <v>36</v>
      </c>
      <c r="S61" s="4834"/>
      <c r="T61" s="4861"/>
      <c r="U61" s="4861"/>
      <c r="V61" s="4861"/>
      <c r="W61" s="4861"/>
      <c r="X61" s="5378"/>
      <c r="Y61" s="4861"/>
      <c r="Z61" s="4861"/>
    </row>
    <row r="62" spans="1:26" s="1350" customFormat="1" hidden="1">
      <c r="A62" s="3866" t="s">
        <v>409</v>
      </c>
      <c r="B62" s="5277" t="s">
        <v>9840</v>
      </c>
      <c r="C62" s="5277" t="s">
        <v>28</v>
      </c>
      <c r="D62" s="5403">
        <v>45487</v>
      </c>
      <c r="E62" s="5621">
        <v>45493</v>
      </c>
      <c r="F62" s="5277" t="s">
        <v>260</v>
      </c>
      <c r="G62" s="4758" t="s">
        <v>46</v>
      </c>
      <c r="H62" s="4807"/>
      <c r="I62" s="4656"/>
      <c r="J62" s="5622" t="s">
        <v>32</v>
      </c>
      <c r="K62" s="4839" t="s">
        <v>47</v>
      </c>
      <c r="L62" s="707" t="s">
        <v>9841</v>
      </c>
      <c r="M62" s="5406">
        <v>45494</v>
      </c>
      <c r="N62" s="4953">
        <v>45491</v>
      </c>
      <c r="O62" s="4953">
        <v>45496</v>
      </c>
      <c r="P62" s="4864" t="s">
        <v>9842</v>
      </c>
      <c r="Q62" s="5620" t="s">
        <v>6852</v>
      </c>
      <c r="R62" s="4861" t="s">
        <v>36</v>
      </c>
      <c r="S62" s="4834"/>
      <c r="T62" s="4861"/>
      <c r="U62" s="4861"/>
      <c r="V62" s="4861"/>
      <c r="W62" s="4861"/>
      <c r="X62" s="5378"/>
      <c r="Y62" s="4861"/>
      <c r="Z62" s="4861"/>
    </row>
    <row r="63" spans="1:26" s="1350" customFormat="1" hidden="1">
      <c r="A63" s="3866" t="s">
        <v>409</v>
      </c>
      <c r="B63" s="5624" t="s">
        <v>9843</v>
      </c>
      <c r="C63" s="5277" t="s">
        <v>28</v>
      </c>
      <c r="D63" s="5403">
        <v>45487</v>
      </c>
      <c r="E63" s="2906">
        <v>45490</v>
      </c>
      <c r="F63" s="5277" t="s">
        <v>260</v>
      </c>
      <c r="G63" s="4758" t="s">
        <v>829</v>
      </c>
      <c r="H63" s="4807"/>
      <c r="I63" s="4656"/>
      <c r="J63" s="5622" t="s">
        <v>32</v>
      </c>
      <c r="K63" s="4839" t="s">
        <v>47</v>
      </c>
      <c r="L63" s="723" t="s">
        <v>9844</v>
      </c>
      <c r="M63" s="5406">
        <v>45492</v>
      </c>
      <c r="N63" s="4953">
        <v>45490</v>
      </c>
      <c r="O63" s="4953">
        <v>45490</v>
      </c>
      <c r="P63" s="4864" t="s">
        <v>9845</v>
      </c>
      <c r="Q63" s="5620" t="s">
        <v>6852</v>
      </c>
      <c r="R63" s="4861" t="s">
        <v>36</v>
      </c>
      <c r="S63" s="4834"/>
      <c r="T63" s="4861"/>
      <c r="U63" s="4861"/>
      <c r="V63" s="4861"/>
      <c r="W63" s="4861"/>
      <c r="X63" s="5378"/>
      <c r="Y63" s="4861"/>
      <c r="Z63" s="4861"/>
    </row>
    <row r="64" spans="1:26" s="52" customFormat="1" hidden="1">
      <c r="A64" s="5622" t="s">
        <v>409</v>
      </c>
      <c r="B64" s="5277" t="s">
        <v>9846</v>
      </c>
      <c r="C64" s="5277" t="s">
        <v>28</v>
      </c>
      <c r="D64" s="5403">
        <v>45487</v>
      </c>
      <c r="E64" s="5621">
        <v>45492</v>
      </c>
      <c r="F64" s="5277" t="s">
        <v>260</v>
      </c>
      <c r="G64" s="4758" t="s">
        <v>46</v>
      </c>
      <c r="H64" s="4807"/>
      <c r="I64" s="4656"/>
      <c r="J64" s="5622" t="s">
        <v>32</v>
      </c>
      <c r="K64" s="4839" t="s">
        <v>47</v>
      </c>
      <c r="L64" s="707" t="s">
        <v>9847</v>
      </c>
      <c r="M64" s="5406">
        <v>45494</v>
      </c>
      <c r="N64" s="4953">
        <v>45492</v>
      </c>
      <c r="O64" s="4953">
        <v>45495</v>
      </c>
      <c r="P64" s="4864" t="s">
        <v>9848</v>
      </c>
      <c r="Q64" s="5620" t="s">
        <v>6852</v>
      </c>
      <c r="R64" s="4861" t="s">
        <v>36</v>
      </c>
      <c r="S64" s="4834"/>
      <c r="T64" s="4861"/>
      <c r="U64" s="4861"/>
      <c r="V64" s="4861"/>
      <c r="W64" s="4861"/>
      <c r="X64" s="5378"/>
      <c r="Y64" s="4861"/>
      <c r="Z64" s="4861"/>
    </row>
    <row r="65" spans="1:26" s="1350" customFormat="1" hidden="1">
      <c r="A65" s="5622" t="s">
        <v>409</v>
      </c>
      <c r="B65" s="5277" t="s">
        <v>9849</v>
      </c>
      <c r="C65" s="5277" t="s">
        <v>28</v>
      </c>
      <c r="D65" s="5403">
        <v>45491</v>
      </c>
      <c r="E65" s="5621">
        <v>45504</v>
      </c>
      <c r="F65" s="5277" t="s">
        <v>151</v>
      </c>
      <c r="G65" s="4758" t="s">
        <v>46</v>
      </c>
      <c r="H65" s="4807"/>
      <c r="I65" s="4656"/>
      <c r="J65" s="5622" t="s">
        <v>32</v>
      </c>
      <c r="K65" s="4839" t="s">
        <v>47</v>
      </c>
      <c r="L65" s="4864" t="s">
        <v>9850</v>
      </c>
      <c r="M65" s="5406">
        <v>45506</v>
      </c>
      <c r="N65" s="4953">
        <v>45505</v>
      </c>
      <c r="O65" s="4953">
        <v>45507</v>
      </c>
      <c r="P65" s="4864" t="s">
        <v>9851</v>
      </c>
      <c r="Q65" s="5620" t="s">
        <v>6852</v>
      </c>
      <c r="R65" s="4861" t="s">
        <v>51</v>
      </c>
      <c r="S65" s="4834"/>
      <c r="T65" s="4861"/>
      <c r="U65" s="4861"/>
      <c r="V65" s="4861"/>
      <c r="W65" s="4861"/>
      <c r="X65" s="5378"/>
      <c r="Y65" s="4861"/>
      <c r="Z65" s="4861"/>
    </row>
    <row r="66" spans="1:26" s="36" customFormat="1" hidden="1">
      <c r="A66" s="4669" t="s">
        <v>409</v>
      </c>
      <c r="B66" s="5277" t="s">
        <v>9852</v>
      </c>
      <c r="C66" s="6077" t="s">
        <v>44</v>
      </c>
      <c r="D66" s="5403">
        <v>45480</v>
      </c>
      <c r="E66" s="5621">
        <v>45482</v>
      </c>
      <c r="F66" s="5277" t="s">
        <v>260</v>
      </c>
      <c r="G66" s="4758" t="s">
        <v>46</v>
      </c>
      <c r="H66" s="4807"/>
      <c r="I66" s="4656"/>
      <c r="J66" s="5622" t="s">
        <v>32</v>
      </c>
      <c r="K66" s="4839" t="s">
        <v>47</v>
      </c>
      <c r="L66" s="723" t="s">
        <v>9853</v>
      </c>
      <c r="M66" s="5406">
        <v>45484</v>
      </c>
      <c r="N66" s="4953">
        <v>45482</v>
      </c>
      <c r="O66" s="4953">
        <v>45485</v>
      </c>
      <c r="P66" s="723" t="s">
        <v>9854</v>
      </c>
      <c r="Q66" s="5620" t="s">
        <v>6852</v>
      </c>
      <c r="R66" s="709" t="s">
        <v>36</v>
      </c>
      <c r="S66" s="4834"/>
      <c r="T66" s="4861"/>
      <c r="U66" s="4861"/>
      <c r="V66" s="4861"/>
      <c r="W66" s="4861"/>
      <c r="X66" s="5378"/>
      <c r="Y66" s="4861"/>
      <c r="Z66" s="4861"/>
    </row>
    <row r="67" spans="1:26" s="1350" customFormat="1" hidden="1">
      <c r="A67" s="5622" t="s">
        <v>409</v>
      </c>
      <c r="B67" s="5277" t="s">
        <v>9855</v>
      </c>
      <c r="C67" s="5277" t="s">
        <v>28</v>
      </c>
      <c r="D67" s="5403">
        <v>45487</v>
      </c>
      <c r="E67" s="5621">
        <v>45489</v>
      </c>
      <c r="F67" s="5277" t="s">
        <v>260</v>
      </c>
      <c r="G67" s="4758" t="s">
        <v>46</v>
      </c>
      <c r="H67" s="4807"/>
      <c r="I67" s="4656"/>
      <c r="J67" s="5622" t="s">
        <v>32</v>
      </c>
      <c r="K67" s="4839" t="s">
        <v>47</v>
      </c>
      <c r="L67" s="4864" t="s">
        <v>9856</v>
      </c>
      <c r="M67" s="1416">
        <v>45491</v>
      </c>
      <c r="N67" s="4953">
        <v>45489</v>
      </c>
      <c r="O67" s="4953">
        <v>45491</v>
      </c>
      <c r="P67" s="4864" t="s">
        <v>9857</v>
      </c>
      <c r="Q67" s="5620" t="s">
        <v>6852</v>
      </c>
      <c r="R67" s="4861" t="s">
        <v>36</v>
      </c>
      <c r="S67" s="4834"/>
      <c r="T67" s="4861"/>
      <c r="U67" s="4861"/>
      <c r="V67" s="4861"/>
      <c r="W67" s="4861"/>
      <c r="X67" s="5378"/>
      <c r="Y67" s="4861"/>
      <c r="Z67" s="4861"/>
    </row>
    <row r="68" spans="1:26" s="52" customFormat="1" hidden="1">
      <c r="A68" s="3866" t="s">
        <v>409</v>
      </c>
      <c r="B68" s="5277" t="s">
        <v>9858</v>
      </c>
      <c r="C68" s="5277" t="s">
        <v>28</v>
      </c>
      <c r="D68" s="5403">
        <v>45487</v>
      </c>
      <c r="E68" s="2906">
        <v>45493</v>
      </c>
      <c r="F68" s="5277" t="s">
        <v>260</v>
      </c>
      <c r="G68" s="4758" t="s">
        <v>46</v>
      </c>
      <c r="H68" s="4807"/>
      <c r="I68" s="4656"/>
      <c r="J68" s="5622" t="s">
        <v>32</v>
      </c>
      <c r="K68" s="4839" t="s">
        <v>47</v>
      </c>
      <c r="L68" s="707" t="s">
        <v>9859</v>
      </c>
      <c r="M68" s="5406">
        <v>45494</v>
      </c>
      <c r="N68" s="4953">
        <v>45492</v>
      </c>
      <c r="O68" s="4953">
        <v>45497</v>
      </c>
      <c r="P68" s="4864" t="s">
        <v>9860</v>
      </c>
      <c r="Q68" s="5620" t="s">
        <v>6852</v>
      </c>
      <c r="R68" s="4861" t="s">
        <v>36</v>
      </c>
      <c r="S68" s="4834"/>
      <c r="T68" s="4861"/>
      <c r="U68" s="4861"/>
      <c r="V68" s="4861"/>
      <c r="W68" s="4861"/>
      <c r="X68" s="5378"/>
      <c r="Y68" s="4861"/>
      <c r="Z68" s="4861"/>
    </row>
    <row r="69" spans="1:26" s="1350" customFormat="1" ht="30" hidden="1">
      <c r="A69" s="3866" t="s">
        <v>409</v>
      </c>
      <c r="B69" s="5277" t="s">
        <v>9861</v>
      </c>
      <c r="C69" s="5277" t="s">
        <v>44</v>
      </c>
      <c r="D69" s="5403">
        <v>45480</v>
      </c>
      <c r="E69" s="2906">
        <v>45485</v>
      </c>
      <c r="F69" s="5277" t="s">
        <v>260</v>
      </c>
      <c r="G69" s="4758" t="s">
        <v>46</v>
      </c>
      <c r="H69" s="4807"/>
      <c r="I69" s="4656"/>
      <c r="J69" s="5622" t="s">
        <v>32</v>
      </c>
      <c r="K69" s="4839" t="s">
        <v>47</v>
      </c>
      <c r="L69" s="5432" t="s">
        <v>9862</v>
      </c>
      <c r="M69" s="5406">
        <v>45487</v>
      </c>
      <c r="N69" s="4953">
        <v>45488</v>
      </c>
      <c r="O69" s="4953">
        <v>45490</v>
      </c>
      <c r="P69" s="4864" t="s">
        <v>9863</v>
      </c>
      <c r="Q69" s="5620" t="s">
        <v>6852</v>
      </c>
      <c r="R69" s="4861" t="s">
        <v>36</v>
      </c>
      <c r="S69" s="4834"/>
      <c r="T69" s="4861"/>
      <c r="U69" s="4861"/>
      <c r="V69" s="4861"/>
      <c r="W69" s="4861"/>
      <c r="X69" s="5378"/>
      <c r="Y69" s="4861"/>
      <c r="Z69" s="4861"/>
    </row>
    <row r="70" spans="1:26" s="1350" customFormat="1" ht="45" hidden="1">
      <c r="A70" s="3738" t="s">
        <v>710</v>
      </c>
      <c r="B70" s="4970" t="s">
        <v>9864</v>
      </c>
      <c r="C70" s="4921" t="s">
        <v>28</v>
      </c>
      <c r="D70" s="5207">
        <v>45472</v>
      </c>
      <c r="E70" s="5208">
        <v>45483</v>
      </c>
      <c r="F70" s="4921" t="s">
        <v>63</v>
      </c>
      <c r="G70" s="4765" t="s">
        <v>30</v>
      </c>
      <c r="H70" s="2211">
        <v>45485</v>
      </c>
      <c r="I70" s="4787" t="s">
        <v>9865</v>
      </c>
      <c r="J70" s="5627" t="s">
        <v>9695</v>
      </c>
      <c r="K70" s="4829" t="s">
        <v>9866</v>
      </c>
      <c r="L70" s="5636" t="s">
        <v>9867</v>
      </c>
      <c r="M70" s="5208">
        <v>45485</v>
      </c>
      <c r="N70" s="5207">
        <v>45484</v>
      </c>
      <c r="O70" s="5207">
        <v>45485</v>
      </c>
      <c r="P70" s="4829" t="s">
        <v>9868</v>
      </c>
      <c r="Q70" s="5515" t="s">
        <v>75</v>
      </c>
      <c r="R70" s="4970" t="s">
        <v>9869</v>
      </c>
      <c r="S70" s="4829" t="s">
        <v>9870</v>
      </c>
      <c r="T70" s="5174">
        <v>1955</v>
      </c>
      <c r="U70" s="4921">
        <f>936.4+75</f>
        <v>1011.4</v>
      </c>
      <c r="V70" s="4921">
        <v>1</v>
      </c>
      <c r="W70" s="5174">
        <f>表15_1731[[#This Row],[Sales Amount]]-表15_1731[[#This Row],[Cost]]</f>
        <v>943.6</v>
      </c>
      <c r="X70" s="5213">
        <f>表15_1731[[#This Row],[Profit]]/表15_1731[[#This Row],[Cost]]</f>
        <v>0.93296420802847546</v>
      </c>
      <c r="Y70" s="4921"/>
      <c r="Z70" s="4921"/>
    </row>
    <row r="71" spans="1:26" s="1350" customFormat="1" ht="45" hidden="1">
      <c r="A71" s="3738" t="s">
        <v>2618</v>
      </c>
      <c r="B71" s="4921" t="s">
        <v>9871</v>
      </c>
      <c r="C71" s="4921" t="s">
        <v>28</v>
      </c>
      <c r="D71" s="5207">
        <v>45476</v>
      </c>
      <c r="E71" s="5252">
        <v>45476</v>
      </c>
      <c r="F71" s="4921" t="s">
        <v>45</v>
      </c>
      <c r="G71" s="745" t="s">
        <v>9872</v>
      </c>
      <c r="H71" s="4815" t="s">
        <v>162</v>
      </c>
      <c r="I71" s="4788" t="s">
        <v>162</v>
      </c>
      <c r="J71" s="5637" t="s">
        <v>162</v>
      </c>
      <c r="K71" s="5638" t="s">
        <v>8948</v>
      </c>
      <c r="L71" s="5147" t="s">
        <v>9873</v>
      </c>
      <c r="M71" s="5208">
        <v>45484</v>
      </c>
      <c r="N71" s="5207">
        <v>45483</v>
      </c>
      <c r="O71" s="5207">
        <v>45485</v>
      </c>
      <c r="P71" s="4829" t="s">
        <v>9874</v>
      </c>
      <c r="Q71" s="5515" t="s">
        <v>75</v>
      </c>
      <c r="R71" s="4921" t="s">
        <v>9875</v>
      </c>
      <c r="S71" s="4838" t="s">
        <v>2373</v>
      </c>
      <c r="T71" s="4921"/>
      <c r="U71" s="4921"/>
      <c r="V71" s="4921"/>
      <c r="W71" s="5174">
        <f>表15_17[[#This Row],[Sales Amount]]-表15_17[[#This Row],[Cost]]</f>
        <v>160.19999999999999</v>
      </c>
      <c r="X71" s="5213">
        <f>表15_17[[#This Row],[Profit]]/表15_17[[#This Row],[Cost]]</f>
        <v>0.41632016632016627</v>
      </c>
      <c r="Y71" s="4921"/>
      <c r="Z71" s="4921"/>
    </row>
    <row r="72" spans="1:26" s="1350" customFormat="1" hidden="1">
      <c r="A72" s="3866" t="s">
        <v>2396</v>
      </c>
      <c r="B72" s="5277" t="s">
        <v>9876</v>
      </c>
      <c r="C72" s="5277" t="s">
        <v>28</v>
      </c>
      <c r="D72" s="5403">
        <v>45480</v>
      </c>
      <c r="E72" s="5621">
        <v>45481</v>
      </c>
      <c r="F72" s="4839" t="s">
        <v>9474</v>
      </c>
      <c r="G72" s="844" t="s">
        <v>6204</v>
      </c>
      <c r="H72" s="4811">
        <v>45483</v>
      </c>
      <c r="I72" s="4599"/>
      <c r="J72" s="4901" t="s">
        <v>8977</v>
      </c>
      <c r="K72" s="4839" t="s">
        <v>8978</v>
      </c>
      <c r="L72" s="1365"/>
      <c r="M72" s="5406">
        <v>45488</v>
      </c>
      <c r="N72" s="5406">
        <v>45483</v>
      </c>
      <c r="O72" s="5406">
        <v>45485</v>
      </c>
      <c r="P72" s="5405" t="s">
        <v>9877</v>
      </c>
      <c r="Q72" s="5539" t="s">
        <v>9226</v>
      </c>
      <c r="R72" s="5277" t="s">
        <v>9878</v>
      </c>
      <c r="S72" s="5118"/>
      <c r="T72" s="5277">
        <v>455</v>
      </c>
      <c r="U72" s="5277">
        <v>306.89999999999998</v>
      </c>
      <c r="V72" s="5277">
        <v>1</v>
      </c>
      <c r="W72" s="5623">
        <f>表15_1731[[#This Row],[Sales Amount]]-表15_1731[[#This Row],[Cost]]</f>
        <v>148.10000000000002</v>
      </c>
      <c r="X72" s="5409">
        <f>表15_1731[[#This Row],[Profit]]/表15_1731[[#This Row],[Cost]]</f>
        <v>0.48256761159986977</v>
      </c>
      <c r="Y72" s="5277"/>
      <c r="Z72" s="5277"/>
    </row>
    <row r="73" spans="1:26" s="1350" customFormat="1" hidden="1">
      <c r="A73" s="3866" t="s">
        <v>2396</v>
      </c>
      <c r="B73" s="5277" t="s">
        <v>9879</v>
      </c>
      <c r="C73" s="5277" t="s">
        <v>28</v>
      </c>
      <c r="D73" s="5403">
        <v>45479</v>
      </c>
      <c r="E73" s="2906">
        <v>45481</v>
      </c>
      <c r="F73" s="4839" t="s">
        <v>9474</v>
      </c>
      <c r="G73" s="58" t="s">
        <v>6204</v>
      </c>
      <c r="H73" s="4812">
        <v>45484</v>
      </c>
      <c r="I73" s="4599"/>
      <c r="J73" s="4901" t="s">
        <v>1478</v>
      </c>
      <c r="K73" s="4852" t="s">
        <v>4361</v>
      </c>
      <c r="L73" s="2989"/>
      <c r="M73" s="5406">
        <v>45488</v>
      </c>
      <c r="N73" s="5406">
        <v>45484</v>
      </c>
      <c r="O73" s="5406">
        <v>45488</v>
      </c>
      <c r="P73" s="5118" t="s">
        <v>9880</v>
      </c>
      <c r="Q73" s="5539" t="s">
        <v>9226</v>
      </c>
      <c r="R73" s="5277" t="s">
        <v>9881</v>
      </c>
      <c r="S73" s="5118"/>
      <c r="T73" s="5277">
        <v>695</v>
      </c>
      <c r="U73" s="5277">
        <v>486.9</v>
      </c>
      <c r="V73" s="5277">
        <v>1</v>
      </c>
      <c r="W73" s="5623">
        <f>表15_1731[[#This Row],[Sales Amount]]-表15_1731[[#This Row],[Cost]]</f>
        <v>208.10000000000002</v>
      </c>
      <c r="X73" s="5409">
        <f>表15_1731[[#This Row],[Profit]]/表15_1731[[#This Row],[Cost]]</f>
        <v>0.42739782296159384</v>
      </c>
      <c r="Y73" s="5277"/>
      <c r="Z73" s="5277"/>
    </row>
    <row r="74" spans="1:26" s="52" customFormat="1" hidden="1">
      <c r="A74" s="3866" t="s">
        <v>2396</v>
      </c>
      <c r="B74" s="5277" t="s">
        <v>9882</v>
      </c>
      <c r="C74" s="5277" t="s">
        <v>28</v>
      </c>
      <c r="D74" s="5403">
        <v>45480</v>
      </c>
      <c r="E74" s="5621">
        <v>45481</v>
      </c>
      <c r="F74" s="4839" t="s">
        <v>9474</v>
      </c>
      <c r="G74" s="4766" t="s">
        <v>6204</v>
      </c>
      <c r="H74" s="4811">
        <v>45483</v>
      </c>
      <c r="I74" s="4599"/>
      <c r="J74" s="4901" t="s">
        <v>8977</v>
      </c>
      <c r="K74" s="4839" t="s">
        <v>8978</v>
      </c>
      <c r="L74" s="5118"/>
      <c r="M74" s="5406">
        <v>45488</v>
      </c>
      <c r="N74" s="5406">
        <v>45483</v>
      </c>
      <c r="O74" s="5406">
        <v>45485</v>
      </c>
      <c r="P74" s="5118" t="s">
        <v>9877</v>
      </c>
      <c r="Q74" s="5539" t="s">
        <v>9226</v>
      </c>
      <c r="R74" s="5277" t="s">
        <v>9883</v>
      </c>
      <c r="S74" s="5118"/>
      <c r="T74" s="5277">
        <v>455</v>
      </c>
      <c r="U74" s="5277">
        <v>306.89999999999998</v>
      </c>
      <c r="V74" s="5277">
        <v>1</v>
      </c>
      <c r="W74" s="5623">
        <f>表15_1731[[#This Row],[Sales Amount]]-表15_1731[[#This Row],[Cost]]</f>
        <v>148.10000000000002</v>
      </c>
      <c r="X74" s="5409">
        <f>表15_1731[[#This Row],[Profit]]/表15_1731[[#This Row],[Cost]]</f>
        <v>0.48256761159986977</v>
      </c>
      <c r="Y74" s="5277"/>
      <c r="Z74" s="5277"/>
    </row>
    <row r="75" spans="1:26" s="52" customFormat="1" ht="45" hidden="1">
      <c r="A75" s="5326" t="s">
        <v>2396</v>
      </c>
      <c r="B75" s="4861" t="s">
        <v>9884</v>
      </c>
      <c r="C75" s="5277" t="s">
        <v>200</v>
      </c>
      <c r="D75" s="5406">
        <v>45474</v>
      </c>
      <c r="E75" s="1417">
        <v>45494</v>
      </c>
      <c r="F75" s="4839" t="s">
        <v>245</v>
      </c>
      <c r="G75" s="4767" t="s">
        <v>9885</v>
      </c>
      <c r="H75" s="4816">
        <v>45496</v>
      </c>
      <c r="I75" s="4601" t="s">
        <v>9886</v>
      </c>
      <c r="J75" s="5639" t="s">
        <v>9887</v>
      </c>
      <c r="K75" s="4834" t="s">
        <v>9888</v>
      </c>
      <c r="L75" s="5118">
        <v>2830</v>
      </c>
      <c r="M75" s="5406">
        <v>45496</v>
      </c>
      <c r="N75" s="4953">
        <v>45496</v>
      </c>
      <c r="O75" s="4885">
        <v>45498</v>
      </c>
      <c r="P75" s="4890" t="s">
        <v>9889</v>
      </c>
      <c r="Q75" s="5576" t="s">
        <v>9226</v>
      </c>
      <c r="R75" s="4861" t="s">
        <v>9890</v>
      </c>
      <c r="S75" s="4834"/>
      <c r="T75" s="5577">
        <v>2460</v>
      </c>
      <c r="U75" s="4861">
        <v>1278.7</v>
      </c>
      <c r="V75" s="4861">
        <v>1</v>
      </c>
      <c r="W75" s="5577">
        <f>表15_1731[[#This Row],[Sales Amount]]-表15_1731[[#This Row],[Cost]]</f>
        <v>1181.3</v>
      </c>
      <c r="X75" s="5378">
        <f>表15_1731[[#This Row],[Profit]]/表15_1731[[#This Row],[Cost]]</f>
        <v>0.92382888871510116</v>
      </c>
      <c r="Y75" s="4861"/>
      <c r="Z75" s="4861"/>
    </row>
    <row r="76" spans="1:26" s="1350" customFormat="1" ht="45" hidden="1">
      <c r="A76" s="5326" t="s">
        <v>9891</v>
      </c>
      <c r="B76" s="4874" t="s">
        <v>9892</v>
      </c>
      <c r="C76" s="5277" t="s">
        <v>200</v>
      </c>
      <c r="D76" s="5403">
        <v>45474</v>
      </c>
      <c r="E76" s="5621">
        <v>45494</v>
      </c>
      <c r="F76" s="4839" t="s">
        <v>245</v>
      </c>
      <c r="G76" s="4767" t="s">
        <v>9885</v>
      </c>
      <c r="H76" s="4812">
        <v>45496</v>
      </c>
      <c r="I76" s="4789">
        <v>0.375</v>
      </c>
      <c r="J76" s="5639" t="s">
        <v>9887</v>
      </c>
      <c r="K76" s="5640" t="s">
        <v>9888</v>
      </c>
      <c r="L76" s="5118">
        <v>5711</v>
      </c>
      <c r="M76" s="5406">
        <v>45496</v>
      </c>
      <c r="N76" s="5406">
        <v>45496</v>
      </c>
      <c r="O76" s="4953">
        <v>45496</v>
      </c>
      <c r="P76" s="5118" t="s">
        <v>9893</v>
      </c>
      <c r="Q76" s="5576" t="s">
        <v>9226</v>
      </c>
      <c r="R76" s="5277" t="s">
        <v>9894</v>
      </c>
      <c r="S76" s="5118"/>
      <c r="T76" s="5277">
        <v>1500</v>
      </c>
      <c r="U76" s="5277">
        <v>1238.7</v>
      </c>
      <c r="V76" s="5277">
        <v>1</v>
      </c>
      <c r="W76" s="5623">
        <f>表15_1731[[#This Row],[Sales Amount]]-表15_1731[[#This Row],[Cost]]</f>
        <v>261.29999999999995</v>
      </c>
      <c r="X76" s="2477">
        <f>表15_1731[[#This Row],[Profit]]/表15_1731[[#This Row],[Cost]]</f>
        <v>0.21094696052312903</v>
      </c>
      <c r="Y76" s="5277"/>
      <c r="Z76" s="5277"/>
    </row>
    <row r="77" spans="1:26" s="1350" customFormat="1" ht="45" hidden="1">
      <c r="A77" s="4668" t="s">
        <v>2396</v>
      </c>
      <c r="B77" s="4861" t="s">
        <v>9895</v>
      </c>
      <c r="C77" s="4861" t="s">
        <v>28</v>
      </c>
      <c r="D77" s="4953">
        <v>45487</v>
      </c>
      <c r="E77" s="4885">
        <v>45487</v>
      </c>
      <c r="F77" s="4839" t="s">
        <v>260</v>
      </c>
      <c r="G77" s="4767" t="s">
        <v>6204</v>
      </c>
      <c r="H77" s="4812">
        <v>45513</v>
      </c>
      <c r="I77" s="4790">
        <v>0.41666666666666669</v>
      </c>
      <c r="J77" s="4901" t="s">
        <v>1478</v>
      </c>
      <c r="K77" s="4834" t="s">
        <v>9896</v>
      </c>
      <c r="L77" s="4864" t="s">
        <v>9897</v>
      </c>
      <c r="M77" s="4953">
        <v>45495</v>
      </c>
      <c r="N77" s="4953">
        <v>45495</v>
      </c>
      <c r="O77" s="4953">
        <v>45517</v>
      </c>
      <c r="P77" s="4890" t="s">
        <v>9898</v>
      </c>
      <c r="Q77" s="5576" t="s">
        <v>9226</v>
      </c>
      <c r="R77" s="4861" t="s">
        <v>9899</v>
      </c>
      <c r="S77" s="4864"/>
      <c r="T77" s="5577">
        <v>1790</v>
      </c>
      <c r="U77" s="4861">
        <v>707</v>
      </c>
      <c r="V77" s="4861"/>
      <c r="W77" s="5577">
        <f>表15_1731[[#This Row],[Sales Amount]]-表15_1731[[#This Row],[Cost]]</f>
        <v>1083</v>
      </c>
      <c r="X77" s="5378">
        <f>表15_1731[[#This Row],[Profit]]/表15_1731[[#This Row],[Cost]]</f>
        <v>1.5318246110325318</v>
      </c>
      <c r="Y77" s="4861"/>
      <c r="Z77" s="4861"/>
    </row>
    <row r="78" spans="1:26" s="1350" customFormat="1" ht="45" hidden="1">
      <c r="A78" s="5326" t="s">
        <v>2396</v>
      </c>
      <c r="B78" s="4861" t="s">
        <v>9900</v>
      </c>
      <c r="C78" s="4861" t="s">
        <v>28</v>
      </c>
      <c r="D78" s="4953">
        <v>45487</v>
      </c>
      <c r="E78" s="4885">
        <v>45487</v>
      </c>
      <c r="F78" s="4839" t="s">
        <v>260</v>
      </c>
      <c r="G78" s="4767" t="s">
        <v>6204</v>
      </c>
      <c r="H78" s="4812">
        <v>45513</v>
      </c>
      <c r="I78" s="4790">
        <v>0.45833333333333331</v>
      </c>
      <c r="J78" s="4901" t="s">
        <v>1478</v>
      </c>
      <c r="K78" s="4834" t="s">
        <v>9896</v>
      </c>
      <c r="L78" s="4864" t="s">
        <v>9897</v>
      </c>
      <c r="M78" s="4953">
        <v>45495</v>
      </c>
      <c r="N78" s="4953">
        <v>45495</v>
      </c>
      <c r="O78" s="4953">
        <v>45517</v>
      </c>
      <c r="P78" s="4864" t="s">
        <v>9901</v>
      </c>
      <c r="Q78" s="5576" t="s">
        <v>9226</v>
      </c>
      <c r="R78" s="4861" t="s">
        <v>9902</v>
      </c>
      <c r="S78" s="4864"/>
      <c r="T78" s="5577">
        <v>1790</v>
      </c>
      <c r="U78" s="4861">
        <v>707</v>
      </c>
      <c r="V78" s="4861"/>
      <c r="W78" s="5577">
        <f>表15_1731[[#This Row],[Sales Amount]]-表15_1731[[#This Row],[Cost]]</f>
        <v>1083</v>
      </c>
      <c r="X78" s="5378">
        <f>表15_1731[[#This Row],[Profit]]/表15_1731[[#This Row],[Cost]]</f>
        <v>1.5318246110325318</v>
      </c>
      <c r="Y78" s="4861"/>
      <c r="Z78" s="4861"/>
    </row>
    <row r="79" spans="1:26" s="1350" customFormat="1" ht="45" hidden="1">
      <c r="A79" s="5326" t="s">
        <v>2396</v>
      </c>
      <c r="B79" s="4971" t="s">
        <v>9903</v>
      </c>
      <c r="C79" s="4861" t="s">
        <v>200</v>
      </c>
      <c r="D79" s="4953">
        <v>45474</v>
      </c>
      <c r="E79" s="4885">
        <v>45502</v>
      </c>
      <c r="F79" s="4839" t="s">
        <v>245</v>
      </c>
      <c r="G79" s="4767" t="s">
        <v>9885</v>
      </c>
      <c r="H79" s="4811">
        <v>45503</v>
      </c>
      <c r="I79" s="4790">
        <v>0.375</v>
      </c>
      <c r="J79" s="5639" t="s">
        <v>9887</v>
      </c>
      <c r="K79" s="4839" t="s">
        <v>9904</v>
      </c>
      <c r="L79" s="5118">
        <v>2820</v>
      </c>
      <c r="M79" s="4953">
        <v>45503</v>
      </c>
      <c r="N79" s="4953">
        <v>45502</v>
      </c>
      <c r="O79" s="4953">
        <v>45503</v>
      </c>
      <c r="P79" s="4864" t="s">
        <v>9905</v>
      </c>
      <c r="Q79" s="5576" t="s">
        <v>9226</v>
      </c>
      <c r="R79" s="4861" t="s">
        <v>9906</v>
      </c>
      <c r="S79" s="4864"/>
      <c r="T79" s="5577">
        <v>1635</v>
      </c>
      <c r="U79" s="4861">
        <v>1238.7</v>
      </c>
      <c r="V79" s="4861">
        <v>1</v>
      </c>
      <c r="W79" s="5577">
        <f>表15_1731[[#This Row],[Sales Amount]]-表15_1731[[#This Row],[Cost]]</f>
        <v>396.29999999999995</v>
      </c>
      <c r="X79" s="5378">
        <f>表15_1731[[#This Row],[Profit]]/表15_1731[[#This Row],[Cost]]</f>
        <v>0.31993218697021064</v>
      </c>
      <c r="Y79" s="4861"/>
      <c r="Z79" s="4861"/>
    </row>
    <row r="80" spans="1:26" s="1350" customFormat="1" ht="45" hidden="1">
      <c r="A80" s="5326" t="s">
        <v>2396</v>
      </c>
      <c r="B80" s="4971" t="s">
        <v>9907</v>
      </c>
      <c r="C80" s="5277" t="s">
        <v>200</v>
      </c>
      <c r="D80" s="5406">
        <v>45474</v>
      </c>
      <c r="E80" s="5538">
        <v>45494</v>
      </c>
      <c r="F80" s="4839" t="s">
        <v>245</v>
      </c>
      <c r="G80" s="4767" t="s">
        <v>9885</v>
      </c>
      <c r="H80" s="4812">
        <v>45497</v>
      </c>
      <c r="I80" s="4790">
        <v>0.375</v>
      </c>
      <c r="J80" s="5639" t="s">
        <v>9887</v>
      </c>
      <c r="K80" s="5641" t="s">
        <v>9888</v>
      </c>
      <c r="L80" s="5118">
        <v>3406</v>
      </c>
      <c r="M80" s="5406">
        <v>45496</v>
      </c>
      <c r="N80" s="4953">
        <v>45496</v>
      </c>
      <c r="O80" s="4888">
        <v>45498</v>
      </c>
      <c r="P80" s="4864" t="s">
        <v>9908</v>
      </c>
      <c r="Q80" s="5576" t="s">
        <v>9226</v>
      </c>
      <c r="R80" s="4861" t="s">
        <v>9909</v>
      </c>
      <c r="S80" s="4834"/>
      <c r="T80" s="5577">
        <v>1680</v>
      </c>
      <c r="U80" s="4861">
        <v>2152.4</v>
      </c>
      <c r="V80" s="4861">
        <v>1</v>
      </c>
      <c r="W80" s="5577">
        <f>表15_1731[[#This Row],[Sales Amount]]-表15_1731[[#This Row],[Cost]]</f>
        <v>-472.40000000000009</v>
      </c>
      <c r="X80" s="5378">
        <f>表15_1731[[#This Row],[Profit]]/表15_1731[[#This Row],[Cost]]</f>
        <v>-0.21947593384129346</v>
      </c>
      <c r="Y80" s="4861"/>
      <c r="Z80" s="4861"/>
    </row>
    <row r="81" spans="1:26" s="709" customFormat="1" ht="45" hidden="1">
      <c r="A81" s="4668" t="s">
        <v>2396</v>
      </c>
      <c r="B81" s="4861" t="s">
        <v>9910</v>
      </c>
      <c r="C81" s="4861" t="s">
        <v>28</v>
      </c>
      <c r="D81" s="4953">
        <v>45487</v>
      </c>
      <c r="E81" s="4885">
        <v>45487</v>
      </c>
      <c r="F81" s="4839" t="s">
        <v>260</v>
      </c>
      <c r="G81" s="4767" t="s">
        <v>6204</v>
      </c>
      <c r="H81" s="4812">
        <v>45513</v>
      </c>
      <c r="I81" s="4790">
        <v>0</v>
      </c>
      <c r="J81" s="4901" t="s">
        <v>1478</v>
      </c>
      <c r="K81" s="5640" t="s">
        <v>9896</v>
      </c>
      <c r="L81" s="4884" t="s">
        <v>9897</v>
      </c>
      <c r="M81" s="4953">
        <v>45495</v>
      </c>
      <c r="N81" s="4953">
        <v>45495</v>
      </c>
      <c r="O81" s="4953">
        <v>45517</v>
      </c>
      <c r="P81" s="4890" t="s">
        <v>9911</v>
      </c>
      <c r="Q81" s="5576" t="s">
        <v>9226</v>
      </c>
      <c r="R81" s="4861" t="s">
        <v>9912</v>
      </c>
      <c r="S81" s="4864"/>
      <c r="T81" s="5577">
        <v>1790</v>
      </c>
      <c r="U81" s="4861">
        <v>747</v>
      </c>
      <c r="V81" s="4861"/>
      <c r="W81" s="5577">
        <f>表15_1731[[#This Row],[Sales Amount]]-表15_1731[[#This Row],[Cost]]</f>
        <v>1043</v>
      </c>
      <c r="X81" s="5378">
        <f>表15_1731[[#This Row],[Profit]]/表15_1731[[#This Row],[Cost]]</f>
        <v>1.3962516733601071</v>
      </c>
      <c r="Y81" s="4861"/>
      <c r="Z81" s="5073"/>
    </row>
    <row r="82" spans="1:26" s="1350" customFormat="1" ht="45" hidden="1">
      <c r="A82" s="4668" t="s">
        <v>2396</v>
      </c>
      <c r="B82" s="4861" t="s">
        <v>9913</v>
      </c>
      <c r="C82" s="4861" t="s">
        <v>28</v>
      </c>
      <c r="D82" s="4953">
        <v>45487</v>
      </c>
      <c r="E82" s="4885">
        <v>45487</v>
      </c>
      <c r="F82" s="4839" t="s">
        <v>260</v>
      </c>
      <c r="G82" s="4767" t="s">
        <v>6204</v>
      </c>
      <c r="H82" s="4812">
        <v>45513</v>
      </c>
      <c r="I82" s="4790">
        <v>0.375</v>
      </c>
      <c r="J82" s="4901" t="s">
        <v>1478</v>
      </c>
      <c r="K82" s="4834" t="s">
        <v>9896</v>
      </c>
      <c r="L82" s="4864" t="s">
        <v>9897</v>
      </c>
      <c r="M82" s="4953">
        <v>45495</v>
      </c>
      <c r="N82" s="4953">
        <v>45495</v>
      </c>
      <c r="O82" s="4953">
        <v>45517</v>
      </c>
      <c r="P82" s="4864" t="s">
        <v>9911</v>
      </c>
      <c r="Q82" s="5576" t="s">
        <v>9226</v>
      </c>
      <c r="R82" s="4861" t="s">
        <v>9914</v>
      </c>
      <c r="S82" s="4864"/>
      <c r="T82" s="5577">
        <v>1790</v>
      </c>
      <c r="U82" s="4861">
        <v>707</v>
      </c>
      <c r="V82" s="4861">
        <v>1</v>
      </c>
      <c r="W82" s="5577">
        <f>表15_1731[[#This Row],[Sales Amount]]-表15_1731[[#This Row],[Cost]]</f>
        <v>1083</v>
      </c>
      <c r="X82" s="5378">
        <f>表15_1731[[#This Row],[Profit]]/表15_1731[[#This Row],[Cost]]</f>
        <v>1.5318246110325318</v>
      </c>
      <c r="Y82" s="4861"/>
      <c r="Z82" s="5073"/>
    </row>
    <row r="83" spans="1:26" s="36" customFormat="1" hidden="1">
      <c r="A83" s="4668" t="s">
        <v>9915</v>
      </c>
      <c r="B83" s="4861" t="s">
        <v>9916</v>
      </c>
      <c r="C83" s="4861" t="s">
        <v>28</v>
      </c>
      <c r="D83" s="4953">
        <v>45504</v>
      </c>
      <c r="E83" s="4885">
        <v>45504</v>
      </c>
      <c r="F83" s="4861" t="s">
        <v>173</v>
      </c>
      <c r="G83" s="4761" t="s">
        <v>9229</v>
      </c>
      <c r="H83" s="4194" t="s">
        <v>162</v>
      </c>
      <c r="I83" s="4791" t="s">
        <v>162</v>
      </c>
      <c r="J83" s="4886" t="s">
        <v>162</v>
      </c>
      <c r="K83" s="4886" t="s">
        <v>162</v>
      </c>
      <c r="L83" s="4864" t="s">
        <v>9917</v>
      </c>
      <c r="M83" s="4953">
        <v>45510</v>
      </c>
      <c r="N83" s="4953">
        <v>45510</v>
      </c>
      <c r="O83" s="4953">
        <v>45512</v>
      </c>
      <c r="P83" s="4864" t="s">
        <v>9918</v>
      </c>
      <c r="Q83" s="5576" t="s">
        <v>9226</v>
      </c>
      <c r="R83" s="5576" t="s">
        <v>9919</v>
      </c>
      <c r="S83" s="4864" t="s">
        <v>2373</v>
      </c>
      <c r="T83" s="4861"/>
      <c r="U83" s="4861"/>
      <c r="V83" s="4861"/>
      <c r="W83" s="5577">
        <f>表15_17[[#This Row],[Sales Amount]]-表15_17[[#This Row],[Cost]]</f>
        <v>0</v>
      </c>
      <c r="X83" s="5378" t="e">
        <f>表15_17[[#This Row],[Profit]]/表15_17[[#This Row],[Cost]]</f>
        <v>#DIV/0!</v>
      </c>
      <c r="Y83" s="4861"/>
      <c r="Z83" s="5073"/>
    </row>
    <row r="84" spans="1:26" s="1350" customFormat="1" ht="30" hidden="1">
      <c r="A84" s="4668" t="s">
        <v>9915</v>
      </c>
      <c r="B84" s="4890" t="s">
        <v>9920</v>
      </c>
      <c r="C84" s="4861" t="s">
        <v>28</v>
      </c>
      <c r="D84" s="4953">
        <v>45496</v>
      </c>
      <c r="E84" s="4953">
        <v>45496</v>
      </c>
      <c r="F84" s="4861" t="s">
        <v>173</v>
      </c>
      <c r="G84" s="4761" t="s">
        <v>9921</v>
      </c>
      <c r="H84" s="4194" t="s">
        <v>162</v>
      </c>
      <c r="I84" s="4791" t="s">
        <v>162</v>
      </c>
      <c r="J84" s="4886" t="s">
        <v>162</v>
      </c>
      <c r="K84" s="4886" t="s">
        <v>162</v>
      </c>
      <c r="L84" s="4864" t="s">
        <v>9917</v>
      </c>
      <c r="M84" s="4953">
        <v>45499</v>
      </c>
      <c r="N84" s="4953">
        <v>45499</v>
      </c>
      <c r="O84" s="4953">
        <v>45503</v>
      </c>
      <c r="P84" s="4890" t="s">
        <v>9922</v>
      </c>
      <c r="Q84" s="5576" t="s">
        <v>9226</v>
      </c>
      <c r="R84" s="5576" t="s">
        <v>9923</v>
      </c>
      <c r="S84" s="4864" t="s">
        <v>2373</v>
      </c>
      <c r="T84" s="4861"/>
      <c r="U84" s="4861"/>
      <c r="V84" s="4861"/>
      <c r="W84" s="4861"/>
      <c r="X84" s="5378"/>
      <c r="Y84" s="4861"/>
      <c r="Z84" s="5073"/>
    </row>
    <row r="85" spans="1:26" s="709" customFormat="1" ht="30" hidden="1">
      <c r="A85" s="4668" t="s">
        <v>9915</v>
      </c>
      <c r="B85" s="4861" t="s">
        <v>9924</v>
      </c>
      <c r="C85" s="4861" t="s">
        <v>28</v>
      </c>
      <c r="D85" s="4953">
        <v>45496</v>
      </c>
      <c r="E85" s="4953">
        <v>45496</v>
      </c>
      <c r="F85" s="4861" t="s">
        <v>173</v>
      </c>
      <c r="G85" s="4761" t="s">
        <v>9921</v>
      </c>
      <c r="H85" s="4194" t="s">
        <v>162</v>
      </c>
      <c r="I85" s="4791" t="s">
        <v>162</v>
      </c>
      <c r="J85" s="4886" t="s">
        <v>162</v>
      </c>
      <c r="K85" s="4886" t="s">
        <v>162</v>
      </c>
      <c r="L85" s="4864" t="s">
        <v>9917</v>
      </c>
      <c r="M85" s="4953">
        <v>45503</v>
      </c>
      <c r="N85" s="4953">
        <v>45503</v>
      </c>
      <c r="O85" s="4953">
        <v>45506</v>
      </c>
      <c r="P85" s="4890" t="s">
        <v>9925</v>
      </c>
      <c r="Q85" s="5576" t="s">
        <v>9226</v>
      </c>
      <c r="R85" s="5576" t="s">
        <v>9926</v>
      </c>
      <c r="S85" s="4864" t="s">
        <v>2373</v>
      </c>
      <c r="T85" s="4861"/>
      <c r="U85" s="4861"/>
      <c r="V85" s="4861"/>
      <c r="W85" s="4861"/>
      <c r="X85" s="5378"/>
      <c r="Y85" s="4861"/>
      <c r="Z85" s="5073"/>
    </row>
    <row r="86" spans="1:26" s="1350" customFormat="1" hidden="1">
      <c r="A86" s="4669" t="s">
        <v>9915</v>
      </c>
      <c r="B86" s="5277" t="s">
        <v>9927</v>
      </c>
      <c r="C86" s="5277" t="s">
        <v>28</v>
      </c>
      <c r="D86" s="5403">
        <v>45486</v>
      </c>
      <c r="E86" s="5403">
        <v>45487</v>
      </c>
      <c r="F86" s="5277" t="s">
        <v>173</v>
      </c>
      <c r="G86" s="4768" t="s">
        <v>9229</v>
      </c>
      <c r="H86" s="4807"/>
      <c r="I86" s="4656"/>
      <c r="J86" s="5622"/>
      <c r="K86" s="5277"/>
      <c r="L86" s="5118" t="s">
        <v>9917</v>
      </c>
      <c r="M86" s="5406">
        <v>45491</v>
      </c>
      <c r="N86" s="5406">
        <v>45490</v>
      </c>
      <c r="O86" s="5406">
        <v>45492</v>
      </c>
      <c r="P86" s="5118" t="s">
        <v>9928</v>
      </c>
      <c r="Q86" s="5539" t="s">
        <v>9226</v>
      </c>
      <c r="R86" s="5539" t="s">
        <v>9929</v>
      </c>
      <c r="S86" s="5118" t="s">
        <v>2373</v>
      </c>
      <c r="T86" s="5277"/>
      <c r="U86" s="5277"/>
      <c r="V86" s="5277"/>
      <c r="W86" s="5623">
        <f>表15_1731[[#This Row],[Sales Amount]]-表15_1731[[#This Row],[Cost]]</f>
        <v>0</v>
      </c>
      <c r="X86" s="5409" t="e">
        <f>表15_1731[[#This Row],[Profit]]/表15_1731[[#This Row],[Cost]]</f>
        <v>#DIV/0!</v>
      </c>
      <c r="Y86" s="5277"/>
      <c r="Z86" s="4758"/>
    </row>
    <row r="87" spans="1:26" s="1350" customFormat="1" ht="30" hidden="1">
      <c r="A87" s="4669" t="s">
        <v>7678</v>
      </c>
      <c r="B87" s="5277" t="s">
        <v>9930</v>
      </c>
      <c r="C87" s="5277" t="s">
        <v>28</v>
      </c>
      <c r="D87" s="5403">
        <v>45477</v>
      </c>
      <c r="E87" s="5403">
        <v>45477</v>
      </c>
      <c r="F87" s="5277" t="s">
        <v>173</v>
      </c>
      <c r="G87" s="4768" t="s">
        <v>9931</v>
      </c>
      <c r="H87" s="4817" t="s">
        <v>9932</v>
      </c>
      <c r="I87" s="4656"/>
      <c r="J87" s="5622"/>
      <c r="K87" s="5277" t="s">
        <v>162</v>
      </c>
      <c r="L87" s="5118" t="s">
        <v>9917</v>
      </c>
      <c r="M87" s="5406">
        <v>45484</v>
      </c>
      <c r="N87" s="5406">
        <v>45482</v>
      </c>
      <c r="O87" s="5406">
        <v>45483</v>
      </c>
      <c r="P87" s="5118" t="s">
        <v>9933</v>
      </c>
      <c r="Q87" s="5539" t="s">
        <v>9226</v>
      </c>
      <c r="R87" s="5642" t="s">
        <v>9934</v>
      </c>
      <c r="S87" s="5118" t="s">
        <v>2373</v>
      </c>
      <c r="T87" s="5277"/>
      <c r="U87" s="5277"/>
      <c r="V87" s="5277"/>
      <c r="W87" s="5623">
        <f>表15_1731[[#This Row],[Sales Amount]]-表15_1731[[#This Row],[Cost]]</f>
        <v>0</v>
      </c>
      <c r="X87" s="5409" t="e">
        <f>表15_1731[[#This Row],[Profit]]/表15_1731[[#This Row],[Cost]]</f>
        <v>#DIV/0!</v>
      </c>
      <c r="Y87" s="5277"/>
      <c r="Z87" s="4758"/>
    </row>
    <row r="88" spans="1:26" s="1350" customFormat="1" ht="30" hidden="1">
      <c r="A88" s="4669" t="s">
        <v>7678</v>
      </c>
      <c r="B88" s="5277" t="s">
        <v>9935</v>
      </c>
      <c r="C88" s="5277" t="s">
        <v>28</v>
      </c>
      <c r="D88" s="5403">
        <v>45477</v>
      </c>
      <c r="E88" s="5403">
        <v>45477</v>
      </c>
      <c r="F88" s="5277" t="s">
        <v>173</v>
      </c>
      <c r="G88" s="4768" t="s">
        <v>9931</v>
      </c>
      <c r="H88" s="4817" t="s">
        <v>9932</v>
      </c>
      <c r="I88" s="4656"/>
      <c r="J88" s="5642"/>
      <c r="K88" s="5277"/>
      <c r="L88" s="5643" t="s">
        <v>9917</v>
      </c>
      <c r="M88" s="5406">
        <v>45484</v>
      </c>
      <c r="N88" s="5406">
        <v>45481</v>
      </c>
      <c r="O88" s="5406">
        <v>45483</v>
      </c>
      <c r="P88" s="5118" t="s">
        <v>9936</v>
      </c>
      <c r="Q88" s="5539" t="s">
        <v>9226</v>
      </c>
      <c r="R88" s="5642" t="s">
        <v>9937</v>
      </c>
      <c r="S88" s="5118" t="s">
        <v>2373</v>
      </c>
      <c r="T88" s="5277"/>
      <c r="U88" s="5277"/>
      <c r="V88" s="5277"/>
      <c r="W88" s="5623">
        <f>表15_1731[[#This Row],[Sales Amount]]-表15_1731[[#This Row],[Cost]]</f>
        <v>0</v>
      </c>
      <c r="X88" s="5409" t="e">
        <f>表15_1731[[#This Row],[Profit]]/表15_1731[[#This Row],[Cost]]</f>
        <v>#DIV/0!</v>
      </c>
      <c r="Y88" s="5277"/>
      <c r="Z88" s="4758"/>
    </row>
    <row r="89" spans="1:26" s="1350" customFormat="1" hidden="1">
      <c r="A89" s="4669" t="s">
        <v>7678</v>
      </c>
      <c r="B89" s="5404" t="s">
        <v>9938</v>
      </c>
      <c r="C89" s="5277" t="s">
        <v>28</v>
      </c>
      <c r="D89" s="5403">
        <v>45485</v>
      </c>
      <c r="E89" s="5403">
        <v>45486</v>
      </c>
      <c r="F89" s="5277" t="s">
        <v>173</v>
      </c>
      <c r="G89" s="4768" t="s">
        <v>9229</v>
      </c>
      <c r="H89" s="4817" t="s">
        <v>9932</v>
      </c>
      <c r="I89" s="4656"/>
      <c r="J89" s="3881"/>
      <c r="K89" s="5277"/>
      <c r="L89" s="5118" t="s">
        <v>9917</v>
      </c>
      <c r="M89" s="5406">
        <v>45491</v>
      </c>
      <c r="N89" s="5406">
        <v>45488</v>
      </c>
      <c r="O89" s="5406">
        <v>45489</v>
      </c>
      <c r="P89" s="5405" t="s">
        <v>9939</v>
      </c>
      <c r="Q89" s="5539" t="s">
        <v>9226</v>
      </c>
      <c r="R89" s="5539" t="s">
        <v>9940</v>
      </c>
      <c r="S89" s="5118" t="s">
        <v>2373</v>
      </c>
      <c r="T89" s="5277"/>
      <c r="U89" s="5277"/>
      <c r="V89" s="5277"/>
      <c r="W89" s="3872">
        <f>表15_1731[[#This Row],[Sales Amount]]-表15_1731[[#This Row],[Cost]]</f>
        <v>0</v>
      </c>
      <c r="X89" s="3870" t="e">
        <f>表15_1731[[#This Row],[Profit]]/表15_1731[[#This Row],[Cost]]</f>
        <v>#DIV/0!</v>
      </c>
      <c r="Y89" s="5277"/>
      <c r="Z89" s="4758"/>
    </row>
    <row r="90" spans="1:26" ht="30" hidden="1">
      <c r="A90" s="4669" t="s">
        <v>7678</v>
      </c>
      <c r="B90" s="5277" t="s">
        <v>9941</v>
      </c>
      <c r="C90" s="5277" t="s">
        <v>28</v>
      </c>
      <c r="D90" s="5403">
        <v>45477</v>
      </c>
      <c r="E90" s="5403">
        <v>45477</v>
      </c>
      <c r="F90" s="5277" t="s">
        <v>173</v>
      </c>
      <c r="G90" s="4768" t="s">
        <v>9931</v>
      </c>
      <c r="H90" s="4817" t="s">
        <v>9932</v>
      </c>
      <c r="I90" s="4656"/>
      <c r="J90" s="5642"/>
      <c r="K90" s="5277"/>
      <c r="L90" s="5643" t="s">
        <v>9917</v>
      </c>
      <c r="M90" s="5406">
        <v>45484</v>
      </c>
      <c r="N90" s="5406">
        <v>45482</v>
      </c>
      <c r="O90" s="5406">
        <v>45483</v>
      </c>
      <c r="P90" s="5118" t="s">
        <v>9936</v>
      </c>
      <c r="Q90" s="5539" t="s">
        <v>9226</v>
      </c>
      <c r="R90" s="2993" t="s">
        <v>9937</v>
      </c>
      <c r="S90" s="5118" t="s">
        <v>2373</v>
      </c>
      <c r="T90" s="5277"/>
      <c r="U90" s="5277"/>
      <c r="V90" s="5277"/>
      <c r="W90" s="5623">
        <f>表15_1731[[#This Row],[Sales Amount]]-表15_1731[[#This Row],[Cost]]</f>
        <v>0</v>
      </c>
      <c r="X90" s="5409" t="e">
        <f>表15_1731[[#This Row],[Profit]]/表15_1731[[#This Row],[Cost]]</f>
        <v>#DIV/0!</v>
      </c>
      <c r="Y90" s="5277"/>
      <c r="Z90" s="4758"/>
    </row>
    <row r="91" spans="1:26" s="52" customFormat="1" ht="30" hidden="1">
      <c r="A91" s="2905" t="s">
        <v>7678</v>
      </c>
      <c r="B91" s="5404" t="s">
        <v>9942</v>
      </c>
      <c r="C91" s="5277" t="s">
        <v>28</v>
      </c>
      <c r="D91" s="5403">
        <v>45483</v>
      </c>
      <c r="E91" s="5403">
        <v>45484</v>
      </c>
      <c r="F91" s="5277" t="s">
        <v>173</v>
      </c>
      <c r="G91" s="4768" t="s">
        <v>9943</v>
      </c>
      <c r="H91" s="4817" t="s">
        <v>9932</v>
      </c>
      <c r="I91" s="4656"/>
      <c r="J91" s="5622"/>
      <c r="K91" s="5277"/>
      <c r="L91" s="2992" t="s">
        <v>9917</v>
      </c>
      <c r="M91" s="5406">
        <v>45489</v>
      </c>
      <c r="N91" s="5406">
        <v>45489</v>
      </c>
      <c r="O91" s="5406">
        <v>45490</v>
      </c>
      <c r="P91" s="5118" t="s">
        <v>9944</v>
      </c>
      <c r="Q91" s="5539" t="s">
        <v>9226</v>
      </c>
      <c r="R91" s="5642" t="s">
        <v>9945</v>
      </c>
      <c r="S91" s="5118" t="s">
        <v>2373</v>
      </c>
      <c r="T91" s="5277"/>
      <c r="U91" s="5277"/>
      <c r="V91" s="5277"/>
      <c r="W91" s="5623">
        <f>表15_1731[[#This Row],[Sales Amount]]-表15_1731[[#This Row],[Cost]]</f>
        <v>0</v>
      </c>
      <c r="X91" s="5409" t="e">
        <f>表15_1731[[#This Row],[Profit]]/表15_1731[[#This Row],[Cost]]</f>
        <v>#DIV/0!</v>
      </c>
      <c r="Y91" s="5277"/>
      <c r="Z91" s="4758"/>
    </row>
    <row r="92" spans="1:26" s="52" customFormat="1" ht="60" hidden="1">
      <c r="A92" s="4669" t="s">
        <v>7678</v>
      </c>
      <c r="B92" s="5277" t="s">
        <v>9946</v>
      </c>
      <c r="C92" s="5277" t="s">
        <v>28</v>
      </c>
      <c r="D92" s="5403">
        <v>45486</v>
      </c>
      <c r="E92" s="5403">
        <v>45486</v>
      </c>
      <c r="F92" s="5277" t="s">
        <v>173</v>
      </c>
      <c r="G92" s="4768" t="s">
        <v>9229</v>
      </c>
      <c r="H92" s="4817" t="s">
        <v>9932</v>
      </c>
      <c r="I92" s="4656"/>
      <c r="J92" s="5642"/>
      <c r="K92" s="5277"/>
      <c r="L92" s="5118" t="s">
        <v>9917</v>
      </c>
      <c r="M92" s="5406">
        <v>45491</v>
      </c>
      <c r="N92" s="5406">
        <v>45490</v>
      </c>
      <c r="O92" s="5406">
        <v>45491</v>
      </c>
      <c r="P92" s="5405" t="s">
        <v>9947</v>
      </c>
      <c r="Q92" s="5539" t="s">
        <v>9226</v>
      </c>
      <c r="R92" s="5539" t="s">
        <v>9948</v>
      </c>
      <c r="S92" s="5118" t="s">
        <v>2373</v>
      </c>
      <c r="T92" s="5277"/>
      <c r="U92" s="5277"/>
      <c r="V92" s="5277"/>
      <c r="W92" s="5623">
        <f>表15_1731[[#This Row],[Sales Amount]]-表15_1731[[#This Row],[Cost]]</f>
        <v>0</v>
      </c>
      <c r="X92" s="5409" t="e">
        <f>表15_1731[[#This Row],[Profit]]/表15_1731[[#This Row],[Cost]]</f>
        <v>#DIV/0!</v>
      </c>
      <c r="Y92" s="5277"/>
      <c r="Z92" s="4758"/>
    </row>
    <row r="93" spans="1:26" s="1350" customFormat="1" hidden="1">
      <c r="A93" s="4669" t="s">
        <v>7678</v>
      </c>
      <c r="B93" s="5644" t="s">
        <v>9949</v>
      </c>
      <c r="C93" s="5277" t="s">
        <v>28</v>
      </c>
      <c r="D93" s="5403">
        <v>45473</v>
      </c>
      <c r="E93" s="5403">
        <v>45472</v>
      </c>
      <c r="F93" s="5277" t="s">
        <v>173</v>
      </c>
      <c r="G93" s="4758" t="s">
        <v>9510</v>
      </c>
      <c r="H93" s="4817" t="s">
        <v>8102</v>
      </c>
      <c r="I93" s="4656"/>
      <c r="J93" s="5642"/>
      <c r="K93" s="5277"/>
      <c r="L93" s="5118" t="s">
        <v>9917</v>
      </c>
      <c r="M93" s="5406">
        <v>45481</v>
      </c>
      <c r="N93" s="5406">
        <v>45481</v>
      </c>
      <c r="O93" s="5406">
        <v>45484</v>
      </c>
      <c r="P93" s="5118" t="s">
        <v>9514</v>
      </c>
      <c r="Q93" s="5539" t="s">
        <v>9226</v>
      </c>
      <c r="R93" s="5642" t="s">
        <v>9515</v>
      </c>
      <c r="S93" s="5118" t="s">
        <v>2373</v>
      </c>
      <c r="T93" s="5277"/>
      <c r="U93" s="5277"/>
      <c r="V93" s="5277"/>
      <c r="W93" s="5623">
        <f>表15_17[[#This Row],[Sales Amount]]-表15_17[[#This Row],[Cost]]</f>
        <v>0</v>
      </c>
      <c r="X93" s="5409" t="e">
        <f>表15_17[[#This Row],[Profit]]/表15_17[[#This Row],[Cost]]</f>
        <v>#DIV/0!</v>
      </c>
      <c r="Y93" s="5277"/>
      <c r="Z93" s="4758"/>
    </row>
    <row r="94" spans="1:26" ht="30" hidden="1">
      <c r="A94" s="4669" t="s">
        <v>7678</v>
      </c>
      <c r="B94" s="5277" t="s">
        <v>9950</v>
      </c>
      <c r="C94" s="5277" t="s">
        <v>28</v>
      </c>
      <c r="D94" s="5403">
        <v>45483</v>
      </c>
      <c r="E94" s="5403">
        <v>45484</v>
      </c>
      <c r="F94" s="5277" t="s">
        <v>173</v>
      </c>
      <c r="G94" s="4768" t="s">
        <v>9943</v>
      </c>
      <c r="H94" s="4817" t="s">
        <v>9932</v>
      </c>
      <c r="I94" s="4656"/>
      <c r="J94" s="5622"/>
      <c r="K94" s="5277"/>
      <c r="L94" s="5645" t="s">
        <v>9917</v>
      </c>
      <c r="M94" s="5406">
        <v>45489</v>
      </c>
      <c r="N94" s="5406">
        <v>45488</v>
      </c>
      <c r="O94" s="5406">
        <v>45489</v>
      </c>
      <c r="P94" s="5405" t="s">
        <v>9944</v>
      </c>
      <c r="Q94" s="5539" t="s">
        <v>9226</v>
      </c>
      <c r="R94" s="5642" t="s">
        <v>9945</v>
      </c>
      <c r="S94" s="5118" t="s">
        <v>2373</v>
      </c>
      <c r="T94" s="5277"/>
      <c r="U94" s="5277"/>
      <c r="V94" s="5277"/>
      <c r="W94" s="5623">
        <f>表15_1731[[#This Row],[Sales Amount]]-表15_1731[[#This Row],[Cost]]</f>
        <v>0</v>
      </c>
      <c r="X94" s="2477" t="e">
        <f>表15_1731[[#This Row],[Profit]]/表15_1731[[#This Row],[Cost]]</f>
        <v>#DIV/0!</v>
      </c>
      <c r="Y94" s="5277"/>
      <c r="Z94" s="4758"/>
    </row>
    <row r="95" spans="1:26" s="36" customFormat="1" hidden="1">
      <c r="A95" s="4669" t="s">
        <v>4815</v>
      </c>
      <c r="B95" s="5277" t="s">
        <v>9951</v>
      </c>
      <c r="C95" s="5277" t="s">
        <v>28</v>
      </c>
      <c r="D95" s="5403">
        <v>45486</v>
      </c>
      <c r="E95" s="5621">
        <v>45505</v>
      </c>
      <c r="F95" s="5277" t="s">
        <v>45</v>
      </c>
      <c r="G95" s="4758" t="s">
        <v>46</v>
      </c>
      <c r="H95" s="4807"/>
      <c r="I95" s="4656"/>
      <c r="J95" s="5622" t="s">
        <v>32</v>
      </c>
      <c r="K95" s="4839" t="s">
        <v>47</v>
      </c>
      <c r="L95" s="5646" t="s">
        <v>9952</v>
      </c>
      <c r="M95" s="5406">
        <v>45507</v>
      </c>
      <c r="N95" s="4953">
        <v>45504</v>
      </c>
      <c r="O95" s="4953">
        <v>45507</v>
      </c>
      <c r="P95" s="4864" t="s">
        <v>9953</v>
      </c>
      <c r="Q95" s="5620" t="s">
        <v>6852</v>
      </c>
      <c r="R95" s="4861" t="s">
        <v>51</v>
      </c>
      <c r="S95" s="4834"/>
      <c r="T95" s="4861"/>
      <c r="U95" s="4861"/>
      <c r="V95" s="4861"/>
      <c r="W95" s="4861"/>
      <c r="X95" s="5378"/>
      <c r="Y95" s="4861"/>
      <c r="Z95" s="5073"/>
    </row>
    <row r="96" spans="1:26" s="36" customFormat="1" hidden="1">
      <c r="A96" s="4669" t="s">
        <v>4815</v>
      </c>
      <c r="B96" s="5277" t="s">
        <v>9954</v>
      </c>
      <c r="C96" s="5277" t="s">
        <v>28</v>
      </c>
      <c r="D96" s="5403">
        <v>45486</v>
      </c>
      <c r="E96" s="5621">
        <v>45498</v>
      </c>
      <c r="F96" s="5277" t="s">
        <v>45</v>
      </c>
      <c r="G96" s="4758" t="s">
        <v>46</v>
      </c>
      <c r="H96" s="4807"/>
      <c r="I96" s="4656"/>
      <c r="J96" s="5622" t="s">
        <v>32</v>
      </c>
      <c r="K96" s="4839" t="s">
        <v>47</v>
      </c>
      <c r="L96" s="4882" t="s">
        <v>9955</v>
      </c>
      <c r="M96" s="5406">
        <v>45500</v>
      </c>
      <c r="N96" s="4953">
        <v>45499</v>
      </c>
      <c r="O96" s="4953">
        <v>45501</v>
      </c>
      <c r="P96" s="4864" t="s">
        <v>9956</v>
      </c>
      <c r="Q96" s="5620" t="s">
        <v>6852</v>
      </c>
      <c r="R96" s="4861" t="s">
        <v>51</v>
      </c>
      <c r="S96" s="4834"/>
      <c r="T96" s="4861"/>
      <c r="U96" s="4861"/>
      <c r="V96" s="4861"/>
      <c r="W96" s="4861"/>
      <c r="X96" s="1645"/>
      <c r="Y96" s="4861"/>
      <c r="Z96" s="5073"/>
    </row>
    <row r="97" spans="1:35" s="1350" customFormat="1" hidden="1">
      <c r="A97" s="4669" t="s">
        <v>4815</v>
      </c>
      <c r="B97" s="4839" t="s">
        <v>9957</v>
      </c>
      <c r="C97" s="4839" t="s">
        <v>44</v>
      </c>
      <c r="D97" s="4957">
        <v>45477</v>
      </c>
      <c r="E97" s="5071">
        <v>45489</v>
      </c>
      <c r="F97" s="4839" t="s">
        <v>45</v>
      </c>
      <c r="G97" s="4758" t="s">
        <v>46</v>
      </c>
      <c r="H97" s="4811"/>
      <c r="I97" s="4646"/>
      <c r="J97" s="4901" t="s">
        <v>32</v>
      </c>
      <c r="K97" s="4839" t="s">
        <v>47</v>
      </c>
      <c r="L97" s="4882">
        <v>302265</v>
      </c>
      <c r="M97" s="4953">
        <v>45492</v>
      </c>
      <c r="N97" s="4953">
        <v>45491</v>
      </c>
      <c r="O97" s="4953">
        <v>45492</v>
      </c>
      <c r="P97" s="4864" t="s">
        <v>9958</v>
      </c>
      <c r="Q97" s="5620" t="s">
        <v>6852</v>
      </c>
      <c r="R97" s="4861" t="s">
        <v>9959</v>
      </c>
      <c r="S97" s="4834"/>
      <c r="T97" s="4861"/>
      <c r="U97" s="4861"/>
      <c r="V97" s="4861"/>
      <c r="W97" s="709"/>
      <c r="X97" s="1645"/>
      <c r="Y97" s="4861"/>
      <c r="Z97" s="5073"/>
    </row>
    <row r="98" spans="1:35" s="1350" customFormat="1" hidden="1">
      <c r="A98" s="4669" t="s">
        <v>4815</v>
      </c>
      <c r="B98" s="58" t="s">
        <v>9960</v>
      </c>
      <c r="C98" s="4839" t="s">
        <v>44</v>
      </c>
      <c r="D98" s="4957">
        <v>45471</v>
      </c>
      <c r="E98" s="5071">
        <v>45478</v>
      </c>
      <c r="F98" s="4839" t="s">
        <v>45</v>
      </c>
      <c r="G98" s="4758" t="s">
        <v>46</v>
      </c>
      <c r="H98" s="4811"/>
      <c r="I98" s="4646"/>
      <c r="J98" s="4901" t="s">
        <v>32</v>
      </c>
      <c r="K98" s="58" t="s">
        <v>47</v>
      </c>
      <c r="L98" s="4864">
        <v>922666</v>
      </c>
      <c r="M98" s="4953">
        <v>45480</v>
      </c>
      <c r="N98" s="4953">
        <v>45480</v>
      </c>
      <c r="O98" s="4953">
        <v>45481</v>
      </c>
      <c r="P98" s="723" t="s">
        <v>9961</v>
      </c>
      <c r="Q98" s="5620" t="s">
        <v>6852</v>
      </c>
      <c r="R98" s="4861" t="s">
        <v>9962</v>
      </c>
      <c r="S98" s="4834"/>
      <c r="T98" s="4861"/>
      <c r="U98" s="4861"/>
      <c r="V98" s="4861"/>
      <c r="W98" s="4861"/>
      <c r="X98" s="5378"/>
      <c r="Y98" s="4861"/>
      <c r="Z98" s="5073"/>
    </row>
    <row r="99" spans="1:35" s="117" customFormat="1" hidden="1">
      <c r="A99" s="4672" t="s">
        <v>4815</v>
      </c>
      <c r="B99" s="5647" t="s">
        <v>9963</v>
      </c>
      <c r="C99" s="4895" t="s">
        <v>44</v>
      </c>
      <c r="D99" s="5493">
        <v>45478</v>
      </c>
      <c r="E99" s="5495">
        <v>45489</v>
      </c>
      <c r="F99" s="4895" t="s">
        <v>56</v>
      </c>
      <c r="G99" s="4764" t="s">
        <v>46</v>
      </c>
      <c r="H99" s="4818"/>
      <c r="I99" s="4720"/>
      <c r="J99" s="5171" t="s">
        <v>32</v>
      </c>
      <c r="K99" s="4895" t="s">
        <v>47</v>
      </c>
      <c r="L99" s="4873" t="s">
        <v>9964</v>
      </c>
      <c r="M99" s="4975">
        <v>45491</v>
      </c>
      <c r="N99" s="4975">
        <v>45491</v>
      </c>
      <c r="O99" s="4975">
        <v>45493</v>
      </c>
      <c r="P99" s="147" t="s">
        <v>9965</v>
      </c>
      <c r="Q99" s="5633" t="s">
        <v>6852</v>
      </c>
      <c r="R99" s="106" t="s">
        <v>9966</v>
      </c>
      <c r="S99" s="5122"/>
      <c r="T99" s="4874"/>
      <c r="U99" s="4874"/>
      <c r="V99" s="4874"/>
      <c r="W99" s="4874"/>
      <c r="X99" s="5184"/>
      <c r="Y99" s="4874"/>
      <c r="Z99" s="5058"/>
    </row>
    <row r="100" spans="1:35" s="1350" customFormat="1" ht="15.75" hidden="1">
      <c r="A100" s="4669" t="s">
        <v>4815</v>
      </c>
      <c r="B100" s="5277" t="s">
        <v>9967</v>
      </c>
      <c r="C100" s="5277" t="s">
        <v>44</v>
      </c>
      <c r="D100" s="5403">
        <v>45483</v>
      </c>
      <c r="E100" s="5634">
        <v>45500</v>
      </c>
      <c r="F100" s="5277" t="s">
        <v>56</v>
      </c>
      <c r="G100" s="4758" t="s">
        <v>46</v>
      </c>
      <c r="H100" s="4807"/>
      <c r="I100" s="4656"/>
      <c r="J100" s="2905" t="s">
        <v>32</v>
      </c>
      <c r="K100" s="4839" t="s">
        <v>47</v>
      </c>
      <c r="L100" s="2996" t="s">
        <v>9968</v>
      </c>
      <c r="M100" s="5406">
        <v>45502</v>
      </c>
      <c r="N100" s="4953">
        <v>45502</v>
      </c>
      <c r="O100" s="4953">
        <v>45504</v>
      </c>
      <c r="P100" s="4864" t="s">
        <v>9969</v>
      </c>
      <c r="Q100" s="5620" t="s">
        <v>6852</v>
      </c>
      <c r="R100" s="4861" t="s">
        <v>51</v>
      </c>
      <c r="S100" s="4834"/>
      <c r="T100" s="4861"/>
      <c r="U100" s="4861"/>
      <c r="V100" s="4861"/>
      <c r="W100" s="4861"/>
      <c r="X100" s="5378"/>
      <c r="Y100" s="4861"/>
      <c r="Z100" s="5073"/>
      <c r="AF100" s="1416"/>
      <c r="AG100" s="1416"/>
      <c r="AH100" s="1416"/>
      <c r="AI100" s="1365"/>
    </row>
    <row r="101" spans="1:35" s="1350" customFormat="1" hidden="1">
      <c r="A101" s="4669" t="s">
        <v>4815</v>
      </c>
      <c r="B101" s="5277" t="s">
        <v>9970</v>
      </c>
      <c r="C101" s="5277" t="s">
        <v>44</v>
      </c>
      <c r="D101" s="5403">
        <v>45483</v>
      </c>
      <c r="E101" s="5621">
        <v>45493</v>
      </c>
      <c r="F101" s="5277" t="s">
        <v>151</v>
      </c>
      <c r="G101" s="4758" t="s">
        <v>46</v>
      </c>
      <c r="H101" s="4807"/>
      <c r="I101" s="4656"/>
      <c r="J101" s="2905" t="s">
        <v>32</v>
      </c>
      <c r="K101" s="4839" t="s">
        <v>47</v>
      </c>
      <c r="L101" s="4882" t="s">
        <v>9971</v>
      </c>
      <c r="M101" s="5406">
        <v>45495</v>
      </c>
      <c r="N101" s="4953">
        <v>45493</v>
      </c>
      <c r="O101" s="4953">
        <v>45496</v>
      </c>
      <c r="P101" s="4864" t="s">
        <v>9972</v>
      </c>
      <c r="Q101" s="5620" t="s">
        <v>6852</v>
      </c>
      <c r="R101" s="4861" t="s">
        <v>9973</v>
      </c>
      <c r="S101" s="4834"/>
      <c r="T101" s="4861"/>
      <c r="U101" s="4861"/>
      <c r="V101" s="4861"/>
      <c r="W101" s="709"/>
      <c r="X101" s="1645"/>
      <c r="Y101" s="4861"/>
      <c r="Z101" s="5073"/>
    </row>
    <row r="102" spans="1:35" s="1350" customFormat="1" hidden="1">
      <c r="A102" s="4669" t="s">
        <v>4815</v>
      </c>
      <c r="B102" s="5277" t="s">
        <v>9974</v>
      </c>
      <c r="C102" s="5277" t="s">
        <v>28</v>
      </c>
      <c r="D102" s="5403">
        <v>45483</v>
      </c>
      <c r="E102" s="5621">
        <v>45497</v>
      </c>
      <c r="F102" s="5277" t="s">
        <v>45</v>
      </c>
      <c r="G102" s="4758" t="s">
        <v>46</v>
      </c>
      <c r="H102" s="4807"/>
      <c r="I102" s="4656"/>
      <c r="J102" s="2905" t="s">
        <v>32</v>
      </c>
      <c r="K102" s="4839" t="s">
        <v>47</v>
      </c>
      <c r="L102" s="4882" t="s">
        <v>9975</v>
      </c>
      <c r="M102" s="5406">
        <v>45499</v>
      </c>
      <c r="N102" s="4953">
        <v>45498</v>
      </c>
      <c r="O102" s="4953">
        <v>45502</v>
      </c>
      <c r="P102" s="4864" t="s">
        <v>9976</v>
      </c>
      <c r="Q102" s="5620" t="s">
        <v>6852</v>
      </c>
      <c r="R102" s="4861" t="s">
        <v>51</v>
      </c>
      <c r="S102" s="4834"/>
      <c r="T102" s="4861"/>
      <c r="U102" s="4861"/>
      <c r="V102" s="4861"/>
      <c r="W102" s="4861"/>
      <c r="X102" s="5378"/>
      <c r="Y102" s="4861"/>
      <c r="Z102" s="5073"/>
    </row>
    <row r="103" spans="1:35" s="1350" customFormat="1" hidden="1">
      <c r="A103" s="4669" t="s">
        <v>4815</v>
      </c>
      <c r="B103" s="4839" t="s">
        <v>9977</v>
      </c>
      <c r="C103" s="4839" t="s">
        <v>44</v>
      </c>
      <c r="D103" s="4957">
        <v>45477</v>
      </c>
      <c r="E103" s="5071">
        <v>45488</v>
      </c>
      <c r="F103" s="4839" t="s">
        <v>45</v>
      </c>
      <c r="G103" s="4758" t="s">
        <v>46</v>
      </c>
      <c r="H103" s="4811"/>
      <c r="I103" s="4646"/>
      <c r="J103" s="4901" t="s">
        <v>32</v>
      </c>
      <c r="K103" s="4839" t="s">
        <v>47</v>
      </c>
      <c r="L103" s="4882" t="s">
        <v>9978</v>
      </c>
      <c r="M103" s="4953">
        <v>45490</v>
      </c>
      <c r="N103" s="4953">
        <v>45489</v>
      </c>
      <c r="O103" s="4953">
        <v>45491</v>
      </c>
      <c r="P103" s="4864" t="s">
        <v>9979</v>
      </c>
      <c r="Q103" s="5620" t="s">
        <v>6852</v>
      </c>
      <c r="R103" s="4861" t="s">
        <v>9980</v>
      </c>
      <c r="S103" s="4834"/>
      <c r="T103" s="4861"/>
      <c r="U103" s="4861"/>
      <c r="V103" s="4861"/>
      <c r="W103" s="4861"/>
      <c r="X103" s="5378"/>
      <c r="Y103" s="4861"/>
      <c r="Z103" s="5073"/>
    </row>
    <row r="104" spans="1:35" hidden="1">
      <c r="A104" s="3866" t="s">
        <v>4815</v>
      </c>
      <c r="B104" s="3439" t="s">
        <v>9981</v>
      </c>
      <c r="C104" s="3439" t="s">
        <v>44</v>
      </c>
      <c r="D104" s="3649">
        <v>45470</v>
      </c>
      <c r="E104" s="3867">
        <v>45477</v>
      </c>
      <c r="F104" s="3439" t="s">
        <v>45</v>
      </c>
      <c r="G104" s="3739" t="s">
        <v>46</v>
      </c>
      <c r="H104" s="4807"/>
      <c r="I104" s="3681"/>
      <c r="J104" s="3869" t="s">
        <v>32</v>
      </c>
      <c r="K104" s="3275" t="s">
        <v>47</v>
      </c>
      <c r="L104" s="3289" t="s">
        <v>9982</v>
      </c>
      <c r="M104" s="3650">
        <v>45480</v>
      </c>
      <c r="N104" s="3650">
        <v>45478</v>
      </c>
      <c r="O104" s="3650">
        <v>45481</v>
      </c>
      <c r="P104" s="3429" t="s">
        <v>9983</v>
      </c>
      <c r="Q104" s="3880" t="s">
        <v>6852</v>
      </c>
      <c r="R104" s="5277" t="s">
        <v>51</v>
      </c>
      <c r="S104" s="5118"/>
      <c r="T104" s="3439"/>
      <c r="U104" s="3439"/>
      <c r="V104" s="3439"/>
      <c r="W104" s="5277"/>
      <c r="X104" s="5409"/>
      <c r="Y104" s="3439"/>
      <c r="Z104" s="3739"/>
    </row>
    <row r="105" spans="1:35" s="36" customFormat="1" hidden="1">
      <c r="A105" s="4669" t="s">
        <v>4815</v>
      </c>
      <c r="B105" s="5277" t="s">
        <v>9984</v>
      </c>
      <c r="C105" s="5277" t="s">
        <v>44</v>
      </c>
      <c r="D105" s="5403">
        <v>45479</v>
      </c>
      <c r="E105" s="5621">
        <f>7+表15_1731[[#This Row],[ETA PORT]]</f>
        <v>45486</v>
      </c>
      <c r="F105" s="5277" t="s">
        <v>45</v>
      </c>
      <c r="G105" s="4758" t="s">
        <v>46</v>
      </c>
      <c r="H105" s="4807"/>
      <c r="I105" s="4656"/>
      <c r="J105" s="5622" t="s">
        <v>32</v>
      </c>
      <c r="K105" s="4839" t="s">
        <v>47</v>
      </c>
      <c r="L105" s="4882" t="s">
        <v>9985</v>
      </c>
      <c r="M105" s="5406">
        <v>45488</v>
      </c>
      <c r="N105" s="4953">
        <v>45488</v>
      </c>
      <c r="O105" s="4953">
        <v>45489</v>
      </c>
      <c r="P105" s="4864" t="s">
        <v>9986</v>
      </c>
      <c r="Q105" s="5620" t="s">
        <v>6852</v>
      </c>
      <c r="R105" s="4861" t="s">
        <v>51</v>
      </c>
      <c r="S105" s="4834"/>
      <c r="T105" s="4861"/>
      <c r="U105" s="4861"/>
      <c r="V105" s="4861"/>
      <c r="W105" s="4861"/>
      <c r="X105" s="5378"/>
      <c r="Y105" s="4861"/>
      <c r="Z105" s="5073"/>
    </row>
    <row r="106" spans="1:35" hidden="1">
      <c r="A106" s="4669" t="s">
        <v>4815</v>
      </c>
      <c r="B106" s="5277" t="s">
        <v>9987</v>
      </c>
      <c r="C106" s="5277" t="s">
        <v>28</v>
      </c>
      <c r="D106" s="5403">
        <v>45486</v>
      </c>
      <c r="E106" s="5621">
        <v>45495</v>
      </c>
      <c r="F106" s="5277" t="s">
        <v>45</v>
      </c>
      <c r="G106" s="4758" t="s">
        <v>46</v>
      </c>
      <c r="H106" s="4807"/>
      <c r="I106" s="4656"/>
      <c r="J106" s="5622" t="s">
        <v>32</v>
      </c>
      <c r="K106" s="4839" t="s">
        <v>47</v>
      </c>
      <c r="L106" s="4882" t="s">
        <v>9988</v>
      </c>
      <c r="M106" s="5406">
        <v>45497</v>
      </c>
      <c r="N106" s="4953">
        <v>45495</v>
      </c>
      <c r="O106" s="4953">
        <v>45497</v>
      </c>
      <c r="P106" s="723" t="s">
        <v>9989</v>
      </c>
      <c r="Q106" s="5620" t="s">
        <v>6852</v>
      </c>
      <c r="R106" s="4861" t="s">
        <v>51</v>
      </c>
      <c r="S106" s="4834"/>
      <c r="T106" s="4861"/>
      <c r="U106" s="4861"/>
      <c r="V106" s="4861"/>
      <c r="W106" s="4861"/>
      <c r="X106" s="5378"/>
      <c r="Y106" s="4861"/>
      <c r="Z106" s="5073"/>
    </row>
    <row r="107" spans="1:35" hidden="1">
      <c r="A107" s="4669" t="s">
        <v>4815</v>
      </c>
      <c r="B107" s="4839" t="s">
        <v>9990</v>
      </c>
      <c r="C107" s="4839" t="s">
        <v>44</v>
      </c>
      <c r="D107" s="4957">
        <v>45477</v>
      </c>
      <c r="E107" s="3383">
        <v>45485</v>
      </c>
      <c r="F107" s="4839" t="s">
        <v>45</v>
      </c>
      <c r="G107" s="4758" t="s">
        <v>46</v>
      </c>
      <c r="H107" s="4811"/>
      <c r="I107" s="4646"/>
      <c r="J107" s="4901" t="s">
        <v>32</v>
      </c>
      <c r="K107" s="58" t="s">
        <v>47</v>
      </c>
      <c r="L107" s="4882" t="s">
        <v>9991</v>
      </c>
      <c r="M107" s="4953">
        <v>45487</v>
      </c>
      <c r="N107" s="4953">
        <v>45486</v>
      </c>
      <c r="O107" s="4953">
        <v>45488</v>
      </c>
      <c r="P107" s="4864" t="s">
        <v>9992</v>
      </c>
      <c r="Q107" s="5620" t="s">
        <v>6852</v>
      </c>
      <c r="R107" s="4861" t="s">
        <v>9993</v>
      </c>
      <c r="S107" s="4834"/>
      <c r="T107" s="4861"/>
      <c r="U107" s="4861"/>
      <c r="V107" s="4861"/>
      <c r="W107" s="4861"/>
      <c r="X107" s="5378"/>
      <c r="Y107" s="4861"/>
      <c r="Z107" s="5073"/>
    </row>
    <row r="108" spans="1:35" s="52" customFormat="1" hidden="1">
      <c r="A108" s="4669" t="s">
        <v>4815</v>
      </c>
      <c r="B108" s="58" t="s">
        <v>9994</v>
      </c>
      <c r="C108" s="4839" t="s">
        <v>44</v>
      </c>
      <c r="D108" s="4957">
        <v>45477</v>
      </c>
      <c r="E108" s="5071">
        <v>45489</v>
      </c>
      <c r="F108" s="4839" t="s">
        <v>45</v>
      </c>
      <c r="G108" s="4758" t="s">
        <v>46</v>
      </c>
      <c r="H108" s="4811"/>
      <c r="I108" s="4646"/>
      <c r="J108" s="4901" t="s">
        <v>32</v>
      </c>
      <c r="K108" s="4839" t="s">
        <v>47</v>
      </c>
      <c r="L108" s="4882" t="s">
        <v>9995</v>
      </c>
      <c r="M108" s="4953">
        <v>45491</v>
      </c>
      <c r="N108" s="4953">
        <v>45489</v>
      </c>
      <c r="O108" s="4953">
        <v>45491</v>
      </c>
      <c r="P108" s="4864" t="s">
        <v>9996</v>
      </c>
      <c r="Q108" s="5620" t="s">
        <v>6852</v>
      </c>
      <c r="R108" s="4861" t="s">
        <v>9997</v>
      </c>
      <c r="S108" s="4834"/>
      <c r="T108" s="4861"/>
      <c r="U108" s="4861"/>
      <c r="V108" s="4861"/>
      <c r="W108" s="4861"/>
      <c r="X108" s="5378"/>
      <c r="Y108" s="4861"/>
      <c r="Z108" s="5073"/>
    </row>
    <row r="109" spans="1:35" ht="48" hidden="1" customHeight="1">
      <c r="A109" s="4669" t="s">
        <v>4815</v>
      </c>
      <c r="B109" s="1350" t="s">
        <v>9998</v>
      </c>
      <c r="C109" s="5277" t="s">
        <v>28</v>
      </c>
      <c r="D109" s="5403">
        <v>45488</v>
      </c>
      <c r="E109" s="5634">
        <v>45494</v>
      </c>
      <c r="F109" s="5277" t="s">
        <v>45</v>
      </c>
      <c r="G109" s="4758" t="s">
        <v>46</v>
      </c>
      <c r="H109" s="4807"/>
      <c r="I109" s="4656"/>
      <c r="J109" s="5622" t="s">
        <v>32</v>
      </c>
      <c r="K109" s="4839" t="s">
        <v>47</v>
      </c>
      <c r="L109" s="4882" t="s">
        <v>9999</v>
      </c>
      <c r="M109" s="5406">
        <v>45496</v>
      </c>
      <c r="N109" s="4953">
        <v>45495</v>
      </c>
      <c r="O109" s="4953">
        <v>45497</v>
      </c>
      <c r="P109" s="4864" t="s">
        <v>10000</v>
      </c>
      <c r="Q109" s="5620" t="s">
        <v>6852</v>
      </c>
      <c r="R109" s="4861" t="s">
        <v>51</v>
      </c>
      <c r="S109" s="4834"/>
      <c r="T109" s="4861"/>
      <c r="U109" s="4861"/>
      <c r="V109" s="4861"/>
      <c r="W109" s="4861"/>
      <c r="X109" s="5378"/>
      <c r="Y109" s="4861"/>
      <c r="Z109" s="5073"/>
    </row>
    <row r="110" spans="1:35" s="52" customFormat="1" hidden="1">
      <c r="A110" s="4672" t="s">
        <v>4815</v>
      </c>
      <c r="B110" s="2997" t="s">
        <v>10001</v>
      </c>
      <c r="C110" s="5283" t="s">
        <v>44</v>
      </c>
      <c r="D110" s="3882">
        <v>45476</v>
      </c>
      <c r="E110" s="5632">
        <v>45485</v>
      </c>
      <c r="F110" s="5283" t="s">
        <v>45</v>
      </c>
      <c r="G110" s="4764" t="s">
        <v>46</v>
      </c>
      <c r="H110" s="4819"/>
      <c r="I110" s="4661"/>
      <c r="J110" s="5173" t="s">
        <v>32</v>
      </c>
      <c r="K110" s="4895" t="s">
        <v>47</v>
      </c>
      <c r="L110" s="4873" t="s">
        <v>10002</v>
      </c>
      <c r="M110" s="5390">
        <v>45487</v>
      </c>
      <c r="N110" s="5390">
        <v>45485</v>
      </c>
      <c r="O110" s="5390">
        <v>45487</v>
      </c>
      <c r="P110" s="5105" t="s">
        <v>10003</v>
      </c>
      <c r="Q110" s="5633" t="s">
        <v>6852</v>
      </c>
      <c r="R110" s="5283" t="s">
        <v>10004</v>
      </c>
      <c r="S110" s="5105"/>
      <c r="T110" s="5283"/>
      <c r="U110" s="5283"/>
      <c r="V110" s="5283"/>
      <c r="W110" s="5283"/>
      <c r="X110" s="5420"/>
      <c r="Y110" s="5283"/>
      <c r="Z110" s="4764"/>
    </row>
    <row r="111" spans="1:35" s="1350" customFormat="1" hidden="1">
      <c r="A111" s="4669" t="s">
        <v>4815</v>
      </c>
      <c r="B111" s="1350" t="s">
        <v>10005</v>
      </c>
      <c r="C111" s="5277" t="s">
        <v>28</v>
      </c>
      <c r="D111" s="3649">
        <v>45490</v>
      </c>
      <c r="E111" s="3867">
        <v>45501</v>
      </c>
      <c r="F111" s="5277" t="s">
        <v>45</v>
      </c>
      <c r="G111" s="4758" t="s">
        <v>46</v>
      </c>
      <c r="H111" s="4807"/>
      <c r="I111" s="4656"/>
      <c r="J111" s="5622" t="s">
        <v>32</v>
      </c>
      <c r="K111" s="4839" t="s">
        <v>47</v>
      </c>
      <c r="L111" s="4882" t="s">
        <v>10006</v>
      </c>
      <c r="M111" s="5406">
        <v>45499</v>
      </c>
      <c r="N111" s="4953">
        <v>45498</v>
      </c>
      <c r="O111" s="4953">
        <v>45502</v>
      </c>
      <c r="P111" s="4864" t="s">
        <v>10007</v>
      </c>
      <c r="Q111" s="5620" t="s">
        <v>6852</v>
      </c>
      <c r="R111" s="4861" t="s">
        <v>51</v>
      </c>
      <c r="S111" s="4834"/>
      <c r="T111" s="4861"/>
      <c r="U111" s="4861"/>
      <c r="V111" s="4861"/>
      <c r="W111" s="4861"/>
      <c r="X111" s="5378"/>
      <c r="Y111" s="4861"/>
      <c r="Z111" s="5073"/>
    </row>
    <row r="112" spans="1:35" s="1350" customFormat="1" hidden="1">
      <c r="A112" s="4669" t="s">
        <v>4815</v>
      </c>
      <c r="B112" s="4839" t="s">
        <v>10008</v>
      </c>
      <c r="C112" s="4839" t="s">
        <v>44</v>
      </c>
      <c r="D112" s="4957">
        <v>45477</v>
      </c>
      <c r="E112" s="5071">
        <v>45486</v>
      </c>
      <c r="F112" s="4839" t="s">
        <v>45</v>
      </c>
      <c r="G112" s="4758" t="s">
        <v>46</v>
      </c>
      <c r="H112" s="4811"/>
      <c r="I112" s="4646"/>
      <c r="J112" s="4901" t="s">
        <v>32</v>
      </c>
      <c r="K112" s="4839" t="s">
        <v>47</v>
      </c>
      <c r="L112" s="4882" t="s">
        <v>10009</v>
      </c>
      <c r="M112" s="4953">
        <v>45488</v>
      </c>
      <c r="N112" s="4953">
        <v>45487</v>
      </c>
      <c r="O112" s="4953">
        <v>45489</v>
      </c>
      <c r="P112" s="4864" t="s">
        <v>10010</v>
      </c>
      <c r="Q112" s="5620" t="s">
        <v>6852</v>
      </c>
      <c r="R112" s="4861" t="s">
        <v>51</v>
      </c>
      <c r="S112" s="4834"/>
      <c r="T112" s="4861"/>
      <c r="U112" s="4861"/>
      <c r="V112" s="4861"/>
      <c r="W112" s="4861"/>
      <c r="X112" s="5378"/>
      <c r="Y112" s="4861"/>
      <c r="Z112" s="5073"/>
    </row>
    <row r="113" spans="1:35" s="709" customFormat="1" hidden="1">
      <c r="A113" s="4669" t="s">
        <v>4815</v>
      </c>
      <c r="B113" s="5277" t="s">
        <v>10011</v>
      </c>
      <c r="C113" s="5277" t="s">
        <v>28</v>
      </c>
      <c r="D113" s="5403">
        <v>45483</v>
      </c>
      <c r="E113" s="5634">
        <v>45497</v>
      </c>
      <c r="F113" s="5277" t="s">
        <v>45</v>
      </c>
      <c r="G113" s="4758" t="s">
        <v>46</v>
      </c>
      <c r="H113" s="4807"/>
      <c r="I113" s="4656"/>
      <c r="J113" s="5622" t="s">
        <v>32</v>
      </c>
      <c r="K113" s="4839" t="s">
        <v>47</v>
      </c>
      <c r="L113" s="4882" t="s">
        <v>10012</v>
      </c>
      <c r="M113" s="5406">
        <v>45499</v>
      </c>
      <c r="N113" s="4953">
        <v>45498</v>
      </c>
      <c r="O113" s="4953">
        <v>45499</v>
      </c>
      <c r="P113" s="4864" t="s">
        <v>10013</v>
      </c>
      <c r="Q113" s="5620" t="s">
        <v>6852</v>
      </c>
      <c r="R113" s="4861" t="s">
        <v>51</v>
      </c>
      <c r="S113" s="4834"/>
      <c r="T113" s="4861"/>
      <c r="U113" s="4861"/>
      <c r="V113" s="4861"/>
      <c r="W113" s="4861"/>
      <c r="X113" s="5378"/>
      <c r="Y113" s="4861"/>
      <c r="Z113" s="5073"/>
    </row>
    <row r="114" spans="1:35" s="709" customFormat="1" hidden="1">
      <c r="A114" s="4669" t="s">
        <v>4815</v>
      </c>
      <c r="B114" s="5277" t="s">
        <v>10014</v>
      </c>
      <c r="C114" s="5277" t="s">
        <v>28</v>
      </c>
      <c r="D114" s="5403">
        <v>45483</v>
      </c>
      <c r="E114" s="3883">
        <v>45497</v>
      </c>
      <c r="F114" s="5277" t="s">
        <v>151</v>
      </c>
      <c r="G114" s="4758" t="s">
        <v>46</v>
      </c>
      <c r="H114" s="4807"/>
      <c r="I114" s="4656"/>
      <c r="J114" s="5622" t="s">
        <v>32</v>
      </c>
      <c r="K114" s="4839" t="s">
        <v>47</v>
      </c>
      <c r="L114" s="4882" t="s">
        <v>10015</v>
      </c>
      <c r="M114" s="5406">
        <v>45499</v>
      </c>
      <c r="N114" s="4953">
        <v>45498</v>
      </c>
      <c r="O114" s="4953">
        <v>45498</v>
      </c>
      <c r="P114" s="4884" t="s">
        <v>10016</v>
      </c>
      <c r="Q114" s="5620" t="s">
        <v>6852</v>
      </c>
      <c r="R114" s="4861" t="s">
        <v>10017</v>
      </c>
      <c r="S114" s="4834"/>
      <c r="T114" s="4861"/>
      <c r="U114" s="4861"/>
      <c r="V114" s="4861"/>
      <c r="W114" s="4861"/>
      <c r="X114" s="5378"/>
      <c r="Y114" s="4861"/>
      <c r="Z114" s="5073"/>
    </row>
    <row r="115" spans="1:35" s="1350" customFormat="1" ht="15.75" hidden="1">
      <c r="A115" s="4669" t="s">
        <v>4815</v>
      </c>
      <c r="B115" s="5648" t="s">
        <v>10018</v>
      </c>
      <c r="C115" s="5277" t="s">
        <v>28</v>
      </c>
      <c r="D115" s="5403">
        <v>45479</v>
      </c>
      <c r="E115" s="5621">
        <v>45492</v>
      </c>
      <c r="F115" s="5277" t="s">
        <v>45</v>
      </c>
      <c r="G115" s="4758" t="s">
        <v>46</v>
      </c>
      <c r="H115" s="4807"/>
      <c r="I115" s="4656"/>
      <c r="J115" s="5622" t="s">
        <v>32</v>
      </c>
      <c r="K115" s="4839" t="s">
        <v>47</v>
      </c>
      <c r="L115" s="4882">
        <v>405884</v>
      </c>
      <c r="M115" s="5406">
        <v>45494</v>
      </c>
      <c r="N115" s="4953">
        <v>45492</v>
      </c>
      <c r="O115" s="4953">
        <v>45495</v>
      </c>
      <c r="P115" s="4864" t="s">
        <v>10019</v>
      </c>
      <c r="Q115" s="5620" t="s">
        <v>6852</v>
      </c>
      <c r="R115" s="4861" t="s">
        <v>51</v>
      </c>
      <c r="S115" s="4834"/>
      <c r="T115" s="4861"/>
      <c r="U115" s="4861"/>
      <c r="V115" s="4861"/>
      <c r="W115" s="4861"/>
      <c r="X115" s="5378"/>
      <c r="Y115" s="4861"/>
      <c r="Z115" s="5073"/>
    </row>
    <row r="116" spans="1:35" s="1350" customFormat="1" hidden="1">
      <c r="A116" s="4669" t="s">
        <v>4815</v>
      </c>
      <c r="B116" s="4839" t="s">
        <v>10020</v>
      </c>
      <c r="C116" s="4839" t="s">
        <v>44</v>
      </c>
      <c r="D116" s="4957">
        <v>45471</v>
      </c>
      <c r="E116" s="3383">
        <v>45478</v>
      </c>
      <c r="F116" s="4839" t="s">
        <v>151</v>
      </c>
      <c r="G116" s="4758" t="s">
        <v>46</v>
      </c>
      <c r="H116" s="4811"/>
      <c r="I116" s="4646"/>
      <c r="J116" s="4901" t="s">
        <v>32</v>
      </c>
      <c r="K116" s="4839" t="s">
        <v>47</v>
      </c>
      <c r="L116" s="4864" t="s">
        <v>10021</v>
      </c>
      <c r="M116" s="4953">
        <v>45481</v>
      </c>
      <c r="N116" s="4953">
        <v>45481</v>
      </c>
      <c r="O116" s="4953">
        <v>45484</v>
      </c>
      <c r="P116" s="4864" t="s">
        <v>10022</v>
      </c>
      <c r="Q116" s="5620" t="s">
        <v>6852</v>
      </c>
      <c r="R116" s="4861" t="s">
        <v>51</v>
      </c>
      <c r="S116" s="4834"/>
      <c r="T116" s="4861"/>
      <c r="U116" s="3246"/>
      <c r="V116" s="4861"/>
      <c r="W116" s="4861"/>
      <c r="X116" s="5378"/>
      <c r="Y116" s="4861"/>
      <c r="Z116" s="5073"/>
    </row>
    <row r="117" spans="1:35" s="1350" customFormat="1" hidden="1">
      <c r="A117" s="4669" t="s">
        <v>4815</v>
      </c>
      <c r="B117" s="5277" t="s">
        <v>10023</v>
      </c>
      <c r="C117" s="5277" t="s">
        <v>44</v>
      </c>
      <c r="D117" s="5403">
        <v>45470</v>
      </c>
      <c r="E117" s="3867">
        <v>45478</v>
      </c>
      <c r="F117" s="5277" t="s">
        <v>45</v>
      </c>
      <c r="G117" s="4758" t="s">
        <v>46</v>
      </c>
      <c r="H117" s="4807"/>
      <c r="I117" s="4656"/>
      <c r="J117" s="5622" t="s">
        <v>32</v>
      </c>
      <c r="K117" s="4839" t="s">
        <v>47</v>
      </c>
      <c r="L117" s="5646" t="s">
        <v>10024</v>
      </c>
      <c r="M117" s="5406">
        <v>45480</v>
      </c>
      <c r="N117" s="5406">
        <v>45479</v>
      </c>
      <c r="O117" s="5406">
        <v>45481</v>
      </c>
      <c r="P117" s="5118" t="s">
        <v>10025</v>
      </c>
      <c r="Q117" s="5620" t="s">
        <v>6852</v>
      </c>
      <c r="R117" s="5277" t="s">
        <v>51</v>
      </c>
      <c r="S117" s="5118"/>
      <c r="T117" s="5277"/>
      <c r="U117" s="5277"/>
      <c r="V117" s="5277"/>
      <c r="W117" s="5277"/>
      <c r="X117" s="5409"/>
      <c r="Y117" s="5277"/>
      <c r="Z117" s="4758"/>
    </row>
    <row r="118" spans="1:35" s="1350" customFormat="1" hidden="1">
      <c r="A118" s="4669" t="s">
        <v>4815</v>
      </c>
      <c r="B118" s="4839" t="s">
        <v>10026</v>
      </c>
      <c r="C118" s="4839" t="s">
        <v>44</v>
      </c>
      <c r="D118" s="4957">
        <v>45469</v>
      </c>
      <c r="E118" s="5071">
        <v>45478</v>
      </c>
      <c r="F118" s="4839" t="s">
        <v>151</v>
      </c>
      <c r="G118" s="4758" t="s">
        <v>46</v>
      </c>
      <c r="H118" s="4811"/>
      <c r="I118" s="4646"/>
      <c r="J118" s="4901" t="s">
        <v>32</v>
      </c>
      <c r="K118" s="4839" t="s">
        <v>47</v>
      </c>
      <c r="L118" s="4864" t="s">
        <v>10027</v>
      </c>
      <c r="M118" s="4953">
        <v>45480</v>
      </c>
      <c r="N118" s="4953">
        <v>45480</v>
      </c>
      <c r="O118" s="4953">
        <v>45481</v>
      </c>
      <c r="P118" s="4864" t="s">
        <v>10028</v>
      </c>
      <c r="Q118" s="5620" t="s">
        <v>6852</v>
      </c>
      <c r="R118" s="4861" t="s">
        <v>10029</v>
      </c>
      <c r="S118" s="4834"/>
      <c r="T118" s="4861"/>
      <c r="U118" s="4861"/>
      <c r="V118" s="4861"/>
      <c r="W118" s="4861"/>
      <c r="X118" s="5378"/>
      <c r="Y118" s="4861"/>
      <c r="Z118" s="5073"/>
    </row>
    <row r="119" spans="1:35" s="1350" customFormat="1" ht="15.75" hidden="1">
      <c r="A119" s="4669" t="s">
        <v>4815</v>
      </c>
      <c r="B119" s="4839" t="s">
        <v>10030</v>
      </c>
      <c r="C119" s="4839" t="s">
        <v>44</v>
      </c>
      <c r="D119" s="4957">
        <v>45478</v>
      </c>
      <c r="E119" s="5071">
        <v>45486</v>
      </c>
      <c r="F119" s="4839" t="s">
        <v>56</v>
      </c>
      <c r="G119" s="4758" t="s">
        <v>46</v>
      </c>
      <c r="H119" s="4811"/>
      <c r="I119" s="4646"/>
      <c r="J119" s="4901" t="s">
        <v>32</v>
      </c>
      <c r="K119" s="4839" t="s">
        <v>47</v>
      </c>
      <c r="L119" s="5635" t="s">
        <v>10031</v>
      </c>
      <c r="M119" s="4885">
        <v>45488</v>
      </c>
      <c r="N119" s="4953">
        <v>45488</v>
      </c>
      <c r="O119" s="4953">
        <v>45490</v>
      </c>
      <c r="P119" s="4864" t="s">
        <v>10032</v>
      </c>
      <c r="Q119" s="5620" t="s">
        <v>6852</v>
      </c>
      <c r="R119" s="4861" t="s">
        <v>51</v>
      </c>
      <c r="S119" s="4834"/>
      <c r="T119" s="4861"/>
      <c r="U119" s="4861"/>
      <c r="V119" s="4861"/>
      <c r="W119" s="4861"/>
      <c r="X119" s="5378"/>
      <c r="Y119" s="4861"/>
      <c r="Z119" s="5073"/>
    </row>
    <row r="120" spans="1:35" s="1350" customFormat="1" ht="15.75">
      <c r="A120" s="4669" t="s">
        <v>4815</v>
      </c>
      <c r="B120" s="5277" t="s">
        <v>10033</v>
      </c>
      <c r="C120" s="5277" t="s">
        <v>28</v>
      </c>
      <c r="D120" s="5403">
        <v>45480</v>
      </c>
      <c r="E120" s="5621">
        <f>7+表15_1731[[#This Row],[ETA PORT]]</f>
        <v>45487</v>
      </c>
      <c r="F120" s="5277" t="s">
        <v>98</v>
      </c>
      <c r="G120" s="4758" t="s">
        <v>829</v>
      </c>
      <c r="H120" s="4807"/>
      <c r="I120" s="4656"/>
      <c r="J120" s="5622" t="s">
        <v>32</v>
      </c>
      <c r="K120" s="4839" t="s">
        <v>47</v>
      </c>
      <c r="L120" s="5635" t="s">
        <v>10034</v>
      </c>
      <c r="M120" s="5538">
        <v>45489</v>
      </c>
      <c r="N120" s="4953">
        <v>45488</v>
      </c>
      <c r="O120" s="3534">
        <v>45489</v>
      </c>
      <c r="P120" s="4864" t="s">
        <v>10035</v>
      </c>
      <c r="Q120" s="5620" t="s">
        <v>6852</v>
      </c>
      <c r="R120" s="4861" t="s">
        <v>51</v>
      </c>
      <c r="S120" s="4834"/>
      <c r="T120" s="4861"/>
      <c r="U120" s="4861"/>
      <c r="V120" s="4861"/>
      <c r="W120" s="4861"/>
      <c r="X120" s="5649"/>
      <c r="Y120" s="4861"/>
      <c r="Z120" s="5073"/>
    </row>
    <row r="121" spans="1:35" s="1350" customFormat="1" ht="45.75" hidden="1" customHeight="1">
      <c r="A121" s="3866" t="s">
        <v>4815</v>
      </c>
      <c r="B121" s="3275" t="s">
        <v>10036</v>
      </c>
      <c r="C121" s="3275" t="s">
        <v>44</v>
      </c>
      <c r="D121" s="4957">
        <v>45470</v>
      </c>
      <c r="E121" s="3383">
        <v>45479</v>
      </c>
      <c r="F121" s="3275" t="s">
        <v>45</v>
      </c>
      <c r="G121" s="3739" t="s">
        <v>46</v>
      </c>
      <c r="H121" s="4811"/>
      <c r="I121" s="3527"/>
      <c r="J121" s="4901" t="s">
        <v>32</v>
      </c>
      <c r="K121" s="3275" t="s">
        <v>47</v>
      </c>
      <c r="L121" s="3289" t="s">
        <v>10037</v>
      </c>
      <c r="M121" s="3534">
        <v>45481</v>
      </c>
      <c r="N121" s="3534">
        <v>45481</v>
      </c>
      <c r="O121" s="3534">
        <v>45484</v>
      </c>
      <c r="P121" s="3289" t="s">
        <v>10038</v>
      </c>
      <c r="Q121" s="3880" t="s">
        <v>6852</v>
      </c>
      <c r="R121" s="3246" t="s">
        <v>51</v>
      </c>
      <c r="S121" s="4834"/>
      <c r="T121" s="3246"/>
      <c r="U121" s="3246"/>
      <c r="V121" s="3246"/>
      <c r="W121" s="3246"/>
      <c r="X121" s="3257"/>
      <c r="Y121" s="3246"/>
      <c r="Z121" s="3248"/>
    </row>
    <row r="122" spans="1:35" s="1350" customFormat="1" hidden="1">
      <c r="A122" s="3866" t="s">
        <v>4815</v>
      </c>
      <c r="B122" s="3439" t="s">
        <v>10039</v>
      </c>
      <c r="C122" s="3439" t="s">
        <v>44</v>
      </c>
      <c r="D122" s="5403">
        <v>45470</v>
      </c>
      <c r="E122" s="3867">
        <v>45478</v>
      </c>
      <c r="F122" s="3439" t="s">
        <v>45</v>
      </c>
      <c r="G122" s="3739" t="s">
        <v>46</v>
      </c>
      <c r="H122" s="4807"/>
      <c r="I122" s="3681"/>
      <c r="J122" s="3869" t="s">
        <v>32</v>
      </c>
      <c r="K122" s="4839" t="s">
        <v>47</v>
      </c>
      <c r="L122" s="3289" t="s">
        <v>10040</v>
      </c>
      <c r="M122" s="3650">
        <v>45480</v>
      </c>
      <c r="N122" s="3650">
        <v>45479</v>
      </c>
      <c r="O122" s="3650">
        <v>45481</v>
      </c>
      <c r="P122" s="1365" t="s">
        <v>10041</v>
      </c>
      <c r="Q122" s="3880" t="s">
        <v>6852</v>
      </c>
      <c r="R122" s="5277" t="s">
        <v>51</v>
      </c>
      <c r="S122" s="5118"/>
      <c r="T122" s="3439"/>
      <c r="U122" s="3439"/>
      <c r="V122" s="3439"/>
      <c r="W122" s="5277"/>
      <c r="X122" s="5409"/>
      <c r="Y122" s="3439"/>
      <c r="Z122" s="3739"/>
    </row>
    <row r="123" spans="1:35" s="1350" customFormat="1" hidden="1">
      <c r="A123" s="2905" t="s">
        <v>4815</v>
      </c>
      <c r="B123" s="3275" t="s">
        <v>10042</v>
      </c>
      <c r="C123" s="3275" t="s">
        <v>44</v>
      </c>
      <c r="D123" s="3279">
        <v>45471</v>
      </c>
      <c r="E123" s="1631">
        <v>45482</v>
      </c>
      <c r="F123" s="3275" t="s">
        <v>45</v>
      </c>
      <c r="G123" s="3739" t="s">
        <v>46</v>
      </c>
      <c r="H123" s="4811"/>
      <c r="I123" s="3527"/>
      <c r="J123" s="3347" t="s">
        <v>32</v>
      </c>
      <c r="K123" s="4839" t="s">
        <v>47</v>
      </c>
      <c r="L123" s="1729" t="s">
        <v>10043</v>
      </c>
      <c r="M123" s="3534">
        <v>45484</v>
      </c>
      <c r="N123" s="3534">
        <v>45482</v>
      </c>
      <c r="O123" s="3534">
        <v>45485</v>
      </c>
      <c r="P123" s="3289" t="s">
        <v>10044</v>
      </c>
      <c r="Q123" s="3880" t="s">
        <v>6852</v>
      </c>
      <c r="R123" s="3246" t="s">
        <v>51</v>
      </c>
      <c r="S123" s="3300"/>
      <c r="T123" s="3246"/>
      <c r="U123" s="3246"/>
      <c r="V123" s="3246"/>
      <c r="W123" s="3246"/>
      <c r="X123" s="3257"/>
      <c r="Y123" s="3246"/>
      <c r="Z123" s="3248"/>
    </row>
    <row r="124" spans="1:35" s="52" customFormat="1" hidden="1">
      <c r="A124" s="2905" t="s">
        <v>4815</v>
      </c>
      <c r="B124" s="3275" t="s">
        <v>10045</v>
      </c>
      <c r="C124" s="3275" t="s">
        <v>44</v>
      </c>
      <c r="D124" s="3279">
        <v>45471</v>
      </c>
      <c r="E124" s="3383">
        <v>45479</v>
      </c>
      <c r="F124" s="3275" t="s">
        <v>45</v>
      </c>
      <c r="G124" s="3739" t="s">
        <v>46</v>
      </c>
      <c r="H124" s="4811"/>
      <c r="I124" s="3527"/>
      <c r="J124" s="3347" t="s">
        <v>32</v>
      </c>
      <c r="K124" s="4839" t="s">
        <v>47</v>
      </c>
      <c r="L124" s="723">
        <v>859779</v>
      </c>
      <c r="M124" s="3534">
        <v>45481</v>
      </c>
      <c r="N124" s="3534">
        <v>45481</v>
      </c>
      <c r="O124" s="3534">
        <v>45484</v>
      </c>
      <c r="P124" s="3289" t="s">
        <v>10046</v>
      </c>
      <c r="Q124" s="3880" t="s">
        <v>6852</v>
      </c>
      <c r="R124" s="3246" t="s">
        <v>10047</v>
      </c>
      <c r="S124" s="3300"/>
      <c r="T124" s="3246"/>
      <c r="U124" s="3246"/>
      <c r="V124" s="3246"/>
      <c r="W124" s="3246"/>
      <c r="X124" s="3257"/>
      <c r="Y124" s="3246"/>
      <c r="Z124" s="3248"/>
    </row>
    <row r="125" spans="1:35" s="1350" customFormat="1" hidden="1">
      <c r="A125" s="2905" t="s">
        <v>4815</v>
      </c>
      <c r="B125" s="3439" t="s">
        <v>10048</v>
      </c>
      <c r="C125" s="3439" t="s">
        <v>44</v>
      </c>
      <c r="D125" s="3649">
        <v>45469</v>
      </c>
      <c r="E125" s="2906">
        <v>45478</v>
      </c>
      <c r="F125" s="3439" t="s">
        <v>45</v>
      </c>
      <c r="G125" s="3739" t="s">
        <v>46</v>
      </c>
      <c r="H125" s="4807"/>
      <c r="I125" s="3681"/>
      <c r="J125" s="3869" t="s">
        <v>32</v>
      </c>
      <c r="K125" s="4839" t="s">
        <v>47</v>
      </c>
      <c r="L125" s="723" t="s">
        <v>10049</v>
      </c>
      <c r="M125" s="3650">
        <v>45480</v>
      </c>
      <c r="N125" s="3650">
        <v>45480</v>
      </c>
      <c r="O125" s="3650">
        <v>45481</v>
      </c>
      <c r="P125" s="3429" t="s">
        <v>10050</v>
      </c>
      <c r="Q125" s="3880" t="s">
        <v>6852</v>
      </c>
      <c r="R125" s="3439" t="s">
        <v>51</v>
      </c>
      <c r="S125" s="3429"/>
      <c r="T125" s="3439"/>
      <c r="U125" s="3439"/>
      <c r="V125" s="3439"/>
      <c r="W125" s="3439"/>
      <c r="X125" s="3870"/>
      <c r="Y125" s="3439"/>
      <c r="Z125" s="3739"/>
    </row>
    <row r="126" spans="1:35" s="1350" customFormat="1" hidden="1">
      <c r="A126" s="3866" t="s">
        <v>4815</v>
      </c>
      <c r="B126" s="3439" t="s">
        <v>10051</v>
      </c>
      <c r="C126" s="3439" t="s">
        <v>44</v>
      </c>
      <c r="D126" s="3649">
        <v>45482</v>
      </c>
      <c r="E126" s="3867">
        <v>45491</v>
      </c>
      <c r="F126" s="3439" t="s">
        <v>45</v>
      </c>
      <c r="G126" s="3739" t="s">
        <v>46</v>
      </c>
      <c r="H126" s="4807"/>
      <c r="I126" s="3681"/>
      <c r="J126" s="3869" t="s">
        <v>32</v>
      </c>
      <c r="K126" s="3275" t="s">
        <v>47</v>
      </c>
      <c r="L126" s="3258" t="s">
        <v>10052</v>
      </c>
      <c r="M126" s="3650">
        <v>45493</v>
      </c>
      <c r="N126" s="3534">
        <v>45491</v>
      </c>
      <c r="O126" s="3534">
        <v>45494</v>
      </c>
      <c r="P126" s="3289" t="s">
        <v>10053</v>
      </c>
      <c r="Q126" s="6072" t="s">
        <v>6852</v>
      </c>
      <c r="R126" s="4861" t="s">
        <v>51</v>
      </c>
      <c r="S126" s="4834"/>
      <c r="T126" s="3246"/>
      <c r="U126" s="3246"/>
      <c r="V126" s="3246"/>
      <c r="W126" s="3246"/>
      <c r="X126" s="3257"/>
      <c r="Y126" s="3246"/>
      <c r="Z126" s="3248"/>
    </row>
    <row r="127" spans="1:35" s="1350" customFormat="1" hidden="1">
      <c r="A127" s="5622" t="s">
        <v>4815</v>
      </c>
      <c r="B127" s="1350" t="s">
        <v>10054</v>
      </c>
      <c r="C127" s="5277" t="s">
        <v>28</v>
      </c>
      <c r="D127" s="5403">
        <v>45483</v>
      </c>
      <c r="E127" s="5634">
        <v>45494</v>
      </c>
      <c r="F127" s="5277" t="s">
        <v>45</v>
      </c>
      <c r="G127" s="4758" t="s">
        <v>46</v>
      </c>
      <c r="H127" s="4807"/>
      <c r="I127" s="4656"/>
      <c r="J127" s="5622" t="s">
        <v>32</v>
      </c>
      <c r="K127" s="4839" t="s">
        <v>47</v>
      </c>
      <c r="L127" s="3258" t="s">
        <v>10055</v>
      </c>
      <c r="M127" s="5406">
        <v>45496</v>
      </c>
      <c r="N127" s="4953">
        <v>45496</v>
      </c>
      <c r="O127" s="4953">
        <v>45498</v>
      </c>
      <c r="P127" s="4884" t="s">
        <v>10056</v>
      </c>
      <c r="Q127" s="5620" t="s">
        <v>6852</v>
      </c>
      <c r="R127" s="4861" t="s">
        <v>51</v>
      </c>
      <c r="S127" s="4834"/>
      <c r="T127" s="4861"/>
      <c r="U127" s="4861"/>
      <c r="V127" s="4861"/>
      <c r="W127" s="4861"/>
      <c r="X127" s="5378"/>
      <c r="Y127" s="4861"/>
      <c r="Z127" s="4861"/>
    </row>
    <row r="128" spans="1:35" ht="15.75" hidden="1">
      <c r="A128" s="3866" t="s">
        <v>4815</v>
      </c>
      <c r="B128" s="3275" t="s">
        <v>10057</v>
      </c>
      <c r="C128" s="3275" t="s">
        <v>44</v>
      </c>
      <c r="D128" s="3279">
        <v>45480</v>
      </c>
      <c r="E128" s="1631">
        <v>45491</v>
      </c>
      <c r="F128" s="3275" t="s">
        <v>135</v>
      </c>
      <c r="G128" s="3739" t="s">
        <v>46</v>
      </c>
      <c r="H128" s="4811"/>
      <c r="I128" s="3527"/>
      <c r="J128" s="3347" t="s">
        <v>32</v>
      </c>
      <c r="K128" s="4839" t="s">
        <v>47</v>
      </c>
      <c r="L128" s="3884" t="s">
        <v>10058</v>
      </c>
      <c r="M128" s="3534">
        <v>45492</v>
      </c>
      <c r="N128" s="3534">
        <v>45491</v>
      </c>
      <c r="O128" s="3534">
        <v>45495</v>
      </c>
      <c r="P128" s="3289" t="s">
        <v>10059</v>
      </c>
      <c r="Q128" s="3880" t="s">
        <v>6852</v>
      </c>
      <c r="R128" s="3246" t="s">
        <v>51</v>
      </c>
      <c r="S128" s="3300"/>
      <c r="T128" s="3246"/>
      <c r="U128" s="3246"/>
      <c r="V128" s="3246"/>
      <c r="W128" s="3246"/>
      <c r="X128" s="3257"/>
      <c r="Y128" s="3246"/>
      <c r="Z128" s="3248"/>
      <c r="AA128" s="2904"/>
      <c r="AB128" s="2904"/>
      <c r="AC128" s="2904"/>
      <c r="AD128" s="2904"/>
      <c r="AE128" s="2904"/>
      <c r="AF128" s="2904"/>
      <c r="AG128" s="2904"/>
      <c r="AH128" s="2904"/>
      <c r="AI128" s="2904"/>
    </row>
    <row r="129" spans="1:26" s="52" customFormat="1" ht="30" hidden="1">
      <c r="A129" s="3686" t="s">
        <v>10060</v>
      </c>
      <c r="B129" s="3268" t="s">
        <v>10061</v>
      </c>
      <c r="C129" s="3268" t="s">
        <v>28</v>
      </c>
      <c r="D129" s="3860">
        <v>45490</v>
      </c>
      <c r="E129" s="3885">
        <v>45499</v>
      </c>
      <c r="F129" s="3268" t="s">
        <v>45</v>
      </c>
      <c r="G129" s="3270" t="s">
        <v>10062</v>
      </c>
      <c r="H129" s="4820" t="s">
        <v>10063</v>
      </c>
      <c r="I129" s="3686" t="s">
        <v>10063</v>
      </c>
      <c r="J129" s="3513" t="s">
        <v>10063</v>
      </c>
      <c r="K129" s="4909" t="s">
        <v>10064</v>
      </c>
      <c r="L129" s="4104" t="s">
        <v>10065</v>
      </c>
      <c r="M129" s="3262">
        <v>45503</v>
      </c>
      <c r="N129" s="3262">
        <v>45502</v>
      </c>
      <c r="O129" s="3262">
        <v>45502</v>
      </c>
      <c r="P129" s="4246" t="s">
        <v>10066</v>
      </c>
      <c r="Q129" s="3678" t="s">
        <v>75</v>
      </c>
      <c r="R129" s="4242" t="s">
        <v>10067</v>
      </c>
      <c r="S129" s="4242" t="s">
        <v>67</v>
      </c>
      <c r="T129" s="3268"/>
      <c r="U129" s="3268"/>
      <c r="V129" s="3268"/>
      <c r="W129" s="3268"/>
      <c r="X129" s="3269"/>
      <c r="Y129" s="3268"/>
      <c r="Z129" s="3270"/>
    </row>
    <row r="130" spans="1:26" s="52" customFormat="1" ht="45" hidden="1">
      <c r="A130" s="3686" t="s">
        <v>165</v>
      </c>
      <c r="B130" s="3728" t="s">
        <v>10068</v>
      </c>
      <c r="C130" s="4242" t="s">
        <v>200</v>
      </c>
      <c r="D130" s="3262">
        <v>45488</v>
      </c>
      <c r="E130" s="3264">
        <v>45496</v>
      </c>
      <c r="F130" s="4242" t="s">
        <v>93</v>
      </c>
      <c r="G130" s="4769" t="s">
        <v>302</v>
      </c>
      <c r="H130" s="654">
        <v>45499</v>
      </c>
      <c r="I130" s="4792" t="s">
        <v>672</v>
      </c>
      <c r="J130" s="3513" t="s">
        <v>32</v>
      </c>
      <c r="K130" s="4934" t="s">
        <v>2013</v>
      </c>
      <c r="L130" s="3366" t="s">
        <v>10069</v>
      </c>
      <c r="M130" s="3366">
        <v>45499</v>
      </c>
      <c r="N130" s="3366">
        <v>45499</v>
      </c>
      <c r="O130" s="3264">
        <v>45499</v>
      </c>
      <c r="P130" s="4321" t="s">
        <v>10070</v>
      </c>
      <c r="Q130" s="3722" t="s">
        <v>75</v>
      </c>
      <c r="R130" s="4307" t="s">
        <v>10071</v>
      </c>
      <c r="S130" s="4307" t="s">
        <v>9659</v>
      </c>
      <c r="T130" s="3723">
        <v>1585</v>
      </c>
      <c r="U130" s="3364">
        <v>970</v>
      </c>
      <c r="V130" s="3364">
        <v>1</v>
      </c>
      <c r="W130" s="3723">
        <f>表15_1731[[#This Row],[Sales Amount]]-表15_1731[[#This Row],[Cost]]</f>
        <v>615</v>
      </c>
      <c r="X130" s="3724">
        <f>表15_1731[[#This Row],[Profit]]/表15_1731[[#This Row],[Cost]]</f>
        <v>0.634020618556701</v>
      </c>
      <c r="Y130" s="3364"/>
      <c r="Z130" s="3708"/>
    </row>
    <row r="131" spans="1:26" s="52" customFormat="1" ht="45" hidden="1">
      <c r="A131" s="3686" t="s">
        <v>165</v>
      </c>
      <c r="B131" s="3728" t="s">
        <v>10072</v>
      </c>
      <c r="C131" s="4242" t="s">
        <v>200</v>
      </c>
      <c r="D131" s="3262">
        <v>45488</v>
      </c>
      <c r="E131" s="3264">
        <v>45496</v>
      </c>
      <c r="F131" s="4242" t="s">
        <v>93</v>
      </c>
      <c r="G131" s="4769" t="s">
        <v>302</v>
      </c>
      <c r="H131" s="838">
        <v>45499</v>
      </c>
      <c r="I131" s="4793" t="s">
        <v>672</v>
      </c>
      <c r="J131" s="3513" t="s">
        <v>32</v>
      </c>
      <c r="K131" s="4845" t="s">
        <v>2013</v>
      </c>
      <c r="L131" s="839" t="s">
        <v>10073</v>
      </c>
      <c r="M131" s="3366">
        <v>45499</v>
      </c>
      <c r="N131" s="3366">
        <v>45499</v>
      </c>
      <c r="O131" s="3264">
        <v>45499</v>
      </c>
      <c r="P131" s="4321" t="s">
        <v>10074</v>
      </c>
      <c r="Q131" s="3722" t="s">
        <v>75</v>
      </c>
      <c r="R131" s="4307" t="s">
        <v>10075</v>
      </c>
      <c r="S131" s="4307" t="s">
        <v>9659</v>
      </c>
      <c r="T131" s="3723">
        <v>1585</v>
      </c>
      <c r="U131" s="3364">
        <v>970</v>
      </c>
      <c r="V131" s="3364">
        <v>1</v>
      </c>
      <c r="W131" s="3723">
        <f>表15_1731[[#This Row],[Sales Amount]]-表15_1731[[#This Row],[Cost]]</f>
        <v>615</v>
      </c>
      <c r="X131" s="3724">
        <f>表15_1731[[#This Row],[Profit]]/表15_1731[[#This Row],[Cost]]</f>
        <v>0.634020618556701</v>
      </c>
      <c r="Y131" s="3364"/>
      <c r="Z131" s="3708"/>
    </row>
    <row r="132" spans="1:26" s="1350" customFormat="1" ht="60" hidden="1">
      <c r="A132" s="3738" t="s">
        <v>165</v>
      </c>
      <c r="B132" s="3503" t="s">
        <v>10076</v>
      </c>
      <c r="C132" s="3364" t="s">
        <v>200</v>
      </c>
      <c r="D132" s="3467">
        <v>45468</v>
      </c>
      <c r="E132" s="1387">
        <v>45475</v>
      </c>
      <c r="F132" s="3364" t="s">
        <v>93</v>
      </c>
      <c r="G132" s="3708" t="s">
        <v>302</v>
      </c>
      <c r="H132" s="1264">
        <v>45479</v>
      </c>
      <c r="I132" s="4794" t="s">
        <v>672</v>
      </c>
      <c r="J132" s="3721" t="s">
        <v>168</v>
      </c>
      <c r="K132" s="4970" t="s">
        <v>2013</v>
      </c>
      <c r="L132" s="2990" t="s">
        <v>10077</v>
      </c>
      <c r="M132" s="3504">
        <v>45480</v>
      </c>
      <c r="N132" s="3467">
        <v>45478</v>
      </c>
      <c r="O132" s="3467">
        <v>45481</v>
      </c>
      <c r="P132" s="3886" t="s">
        <v>10078</v>
      </c>
      <c r="Q132" s="3722" t="s">
        <v>75</v>
      </c>
      <c r="R132" s="4307" t="s">
        <v>10079</v>
      </c>
      <c r="S132" s="4307" t="s">
        <v>9659</v>
      </c>
      <c r="T132" s="3760">
        <v>1510</v>
      </c>
      <c r="U132" s="3760">
        <v>985</v>
      </c>
      <c r="V132" s="3364">
        <v>1</v>
      </c>
      <c r="W132" s="3723">
        <f>表15_1731[[#This Row],[Sales Amount]]-表15_1731[[#This Row],[Cost]]</f>
        <v>525</v>
      </c>
      <c r="X132" s="3724">
        <f>表15_1731[[#This Row],[Profit]]/表15_1731[[#This Row],[Cost]]</f>
        <v>0.53299492385786806</v>
      </c>
      <c r="Y132" s="3364"/>
      <c r="Z132" s="3708"/>
    </row>
    <row r="133" spans="1:26" s="1350" customFormat="1" ht="30" hidden="1">
      <c r="A133" s="3740" t="s">
        <v>2966</v>
      </c>
      <c r="B133" s="36" t="s">
        <v>10080</v>
      </c>
      <c r="C133" s="3364" t="s">
        <v>200</v>
      </c>
      <c r="D133" s="3467">
        <v>45476</v>
      </c>
      <c r="E133" s="3719">
        <v>45484</v>
      </c>
      <c r="F133" s="3364" t="s">
        <v>45</v>
      </c>
      <c r="G133" s="3708" t="s">
        <v>302</v>
      </c>
      <c r="H133" s="3021" t="s">
        <v>162</v>
      </c>
      <c r="I133" s="3738" t="s">
        <v>162</v>
      </c>
      <c r="J133" s="3721" t="s">
        <v>162</v>
      </c>
      <c r="K133" s="4829" t="s">
        <v>9205</v>
      </c>
      <c r="L133" s="4416" t="s">
        <v>10081</v>
      </c>
      <c r="M133" s="3440">
        <v>45488</v>
      </c>
      <c r="N133" s="3440">
        <v>45488</v>
      </c>
      <c r="O133" s="3467">
        <v>45488</v>
      </c>
      <c r="P133" s="4321" t="s">
        <v>10082</v>
      </c>
      <c r="Q133" s="3722" t="s">
        <v>75</v>
      </c>
      <c r="R133" s="4307" t="s">
        <v>10083</v>
      </c>
      <c r="S133" s="3317" t="s">
        <v>2373</v>
      </c>
      <c r="T133" s="3364"/>
      <c r="U133" s="3364"/>
      <c r="V133" s="3364"/>
      <c r="W133" s="5174">
        <f>表15_17[[#This Row],[Sales Amount]]-表15_17[[#This Row],[Cost]]</f>
        <v>0</v>
      </c>
      <c r="X133" s="5213" t="e">
        <f>表15_17[[#This Row],[Profit]]/表15_17[[#This Row],[Cost]]</f>
        <v>#DIV/0!</v>
      </c>
      <c r="Y133" s="3364"/>
      <c r="Z133" s="3708"/>
    </row>
    <row r="134" spans="1:26" s="36" customFormat="1" ht="30" hidden="1">
      <c r="A134" s="3866" t="s">
        <v>2966</v>
      </c>
      <c r="B134" s="4417" t="s">
        <v>10084</v>
      </c>
      <c r="C134" s="3439" t="s">
        <v>200</v>
      </c>
      <c r="D134" s="3650">
        <v>45490</v>
      </c>
      <c r="E134" s="1417">
        <v>45497</v>
      </c>
      <c r="F134" s="3439" t="s">
        <v>45</v>
      </c>
      <c r="G134" s="3739" t="s">
        <v>302</v>
      </c>
      <c r="H134" s="4821" t="s">
        <v>162</v>
      </c>
      <c r="I134" s="4795" t="s">
        <v>162</v>
      </c>
      <c r="J134" s="3887" t="s">
        <v>162</v>
      </c>
      <c r="K134" s="5405" t="s">
        <v>9205</v>
      </c>
      <c r="L134" s="4222" t="s">
        <v>10085</v>
      </c>
      <c r="M134" s="3650">
        <v>45499</v>
      </c>
      <c r="N134" s="3534">
        <v>45499</v>
      </c>
      <c r="O134" s="3534">
        <v>45499</v>
      </c>
      <c r="P134" s="3439" t="s">
        <v>10086</v>
      </c>
      <c r="Q134" s="3888" t="s">
        <v>9226</v>
      </c>
      <c r="R134" s="3439" t="s">
        <v>10087</v>
      </c>
      <c r="S134" s="3439" t="s">
        <v>2373</v>
      </c>
      <c r="T134" s="3439"/>
      <c r="U134" s="3439"/>
      <c r="V134" s="3439"/>
      <c r="W134" s="5277"/>
      <c r="X134" s="5409"/>
      <c r="Y134" s="3439"/>
      <c r="Z134" s="3739"/>
    </row>
    <row r="135" spans="1:26" s="1350" customFormat="1" ht="30" hidden="1">
      <c r="A135" s="3740" t="s">
        <v>2966</v>
      </c>
      <c r="B135" s="3364" t="s">
        <v>10088</v>
      </c>
      <c r="C135" s="3364" t="s">
        <v>28</v>
      </c>
      <c r="D135" s="3467">
        <v>45458</v>
      </c>
      <c r="E135" s="1387">
        <v>45477</v>
      </c>
      <c r="F135" s="3364" t="s">
        <v>45</v>
      </c>
      <c r="G135" s="3708" t="s">
        <v>3520</v>
      </c>
      <c r="H135" s="3021" t="s">
        <v>162</v>
      </c>
      <c r="I135" s="3738" t="s">
        <v>162</v>
      </c>
      <c r="J135" s="3721" t="s">
        <v>162</v>
      </c>
      <c r="K135" s="4838" t="s">
        <v>9205</v>
      </c>
      <c r="L135" s="745">
        <v>1351</v>
      </c>
      <c r="M135" s="3467">
        <v>45479</v>
      </c>
      <c r="N135" s="3467">
        <v>45481</v>
      </c>
      <c r="O135" s="3467">
        <v>45484</v>
      </c>
      <c r="P135" s="4321" t="s">
        <v>10089</v>
      </c>
      <c r="Q135" s="3722" t="s">
        <v>75</v>
      </c>
      <c r="R135" s="3364" t="s">
        <v>10090</v>
      </c>
      <c r="S135" s="3317" t="s">
        <v>2373</v>
      </c>
      <c r="T135" s="3364"/>
      <c r="U135" s="3364"/>
      <c r="V135" s="3364"/>
      <c r="W135" s="3723">
        <f>表15_17[[#This Row],[Sales Amount]]-表15_17[[#This Row],[Cost]]</f>
        <v>0</v>
      </c>
      <c r="X135" s="3724" t="e">
        <f>表15_17[[#This Row],[Profit]]/表15_17[[#This Row],[Cost]]</f>
        <v>#DIV/0!</v>
      </c>
      <c r="Y135" s="3364"/>
      <c r="Z135" s="3708"/>
    </row>
    <row r="136" spans="1:26" s="36" customFormat="1" ht="60" hidden="1">
      <c r="A136" s="3738" t="s">
        <v>622</v>
      </c>
      <c r="B136" s="4378" t="s">
        <v>10091</v>
      </c>
      <c r="C136" s="3364" t="s">
        <v>28</v>
      </c>
      <c r="D136" s="3467">
        <v>45471</v>
      </c>
      <c r="E136" s="1387">
        <v>45491</v>
      </c>
      <c r="F136" s="3364" t="s">
        <v>245</v>
      </c>
      <c r="G136" s="3708" t="s">
        <v>57</v>
      </c>
      <c r="H136" s="4452">
        <v>45495</v>
      </c>
      <c r="I136" s="4385" t="s">
        <v>899</v>
      </c>
      <c r="J136" s="3721" t="s">
        <v>32</v>
      </c>
      <c r="K136" s="5531" t="s">
        <v>1445</v>
      </c>
      <c r="L136" s="2990">
        <v>2807527</v>
      </c>
      <c r="M136" s="3504">
        <v>45493</v>
      </c>
      <c r="N136" s="3467">
        <v>45492</v>
      </c>
      <c r="O136" s="3467">
        <v>45495</v>
      </c>
      <c r="P136" s="3727" t="s">
        <v>10092</v>
      </c>
      <c r="Q136" s="3722" t="s">
        <v>75</v>
      </c>
      <c r="R136" s="4307" t="s">
        <v>10093</v>
      </c>
      <c r="S136" s="3317" t="s">
        <v>67</v>
      </c>
      <c r="T136" s="3364">
        <v>7925</v>
      </c>
      <c r="U136" s="3364">
        <f>6850+50+90+550</f>
        <v>7540</v>
      </c>
      <c r="V136" s="3364">
        <v>1</v>
      </c>
      <c r="W136" s="3723">
        <f>表15_1731[[#This Row],[Sales Amount]]-表15_1731[[#This Row],[Cost]]</f>
        <v>385</v>
      </c>
      <c r="X136" s="3724">
        <f>表15_1731[[#This Row],[Profit]]/表15_1731[[#This Row],[Cost]]</f>
        <v>5.1061007957559683E-2</v>
      </c>
      <c r="Y136" s="3364"/>
      <c r="Z136" s="3708"/>
    </row>
    <row r="137" spans="1:26" s="1350" customFormat="1" ht="45" hidden="1">
      <c r="A137" s="2984" t="s">
        <v>622</v>
      </c>
      <c r="B137" s="4307" t="s">
        <v>10094</v>
      </c>
      <c r="C137" s="4307" t="s">
        <v>28</v>
      </c>
      <c r="D137" s="4378">
        <v>45486</v>
      </c>
      <c r="E137" s="1387">
        <v>45495</v>
      </c>
      <c r="F137" s="4378" t="s">
        <v>167</v>
      </c>
      <c r="G137" s="4098" t="s">
        <v>302</v>
      </c>
      <c r="H137" s="838">
        <v>45497</v>
      </c>
      <c r="I137" s="4796" t="s">
        <v>926</v>
      </c>
      <c r="J137" s="3721" t="s">
        <v>32</v>
      </c>
      <c r="K137" s="5531" t="s">
        <v>1445</v>
      </c>
      <c r="L137" s="4321" t="s">
        <v>10095</v>
      </c>
      <c r="M137" s="3860">
        <v>45497</v>
      </c>
      <c r="N137" s="5650">
        <v>45496</v>
      </c>
      <c r="O137" s="3860">
        <v>45497</v>
      </c>
      <c r="P137" s="4321" t="s">
        <v>10096</v>
      </c>
      <c r="Q137" s="3722" t="s">
        <v>75</v>
      </c>
      <c r="R137" s="4242" t="s">
        <v>10097</v>
      </c>
      <c r="S137" s="3317" t="s">
        <v>67</v>
      </c>
      <c r="T137" s="3723">
        <v>8375</v>
      </c>
      <c r="U137" s="3364">
        <f>7400+550+90</f>
        <v>8040</v>
      </c>
      <c r="V137" s="3364">
        <v>1</v>
      </c>
      <c r="W137" s="3723">
        <f>表15_1731[[#This Row],[Sales Amount]]-表15_1731[[#This Row],[Cost]]</f>
        <v>335</v>
      </c>
      <c r="X137" s="3724">
        <f>表15_1731[[#This Row],[Profit]]/表15_1731[[#This Row],[Cost]]</f>
        <v>4.1666666666666664E-2</v>
      </c>
      <c r="Y137" s="3364"/>
      <c r="Z137" s="3708"/>
    </row>
    <row r="138" spans="1:26" s="52" customFormat="1" ht="60" hidden="1">
      <c r="A138" s="2984" t="s">
        <v>622</v>
      </c>
      <c r="B138" s="3889" t="s">
        <v>10098</v>
      </c>
      <c r="C138" s="4307" t="s">
        <v>28</v>
      </c>
      <c r="D138" s="4378">
        <v>45482</v>
      </c>
      <c r="E138" s="1387">
        <v>45495</v>
      </c>
      <c r="F138" s="4307" t="s">
        <v>245</v>
      </c>
      <c r="G138" s="4770" t="s">
        <v>57</v>
      </c>
      <c r="H138" s="1220">
        <v>45496</v>
      </c>
      <c r="I138" s="3466"/>
      <c r="J138" s="3721" t="s">
        <v>32</v>
      </c>
      <c r="K138" s="5531" t="s">
        <v>1445</v>
      </c>
      <c r="L138" s="3727">
        <v>3080123</v>
      </c>
      <c r="M138" s="3440">
        <v>45497</v>
      </c>
      <c r="N138" s="3440">
        <v>45495</v>
      </c>
      <c r="O138" s="3467">
        <v>45496</v>
      </c>
      <c r="P138" s="4321" t="s">
        <v>10099</v>
      </c>
      <c r="Q138" s="3722" t="s">
        <v>75</v>
      </c>
      <c r="R138" s="3376" t="s">
        <v>10100</v>
      </c>
      <c r="S138" s="3317" t="s">
        <v>67</v>
      </c>
      <c r="T138" s="3364">
        <v>8825</v>
      </c>
      <c r="U138" s="3364">
        <f>90+50+7850+550</f>
        <v>8540</v>
      </c>
      <c r="V138" s="3364">
        <v>1</v>
      </c>
      <c r="W138" s="3723">
        <f>表15_1731[[#This Row],[Sales Amount]]-表15_1731[[#This Row],[Cost]]</f>
        <v>285</v>
      </c>
      <c r="X138" s="3724">
        <f>表15_1731[[#This Row],[Profit]]/表15_1731[[#This Row],[Cost]]</f>
        <v>3.3372365339578457E-2</v>
      </c>
      <c r="Y138" s="3364"/>
      <c r="Z138" s="3708"/>
    </row>
    <row r="139" spans="1:26" s="52" customFormat="1" hidden="1">
      <c r="A139" s="1188" t="s">
        <v>263</v>
      </c>
      <c r="B139" s="4331" t="s">
        <v>10101</v>
      </c>
      <c r="C139" s="4331" t="s">
        <v>44</v>
      </c>
      <c r="D139" s="4414">
        <v>45488</v>
      </c>
      <c r="E139" s="877">
        <v>45488</v>
      </c>
      <c r="F139" s="4122" t="s">
        <v>135</v>
      </c>
      <c r="G139" s="4771" t="s">
        <v>265</v>
      </c>
      <c r="H139" s="1016"/>
      <c r="I139" s="3527"/>
      <c r="J139" s="3523" t="s">
        <v>377</v>
      </c>
      <c r="K139" s="4861" t="s">
        <v>10102</v>
      </c>
      <c r="L139" s="3890"/>
      <c r="M139" s="3534"/>
      <c r="N139" s="3534">
        <v>45488</v>
      </c>
      <c r="O139" s="3660">
        <v>45490</v>
      </c>
      <c r="P139" s="4408" t="s">
        <v>10103</v>
      </c>
      <c r="Q139" s="3809" t="s">
        <v>128</v>
      </c>
      <c r="R139" s="3246" t="s">
        <v>36</v>
      </c>
      <c r="S139" s="4331"/>
      <c r="T139" s="3246">
        <v>1416.66</v>
      </c>
      <c r="U139" s="3246">
        <f>1001.25+90+80.16</f>
        <v>1171.4100000000001</v>
      </c>
      <c r="V139" s="3246"/>
      <c r="W139" s="3830"/>
      <c r="X139" s="3257"/>
      <c r="Y139" s="3246"/>
      <c r="Z139" s="3248"/>
    </row>
    <row r="140" spans="1:26" s="52" customFormat="1" hidden="1">
      <c r="A140" s="908" t="s">
        <v>8929</v>
      </c>
      <c r="B140" s="4242" t="s">
        <v>10104</v>
      </c>
      <c r="C140" s="3268" t="s">
        <v>28</v>
      </c>
      <c r="D140" s="3860">
        <v>45502</v>
      </c>
      <c r="E140" s="3885">
        <v>45502</v>
      </c>
      <c r="F140" s="4242" t="s">
        <v>167</v>
      </c>
      <c r="G140" s="4769" t="s">
        <v>10105</v>
      </c>
      <c r="H140" s="893" t="s">
        <v>162</v>
      </c>
      <c r="I140" s="4797" t="s">
        <v>162</v>
      </c>
      <c r="J140" s="3272" t="s">
        <v>10106</v>
      </c>
      <c r="K140" s="5375" t="s">
        <v>10106</v>
      </c>
      <c r="L140" s="3806" t="s">
        <v>10107</v>
      </c>
      <c r="M140" s="3264">
        <v>45509</v>
      </c>
      <c r="N140" s="3262">
        <v>45506</v>
      </c>
      <c r="O140" s="3262">
        <v>45509</v>
      </c>
      <c r="P140" s="4246" t="s">
        <v>10108</v>
      </c>
      <c r="Q140" s="3678" t="s">
        <v>75</v>
      </c>
      <c r="R140" s="4242" t="s">
        <v>10109</v>
      </c>
      <c r="S140" s="3273" t="s">
        <v>67</v>
      </c>
      <c r="T140" s="3268">
        <v>355</v>
      </c>
      <c r="U140" s="3268">
        <f>90</f>
        <v>90</v>
      </c>
      <c r="V140" s="3268">
        <v>1</v>
      </c>
      <c r="W140" s="3679">
        <f>表15_1731[[#This Row],[Sales Amount]]-表15_1731[[#This Row],[Cost]]</f>
        <v>265</v>
      </c>
      <c r="X140" s="3269">
        <f>表15_1731[[#This Row],[Profit]]/表15_1731[[#This Row],[Cost]]</f>
        <v>2.9444444444444446</v>
      </c>
      <c r="Y140" s="3268"/>
      <c r="Z140" s="3270"/>
    </row>
    <row r="141" spans="1:26" s="52" customFormat="1" ht="30" hidden="1">
      <c r="A141" s="3740" t="s">
        <v>8929</v>
      </c>
      <c r="B141" s="4307" t="s">
        <v>10110</v>
      </c>
      <c r="C141" s="3364" t="s">
        <v>28</v>
      </c>
      <c r="D141" s="3467">
        <v>45480</v>
      </c>
      <c r="E141" s="3719">
        <v>45480</v>
      </c>
      <c r="F141" s="3364" t="s">
        <v>167</v>
      </c>
      <c r="G141" s="4770" t="s">
        <v>9073</v>
      </c>
      <c r="H141" s="1805" t="s">
        <v>162</v>
      </c>
      <c r="I141" s="3334" t="s">
        <v>162</v>
      </c>
      <c r="J141" s="3721" t="s">
        <v>10106</v>
      </c>
      <c r="K141" s="3721" t="s">
        <v>10106</v>
      </c>
      <c r="L141" s="3320" t="s">
        <v>9278</v>
      </c>
      <c r="M141" s="3719">
        <v>45485</v>
      </c>
      <c r="N141" s="3467">
        <v>45484</v>
      </c>
      <c r="O141" s="3467">
        <v>45485</v>
      </c>
      <c r="P141" s="4321" t="s">
        <v>10111</v>
      </c>
      <c r="Q141" s="3722" t="s">
        <v>75</v>
      </c>
      <c r="R141" s="4307" t="s">
        <v>10112</v>
      </c>
      <c r="S141" s="3317" t="s">
        <v>67</v>
      </c>
      <c r="T141" s="3364"/>
      <c r="U141" s="3364">
        <v>475</v>
      </c>
      <c r="V141" s="3364">
        <f>180</f>
        <v>180</v>
      </c>
      <c r="W141" s="3723">
        <f>表15_17[[#This Row],[Sales Amount]]-表15_17[[#This Row],[Cost]]</f>
        <v>0</v>
      </c>
      <c r="X141" s="3724" t="e">
        <f>表15_17[[#This Row],[Profit]]/表15_17[[#This Row],[Cost]]</f>
        <v>#DIV/0!</v>
      </c>
      <c r="Y141" s="3364"/>
      <c r="Z141" s="3708"/>
    </row>
    <row r="142" spans="1:26" s="52" customFormat="1" ht="30" hidden="1">
      <c r="A142" s="3740" t="s">
        <v>8929</v>
      </c>
      <c r="B142" s="4098" t="s">
        <v>10113</v>
      </c>
      <c r="C142" s="36" t="s">
        <v>28</v>
      </c>
      <c r="D142" s="3467">
        <v>45482</v>
      </c>
      <c r="E142" s="3719">
        <v>45482</v>
      </c>
      <c r="F142" s="36" t="s">
        <v>167</v>
      </c>
      <c r="G142" s="4098" t="s">
        <v>8931</v>
      </c>
      <c r="H142" s="1805" t="s">
        <v>162</v>
      </c>
      <c r="I142" s="3334" t="s">
        <v>162</v>
      </c>
      <c r="J142" s="5627" t="s">
        <v>10106</v>
      </c>
      <c r="K142" s="757" t="s">
        <v>10106</v>
      </c>
      <c r="L142" s="2991" t="s">
        <v>10114</v>
      </c>
      <c r="M142" s="3440">
        <v>45487</v>
      </c>
      <c r="N142" s="3440">
        <v>45486</v>
      </c>
      <c r="O142" s="3467">
        <v>45489</v>
      </c>
      <c r="P142" s="4321" t="s">
        <v>10115</v>
      </c>
      <c r="Q142" s="5515" t="s">
        <v>75</v>
      </c>
      <c r="R142" s="4307" t="s">
        <v>10116</v>
      </c>
      <c r="S142" s="3317" t="s">
        <v>67</v>
      </c>
      <c r="T142" s="3364">
        <v>355</v>
      </c>
      <c r="U142" s="3364">
        <v>90</v>
      </c>
      <c r="V142" s="3364">
        <v>1</v>
      </c>
      <c r="W142" s="3723">
        <f>表15_1731[[#This Row],[Sales Amount]]-表15_1731[[#This Row],[Cost]]</f>
        <v>265</v>
      </c>
      <c r="X142" s="3724">
        <f>表15_1731[[#This Row],[Profit]]/表15_1731[[#This Row],[Cost]]</f>
        <v>2.9444444444444446</v>
      </c>
      <c r="Y142" s="3364"/>
      <c r="Z142" s="3708"/>
    </row>
    <row r="143" spans="1:26" s="1350" customFormat="1" hidden="1">
      <c r="A143" s="3697" t="s">
        <v>8929</v>
      </c>
      <c r="B143" s="4150" t="s">
        <v>10117</v>
      </c>
      <c r="C143" s="117" t="s">
        <v>28</v>
      </c>
      <c r="D143" s="3860">
        <v>45495</v>
      </c>
      <c r="E143" s="3885">
        <v>45495</v>
      </c>
      <c r="F143" s="117" t="s">
        <v>167</v>
      </c>
      <c r="G143" s="4150" t="s">
        <v>10105</v>
      </c>
      <c r="H143" s="893" t="s">
        <v>162</v>
      </c>
      <c r="I143" s="4798" t="s">
        <v>162</v>
      </c>
      <c r="J143" s="5375" t="s">
        <v>10106</v>
      </c>
      <c r="K143" s="2866" t="s">
        <v>10106</v>
      </c>
      <c r="L143" s="4104" t="s">
        <v>162</v>
      </c>
      <c r="M143" s="4241">
        <v>45501</v>
      </c>
      <c r="N143" s="3262">
        <v>45500</v>
      </c>
      <c r="O143" s="3262">
        <v>45504</v>
      </c>
      <c r="P143" s="4104" t="s">
        <v>10118</v>
      </c>
      <c r="Q143" s="5065" t="s">
        <v>75</v>
      </c>
      <c r="R143" s="3268" t="s">
        <v>10119</v>
      </c>
      <c r="S143" s="806" t="s">
        <v>67</v>
      </c>
      <c r="T143" s="3268">
        <v>355</v>
      </c>
      <c r="U143" s="3268">
        <f>90</f>
        <v>90</v>
      </c>
      <c r="V143" s="3268">
        <v>1</v>
      </c>
      <c r="W143" s="3679">
        <f>表15_1731[[#This Row],[Sales Amount]]-表15_1731[[#This Row],[Cost]]</f>
        <v>265</v>
      </c>
      <c r="X143" s="3269">
        <f>表15_1731[[#This Row],[Profit]]/表15_1731[[#This Row],[Cost]]</f>
        <v>2.9444444444444446</v>
      </c>
      <c r="Y143" s="3268"/>
      <c r="Z143" s="3270"/>
    </row>
    <row r="144" spans="1:26" s="1350" customFormat="1">
      <c r="A144" s="5622" t="s">
        <v>10120</v>
      </c>
      <c r="B144" s="3439" t="s">
        <v>10121</v>
      </c>
      <c r="C144" s="5277" t="s">
        <v>28</v>
      </c>
      <c r="D144" s="5403">
        <v>45476</v>
      </c>
      <c r="E144" s="5621">
        <v>45483</v>
      </c>
      <c r="F144" s="3439" t="s">
        <v>98</v>
      </c>
      <c r="G144" s="4758" t="s">
        <v>669</v>
      </c>
      <c r="H144" s="4807"/>
      <c r="I144" s="3681"/>
      <c r="J144" s="3869" t="s">
        <v>32</v>
      </c>
      <c r="K144" s="3439" t="s">
        <v>47</v>
      </c>
      <c r="L144" s="3891" t="s">
        <v>10122</v>
      </c>
      <c r="M144" s="3650">
        <v>45485</v>
      </c>
      <c r="N144" s="3534">
        <v>45482</v>
      </c>
      <c r="O144" s="3534">
        <v>45484</v>
      </c>
      <c r="P144" s="3289" t="s">
        <v>10123</v>
      </c>
      <c r="Q144" s="5620" t="s">
        <v>89</v>
      </c>
      <c r="R144" s="4861" t="s">
        <v>36</v>
      </c>
      <c r="S144" s="4834"/>
      <c r="T144" s="3246">
        <v>1580</v>
      </c>
      <c r="U144" s="3246"/>
      <c r="V144" s="3246"/>
      <c r="W144" s="3246"/>
      <c r="X144" s="3257"/>
      <c r="Y144" s="3246"/>
      <c r="Z144" s="3248"/>
    </row>
    <row r="145" spans="1:26" s="1350" customFormat="1" ht="45" hidden="1">
      <c r="A145" s="3866" t="s">
        <v>10124</v>
      </c>
      <c r="B145" s="4221" t="s">
        <v>10125</v>
      </c>
      <c r="C145" s="3275" t="s">
        <v>28</v>
      </c>
      <c r="D145" s="3876">
        <v>45474</v>
      </c>
      <c r="E145" s="3892">
        <v>45495</v>
      </c>
      <c r="F145" s="4221" t="s">
        <v>167</v>
      </c>
      <c r="G145" s="4772" t="s">
        <v>46</v>
      </c>
      <c r="H145" s="4812">
        <v>45504</v>
      </c>
      <c r="I145" s="4799" t="s">
        <v>10126</v>
      </c>
      <c r="J145" s="3347" t="s">
        <v>32</v>
      </c>
      <c r="K145" s="4221" t="s">
        <v>10127</v>
      </c>
      <c r="L145" s="3893" t="s">
        <v>10128</v>
      </c>
      <c r="M145" s="3534">
        <v>45498</v>
      </c>
      <c r="N145" s="3534">
        <v>45503</v>
      </c>
      <c r="O145" s="4953">
        <v>45504</v>
      </c>
      <c r="P145" s="4408" t="s">
        <v>10129</v>
      </c>
      <c r="Q145" s="3880" t="s">
        <v>9226</v>
      </c>
      <c r="R145" s="4861" t="s">
        <v>10130</v>
      </c>
      <c r="S145" s="4886" t="s">
        <v>9659</v>
      </c>
      <c r="T145" s="3830">
        <v>1030</v>
      </c>
      <c r="U145" s="3246">
        <v>1905</v>
      </c>
      <c r="V145" s="3246">
        <v>1</v>
      </c>
      <c r="W145" s="3830">
        <f>表15_1731[[#This Row],[Sales Amount]]-表15_1731[[#This Row],[Cost]]</f>
        <v>-875</v>
      </c>
      <c r="X145" s="3257">
        <f>表15_1731[[#This Row],[Profit]]/表15_1731[[#This Row],[Cost]]</f>
        <v>-0.45931758530183725</v>
      </c>
      <c r="Y145" s="3246"/>
      <c r="Z145" s="3248"/>
    </row>
    <row r="146" spans="1:26" s="709" customFormat="1" hidden="1">
      <c r="A146" s="3866" t="s">
        <v>10124</v>
      </c>
      <c r="B146" s="3275" t="s">
        <v>10131</v>
      </c>
      <c r="C146" s="3275" t="s">
        <v>28</v>
      </c>
      <c r="D146" s="5651">
        <v>45497</v>
      </c>
      <c r="E146" s="5652">
        <v>45505</v>
      </c>
      <c r="F146" s="4221" t="s">
        <v>151</v>
      </c>
      <c r="G146" s="4772" t="s">
        <v>46</v>
      </c>
      <c r="H146" s="4811">
        <v>45509</v>
      </c>
      <c r="I146" s="3527" t="s">
        <v>10126</v>
      </c>
      <c r="J146" s="5622" t="s">
        <v>1353</v>
      </c>
      <c r="K146" s="4221" t="s">
        <v>10127</v>
      </c>
      <c r="L146" s="3300" t="s">
        <v>10132</v>
      </c>
      <c r="M146" s="3534">
        <v>45508</v>
      </c>
      <c r="N146" s="3534">
        <v>45506</v>
      </c>
      <c r="O146" s="3534">
        <v>45509</v>
      </c>
      <c r="P146" s="4408" t="s">
        <v>10133</v>
      </c>
      <c r="Q146" s="3880" t="s">
        <v>9226</v>
      </c>
      <c r="R146" s="3246" t="s">
        <v>10134</v>
      </c>
      <c r="S146" s="4886" t="s">
        <v>9659</v>
      </c>
      <c r="T146" s="3246">
        <v>1200</v>
      </c>
      <c r="U146" s="3246">
        <v>874.8</v>
      </c>
      <c r="V146" s="3246">
        <v>1</v>
      </c>
      <c r="W146" s="3830">
        <f>表15_1731[[#This Row],[Sales Amount]]-表15_1731[[#This Row],[Cost]]</f>
        <v>325.20000000000005</v>
      </c>
      <c r="X146" s="3257">
        <f>表15_1731[[#This Row],[Profit]]/表15_1731[[#This Row],[Cost]]</f>
        <v>0.37174211248285327</v>
      </c>
      <c r="Y146" s="3246"/>
      <c r="Z146" s="3248"/>
    </row>
    <row r="147" spans="1:26" hidden="1">
      <c r="A147" s="3787" t="s">
        <v>9454</v>
      </c>
      <c r="B147" s="3246" t="s">
        <v>10135</v>
      </c>
      <c r="C147" s="3246" t="s">
        <v>28</v>
      </c>
      <c r="D147" s="3534">
        <v>45498</v>
      </c>
      <c r="E147" s="3535">
        <v>45510</v>
      </c>
      <c r="F147" s="3246" t="s">
        <v>151</v>
      </c>
      <c r="G147" s="3248" t="s">
        <v>10136</v>
      </c>
      <c r="H147" s="1016"/>
      <c r="I147" s="4786" t="s">
        <v>162</v>
      </c>
      <c r="J147" s="4331" t="s">
        <v>162</v>
      </c>
      <c r="K147" s="4331" t="s">
        <v>162</v>
      </c>
      <c r="L147" s="3289" t="s">
        <v>10137</v>
      </c>
      <c r="M147" s="3534">
        <v>45512</v>
      </c>
      <c r="N147" s="3534">
        <v>45512</v>
      </c>
      <c r="O147" s="3534">
        <v>45521</v>
      </c>
      <c r="P147" s="3289" t="s">
        <v>10138</v>
      </c>
      <c r="Q147" s="3809" t="s">
        <v>9226</v>
      </c>
      <c r="R147" s="3246" t="s">
        <v>10139</v>
      </c>
      <c r="S147" s="3289" t="s">
        <v>2373</v>
      </c>
      <c r="T147" s="3246"/>
      <c r="U147" s="3246"/>
      <c r="V147" s="3246"/>
      <c r="W147" s="3830">
        <f>表15_1731[[#This Row],[Sales Amount]]-表15_1731[[#This Row],[Cost]]</f>
        <v>0</v>
      </c>
      <c r="X147" s="3257" t="e">
        <f>表15_1731[[#This Row],[Profit]]/表15_1731[[#This Row],[Cost]]</f>
        <v>#DIV/0!</v>
      </c>
      <c r="Y147" s="3246"/>
      <c r="Z147" s="3248"/>
    </row>
    <row r="148" spans="1:26" s="52" customFormat="1" ht="45" hidden="1">
      <c r="A148" s="3866" t="s">
        <v>9454</v>
      </c>
      <c r="B148" s="3439" t="s">
        <v>10140</v>
      </c>
      <c r="C148" s="3439" t="s">
        <v>28</v>
      </c>
      <c r="D148" s="5406">
        <v>45487</v>
      </c>
      <c r="E148" s="5538">
        <v>45494</v>
      </c>
      <c r="F148" s="3439" t="s">
        <v>167</v>
      </c>
      <c r="G148" s="3739" t="s">
        <v>10141</v>
      </c>
      <c r="H148" s="4807"/>
      <c r="I148" s="3681"/>
      <c r="J148" s="3869"/>
      <c r="K148" s="3650"/>
      <c r="L148" s="3894" t="s">
        <v>10142</v>
      </c>
      <c r="M148" s="3650">
        <v>45496</v>
      </c>
      <c r="N148" s="3650">
        <v>45496</v>
      </c>
      <c r="O148" s="3650">
        <v>45499</v>
      </c>
      <c r="P148" s="3429" t="s">
        <v>10143</v>
      </c>
      <c r="Q148" s="3888" t="s">
        <v>9226</v>
      </c>
      <c r="R148" s="3429" t="s">
        <v>10144</v>
      </c>
      <c r="S148" s="3429" t="s">
        <v>2373</v>
      </c>
      <c r="T148" s="3439"/>
      <c r="U148" s="3439"/>
      <c r="V148" s="3439"/>
      <c r="W148" s="5623">
        <f>表15_17[[#This Row],[Sales Amount]]-表15_17[[#This Row],[Cost]]</f>
        <v>0</v>
      </c>
      <c r="X148" s="5409" t="e">
        <f>表15_17[[#This Row],[Profit]]/表15_17[[#This Row],[Cost]]</f>
        <v>#DIV/0!</v>
      </c>
      <c r="Y148" s="3439"/>
      <c r="Z148" s="3739"/>
    </row>
    <row r="149" spans="1:26" s="52" customFormat="1" ht="75" hidden="1">
      <c r="A149" s="4669" t="s">
        <v>9454</v>
      </c>
      <c r="B149" s="3439" t="s">
        <v>10145</v>
      </c>
      <c r="C149" s="3439" t="s">
        <v>28</v>
      </c>
      <c r="D149" s="5403">
        <v>45469</v>
      </c>
      <c r="E149" s="5621">
        <v>45478</v>
      </c>
      <c r="F149" s="3439" t="s">
        <v>45</v>
      </c>
      <c r="G149" s="3739" t="s">
        <v>302</v>
      </c>
      <c r="H149" s="4807" t="s">
        <v>162</v>
      </c>
      <c r="I149" s="4800" t="s">
        <v>162</v>
      </c>
      <c r="J149" s="5653" t="s">
        <v>162</v>
      </c>
      <c r="K149" s="1350" t="s">
        <v>9456</v>
      </c>
      <c r="L149" s="1365" t="s">
        <v>10146</v>
      </c>
      <c r="M149" s="3650"/>
      <c r="N149" s="3650">
        <v>45479</v>
      </c>
      <c r="O149" s="3650">
        <v>45484</v>
      </c>
      <c r="P149" s="1365" t="s">
        <v>10147</v>
      </c>
      <c r="Q149" s="5539" t="s">
        <v>9226</v>
      </c>
      <c r="R149" s="5277" t="s">
        <v>10148</v>
      </c>
      <c r="S149" s="5118" t="s">
        <v>2373</v>
      </c>
      <c r="T149" s="3439"/>
      <c r="U149" s="3439"/>
      <c r="V149" s="3439"/>
      <c r="W149" s="3872">
        <f>表15_1731[[#This Row],[Sales Amount]]-表15_1731[[#This Row],[Cost]]</f>
        <v>0</v>
      </c>
      <c r="X149" s="3870" t="e">
        <f>表15_1731[[#This Row],[Profit]]/表15_1731[[#This Row],[Cost]]</f>
        <v>#DIV/0!</v>
      </c>
      <c r="Y149" s="3439"/>
      <c r="Z149" s="3739"/>
    </row>
    <row r="150" spans="1:26" s="709" customFormat="1" ht="75" hidden="1">
      <c r="A150" s="3866" t="s">
        <v>9454</v>
      </c>
      <c r="B150" s="3439" t="s">
        <v>10149</v>
      </c>
      <c r="C150" s="3439" t="s">
        <v>28</v>
      </c>
      <c r="D150" s="5406">
        <v>45458</v>
      </c>
      <c r="E150" s="5538">
        <v>45475</v>
      </c>
      <c r="F150" s="3439" t="s">
        <v>29</v>
      </c>
      <c r="G150" s="3739" t="s">
        <v>57</v>
      </c>
      <c r="H150" s="4807" t="s">
        <v>162</v>
      </c>
      <c r="I150" s="4800" t="s">
        <v>162</v>
      </c>
      <c r="J150" s="3868" t="s">
        <v>162</v>
      </c>
      <c r="K150" s="1350" t="s">
        <v>9456</v>
      </c>
      <c r="L150" s="3895">
        <v>1720791</v>
      </c>
      <c r="M150" s="3650">
        <v>45477</v>
      </c>
      <c r="N150" s="3650">
        <v>45476</v>
      </c>
      <c r="O150" s="3650">
        <v>45481</v>
      </c>
      <c r="P150" s="3429" t="s">
        <v>10150</v>
      </c>
      <c r="Q150" s="5539" t="s">
        <v>9226</v>
      </c>
      <c r="R150" s="5277" t="s">
        <v>10151</v>
      </c>
      <c r="S150" s="5118" t="s">
        <v>2373</v>
      </c>
      <c r="T150" s="3439"/>
      <c r="U150" s="3439"/>
      <c r="V150" s="3439"/>
      <c r="W150" s="3872">
        <f>表15_17[[#This Row],[Sales Amount]]-表15_17[[#This Row],[Cost]]</f>
        <v>0</v>
      </c>
      <c r="X150" s="3870" t="e">
        <f>表15_17[[#This Row],[Profit]]/表15_17[[#This Row],[Cost]]</f>
        <v>#DIV/0!</v>
      </c>
      <c r="Y150" s="3439"/>
      <c r="Z150" s="3739"/>
    </row>
    <row r="151" spans="1:26" s="709" customFormat="1" ht="75" hidden="1">
      <c r="A151" s="3866" t="s">
        <v>9454</v>
      </c>
      <c r="B151" s="3439" t="s">
        <v>10152</v>
      </c>
      <c r="C151" s="3439" t="s">
        <v>28</v>
      </c>
      <c r="D151" s="3650">
        <v>45458</v>
      </c>
      <c r="E151" s="3875">
        <v>45475</v>
      </c>
      <c r="F151" s="3439" t="s">
        <v>29</v>
      </c>
      <c r="G151" s="3739" t="s">
        <v>57</v>
      </c>
      <c r="H151" s="4807" t="s">
        <v>162</v>
      </c>
      <c r="I151" s="4800" t="s">
        <v>162</v>
      </c>
      <c r="J151" s="3868" t="s">
        <v>162</v>
      </c>
      <c r="K151" s="3439" t="s">
        <v>9456</v>
      </c>
      <c r="L151" s="3429">
        <v>1720788</v>
      </c>
      <c r="M151" s="3650">
        <v>45477</v>
      </c>
      <c r="N151" s="3650">
        <v>45477</v>
      </c>
      <c r="O151" s="3650">
        <v>45482</v>
      </c>
      <c r="P151" s="3429" t="s">
        <v>10153</v>
      </c>
      <c r="Q151" s="3888" t="s">
        <v>9226</v>
      </c>
      <c r="R151" s="3439" t="s">
        <v>10151</v>
      </c>
      <c r="S151" s="3429" t="s">
        <v>2373</v>
      </c>
      <c r="T151" s="3439"/>
      <c r="U151" s="3439"/>
      <c r="V151" s="3439"/>
      <c r="W151" s="3872">
        <f>表15_1731[[#This Row],[Sales Amount]]-表15_1731[[#This Row],[Cost]]</f>
        <v>0</v>
      </c>
      <c r="X151" s="3870" t="e">
        <f>表15_1731[[#This Row],[Profit]]/表15_1731[[#This Row],[Cost]]</f>
        <v>#DIV/0!</v>
      </c>
      <c r="Y151" s="3439"/>
      <c r="Z151" s="3739"/>
    </row>
    <row r="152" spans="1:26" s="52" customFormat="1" ht="45" hidden="1">
      <c r="A152" s="3866" t="s">
        <v>9454</v>
      </c>
      <c r="B152" s="3439" t="s">
        <v>10154</v>
      </c>
      <c r="C152" s="3439" t="s">
        <v>28</v>
      </c>
      <c r="D152" s="3650">
        <v>45487</v>
      </c>
      <c r="E152" s="3875">
        <v>45494</v>
      </c>
      <c r="F152" s="3439" t="s">
        <v>167</v>
      </c>
      <c r="G152" s="3739" t="s">
        <v>10141</v>
      </c>
      <c r="H152" s="4807"/>
      <c r="I152" s="3681"/>
      <c r="J152" s="3869"/>
      <c r="K152" s="3650"/>
      <c r="L152" s="3894" t="s">
        <v>10155</v>
      </c>
      <c r="M152" s="3650">
        <v>45496</v>
      </c>
      <c r="N152" s="3650">
        <v>45496</v>
      </c>
      <c r="O152" s="3650">
        <v>45498</v>
      </c>
      <c r="P152" s="3429" t="s">
        <v>10156</v>
      </c>
      <c r="Q152" s="3888" t="s">
        <v>9226</v>
      </c>
      <c r="R152" s="3429" t="s">
        <v>10157</v>
      </c>
      <c r="S152" s="3429" t="s">
        <v>2373</v>
      </c>
      <c r="T152" s="3439"/>
      <c r="U152" s="3439"/>
      <c r="V152" s="3439"/>
      <c r="W152" s="2995">
        <f>表15_17[[#This Row],[Sales Amount]]-表15_17[[#This Row],[Cost]]</f>
        <v>0</v>
      </c>
      <c r="X152" s="2477" t="e">
        <f>表15_17[[#This Row],[Profit]]/表15_17[[#This Row],[Cost]]</f>
        <v>#DIV/0!</v>
      </c>
      <c r="Y152" s="3439"/>
      <c r="Z152" s="3739"/>
    </row>
    <row r="153" spans="1:26" s="1350" customFormat="1" ht="75" hidden="1">
      <c r="A153" s="3866" t="s">
        <v>9454</v>
      </c>
      <c r="B153" s="3439" t="s">
        <v>10158</v>
      </c>
      <c r="C153" s="3439" t="s">
        <v>28</v>
      </c>
      <c r="D153" s="3650">
        <v>45473</v>
      </c>
      <c r="E153" s="3875">
        <v>45483</v>
      </c>
      <c r="F153" s="3439" t="s">
        <v>245</v>
      </c>
      <c r="G153" s="3739" t="s">
        <v>57</v>
      </c>
      <c r="H153" s="4807" t="s">
        <v>162</v>
      </c>
      <c r="I153" s="4800" t="s">
        <v>162</v>
      </c>
      <c r="J153" s="3868" t="s">
        <v>162</v>
      </c>
      <c r="K153" s="3439" t="s">
        <v>9456</v>
      </c>
      <c r="L153" s="3429">
        <v>2817955</v>
      </c>
      <c r="M153" s="3650">
        <v>45485</v>
      </c>
      <c r="N153" s="3650">
        <v>45485</v>
      </c>
      <c r="O153" s="3650">
        <v>45490</v>
      </c>
      <c r="P153" s="4324" t="s">
        <v>10159</v>
      </c>
      <c r="Q153" s="3888" t="s">
        <v>9226</v>
      </c>
      <c r="R153" s="3439" t="s">
        <v>10160</v>
      </c>
      <c r="S153" s="3429" t="s">
        <v>2373</v>
      </c>
      <c r="T153" s="3439"/>
      <c r="U153" s="3439"/>
      <c r="V153" s="3439"/>
      <c r="W153" s="5623">
        <f>表15_1731[[#This Row],[Sales Amount]]-表15_1731[[#This Row],[Cost]]</f>
        <v>0</v>
      </c>
      <c r="X153" s="5409" t="e">
        <f>表15_1731[[#This Row],[Profit]]/表15_1731[[#This Row],[Cost]]</f>
        <v>#DIV/0!</v>
      </c>
      <c r="Y153" s="3439"/>
      <c r="Z153" s="3739"/>
    </row>
    <row r="154" spans="1:26" s="1350" customFormat="1" ht="75" hidden="1">
      <c r="A154" s="3866" t="s">
        <v>9454</v>
      </c>
      <c r="B154" s="3439" t="s">
        <v>10161</v>
      </c>
      <c r="C154" s="3439" t="s">
        <v>28</v>
      </c>
      <c r="D154" s="3650">
        <v>45458</v>
      </c>
      <c r="E154" s="3875">
        <v>45475</v>
      </c>
      <c r="F154" s="3439" t="s">
        <v>245</v>
      </c>
      <c r="G154" s="3739" t="s">
        <v>57</v>
      </c>
      <c r="H154" s="4807" t="s">
        <v>162</v>
      </c>
      <c r="I154" s="4800" t="s">
        <v>162</v>
      </c>
      <c r="J154" s="3868" t="s">
        <v>162</v>
      </c>
      <c r="K154" s="3439" t="s">
        <v>9456</v>
      </c>
      <c r="L154" s="3429">
        <v>1659272</v>
      </c>
      <c r="M154" s="3650">
        <v>45477</v>
      </c>
      <c r="N154" s="3650">
        <v>45477</v>
      </c>
      <c r="O154" s="3650">
        <v>45478</v>
      </c>
      <c r="P154" s="3429" t="s">
        <v>10162</v>
      </c>
      <c r="Q154" s="3888" t="s">
        <v>9226</v>
      </c>
      <c r="R154" s="3439" t="s">
        <v>10163</v>
      </c>
      <c r="S154" s="3429" t="s">
        <v>2373</v>
      </c>
      <c r="T154" s="3439"/>
      <c r="U154" s="3439"/>
      <c r="V154" s="3439"/>
      <c r="W154" s="2995">
        <f>表15_1731[[#This Row],[Sales Amount]]-表15_1731[[#This Row],[Cost]]</f>
        <v>0</v>
      </c>
      <c r="X154" s="2477" t="e">
        <f>表15_1731[[#This Row],[Profit]]/表15_1731[[#This Row],[Cost]]</f>
        <v>#DIV/0!</v>
      </c>
      <c r="Y154" s="3439"/>
      <c r="Z154" s="3739"/>
    </row>
    <row r="155" spans="1:26" s="1350" customFormat="1" ht="75" hidden="1">
      <c r="A155" s="3866" t="s">
        <v>9454</v>
      </c>
      <c r="B155" s="4417" t="s">
        <v>10164</v>
      </c>
      <c r="C155" s="3439" t="s">
        <v>28</v>
      </c>
      <c r="D155" s="5406">
        <v>45473</v>
      </c>
      <c r="E155" s="5538">
        <v>45483</v>
      </c>
      <c r="F155" s="3439" t="s">
        <v>245</v>
      </c>
      <c r="G155" s="3739" t="s">
        <v>57</v>
      </c>
      <c r="H155" s="4807" t="s">
        <v>162</v>
      </c>
      <c r="I155" s="4800" t="s">
        <v>162</v>
      </c>
      <c r="J155" s="3868" t="s">
        <v>162</v>
      </c>
      <c r="K155" s="3439" t="s">
        <v>9456</v>
      </c>
      <c r="L155" s="3429">
        <v>2818039</v>
      </c>
      <c r="M155" s="3650">
        <v>45485</v>
      </c>
      <c r="N155" s="3650">
        <v>45485</v>
      </c>
      <c r="O155" s="3650">
        <v>45489</v>
      </c>
      <c r="P155" s="4324" t="s">
        <v>10165</v>
      </c>
      <c r="Q155" s="3888" t="s">
        <v>9226</v>
      </c>
      <c r="R155" s="3439" t="s">
        <v>10166</v>
      </c>
      <c r="S155" s="3429" t="s">
        <v>2373</v>
      </c>
      <c r="T155" s="3439"/>
      <c r="U155" s="3439"/>
      <c r="V155" s="3439"/>
      <c r="W155" s="2995">
        <f>表15_1731[[#This Row],[Sales Amount]]-表15_1731[[#This Row],[Cost]]</f>
        <v>0</v>
      </c>
      <c r="X155" s="2477" t="e">
        <f>表15_1731[[#This Row],[Profit]]/表15_1731[[#This Row],[Cost]]</f>
        <v>#DIV/0!</v>
      </c>
      <c r="Y155" s="3439"/>
      <c r="Z155" s="3739"/>
    </row>
    <row r="156" spans="1:26" s="1350" customFormat="1" ht="75" hidden="1">
      <c r="A156" s="3866" t="s">
        <v>9454</v>
      </c>
      <c r="B156" s="3439" t="s">
        <v>10167</v>
      </c>
      <c r="C156" s="3439" t="s">
        <v>28</v>
      </c>
      <c r="D156" s="3650">
        <v>45458</v>
      </c>
      <c r="E156" s="3875">
        <v>45475</v>
      </c>
      <c r="F156" s="3439" t="s">
        <v>245</v>
      </c>
      <c r="G156" s="3739" t="s">
        <v>57</v>
      </c>
      <c r="H156" s="4807" t="s">
        <v>162</v>
      </c>
      <c r="I156" s="4800" t="s">
        <v>162</v>
      </c>
      <c r="J156" s="3868" t="s">
        <v>162</v>
      </c>
      <c r="K156" s="3439" t="s">
        <v>9456</v>
      </c>
      <c r="L156" s="3429">
        <v>1659265</v>
      </c>
      <c r="M156" s="3650">
        <v>45477</v>
      </c>
      <c r="N156" s="3650">
        <v>45476</v>
      </c>
      <c r="O156" s="3650">
        <v>45478</v>
      </c>
      <c r="P156" s="3429" t="s">
        <v>10168</v>
      </c>
      <c r="Q156" s="3888" t="s">
        <v>9226</v>
      </c>
      <c r="R156" s="3439" t="s">
        <v>10169</v>
      </c>
      <c r="S156" s="3429" t="s">
        <v>2373</v>
      </c>
      <c r="T156" s="3439"/>
      <c r="U156" s="3439"/>
      <c r="V156" s="3439"/>
      <c r="W156" s="2995">
        <f>表15_1731[[#This Row],[Sales Amount]]-表15_1731[[#This Row],[Cost]]</f>
        <v>0</v>
      </c>
      <c r="X156" s="2477" t="e">
        <f>表15_1731[[#This Row],[Profit]]/表15_1731[[#This Row],[Cost]]</f>
        <v>#DIV/0!</v>
      </c>
      <c r="Y156" s="3439"/>
      <c r="Z156" s="3739"/>
    </row>
    <row r="157" spans="1:26" s="1350" customFormat="1" ht="75" hidden="1">
      <c r="A157" s="3866" t="s">
        <v>9454</v>
      </c>
      <c r="B157" s="3439" t="s">
        <v>10170</v>
      </c>
      <c r="C157" s="3439" t="s">
        <v>28</v>
      </c>
      <c r="D157" s="3650">
        <v>45458</v>
      </c>
      <c r="E157" s="3875">
        <v>45475</v>
      </c>
      <c r="F157" s="3439" t="s">
        <v>245</v>
      </c>
      <c r="G157" s="3739" t="s">
        <v>57</v>
      </c>
      <c r="H157" s="4807" t="s">
        <v>162</v>
      </c>
      <c r="I157" s="4801" t="s">
        <v>162</v>
      </c>
      <c r="J157" s="5653" t="s">
        <v>162</v>
      </c>
      <c r="K157" s="1350" t="s">
        <v>9456</v>
      </c>
      <c r="L157" s="3429">
        <v>1659261</v>
      </c>
      <c r="M157" s="3650">
        <v>45477</v>
      </c>
      <c r="N157" s="3650">
        <v>45477</v>
      </c>
      <c r="O157" s="3650">
        <v>45478</v>
      </c>
      <c r="P157" s="3429" t="s">
        <v>10171</v>
      </c>
      <c r="Q157" s="3888" t="s">
        <v>9226</v>
      </c>
      <c r="R157" s="3439" t="s">
        <v>10163</v>
      </c>
      <c r="S157" s="3429" t="s">
        <v>2373</v>
      </c>
      <c r="T157" s="3439"/>
      <c r="U157" s="3439"/>
      <c r="V157" s="3439"/>
      <c r="W157" s="2995">
        <f>表15_1731[[#This Row],[Sales Amount]]-表15_1731[[#This Row],[Cost]]</f>
        <v>0</v>
      </c>
      <c r="X157" s="2477" t="e">
        <f>表15_1731[[#This Row],[Profit]]/表15_1731[[#This Row],[Cost]]</f>
        <v>#DIV/0!</v>
      </c>
      <c r="Y157" s="3439"/>
      <c r="Z157" s="3739"/>
    </row>
    <row r="158" spans="1:26" s="1350" customFormat="1" ht="75" hidden="1">
      <c r="A158" s="3866" t="s">
        <v>9454</v>
      </c>
      <c r="B158" s="3439" t="s">
        <v>10172</v>
      </c>
      <c r="C158" s="3439" t="s">
        <v>28</v>
      </c>
      <c r="D158" s="3649">
        <v>45469</v>
      </c>
      <c r="E158" s="3867">
        <v>45476</v>
      </c>
      <c r="F158" s="3439" t="s">
        <v>45</v>
      </c>
      <c r="G158" s="3739" t="s">
        <v>302</v>
      </c>
      <c r="H158" s="4807" t="s">
        <v>162</v>
      </c>
      <c r="I158" s="4800" t="s">
        <v>162</v>
      </c>
      <c r="J158" s="3868" t="s">
        <v>162</v>
      </c>
      <c r="K158" s="3439" t="s">
        <v>9456</v>
      </c>
      <c r="L158" s="3429" t="s">
        <v>10173</v>
      </c>
      <c r="M158" s="3650">
        <v>45480</v>
      </c>
      <c r="N158" s="3650">
        <v>45478</v>
      </c>
      <c r="O158" s="3650">
        <v>45483</v>
      </c>
      <c r="P158" s="3429" t="s">
        <v>10174</v>
      </c>
      <c r="Q158" s="3888" t="s">
        <v>9226</v>
      </c>
      <c r="R158" s="3439" t="s">
        <v>10175</v>
      </c>
      <c r="S158" s="3429" t="s">
        <v>2373</v>
      </c>
      <c r="T158" s="3439"/>
      <c r="U158" s="3439"/>
      <c r="V158" s="3439"/>
      <c r="W158" s="2995">
        <f>表15_1731[[#This Row],[Sales Amount]]-表15_1731[[#This Row],[Cost]]</f>
        <v>0</v>
      </c>
      <c r="X158" s="2477" t="e">
        <f>表15_1731[[#This Row],[Profit]]/表15_1731[[#This Row],[Cost]]</f>
        <v>#DIV/0!</v>
      </c>
      <c r="Y158" s="3439"/>
      <c r="Z158" s="3739"/>
    </row>
    <row r="159" spans="1:26" s="709" customFormat="1" hidden="1">
      <c r="A159" s="2348" t="s">
        <v>9454</v>
      </c>
      <c r="B159" s="4331" t="s">
        <v>10176</v>
      </c>
      <c r="C159" s="3246" t="s">
        <v>28</v>
      </c>
      <c r="D159" s="3534">
        <v>45491</v>
      </c>
      <c r="E159" s="4885">
        <v>45502</v>
      </c>
      <c r="F159" s="3246" t="s">
        <v>245</v>
      </c>
      <c r="G159" s="3248" t="s">
        <v>10177</v>
      </c>
      <c r="H159" s="1016"/>
      <c r="I159" s="4786" t="s">
        <v>162</v>
      </c>
      <c r="J159" s="4331" t="s">
        <v>162</v>
      </c>
      <c r="K159" s="4331" t="s">
        <v>162</v>
      </c>
      <c r="L159" s="3289">
        <v>4207979</v>
      </c>
      <c r="M159" s="3534">
        <v>45504</v>
      </c>
      <c r="N159" s="3534">
        <v>45504</v>
      </c>
      <c r="O159" s="3534">
        <v>45510</v>
      </c>
      <c r="P159" s="3289" t="s">
        <v>10178</v>
      </c>
      <c r="Q159" s="3809" t="s">
        <v>9226</v>
      </c>
      <c r="R159" s="3246" t="s">
        <v>10179</v>
      </c>
      <c r="S159" s="3289" t="s">
        <v>2373</v>
      </c>
      <c r="T159" s="3246"/>
      <c r="U159" s="3246"/>
      <c r="V159" s="3246"/>
      <c r="W159" s="3246"/>
      <c r="X159" s="3257"/>
      <c r="Y159" s="3246"/>
      <c r="Z159" s="3248"/>
    </row>
    <row r="160" spans="1:26" s="1350" customFormat="1" ht="75" hidden="1">
      <c r="A160" s="2984" t="s">
        <v>9454</v>
      </c>
      <c r="B160" s="3364" t="s">
        <v>10180</v>
      </c>
      <c r="C160" s="3364" t="s">
        <v>28</v>
      </c>
      <c r="D160" s="3467">
        <v>45473</v>
      </c>
      <c r="E160" s="3719">
        <v>45489</v>
      </c>
      <c r="F160" s="3364" t="s">
        <v>245</v>
      </c>
      <c r="G160" s="3708" t="s">
        <v>57</v>
      </c>
      <c r="H160" s="4822" t="s">
        <v>162</v>
      </c>
      <c r="I160" s="4802" t="s">
        <v>162</v>
      </c>
      <c r="J160" s="3896" t="s">
        <v>162</v>
      </c>
      <c r="K160" s="36" t="s">
        <v>9456</v>
      </c>
      <c r="L160" s="3317">
        <v>3261853</v>
      </c>
      <c r="M160" s="3467">
        <v>45491</v>
      </c>
      <c r="N160" s="3262">
        <v>45491</v>
      </c>
      <c r="O160" s="3262">
        <v>45498</v>
      </c>
      <c r="P160" s="4246" t="s">
        <v>10181</v>
      </c>
      <c r="Q160" s="3678" t="s">
        <v>9226</v>
      </c>
      <c r="R160" s="3268" t="s">
        <v>10182</v>
      </c>
      <c r="S160" s="3273" t="s">
        <v>2373</v>
      </c>
      <c r="T160" s="3268"/>
      <c r="U160" s="3268"/>
      <c r="V160" s="3268"/>
      <c r="W160" s="3679">
        <f>表15_17[[#This Row],[Sales Amount]]-表15_17[[#This Row],[Cost]]</f>
        <v>0</v>
      </c>
      <c r="X160" s="3269" t="e">
        <f>表15_17[[#This Row],[Profit]]/表15_17[[#This Row],[Cost]]</f>
        <v>#DIV/0!</v>
      </c>
      <c r="Y160" s="3268"/>
      <c r="Z160" s="3270"/>
    </row>
    <row r="161" spans="1:26" s="709" customFormat="1" hidden="1">
      <c r="A161" s="2348" t="s">
        <v>9454</v>
      </c>
      <c r="B161" s="3246" t="s">
        <v>10183</v>
      </c>
      <c r="C161" s="3246" t="s">
        <v>28</v>
      </c>
      <c r="D161" s="3534">
        <v>45498</v>
      </c>
      <c r="E161" s="3535">
        <v>45510</v>
      </c>
      <c r="F161" s="3246" t="s">
        <v>151</v>
      </c>
      <c r="G161" s="3248" t="s">
        <v>10136</v>
      </c>
      <c r="H161" s="1016"/>
      <c r="I161" s="4786" t="s">
        <v>162</v>
      </c>
      <c r="J161" s="4331" t="s">
        <v>162</v>
      </c>
      <c r="K161" s="4331" t="s">
        <v>162</v>
      </c>
      <c r="L161" s="723" t="s">
        <v>10184</v>
      </c>
      <c r="M161" s="3534">
        <v>45512</v>
      </c>
      <c r="N161" s="3534">
        <v>45512</v>
      </c>
      <c r="O161" s="3534">
        <v>45520</v>
      </c>
      <c r="P161" s="3289" t="s">
        <v>10185</v>
      </c>
      <c r="Q161" s="3809" t="s">
        <v>9226</v>
      </c>
      <c r="R161" s="3246" t="s">
        <v>10186</v>
      </c>
      <c r="S161" s="3289" t="s">
        <v>2373</v>
      </c>
      <c r="T161" s="3246"/>
      <c r="U161" s="3246"/>
      <c r="V161" s="3246"/>
      <c r="W161" s="3246"/>
      <c r="X161" s="3257"/>
      <c r="Y161" s="3246"/>
      <c r="Z161" s="3248"/>
    </row>
    <row r="162" spans="1:26" s="709" customFormat="1" ht="75" hidden="1">
      <c r="A162" s="2905" t="s">
        <v>9454</v>
      </c>
      <c r="B162" s="3439" t="s">
        <v>10187</v>
      </c>
      <c r="C162" s="3439" t="s">
        <v>28</v>
      </c>
      <c r="D162" s="3650">
        <v>45473</v>
      </c>
      <c r="E162" s="3875">
        <v>45486</v>
      </c>
      <c r="F162" s="3439" t="s">
        <v>245</v>
      </c>
      <c r="G162" s="3739" t="s">
        <v>57</v>
      </c>
      <c r="H162" s="4807" t="s">
        <v>162</v>
      </c>
      <c r="I162" s="4800" t="s">
        <v>162</v>
      </c>
      <c r="J162" s="3868" t="s">
        <v>162</v>
      </c>
      <c r="K162" s="3439" t="s">
        <v>9456</v>
      </c>
      <c r="L162" s="3429">
        <v>3260522</v>
      </c>
      <c r="M162" s="3875">
        <v>45488</v>
      </c>
      <c r="N162" s="3650">
        <v>45487</v>
      </c>
      <c r="O162" s="3650">
        <v>45492</v>
      </c>
      <c r="P162" s="4324" t="s">
        <v>10188</v>
      </c>
      <c r="Q162" s="3888" t="s">
        <v>9226</v>
      </c>
      <c r="R162" s="3439" t="s">
        <v>10189</v>
      </c>
      <c r="S162" s="3429" t="s">
        <v>2373</v>
      </c>
      <c r="T162" s="3439"/>
      <c r="U162" s="3439"/>
      <c r="V162" s="3439"/>
      <c r="W162" s="3872">
        <f>表15_1731[[#This Row],[Sales Amount]]-表15_1731[[#This Row],[Cost]]</f>
        <v>0</v>
      </c>
      <c r="X162" s="3870" t="e">
        <f>表15_1731[[#This Row],[Profit]]/表15_1731[[#This Row],[Cost]]</f>
        <v>#DIV/0!</v>
      </c>
      <c r="Y162" s="3439"/>
      <c r="Z162" s="3739"/>
    </row>
    <row r="163" spans="1:26" s="709" customFormat="1" ht="45" hidden="1">
      <c r="A163" s="3866" t="s">
        <v>9454</v>
      </c>
      <c r="B163" s="3439" t="s">
        <v>10190</v>
      </c>
      <c r="C163" s="3439" t="s">
        <v>28</v>
      </c>
      <c r="D163" s="3650">
        <v>45492</v>
      </c>
      <c r="E163" s="3875">
        <v>45498</v>
      </c>
      <c r="F163" s="3439" t="s">
        <v>245</v>
      </c>
      <c r="G163" s="3739" t="s">
        <v>10177</v>
      </c>
      <c r="H163" s="4422" t="s">
        <v>162</v>
      </c>
      <c r="I163" s="4373" t="s">
        <v>162</v>
      </c>
      <c r="J163" s="4417" t="s">
        <v>162</v>
      </c>
      <c r="K163" s="4417" t="s">
        <v>162</v>
      </c>
      <c r="L163" s="3289">
        <v>3793758</v>
      </c>
      <c r="M163" s="3875">
        <v>45500</v>
      </c>
      <c r="N163" s="3650">
        <v>45499</v>
      </c>
      <c r="O163" s="3650">
        <v>45504</v>
      </c>
      <c r="P163" s="3429" t="s">
        <v>10191</v>
      </c>
      <c r="Q163" s="3888" t="s">
        <v>9226</v>
      </c>
      <c r="R163" s="5277" t="s">
        <v>10192</v>
      </c>
      <c r="S163" s="5118" t="s">
        <v>2373</v>
      </c>
      <c r="T163" s="3439"/>
      <c r="U163" s="3439"/>
      <c r="V163" s="3439"/>
      <c r="W163" s="5277"/>
      <c r="X163" s="5409"/>
      <c r="Y163" s="3439"/>
      <c r="Z163" s="3739"/>
    </row>
    <row r="164" spans="1:26" s="1350" customFormat="1" ht="45" hidden="1">
      <c r="A164" s="2905" t="s">
        <v>9454</v>
      </c>
      <c r="B164" s="3439" t="s">
        <v>10193</v>
      </c>
      <c r="C164" s="3439" t="s">
        <v>28</v>
      </c>
      <c r="D164" s="3650">
        <v>45496</v>
      </c>
      <c r="E164" s="3875">
        <v>45496</v>
      </c>
      <c r="F164" s="3439" t="s">
        <v>245</v>
      </c>
      <c r="G164" s="3739" t="s">
        <v>10194</v>
      </c>
      <c r="H164" s="4422" t="s">
        <v>162</v>
      </c>
      <c r="I164" s="4373" t="s">
        <v>162</v>
      </c>
      <c r="J164" s="4417" t="s">
        <v>162</v>
      </c>
      <c r="K164" s="4417" t="s">
        <v>162</v>
      </c>
      <c r="L164" s="4864" t="s">
        <v>9917</v>
      </c>
      <c r="M164" s="3650">
        <v>45500</v>
      </c>
      <c r="N164" s="3650">
        <v>45497</v>
      </c>
      <c r="O164" s="3650">
        <v>45500</v>
      </c>
      <c r="P164" s="3429" t="s">
        <v>10195</v>
      </c>
      <c r="Q164" s="3888" t="s">
        <v>9226</v>
      </c>
      <c r="R164" s="3439" t="s">
        <v>10196</v>
      </c>
      <c r="S164" s="3429" t="s">
        <v>2373</v>
      </c>
      <c r="T164" s="3439"/>
      <c r="U164" s="3439"/>
      <c r="V164" s="3439"/>
      <c r="W164" s="3439"/>
      <c r="X164" s="3870"/>
      <c r="Y164" s="3439"/>
      <c r="Z164" s="3739"/>
    </row>
    <row r="165" spans="1:26" s="52" customFormat="1" hidden="1">
      <c r="A165" s="2905" t="s">
        <v>9454</v>
      </c>
      <c r="B165" s="3439" t="s">
        <v>10197</v>
      </c>
      <c r="C165" s="3439" t="s">
        <v>28</v>
      </c>
      <c r="D165" s="3650">
        <v>45473</v>
      </c>
      <c r="E165" s="3875">
        <v>45482</v>
      </c>
      <c r="F165" s="3439" t="s">
        <v>245</v>
      </c>
      <c r="G165" s="3739" t="s">
        <v>57</v>
      </c>
      <c r="H165" s="4807" t="s">
        <v>162</v>
      </c>
      <c r="I165" s="4800" t="s">
        <v>162</v>
      </c>
      <c r="J165" s="3868" t="s">
        <v>162</v>
      </c>
      <c r="K165" s="3439" t="s">
        <v>9456</v>
      </c>
      <c r="L165" s="5118">
        <v>2818056</v>
      </c>
      <c r="M165" s="3650">
        <v>45484</v>
      </c>
      <c r="N165" s="3650">
        <v>45485</v>
      </c>
      <c r="O165" s="3650">
        <v>45490</v>
      </c>
      <c r="P165" s="4324" t="s">
        <v>10198</v>
      </c>
      <c r="Q165" s="3888" t="s">
        <v>9226</v>
      </c>
      <c r="R165" s="3439" t="s">
        <v>10166</v>
      </c>
      <c r="S165" s="3429" t="s">
        <v>2373</v>
      </c>
      <c r="T165" s="3439"/>
      <c r="U165" s="3439"/>
      <c r="V165" s="3439"/>
      <c r="W165" s="3872">
        <f>表15_1731[[#This Row],[Sales Amount]]-表15_1731[[#This Row],[Cost]]</f>
        <v>0</v>
      </c>
      <c r="X165" s="3870" t="e">
        <f>表15_1731[[#This Row],[Profit]]/表15_1731[[#This Row],[Cost]]</f>
        <v>#DIV/0!</v>
      </c>
      <c r="Y165" s="3439"/>
      <c r="Z165" s="3739"/>
    </row>
    <row r="166" spans="1:26" s="1350" customFormat="1" ht="30" hidden="1">
      <c r="A166" s="3866" t="s">
        <v>9454</v>
      </c>
      <c r="B166" s="1350" t="s">
        <v>10199</v>
      </c>
      <c r="C166" s="3439" t="s">
        <v>28</v>
      </c>
      <c r="D166" s="3649">
        <v>45474</v>
      </c>
      <c r="E166" s="3649">
        <v>45491</v>
      </c>
      <c r="F166" s="3439" t="s">
        <v>8546</v>
      </c>
      <c r="G166" s="3739" t="s">
        <v>10200</v>
      </c>
      <c r="H166" s="4807"/>
      <c r="I166" s="3681"/>
      <c r="J166" s="3869"/>
      <c r="K166" s="3439"/>
      <c r="L166" s="5118" t="s">
        <v>9917</v>
      </c>
      <c r="M166" s="3650"/>
      <c r="N166" s="3650">
        <v>45495</v>
      </c>
      <c r="O166" s="3650">
        <v>45496</v>
      </c>
      <c r="P166" s="3429" t="s">
        <v>10201</v>
      </c>
      <c r="Q166" s="3888" t="s">
        <v>9226</v>
      </c>
      <c r="R166" s="3439" t="s">
        <v>10202</v>
      </c>
      <c r="S166" s="3429" t="s">
        <v>2373</v>
      </c>
      <c r="T166" s="3439"/>
      <c r="U166" s="3439"/>
      <c r="V166" s="3439"/>
      <c r="W166" s="3439"/>
      <c r="X166" s="3870"/>
      <c r="Y166" s="3439"/>
      <c r="Z166" s="3739"/>
    </row>
    <row r="167" spans="1:26" s="1350" customFormat="1" ht="30" hidden="1">
      <c r="A167" s="3866" t="s">
        <v>9454</v>
      </c>
      <c r="B167" s="3439" t="s">
        <v>10203</v>
      </c>
      <c r="C167" s="3439" t="s">
        <v>28</v>
      </c>
      <c r="D167" s="3649">
        <v>45474</v>
      </c>
      <c r="E167" s="3649">
        <v>45491</v>
      </c>
      <c r="F167" s="3439" t="s">
        <v>8546</v>
      </c>
      <c r="G167" s="3739" t="s">
        <v>10200</v>
      </c>
      <c r="H167" s="4807"/>
      <c r="I167" s="3681"/>
      <c r="J167" s="3869"/>
      <c r="K167" s="3439"/>
      <c r="L167" s="3429" t="s">
        <v>9917</v>
      </c>
      <c r="M167" s="3650"/>
      <c r="N167" s="3650">
        <v>45492</v>
      </c>
      <c r="O167" s="3650">
        <v>45495</v>
      </c>
      <c r="P167" s="3429" t="s">
        <v>10204</v>
      </c>
      <c r="Q167" s="3888" t="s">
        <v>9226</v>
      </c>
      <c r="R167" s="3439" t="s">
        <v>10205</v>
      </c>
      <c r="S167" s="3429" t="s">
        <v>2373</v>
      </c>
      <c r="T167" s="3439"/>
      <c r="U167" s="3439"/>
      <c r="V167" s="3439"/>
      <c r="W167" s="3439"/>
      <c r="X167" s="3870"/>
      <c r="Y167" s="3439"/>
      <c r="Z167" s="3739"/>
    </row>
    <row r="168" spans="1:26" s="1350" customFormat="1" hidden="1">
      <c r="A168" s="3866" t="s">
        <v>9454</v>
      </c>
      <c r="B168" s="3439" t="s">
        <v>10206</v>
      </c>
      <c r="C168" s="3439" t="s">
        <v>28</v>
      </c>
      <c r="D168" s="3649">
        <v>45474</v>
      </c>
      <c r="E168" s="3649">
        <v>45491</v>
      </c>
      <c r="F168" s="3439" t="s">
        <v>8546</v>
      </c>
      <c r="G168" s="3739" t="s">
        <v>10200</v>
      </c>
      <c r="H168" s="4807"/>
      <c r="I168" s="3681"/>
      <c r="J168" s="3869"/>
      <c r="K168" s="3439"/>
      <c r="L168" s="3429" t="s">
        <v>9917</v>
      </c>
      <c r="M168" s="3650"/>
      <c r="N168" s="3650">
        <v>45492</v>
      </c>
      <c r="O168" s="3650">
        <v>45496</v>
      </c>
      <c r="P168" s="3897" t="s">
        <v>10207</v>
      </c>
      <c r="Q168" s="3888" t="s">
        <v>9226</v>
      </c>
      <c r="R168" s="3439" t="s">
        <v>10208</v>
      </c>
      <c r="S168" s="3429" t="s">
        <v>2373</v>
      </c>
      <c r="T168" s="3439"/>
      <c r="U168" s="3439"/>
      <c r="V168" s="3439"/>
      <c r="W168" s="3439"/>
      <c r="X168" s="3870"/>
      <c r="Y168" s="3439"/>
      <c r="Z168" s="3739"/>
    </row>
    <row r="169" spans="1:26" s="1350" customFormat="1" ht="30" hidden="1">
      <c r="A169" s="2985" t="s">
        <v>122</v>
      </c>
      <c r="B169" s="3898" t="s">
        <v>10209</v>
      </c>
      <c r="C169" s="3067" t="s">
        <v>200</v>
      </c>
      <c r="D169" s="4378">
        <v>45489</v>
      </c>
      <c r="E169" s="3719">
        <v>45489</v>
      </c>
      <c r="F169" s="4307" t="s">
        <v>260</v>
      </c>
      <c r="G169" s="4267" t="s">
        <v>10210</v>
      </c>
      <c r="H169" s="4806" t="s">
        <v>162</v>
      </c>
      <c r="I169" s="3738" t="s">
        <v>162</v>
      </c>
      <c r="J169" s="3721" t="s">
        <v>162</v>
      </c>
      <c r="K169" s="3721" t="s">
        <v>9277</v>
      </c>
      <c r="L169" s="3727" t="s">
        <v>9278</v>
      </c>
      <c r="M169" s="3467">
        <v>45495</v>
      </c>
      <c r="N169" s="3467">
        <v>45491</v>
      </c>
      <c r="O169" s="3467">
        <v>45492</v>
      </c>
      <c r="P169" s="4321" t="s">
        <v>10211</v>
      </c>
      <c r="Q169" s="3722" t="s">
        <v>75</v>
      </c>
      <c r="R169" s="4307" t="s">
        <v>10212</v>
      </c>
      <c r="S169" s="4321" t="s">
        <v>10213</v>
      </c>
      <c r="T169" s="3364"/>
      <c r="U169" s="3364"/>
      <c r="V169" s="3364"/>
      <c r="W169" s="3723">
        <f>表15_17[[#This Row],[Sales Amount]]-表15_17[[#This Row],[Cost]]</f>
        <v>1580</v>
      </c>
      <c r="X169" s="3724" t="e">
        <f>表15_17[[#This Row],[Profit]]/表15_17[[#This Row],[Cost]]</f>
        <v>#DIV/0!</v>
      </c>
      <c r="Y169" s="3364"/>
      <c r="Z169" s="3708"/>
    </row>
    <row r="170" spans="1:26" s="52" customFormat="1" ht="30" hidden="1">
      <c r="A170" s="2905" t="s">
        <v>3866</v>
      </c>
      <c r="B170" s="3275" t="s">
        <v>10214</v>
      </c>
      <c r="C170" s="3275" t="s">
        <v>44</v>
      </c>
      <c r="D170" s="3279">
        <v>45477</v>
      </c>
      <c r="E170" s="1631">
        <v>45488</v>
      </c>
      <c r="F170" s="3275" t="s">
        <v>45</v>
      </c>
      <c r="G170" s="3739" t="s">
        <v>46</v>
      </c>
      <c r="H170" s="4811"/>
      <c r="I170" s="3527"/>
      <c r="J170" s="3347" t="s">
        <v>32</v>
      </c>
      <c r="K170" s="3275" t="s">
        <v>47</v>
      </c>
      <c r="L170" s="3899" t="s">
        <v>10215</v>
      </c>
      <c r="M170" s="3534">
        <v>45490</v>
      </c>
      <c r="N170" s="3534">
        <v>45490</v>
      </c>
      <c r="O170" s="3534">
        <v>45492</v>
      </c>
      <c r="P170" s="3289" t="s">
        <v>10216</v>
      </c>
      <c r="Q170" s="3880" t="s">
        <v>6852</v>
      </c>
      <c r="R170" s="3246" t="s">
        <v>10217</v>
      </c>
      <c r="S170" s="3300"/>
      <c r="T170" s="3246"/>
      <c r="U170" s="3246"/>
      <c r="V170" s="3246"/>
      <c r="W170" s="3246"/>
      <c r="X170" s="3257"/>
      <c r="Y170" s="3246"/>
      <c r="Z170" s="3248"/>
    </row>
    <row r="171" spans="1:26" s="36" customFormat="1" ht="120" hidden="1">
      <c r="A171" s="3680" t="s">
        <v>3866</v>
      </c>
      <c r="B171" s="3544" t="s">
        <v>10218</v>
      </c>
      <c r="C171" s="3544" t="s">
        <v>28</v>
      </c>
      <c r="D171" s="3534">
        <v>45486</v>
      </c>
      <c r="E171" s="3535">
        <v>45502</v>
      </c>
      <c r="F171" s="3900" t="s">
        <v>45</v>
      </c>
      <c r="G171" s="3902" t="s">
        <v>1707</v>
      </c>
      <c r="H171" s="4823" t="s">
        <v>10219</v>
      </c>
      <c r="I171" s="3680" t="s">
        <v>315</v>
      </c>
      <c r="J171" s="3544" t="s">
        <v>673</v>
      </c>
      <c r="K171" s="3544" t="s">
        <v>1455</v>
      </c>
      <c r="L171" s="3429">
        <v>1803</v>
      </c>
      <c r="M171" s="3544" t="s">
        <v>10220</v>
      </c>
      <c r="N171" s="3544" t="s">
        <v>10220</v>
      </c>
      <c r="O171" s="3534">
        <v>45513</v>
      </c>
      <c r="P171" s="3809" t="s">
        <v>10221</v>
      </c>
      <c r="Q171" s="3809" t="s">
        <v>9226</v>
      </c>
      <c r="R171" s="4861" t="s">
        <v>10222</v>
      </c>
      <c r="S171" s="4331" t="s">
        <v>9659</v>
      </c>
      <c r="T171" s="3830">
        <v>1490</v>
      </c>
      <c r="U171" s="3544" t="s">
        <v>10223</v>
      </c>
      <c r="V171" s="3544">
        <v>1</v>
      </c>
      <c r="W171" s="3901" t="e">
        <f>表15_1731[[#This Row],[Sales Amount]]-表15_1731[[#This Row],[Cost]]</f>
        <v>#VALUE!</v>
      </c>
      <c r="X171" s="3544" t="e">
        <f>表15_1731[[#This Row],[Profit]]/表15_1731[[#This Row],[Cost]]</f>
        <v>#VALUE!</v>
      </c>
      <c r="Y171" s="3544" t="s">
        <v>315</v>
      </c>
      <c r="Z171" s="3902" t="s">
        <v>315</v>
      </c>
    </row>
    <row r="172" spans="1:26" s="1350" customFormat="1" ht="17.25" hidden="1">
      <c r="A172" s="3866" t="s">
        <v>3866</v>
      </c>
      <c r="B172" s="3439" t="s">
        <v>10224</v>
      </c>
      <c r="C172" s="3439" t="s">
        <v>28</v>
      </c>
      <c r="D172" s="3649">
        <v>45482</v>
      </c>
      <c r="E172" s="3867">
        <v>45488</v>
      </c>
      <c r="F172" s="5277" t="s">
        <v>45</v>
      </c>
      <c r="G172" s="4758" t="s">
        <v>46</v>
      </c>
      <c r="H172" s="4807"/>
      <c r="I172" s="3681"/>
      <c r="J172" s="3869" t="s">
        <v>32</v>
      </c>
      <c r="K172" s="3275" t="s">
        <v>47</v>
      </c>
      <c r="L172" s="3903" t="s">
        <v>10225</v>
      </c>
      <c r="M172" s="3650">
        <v>45490</v>
      </c>
      <c r="N172" s="3534">
        <v>45490</v>
      </c>
      <c r="O172" s="3534">
        <v>45493</v>
      </c>
      <c r="P172" s="3289" t="s">
        <v>10226</v>
      </c>
      <c r="Q172" s="3880" t="s">
        <v>6852</v>
      </c>
      <c r="R172" s="4861" t="s">
        <v>36</v>
      </c>
      <c r="S172" s="4834"/>
      <c r="T172" s="3246"/>
      <c r="U172" s="3246"/>
      <c r="V172" s="3246"/>
      <c r="W172" s="709"/>
      <c r="X172" s="1645"/>
      <c r="Y172" s="3246"/>
      <c r="Z172" s="3248"/>
    </row>
    <row r="173" spans="1:26" s="1350" customFormat="1" ht="17.25" hidden="1">
      <c r="A173" s="3866" t="s">
        <v>3866</v>
      </c>
      <c r="B173" s="3439" t="s">
        <v>10227</v>
      </c>
      <c r="C173" s="3439" t="s">
        <v>28</v>
      </c>
      <c r="D173" s="3649">
        <v>45470</v>
      </c>
      <c r="E173" s="2906">
        <v>45486</v>
      </c>
      <c r="F173" s="3439" t="s">
        <v>45</v>
      </c>
      <c r="G173" s="3739" t="s">
        <v>46</v>
      </c>
      <c r="H173" s="4807"/>
      <c r="I173" s="3681"/>
      <c r="J173" s="3869" t="s">
        <v>32</v>
      </c>
      <c r="K173" s="3275" t="s">
        <v>47</v>
      </c>
      <c r="L173" s="3903" t="s">
        <v>10228</v>
      </c>
      <c r="M173" s="3650">
        <v>45488</v>
      </c>
      <c r="N173" s="3650">
        <v>45486</v>
      </c>
      <c r="O173" s="3650">
        <v>45488</v>
      </c>
      <c r="P173" s="3429" t="s">
        <v>10229</v>
      </c>
      <c r="Q173" s="3880" t="s">
        <v>6852</v>
      </c>
      <c r="R173" s="3439" t="s">
        <v>51</v>
      </c>
      <c r="S173" s="3429"/>
      <c r="T173" s="3439"/>
      <c r="U173" s="3439"/>
      <c r="V173" s="3439"/>
      <c r="W173" s="3872">
        <f>表15_17[[#This Row],[Sales Amount]]-表15_17[[#This Row],[Cost]]</f>
        <v>0</v>
      </c>
      <c r="X173" s="3870" t="e">
        <f>表15_17[[#This Row],[Profit]]/表15_17[[#This Row],[Cost]]</f>
        <v>#DIV/0!</v>
      </c>
      <c r="Y173" s="3439"/>
      <c r="Z173" s="3739"/>
    </row>
    <row r="174" spans="1:26" s="36" customFormat="1" hidden="1">
      <c r="A174" s="3866" t="s">
        <v>3866</v>
      </c>
      <c r="B174" s="3439" t="s">
        <v>10230</v>
      </c>
      <c r="C174" s="5277" t="s">
        <v>28</v>
      </c>
      <c r="D174" s="3649">
        <v>45488</v>
      </c>
      <c r="E174" s="3649">
        <f>7+表15_1731[[#This Row],[ETA PORT]]</f>
        <v>45495</v>
      </c>
      <c r="F174" s="5277" t="s">
        <v>45</v>
      </c>
      <c r="G174" s="3739" t="s">
        <v>46</v>
      </c>
      <c r="H174" s="4807"/>
      <c r="I174" s="3681"/>
      <c r="J174" s="3869" t="s">
        <v>32</v>
      </c>
      <c r="K174" s="3275" t="s">
        <v>47</v>
      </c>
      <c r="L174" s="4408" t="s">
        <v>10231</v>
      </c>
      <c r="M174" s="3875">
        <v>45502</v>
      </c>
      <c r="N174" s="3534">
        <v>45502</v>
      </c>
      <c r="O174" s="3534">
        <v>45504</v>
      </c>
      <c r="P174" s="3289" t="s">
        <v>10232</v>
      </c>
      <c r="Q174" s="3880" t="s">
        <v>6852</v>
      </c>
      <c r="R174" s="1495" t="s">
        <v>36</v>
      </c>
      <c r="S174" s="3300"/>
      <c r="T174" s="3246"/>
      <c r="U174" s="3246"/>
      <c r="V174" s="3246"/>
      <c r="W174" s="4861"/>
      <c r="X174" s="5378"/>
      <c r="Y174" s="3246"/>
      <c r="Z174" s="3248"/>
    </row>
    <row r="175" spans="1:26" s="1350" customFormat="1" hidden="1">
      <c r="A175" s="3866" t="s">
        <v>3866</v>
      </c>
      <c r="B175" s="3275" t="s">
        <v>10233</v>
      </c>
      <c r="C175" s="3275" t="s">
        <v>44</v>
      </c>
      <c r="D175" s="3279">
        <v>45477</v>
      </c>
      <c r="E175" s="3867">
        <v>45501</v>
      </c>
      <c r="F175" s="3275" t="s">
        <v>45</v>
      </c>
      <c r="G175" s="3739" t="s">
        <v>46</v>
      </c>
      <c r="H175" s="4811"/>
      <c r="I175" s="3527"/>
      <c r="J175" s="3347" t="s">
        <v>32</v>
      </c>
      <c r="K175" s="3275" t="s">
        <v>47</v>
      </c>
      <c r="L175" s="723" t="s">
        <v>10234</v>
      </c>
      <c r="M175" s="3534">
        <v>45502</v>
      </c>
      <c r="N175" s="3534">
        <v>45502</v>
      </c>
      <c r="O175" s="3534">
        <v>45504</v>
      </c>
      <c r="P175" s="3289" t="s">
        <v>10235</v>
      </c>
      <c r="Q175" s="3880" t="s">
        <v>6852</v>
      </c>
      <c r="R175" s="3246" t="s">
        <v>10236</v>
      </c>
      <c r="S175" s="4834"/>
      <c r="T175" s="3246"/>
      <c r="U175" s="3246"/>
      <c r="V175" s="3246"/>
      <c r="W175" s="3246"/>
      <c r="X175" s="3257"/>
      <c r="Y175" s="3246"/>
      <c r="Z175" s="3248"/>
    </row>
    <row r="176" spans="1:26" s="709" customFormat="1" ht="180" hidden="1">
      <c r="A176" s="3738" t="s">
        <v>3866</v>
      </c>
      <c r="B176" s="4307" t="s">
        <v>10237</v>
      </c>
      <c r="C176" s="3364" t="s">
        <v>28</v>
      </c>
      <c r="D176" s="3467">
        <v>45464</v>
      </c>
      <c r="E176" s="3719">
        <v>45484</v>
      </c>
      <c r="F176" s="4307" t="s">
        <v>245</v>
      </c>
      <c r="G176" s="3708" t="s">
        <v>1672</v>
      </c>
      <c r="H176" s="2211">
        <v>45489</v>
      </c>
      <c r="I176" s="4778" t="s">
        <v>10238</v>
      </c>
      <c r="J176" s="3721" t="s">
        <v>510</v>
      </c>
      <c r="K176" s="4307" t="s">
        <v>10239</v>
      </c>
      <c r="L176" s="3904" t="s">
        <v>10240</v>
      </c>
      <c r="M176" s="3440">
        <v>45486</v>
      </c>
      <c r="N176" s="3440">
        <v>45486</v>
      </c>
      <c r="O176" s="3504">
        <v>45490</v>
      </c>
      <c r="P176" s="4321" t="s">
        <v>10241</v>
      </c>
      <c r="Q176" s="3722" t="s">
        <v>75</v>
      </c>
      <c r="R176" s="4307" t="s">
        <v>10242</v>
      </c>
      <c r="S176" s="4307" t="s">
        <v>9659</v>
      </c>
      <c r="T176" s="3364">
        <v>1620</v>
      </c>
      <c r="U176" s="3364">
        <v>981.2</v>
      </c>
      <c r="V176" s="3364">
        <v>1</v>
      </c>
      <c r="W176" s="3723">
        <f>表15_1731[[#This Row],[Sales Amount]]-表15_1731[[#This Row],[Cost]]</f>
        <v>638.79999999999995</v>
      </c>
      <c r="X176" s="3724">
        <f>表15_1731[[#This Row],[Profit]]/表15_1731[[#This Row],[Cost]]</f>
        <v>0.65103954341622494</v>
      </c>
      <c r="Y176" s="3364"/>
      <c r="Z176" s="3708"/>
    </row>
    <row r="177" spans="1:26" s="709" customFormat="1" hidden="1">
      <c r="A177" s="3866" t="s">
        <v>3866</v>
      </c>
      <c r="B177" s="3439" t="s">
        <v>10243</v>
      </c>
      <c r="C177" s="3439" t="s">
        <v>28</v>
      </c>
      <c r="D177" s="3649">
        <v>45470</v>
      </c>
      <c r="E177" s="3867">
        <v>45486</v>
      </c>
      <c r="F177" s="3439" t="s">
        <v>45</v>
      </c>
      <c r="G177" s="3739" t="s">
        <v>46</v>
      </c>
      <c r="H177" s="4807"/>
      <c r="I177" s="3681"/>
      <c r="J177" s="3869" t="s">
        <v>32</v>
      </c>
      <c r="K177" s="3275" t="s">
        <v>47</v>
      </c>
      <c r="L177" s="3258" t="s">
        <v>10244</v>
      </c>
      <c r="M177" s="3650">
        <v>45488</v>
      </c>
      <c r="N177" s="3534">
        <v>45486</v>
      </c>
      <c r="O177" s="3534">
        <v>45488</v>
      </c>
      <c r="P177" s="3289" t="s">
        <v>10245</v>
      </c>
      <c r="Q177" s="3880" t="s">
        <v>6852</v>
      </c>
      <c r="R177" s="3246" t="s">
        <v>36</v>
      </c>
      <c r="S177" s="3300"/>
      <c r="T177" s="3246"/>
      <c r="U177" s="3246"/>
      <c r="V177" s="3246"/>
      <c r="W177" s="5577">
        <f>表15_17[[#This Row],[Sales Amount]]-表15_17[[#This Row],[Cost]]</f>
        <v>0</v>
      </c>
      <c r="X177" s="5378" t="e">
        <f>表15_17[[#This Row],[Profit]]/表15_17[[#This Row],[Cost]]</f>
        <v>#DIV/0!</v>
      </c>
      <c r="Y177" s="3246"/>
      <c r="Z177" s="3248"/>
    </row>
    <row r="178" spans="1:26" s="52" customFormat="1" ht="60" hidden="1">
      <c r="A178" s="3738" t="s">
        <v>941</v>
      </c>
      <c r="B178" s="3364" t="s">
        <v>10246</v>
      </c>
      <c r="C178" s="3364" t="s">
        <v>28</v>
      </c>
      <c r="D178" s="3860">
        <v>45492</v>
      </c>
      <c r="E178" s="3885">
        <v>45499</v>
      </c>
      <c r="F178" s="4307" t="s">
        <v>135</v>
      </c>
      <c r="G178" s="4769" t="s">
        <v>302</v>
      </c>
      <c r="H178" s="838">
        <v>45503</v>
      </c>
      <c r="I178" s="4796" t="s">
        <v>10247</v>
      </c>
      <c r="J178" s="3721" t="s">
        <v>32</v>
      </c>
      <c r="K178" s="4307" t="s">
        <v>966</v>
      </c>
      <c r="L178" s="3727" t="s">
        <v>10248</v>
      </c>
      <c r="M178" s="3440">
        <v>45501</v>
      </c>
      <c r="N178" s="3366">
        <v>45502</v>
      </c>
      <c r="O178" s="3262">
        <v>45503</v>
      </c>
      <c r="P178" s="4321" t="s">
        <v>10249</v>
      </c>
      <c r="Q178" s="3678" t="s">
        <v>75</v>
      </c>
      <c r="R178" s="4242" t="s">
        <v>10250</v>
      </c>
      <c r="S178" s="4261" t="s">
        <v>9659</v>
      </c>
      <c r="T178" s="3679">
        <f>1605</f>
        <v>1605</v>
      </c>
      <c r="U178" s="3268">
        <f>1000+160</f>
        <v>1160</v>
      </c>
      <c r="V178" s="3268">
        <v>1</v>
      </c>
      <c r="W178" s="5190">
        <f>表15_1731[[#This Row],[Sales Amount]]-表15_1731[[#This Row],[Cost]]</f>
        <v>445</v>
      </c>
      <c r="X178" s="5060">
        <f>表15_1731[[#This Row],[Profit]]/(表15_1731[[#This Row],[Cost]]-160)</f>
        <v>0.44500000000000001</v>
      </c>
      <c r="Y178" s="3268"/>
      <c r="Z178" s="3270"/>
    </row>
    <row r="179" spans="1:26" s="709" customFormat="1" ht="45" hidden="1">
      <c r="A179" s="4671" t="s">
        <v>2489</v>
      </c>
      <c r="B179" s="4921" t="s">
        <v>10251</v>
      </c>
      <c r="C179" s="4921" t="s">
        <v>28</v>
      </c>
      <c r="D179" s="3467">
        <v>45467</v>
      </c>
      <c r="E179" s="3719">
        <v>45491</v>
      </c>
      <c r="F179" s="4921" t="s">
        <v>1357</v>
      </c>
      <c r="G179" s="4773" t="s">
        <v>8231</v>
      </c>
      <c r="H179" s="4227">
        <v>45491</v>
      </c>
      <c r="I179" s="4803" t="s">
        <v>3199</v>
      </c>
      <c r="J179" s="5637" t="s">
        <v>363</v>
      </c>
      <c r="K179" s="4970" t="s">
        <v>1105</v>
      </c>
      <c r="L179" s="4104">
        <v>6090</v>
      </c>
      <c r="M179" s="5207">
        <v>45492</v>
      </c>
      <c r="N179" s="5207">
        <v>45491</v>
      </c>
      <c r="O179" s="5207">
        <v>45492</v>
      </c>
      <c r="P179" s="5138" t="s">
        <v>10252</v>
      </c>
      <c r="Q179" s="5515" t="s">
        <v>75</v>
      </c>
      <c r="R179" s="4837" t="s">
        <v>10253</v>
      </c>
      <c r="S179" s="4970" t="s">
        <v>9659</v>
      </c>
      <c r="T179" s="4921">
        <v>875</v>
      </c>
      <c r="U179" s="4921">
        <v>515.5</v>
      </c>
      <c r="V179" s="4921">
        <v>1</v>
      </c>
      <c r="W179" s="5174">
        <f>表15_1731[[#This Row],[Sales Amount]]-表15_1731[[#This Row],[Cost]]</f>
        <v>359.5</v>
      </c>
      <c r="X179" s="5213">
        <f>表15_1731[[#This Row],[Profit]]/表15_1731[[#This Row],[Cost]]</f>
        <v>0.69738118331716781</v>
      </c>
      <c r="Y179" s="4921"/>
      <c r="Z179" s="4765"/>
    </row>
    <row r="180" spans="1:26" s="1350" customFormat="1" ht="105" hidden="1">
      <c r="A180" s="4671" t="s">
        <v>1945</v>
      </c>
      <c r="B180" s="4970" t="s">
        <v>10254</v>
      </c>
      <c r="C180" s="4921" t="s">
        <v>28</v>
      </c>
      <c r="D180" s="5207">
        <v>45462</v>
      </c>
      <c r="E180" s="5252">
        <v>45476</v>
      </c>
      <c r="F180" s="4921" t="s">
        <v>167</v>
      </c>
      <c r="G180" s="4765" t="s">
        <v>4771</v>
      </c>
      <c r="H180" s="2211">
        <v>45482</v>
      </c>
      <c r="I180" s="4787" t="s">
        <v>618</v>
      </c>
      <c r="J180" s="3721" t="s">
        <v>2452</v>
      </c>
      <c r="K180" s="4970" t="s">
        <v>9155</v>
      </c>
      <c r="L180" s="4921" t="s">
        <v>10255</v>
      </c>
      <c r="M180" s="5207">
        <v>45478</v>
      </c>
      <c r="N180" s="5654">
        <v>45478</v>
      </c>
      <c r="O180" s="4906">
        <v>45482</v>
      </c>
      <c r="P180" s="4829" t="s">
        <v>10256</v>
      </c>
      <c r="Q180" s="5515" t="s">
        <v>75</v>
      </c>
      <c r="R180" s="5655" t="s">
        <v>10257</v>
      </c>
      <c r="S180" s="4921" t="s">
        <v>67</v>
      </c>
      <c r="T180" s="4921">
        <v>1600</v>
      </c>
      <c r="U180" s="4921">
        <f>1084.8+90</f>
        <v>1174.8</v>
      </c>
      <c r="V180" s="4921">
        <v>1</v>
      </c>
      <c r="W180" s="3723">
        <f>表15_17[[#This Row],[Sales Amount]]-表15_17[[#This Row],[Cost]]</f>
        <v>0</v>
      </c>
      <c r="X180" s="3724" t="e">
        <f>表15_17[[#This Row],[Profit]]/表15_17[[#This Row],[Cost]]</f>
        <v>#DIV/0!</v>
      </c>
      <c r="Y180" s="4921"/>
      <c r="Z180" s="4765"/>
    </row>
    <row r="181" spans="1:26" s="709" customFormat="1" ht="180" hidden="1">
      <c r="A181" s="3738" t="s">
        <v>9108</v>
      </c>
      <c r="B181" s="4307" t="s">
        <v>10258</v>
      </c>
      <c r="C181" s="3364" t="s">
        <v>28</v>
      </c>
      <c r="D181" s="3467">
        <v>45457</v>
      </c>
      <c r="E181" s="3719">
        <v>45457</v>
      </c>
      <c r="F181" s="4307" t="s">
        <v>151</v>
      </c>
      <c r="G181" s="4770" t="s">
        <v>10259</v>
      </c>
      <c r="H181" s="1805" t="s">
        <v>10260</v>
      </c>
      <c r="I181" s="4804" t="s">
        <v>10261</v>
      </c>
      <c r="J181" s="3905" t="s">
        <v>10262</v>
      </c>
      <c r="K181" s="3364" t="s">
        <v>9113</v>
      </c>
      <c r="L181" s="3317"/>
      <c r="M181" s="3467">
        <v>45465</v>
      </c>
      <c r="N181" s="3467">
        <v>45465</v>
      </c>
      <c r="O181" s="3467">
        <v>45476</v>
      </c>
      <c r="P181" s="4418" t="s">
        <v>10263</v>
      </c>
      <c r="Q181" s="3722" t="s">
        <v>75</v>
      </c>
      <c r="R181" s="4380" t="s">
        <v>10264</v>
      </c>
      <c r="S181" s="3364" t="s">
        <v>3350</v>
      </c>
      <c r="T181" s="3364">
        <v>7449.14</v>
      </c>
      <c r="U181" s="3364">
        <f>4045+550+71.14+20+750+150</f>
        <v>5586.14</v>
      </c>
      <c r="V181" s="3364">
        <f>表15_1731[[#This Row],[Sales Amount]]-表15_1731[[#This Row],[Cost]]</f>
        <v>1863</v>
      </c>
      <c r="W181" s="5213">
        <f>表15_1731[[#This Row],[CNTR AMOUNT]]/表15_1731[[#This Row],[Sales Amount]]</f>
        <v>0.2500959842344217</v>
      </c>
      <c r="X181" s="5213"/>
      <c r="Y181" s="3364"/>
      <c r="Z181" s="3708"/>
    </row>
    <row r="182" spans="1:26" s="709" customFormat="1" ht="45" hidden="1">
      <c r="A182" s="2984" t="s">
        <v>9108</v>
      </c>
      <c r="B182" s="4307" t="s">
        <v>10265</v>
      </c>
      <c r="C182" s="3364" t="s">
        <v>28</v>
      </c>
      <c r="D182" s="3467">
        <v>45474</v>
      </c>
      <c r="E182" s="3719">
        <v>45481</v>
      </c>
      <c r="F182" s="3364" t="s">
        <v>151</v>
      </c>
      <c r="G182" s="3708" t="s">
        <v>124</v>
      </c>
      <c r="H182" s="4806">
        <v>45483</v>
      </c>
      <c r="I182" s="4385" t="s">
        <v>899</v>
      </c>
      <c r="J182" s="3721" t="s">
        <v>859</v>
      </c>
      <c r="K182" s="4307" t="s">
        <v>8884</v>
      </c>
      <c r="L182" s="745"/>
      <c r="M182" s="3467">
        <v>45484</v>
      </c>
      <c r="N182" s="3467">
        <v>45482</v>
      </c>
      <c r="O182" s="3504">
        <v>45490</v>
      </c>
      <c r="P182" s="4321" t="s">
        <v>10266</v>
      </c>
      <c r="Q182" s="3722" t="s">
        <v>75</v>
      </c>
      <c r="R182" s="4307" t="s">
        <v>10267</v>
      </c>
      <c r="S182" s="4307" t="s">
        <v>9659</v>
      </c>
      <c r="T182" s="3723">
        <v>1560</v>
      </c>
      <c r="U182" s="3723">
        <v>1280</v>
      </c>
      <c r="V182" s="3364">
        <v>1</v>
      </c>
      <c r="W182" s="3723">
        <f>表15_1731[[#This Row],[Sales Amount]]-表15_1731[[#This Row],[Cost]]</f>
        <v>280</v>
      </c>
      <c r="X182" s="3724">
        <f>表15_1731[[#This Row],[Profit]]/表15_1731[[#This Row],[Cost]]</f>
        <v>0.21875</v>
      </c>
      <c r="Y182" s="3364"/>
      <c r="Z182" s="3708"/>
    </row>
    <row r="183" spans="1:26" s="2980" customFormat="1">
      <c r="A183" s="5656"/>
      <c r="B183" s="5656"/>
      <c r="C183" s="5657"/>
      <c r="D183" s="5658"/>
      <c r="E183" s="5658"/>
      <c r="F183" s="5656"/>
      <c r="G183" s="4826"/>
      <c r="H183" s="4824"/>
      <c r="I183" s="4828"/>
      <c r="J183" s="5656"/>
      <c r="K183" s="5656"/>
      <c r="L183" s="5656"/>
      <c r="M183" s="5658"/>
      <c r="N183" s="5658"/>
      <c r="O183" s="5658"/>
      <c r="P183" s="5656"/>
      <c r="R183" s="5656"/>
      <c r="S183" s="2981"/>
      <c r="X183" s="2983"/>
    </row>
    <row r="184" spans="1:26" s="2980" customFormat="1">
      <c r="A184" s="5656"/>
      <c r="B184" s="5656"/>
      <c r="C184" s="5657"/>
      <c r="D184" s="5658"/>
      <c r="E184" s="5658"/>
      <c r="F184" s="5656"/>
      <c r="G184" s="4826"/>
      <c r="H184" s="4824"/>
      <c r="I184" s="4828"/>
      <c r="J184" s="5656"/>
      <c r="K184" s="5656"/>
      <c r="L184" s="5656"/>
      <c r="M184" s="5658"/>
      <c r="N184" s="5658"/>
      <c r="O184" s="5658"/>
      <c r="P184" s="5656"/>
      <c r="R184" s="5656"/>
      <c r="S184" s="2981"/>
      <c r="X184" s="2983"/>
    </row>
    <row r="185" spans="1:26" s="2980" customFormat="1">
      <c r="A185" s="5656"/>
      <c r="B185" s="5656"/>
      <c r="C185" s="5657"/>
      <c r="D185" s="5658"/>
      <c r="E185" s="5658"/>
      <c r="F185" s="5656"/>
      <c r="G185" s="4826"/>
      <c r="H185" s="4824"/>
      <c r="I185" s="4828"/>
      <c r="J185" s="5656"/>
      <c r="K185" s="5656"/>
      <c r="L185" s="5656"/>
      <c r="M185" s="5658"/>
      <c r="N185" s="5658"/>
      <c r="O185" s="5658"/>
      <c r="P185" s="5656"/>
      <c r="R185" s="5656"/>
      <c r="S185" s="2981"/>
      <c r="X185" s="2982"/>
    </row>
    <row r="186" spans="1:26" s="2980" customFormat="1">
      <c r="A186" s="5656"/>
      <c r="B186" s="5656"/>
      <c r="C186" s="5657"/>
      <c r="D186" s="5658"/>
      <c r="E186" s="5658"/>
      <c r="F186" s="5656"/>
      <c r="G186" s="4826"/>
      <c r="H186" s="4824"/>
      <c r="I186" s="4828"/>
      <c r="J186" s="5656"/>
      <c r="K186" s="5656"/>
      <c r="L186" s="5656"/>
      <c r="M186" s="5658"/>
      <c r="N186" s="5658"/>
      <c r="O186" s="5658"/>
      <c r="P186" s="5656"/>
      <c r="R186" s="5656"/>
      <c r="S186" s="2981"/>
      <c r="X186" s="2982"/>
    </row>
  </sheetData>
  <conditionalFormatting sqref="B1">
    <cfRule type="duplicateValues" dxfId="173" priority="1"/>
  </conditionalFormatting>
  <pageMargins left="0.7" right="0.7" top="0.75" bottom="0.75" header="0.3" footer="0.3"/>
  <pageSetup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F1CD4-703B-4677-8BB6-53ED2D37E9AF}">
  <sheetPr filterMode="1"/>
  <dimension ref="A1:AO229"/>
  <sheetViews>
    <sheetView zoomScaleNormal="100" workbookViewId="0">
      <pane xSplit="7" ySplit="1" topLeftCell="H133" activePane="bottomRight" state="frozen"/>
      <selection pane="bottomRight" activeCell="H109" sqref="H109"/>
      <selection pane="bottomLeft" activeCell="A2" sqref="A2"/>
      <selection pane="topRight" activeCell="H1" sqref="H1"/>
    </sheetView>
  </sheetViews>
  <sheetFormatPr defaultColWidth="9.125" defaultRowHeight="90.75" customHeight="1"/>
  <cols>
    <col min="1" max="1" width="14.25" style="147" customWidth="1"/>
    <col min="2" max="2" width="17.25" style="106" customWidth="1"/>
    <col min="3" max="3" width="9" style="106"/>
    <col min="4" max="5" width="13.125" style="106" customWidth="1"/>
    <col min="6" max="6" width="22" style="106" customWidth="1"/>
    <col min="7" max="7" width="22.875" style="147" customWidth="1"/>
    <col min="8" max="8" width="19.125" style="106" customWidth="1"/>
    <col min="9" max="10" width="15" style="106" customWidth="1"/>
    <col min="11" max="11" width="33.75" style="106" customWidth="1"/>
    <col min="12" max="12" width="15.25" style="106" customWidth="1"/>
    <col min="13" max="13" width="20.125" style="106" bestFit="1" customWidth="1"/>
    <col min="14" max="14" width="17.875" style="106" customWidth="1"/>
    <col min="15" max="15" width="13" style="106" customWidth="1"/>
    <col min="16" max="16" width="47.25" style="106" customWidth="1"/>
    <col min="17" max="17" width="9.125" style="106"/>
    <col min="18" max="18" width="16.25" style="106" customWidth="1"/>
    <col min="19" max="19" width="12.25" style="106" customWidth="1"/>
    <col min="20" max="20" width="11.125" style="106" bestFit="1" customWidth="1"/>
    <col min="21" max="21" width="15.25" style="106" bestFit="1" customWidth="1"/>
    <col min="22" max="22" width="9.125" style="106"/>
    <col min="23" max="23" width="10.75" style="106" bestFit="1" customWidth="1"/>
    <col min="24" max="16384" width="9.125" style="106"/>
  </cols>
  <sheetData>
    <row r="1" spans="1:35" s="3047" customFormat="1" ht="41.25" customHeight="1">
      <c r="A1" s="5659" t="s">
        <v>0</v>
      </c>
      <c r="B1" s="5660" t="s">
        <v>1</v>
      </c>
      <c r="C1" s="5660" t="s">
        <v>2</v>
      </c>
      <c r="D1" s="5660" t="s">
        <v>3</v>
      </c>
      <c r="E1" s="5660" t="s">
        <v>4</v>
      </c>
      <c r="F1" s="5660" t="s">
        <v>5</v>
      </c>
      <c r="G1" s="5659" t="s">
        <v>6</v>
      </c>
      <c r="H1" s="5660" t="s">
        <v>7</v>
      </c>
      <c r="I1" s="5660" t="s">
        <v>8</v>
      </c>
      <c r="J1" s="5660" t="s">
        <v>9</v>
      </c>
      <c r="K1" s="5660" t="s">
        <v>10</v>
      </c>
      <c r="L1" s="5660" t="s">
        <v>11</v>
      </c>
      <c r="M1" s="5660" t="s">
        <v>12</v>
      </c>
      <c r="N1" s="5660" t="s">
        <v>13</v>
      </c>
      <c r="O1" s="5660" t="s">
        <v>14</v>
      </c>
      <c r="P1" s="5660" t="s">
        <v>15</v>
      </c>
      <c r="Q1" s="5660" t="s">
        <v>16</v>
      </c>
      <c r="R1" s="5660" t="s">
        <v>17</v>
      </c>
      <c r="S1" s="5660" t="s">
        <v>18</v>
      </c>
      <c r="T1" s="5660" t="s">
        <v>19</v>
      </c>
      <c r="U1" s="5660" t="s">
        <v>20</v>
      </c>
      <c r="V1" s="5660" t="s">
        <v>21</v>
      </c>
      <c r="W1" s="5660" t="s">
        <v>22</v>
      </c>
      <c r="X1" s="5659" t="s">
        <v>23</v>
      </c>
      <c r="Y1" s="5660" t="s">
        <v>24</v>
      </c>
      <c r="Z1" s="5660" t="s">
        <v>25</v>
      </c>
      <c r="AA1" s="5660"/>
    </row>
    <row r="2" spans="1:35" customFormat="1" ht="13.5" hidden="1" customHeight="1">
      <c r="A2" s="5173" t="s">
        <v>4321</v>
      </c>
      <c r="B2" s="5661" t="s">
        <v>10268</v>
      </c>
      <c r="C2" s="4874" t="s">
        <v>44</v>
      </c>
      <c r="D2" s="5662">
        <v>45473</v>
      </c>
      <c r="E2" s="5663">
        <v>45505</v>
      </c>
      <c r="F2" s="4874" t="s">
        <v>245</v>
      </c>
      <c r="G2" s="4874" t="s">
        <v>57</v>
      </c>
      <c r="H2" s="5664"/>
      <c r="I2" s="4874"/>
      <c r="J2" s="5471" t="s">
        <v>32</v>
      </c>
      <c r="K2" s="4874" t="s">
        <v>47</v>
      </c>
      <c r="L2" s="5122">
        <v>2856637</v>
      </c>
      <c r="M2" s="5169">
        <v>45507</v>
      </c>
      <c r="N2" s="4975">
        <v>45506</v>
      </c>
      <c r="O2" s="4975">
        <v>45509</v>
      </c>
      <c r="P2" s="5120" t="s">
        <v>10269</v>
      </c>
      <c r="Q2" s="5633" t="s">
        <v>6852</v>
      </c>
      <c r="R2" s="4892" t="s">
        <v>10270</v>
      </c>
      <c r="S2" s="4892"/>
      <c r="T2" s="4892"/>
      <c r="U2" s="4892"/>
      <c r="V2" s="4892"/>
      <c r="W2" s="4892"/>
      <c r="X2" s="4892"/>
      <c r="Y2" s="4892"/>
      <c r="Z2" s="4892"/>
      <c r="AA2" s="4892"/>
    </row>
    <row r="3" spans="1:35" s="650" customFormat="1" ht="15" hidden="1">
      <c r="A3" s="5622" t="s">
        <v>409</v>
      </c>
      <c r="B3" s="5277" t="s">
        <v>10271</v>
      </c>
      <c r="C3" s="4861" t="s">
        <v>28</v>
      </c>
      <c r="D3" s="5665">
        <v>45491</v>
      </c>
      <c r="E3" s="5666">
        <v>45505</v>
      </c>
      <c r="F3" s="4861" t="s">
        <v>151</v>
      </c>
      <c r="G3" s="5277" t="s">
        <v>46</v>
      </c>
      <c r="H3" s="5667"/>
      <c r="I3" s="5277"/>
      <c r="J3" s="5622" t="s">
        <v>32</v>
      </c>
      <c r="K3" s="5277" t="s">
        <v>47</v>
      </c>
      <c r="L3" s="4834">
        <v>576313</v>
      </c>
      <c r="M3" s="4859">
        <v>45507</v>
      </c>
      <c r="N3" s="4953">
        <v>45507</v>
      </c>
      <c r="O3" s="4953">
        <v>45509</v>
      </c>
      <c r="P3" s="4864" t="s">
        <v>10272</v>
      </c>
      <c r="Q3" s="5620" t="s">
        <v>6852</v>
      </c>
      <c r="R3" s="4861" t="s">
        <v>36</v>
      </c>
      <c r="S3" s="4834"/>
      <c r="T3" s="4861"/>
      <c r="U3" s="4861"/>
      <c r="V3" s="4861"/>
      <c r="W3" s="4861"/>
      <c r="X3" s="5378"/>
      <c r="Y3" s="4861"/>
      <c r="Z3" s="4861"/>
      <c r="AA3" s="4913"/>
    </row>
    <row r="4" spans="1:35" s="650" customFormat="1" ht="15" hidden="1">
      <c r="A4" s="5622" t="s">
        <v>4815</v>
      </c>
      <c r="B4" s="5277" t="s">
        <v>10273</v>
      </c>
      <c r="C4" s="4861" t="s">
        <v>28</v>
      </c>
      <c r="D4" s="5665">
        <v>45492</v>
      </c>
      <c r="E4" s="5666">
        <v>45505</v>
      </c>
      <c r="F4" s="4861" t="s">
        <v>45</v>
      </c>
      <c r="G4" s="5277" t="s">
        <v>46</v>
      </c>
      <c r="H4" s="5667"/>
      <c r="I4" s="5277"/>
      <c r="J4" s="5622" t="s">
        <v>32</v>
      </c>
      <c r="K4" s="5277" t="s">
        <v>47</v>
      </c>
      <c r="L4" s="4834" t="s">
        <v>10274</v>
      </c>
      <c r="M4" s="4859">
        <v>45507</v>
      </c>
      <c r="N4" s="4953">
        <v>45507</v>
      </c>
      <c r="O4" s="4953">
        <v>45508</v>
      </c>
      <c r="P4" s="4864" t="s">
        <v>10275</v>
      </c>
      <c r="Q4" s="5620" t="s">
        <v>6852</v>
      </c>
      <c r="R4" s="4861" t="s">
        <v>51</v>
      </c>
      <c r="S4" s="4834"/>
      <c r="T4" s="4861"/>
      <c r="U4" s="4861"/>
      <c r="V4" s="4861"/>
      <c r="W4" s="4861"/>
      <c r="X4" s="5378"/>
      <c r="Y4" s="4861"/>
      <c r="Z4" s="4861"/>
      <c r="AA4" s="4913"/>
    </row>
    <row r="5" spans="1:35" s="117" customFormat="1" ht="15" hidden="1">
      <c r="A5" s="5375" t="s">
        <v>165</v>
      </c>
      <c r="B5" s="4908" t="s">
        <v>10276</v>
      </c>
      <c r="C5" s="4845" t="s">
        <v>28</v>
      </c>
      <c r="D5" s="4906">
        <v>45492</v>
      </c>
      <c r="E5" s="4916">
        <v>45505</v>
      </c>
      <c r="F5" s="4845" t="s">
        <v>3794</v>
      </c>
      <c r="G5" s="4845" t="s">
        <v>57</v>
      </c>
      <c r="H5" s="4918">
        <v>45507</v>
      </c>
      <c r="I5" s="4929" t="s">
        <v>672</v>
      </c>
      <c r="J5" s="5375" t="s">
        <v>32</v>
      </c>
      <c r="K5" s="4845" t="s">
        <v>2013</v>
      </c>
      <c r="L5" s="4951">
        <v>4004766</v>
      </c>
      <c r="M5" s="4936">
        <v>45507</v>
      </c>
      <c r="N5" s="4906">
        <v>45507</v>
      </c>
      <c r="O5" s="4906">
        <v>45509</v>
      </c>
      <c r="P5" s="4988" t="s">
        <v>10277</v>
      </c>
      <c r="Q5" s="5065" t="s">
        <v>75</v>
      </c>
      <c r="R5" s="4908" t="s">
        <v>10278</v>
      </c>
      <c r="S5" s="4908" t="s">
        <v>10279</v>
      </c>
      <c r="T5" s="4845">
        <v>1150</v>
      </c>
      <c r="U5" s="4845">
        <v>870</v>
      </c>
      <c r="V5" s="4845">
        <v>1</v>
      </c>
      <c r="W5" s="5190">
        <f>T5-U5</f>
        <v>280</v>
      </c>
      <c r="X5" s="5060">
        <f>表15_17[[#This Row],[Profit]]/表15_17[[#This Row],[Cost]]</f>
        <v>0.61039657020364413</v>
      </c>
      <c r="Y5" s="4845"/>
      <c r="Z5" s="4845"/>
      <c r="AA5" s="4845"/>
    </row>
    <row r="6" spans="1:35" ht="15" hidden="1">
      <c r="A6" s="5375" t="s">
        <v>165</v>
      </c>
      <c r="B6" s="4845" t="s">
        <v>10280</v>
      </c>
      <c r="C6" s="4845" t="s">
        <v>28</v>
      </c>
      <c r="D6" s="4906">
        <v>45492</v>
      </c>
      <c r="E6" s="4916">
        <v>45506</v>
      </c>
      <c r="F6" s="4845" t="s">
        <v>3794</v>
      </c>
      <c r="G6" s="4845" t="s">
        <v>57</v>
      </c>
      <c r="H6" s="4918">
        <v>45509</v>
      </c>
      <c r="I6" s="4845"/>
      <c r="J6" s="5375" t="s">
        <v>32</v>
      </c>
      <c r="K6" s="4845" t="s">
        <v>2013</v>
      </c>
      <c r="L6" s="4951">
        <v>4004771</v>
      </c>
      <c r="M6" s="4918">
        <v>45509</v>
      </c>
      <c r="N6" s="4906">
        <v>45509</v>
      </c>
      <c r="O6" s="4906">
        <v>45509</v>
      </c>
      <c r="P6" s="4947" t="s">
        <v>10277</v>
      </c>
      <c r="Q6" s="5065" t="s">
        <v>75</v>
      </c>
      <c r="R6" s="4908" t="s">
        <v>10281</v>
      </c>
      <c r="S6" s="4908" t="s">
        <v>10279</v>
      </c>
      <c r="T6" s="4845">
        <v>1150</v>
      </c>
      <c r="U6" s="4845">
        <v>870</v>
      </c>
      <c r="V6" s="4845">
        <v>1</v>
      </c>
      <c r="W6" s="5190">
        <f>T6-U6</f>
        <v>280</v>
      </c>
      <c r="X6" s="5060">
        <f>表15_17[[#This Row],[Profit]]/表15_17[[#This Row],[Cost]]</f>
        <v>0.49283935242839355</v>
      </c>
      <c r="Y6" s="4845"/>
      <c r="Z6" s="4845"/>
      <c r="AA6" s="4845"/>
      <c r="AB6" s="117"/>
      <c r="AC6" s="117"/>
      <c r="AD6" s="117"/>
      <c r="AE6" s="117"/>
      <c r="AF6" s="117"/>
      <c r="AG6" s="117"/>
      <c r="AH6" s="117"/>
      <c r="AI6" s="117"/>
    </row>
    <row r="7" spans="1:35" s="52" customFormat="1" ht="15" hidden="1">
      <c r="A7" s="4891" t="s">
        <v>263</v>
      </c>
      <c r="B7" s="4913" t="s">
        <v>10282</v>
      </c>
      <c r="C7" s="4882"/>
      <c r="D7" s="5668">
        <v>45506</v>
      </c>
      <c r="E7" s="5668">
        <v>45506</v>
      </c>
      <c r="F7" s="4882" t="s">
        <v>63</v>
      </c>
      <c r="G7" s="4891" t="s">
        <v>2194</v>
      </c>
      <c r="H7" s="4913"/>
      <c r="I7" s="4913"/>
      <c r="J7" s="4913"/>
      <c r="K7" s="4913" t="s">
        <v>6951</v>
      </c>
      <c r="L7" s="4870"/>
      <c r="M7" s="4870"/>
      <c r="N7" s="4913"/>
      <c r="O7" s="4913"/>
      <c r="P7" s="4913"/>
      <c r="Q7" s="4913" t="s">
        <v>128</v>
      </c>
      <c r="R7" s="4913" t="s">
        <v>36</v>
      </c>
      <c r="S7" s="4913"/>
      <c r="T7" s="4913"/>
      <c r="U7" s="4913"/>
      <c r="V7" s="4913"/>
      <c r="W7" s="4913"/>
      <c r="X7" s="4913"/>
      <c r="Y7" s="4913"/>
      <c r="Z7" s="4913"/>
      <c r="AA7" s="4921"/>
      <c r="AB7" s="36"/>
      <c r="AC7" s="36"/>
      <c r="AD7" s="36"/>
      <c r="AE7" s="36"/>
      <c r="AF7" s="36"/>
      <c r="AG7" s="36"/>
      <c r="AH7" s="36"/>
      <c r="AI7" s="36"/>
    </row>
    <row r="8" spans="1:35" s="117" customFormat="1" ht="60" hidden="1">
      <c r="A8" s="5375" t="s">
        <v>788</v>
      </c>
      <c r="B8" s="4908" t="s">
        <v>10283</v>
      </c>
      <c r="C8" s="4845" t="s">
        <v>200</v>
      </c>
      <c r="D8" s="4906">
        <v>45499</v>
      </c>
      <c r="E8" s="4916">
        <v>45506</v>
      </c>
      <c r="F8" s="4845" t="s">
        <v>63</v>
      </c>
      <c r="G8" s="4845" t="s">
        <v>30</v>
      </c>
      <c r="H8" s="5237">
        <v>45512</v>
      </c>
      <c r="I8" s="5243" t="s">
        <v>445</v>
      </c>
      <c r="J8" s="5375" t="s">
        <v>32</v>
      </c>
      <c r="K8" s="4845" t="s">
        <v>10284</v>
      </c>
      <c r="L8" s="4918" t="s">
        <v>10285</v>
      </c>
      <c r="M8" s="4918">
        <v>45509</v>
      </c>
      <c r="N8" s="4918">
        <v>45509</v>
      </c>
      <c r="O8" s="4906">
        <v>45512</v>
      </c>
      <c r="P8" s="4909" t="s">
        <v>10286</v>
      </c>
      <c r="Q8" s="5065" t="s">
        <v>75</v>
      </c>
      <c r="R8" s="4845" t="s">
        <v>10287</v>
      </c>
      <c r="S8" s="4947" t="s">
        <v>67</v>
      </c>
      <c r="T8" s="5190">
        <v>1565</v>
      </c>
      <c r="U8" s="4845">
        <v>1220</v>
      </c>
      <c r="V8" s="4845">
        <v>1</v>
      </c>
      <c r="W8" s="4922">
        <f>T8-U8</f>
        <v>345</v>
      </c>
      <c r="X8" s="5060">
        <f>W8/U8</f>
        <v>0.28278688524590162</v>
      </c>
      <c r="Y8" s="4845"/>
      <c r="Z8" s="4845"/>
      <c r="AA8" s="4845"/>
    </row>
    <row r="9" spans="1:35" s="507" customFormat="1" ht="45" hidden="1">
      <c r="A9" s="5375" t="s">
        <v>1945</v>
      </c>
      <c r="B9" s="4845" t="s">
        <v>10288</v>
      </c>
      <c r="C9" s="4845" t="s">
        <v>28</v>
      </c>
      <c r="D9" s="4906">
        <v>45495</v>
      </c>
      <c r="E9" s="4916">
        <v>45506</v>
      </c>
      <c r="F9" s="4845" t="s">
        <v>167</v>
      </c>
      <c r="G9" s="4908" t="s">
        <v>10289</v>
      </c>
      <c r="H9" s="4906">
        <v>45511</v>
      </c>
      <c r="I9" s="4908" t="s">
        <v>672</v>
      </c>
      <c r="J9" s="5375" t="s">
        <v>10290</v>
      </c>
      <c r="K9" s="4845" t="s">
        <v>9155</v>
      </c>
      <c r="L9" s="4951" t="s">
        <v>10291</v>
      </c>
      <c r="M9" s="4918">
        <v>45509</v>
      </c>
      <c r="N9" s="4918">
        <v>45509</v>
      </c>
      <c r="O9" s="4906">
        <v>45511</v>
      </c>
      <c r="P9" s="4909" t="s">
        <v>10292</v>
      </c>
      <c r="Q9" s="5065" t="s">
        <v>75</v>
      </c>
      <c r="R9" s="4908" t="s">
        <v>10293</v>
      </c>
      <c r="S9" s="4845" t="s">
        <v>67</v>
      </c>
      <c r="T9" s="5190">
        <v>1410</v>
      </c>
      <c r="U9" s="4845">
        <f>844.8+90</f>
        <v>934.8</v>
      </c>
      <c r="V9" s="4845">
        <v>1</v>
      </c>
      <c r="W9" s="5190">
        <f>T9-U9</f>
        <v>475.20000000000005</v>
      </c>
      <c r="X9" s="5060">
        <f>W9/U9</f>
        <v>0.50834403080872925</v>
      </c>
      <c r="Y9" s="4845"/>
      <c r="Z9" s="4845"/>
      <c r="AA9" s="4873"/>
      <c r="AB9" s="26"/>
      <c r="AC9" s="26"/>
      <c r="AD9" s="26"/>
      <c r="AE9" s="26"/>
      <c r="AF9" s="26"/>
      <c r="AG9" s="26"/>
      <c r="AH9" s="26"/>
      <c r="AI9" s="26"/>
    </row>
    <row r="10" spans="1:35" s="650" customFormat="1" ht="15" hidden="1">
      <c r="A10" s="5622" t="s">
        <v>409</v>
      </c>
      <c r="B10" s="5277" t="s">
        <v>10294</v>
      </c>
      <c r="C10" s="4861" t="s">
        <v>28</v>
      </c>
      <c r="D10" s="5665">
        <v>45491</v>
      </c>
      <c r="E10" s="5666">
        <v>45507</v>
      </c>
      <c r="F10" s="4861" t="s">
        <v>151</v>
      </c>
      <c r="G10" s="5277" t="s">
        <v>46</v>
      </c>
      <c r="H10" s="5667"/>
      <c r="I10" s="5277"/>
      <c r="J10" s="5622" t="s">
        <v>32</v>
      </c>
      <c r="K10" s="5277" t="s">
        <v>47</v>
      </c>
      <c r="L10" s="4834" t="s">
        <v>10295</v>
      </c>
      <c r="M10" s="4859">
        <v>45509</v>
      </c>
      <c r="N10" s="4953">
        <v>45508</v>
      </c>
      <c r="O10" s="4953">
        <v>45509</v>
      </c>
      <c r="P10" s="4864" t="s">
        <v>10296</v>
      </c>
      <c r="Q10" s="5620" t="s">
        <v>6852</v>
      </c>
      <c r="R10" s="4913" t="s">
        <v>36</v>
      </c>
      <c r="S10" s="4834"/>
      <c r="T10" s="4861"/>
      <c r="U10" s="4861"/>
      <c r="V10" s="4861"/>
      <c r="W10" s="4861"/>
      <c r="X10" s="5378"/>
      <c r="Y10" s="4861"/>
      <c r="Z10" s="4861"/>
      <c r="AA10" s="4913"/>
    </row>
    <row r="11" spans="1:35" customFormat="1" ht="15" hidden="1">
      <c r="A11" s="5622" t="s">
        <v>409</v>
      </c>
      <c r="B11" s="5277" t="s">
        <v>10297</v>
      </c>
      <c r="C11" s="4861" t="s">
        <v>28</v>
      </c>
      <c r="D11" s="5665">
        <v>45491</v>
      </c>
      <c r="E11" s="5666">
        <v>45507</v>
      </c>
      <c r="F11" s="4861" t="s">
        <v>151</v>
      </c>
      <c r="G11" s="5277" t="s">
        <v>46</v>
      </c>
      <c r="H11" s="5667"/>
      <c r="I11" s="5277"/>
      <c r="J11" s="5622" t="s">
        <v>32</v>
      </c>
      <c r="K11" s="5277" t="s">
        <v>47</v>
      </c>
      <c r="L11" s="4834" t="s">
        <v>10298</v>
      </c>
      <c r="M11" s="4859">
        <v>45508</v>
      </c>
      <c r="N11" s="4953">
        <v>45508</v>
      </c>
      <c r="O11" s="4953">
        <v>45509</v>
      </c>
      <c r="P11" s="4864" t="s">
        <v>10299</v>
      </c>
      <c r="Q11" s="5620" t="s">
        <v>6852</v>
      </c>
      <c r="R11" s="4861" t="s">
        <v>36</v>
      </c>
      <c r="S11" s="4834"/>
      <c r="T11" s="4861"/>
      <c r="U11" s="4861"/>
      <c r="V11" s="4861"/>
      <c r="W11" s="4861"/>
      <c r="X11" s="5378"/>
      <c r="Y11" s="4861"/>
      <c r="Z11" s="4861"/>
      <c r="AA11" s="4892"/>
    </row>
    <row r="12" spans="1:35" s="650" customFormat="1" ht="15" hidden="1">
      <c r="A12" s="5622" t="s">
        <v>409</v>
      </c>
      <c r="B12" s="5277" t="s">
        <v>10300</v>
      </c>
      <c r="C12" s="4861" t="s">
        <v>28</v>
      </c>
      <c r="D12" s="5665">
        <v>45491</v>
      </c>
      <c r="E12" s="5666">
        <v>45507</v>
      </c>
      <c r="F12" s="4861" t="s">
        <v>151</v>
      </c>
      <c r="G12" s="5277" t="s">
        <v>46</v>
      </c>
      <c r="H12" s="5667"/>
      <c r="I12" s="5277"/>
      <c r="J12" s="5622" t="s">
        <v>32</v>
      </c>
      <c r="K12" s="5277" t="s">
        <v>47</v>
      </c>
      <c r="L12" s="4834" t="s">
        <v>10301</v>
      </c>
      <c r="M12" s="4859">
        <v>45509</v>
      </c>
      <c r="N12" s="4953">
        <v>45509</v>
      </c>
      <c r="O12" s="4953">
        <v>45511</v>
      </c>
      <c r="P12" s="4864" t="s">
        <v>10302</v>
      </c>
      <c r="Q12" s="5620" t="s">
        <v>6852</v>
      </c>
      <c r="R12" s="4861" t="s">
        <v>36</v>
      </c>
      <c r="S12" s="4834"/>
      <c r="T12" s="4861"/>
      <c r="U12" s="4861"/>
      <c r="V12" s="4861"/>
      <c r="W12" s="4861"/>
      <c r="X12" s="5378"/>
      <c r="Y12" s="4861"/>
      <c r="Z12" s="4861"/>
      <c r="AA12" s="4913"/>
    </row>
    <row r="13" spans="1:35" customFormat="1" ht="15" hidden="1">
      <c r="A13" s="5622" t="s">
        <v>409</v>
      </c>
      <c r="B13" s="5277" t="s">
        <v>10303</v>
      </c>
      <c r="C13" s="4861" t="s">
        <v>28</v>
      </c>
      <c r="D13" s="5665">
        <v>45494</v>
      </c>
      <c r="E13" s="5666">
        <v>45507</v>
      </c>
      <c r="F13" s="4861" t="s">
        <v>2225</v>
      </c>
      <c r="G13" s="5277" t="s">
        <v>57</v>
      </c>
      <c r="H13" s="5667"/>
      <c r="I13" s="5277"/>
      <c r="J13" s="5622" t="s">
        <v>32</v>
      </c>
      <c r="K13" s="5277" t="s">
        <v>47</v>
      </c>
      <c r="L13" s="4834">
        <v>3701321</v>
      </c>
      <c r="M13" s="4859">
        <v>45510</v>
      </c>
      <c r="N13" s="4953">
        <v>45509</v>
      </c>
      <c r="O13" s="4953">
        <v>45511</v>
      </c>
      <c r="P13" s="4864" t="s">
        <v>10304</v>
      </c>
      <c r="Q13" s="5620" t="s">
        <v>6852</v>
      </c>
      <c r="R13" s="4861" t="s">
        <v>36</v>
      </c>
      <c r="S13" s="4834"/>
      <c r="T13" s="4861"/>
      <c r="U13" s="4861"/>
      <c r="V13" s="4861"/>
      <c r="W13" s="4861"/>
      <c r="X13" s="5378"/>
      <c r="Y13" s="4861"/>
      <c r="Z13" s="4861"/>
      <c r="AA13" s="4892"/>
    </row>
    <row r="14" spans="1:35" s="650" customFormat="1" ht="15" hidden="1">
      <c r="A14" s="5622" t="s">
        <v>409</v>
      </c>
      <c r="B14" s="5277" t="s">
        <v>10305</v>
      </c>
      <c r="C14" s="4861" t="s">
        <v>28</v>
      </c>
      <c r="D14" s="5665">
        <v>45494</v>
      </c>
      <c r="E14" s="5666">
        <v>45507</v>
      </c>
      <c r="F14" s="4861" t="s">
        <v>2225</v>
      </c>
      <c r="G14" s="5277" t="s">
        <v>57</v>
      </c>
      <c r="H14" s="5667"/>
      <c r="I14" s="5277"/>
      <c r="J14" s="5622" t="s">
        <v>32</v>
      </c>
      <c r="K14" s="5277" t="s">
        <v>47</v>
      </c>
      <c r="L14" s="4834">
        <v>3701582</v>
      </c>
      <c r="M14" s="4859">
        <v>45510</v>
      </c>
      <c r="N14" s="4953">
        <v>45509</v>
      </c>
      <c r="O14" s="4953">
        <v>45511</v>
      </c>
      <c r="P14" s="4864" t="s">
        <v>10306</v>
      </c>
      <c r="Q14" s="5620" t="s">
        <v>6852</v>
      </c>
      <c r="R14" s="4861" t="s">
        <v>36</v>
      </c>
      <c r="S14" s="4834"/>
      <c r="T14" s="4861"/>
      <c r="U14" s="4861"/>
      <c r="V14" s="4861"/>
      <c r="W14" s="4861"/>
      <c r="X14" s="5378"/>
      <c r="Y14" s="4861"/>
      <c r="Z14" s="4861"/>
      <c r="AA14" s="4913"/>
    </row>
    <row r="15" spans="1:35" customFormat="1" ht="30" hidden="1">
      <c r="A15" s="5118" t="s">
        <v>10307</v>
      </c>
      <c r="B15" s="5277" t="s">
        <v>10308</v>
      </c>
      <c r="C15" s="5277" t="s">
        <v>28</v>
      </c>
      <c r="D15" s="5669">
        <v>45507</v>
      </c>
      <c r="E15" s="5669">
        <v>45507</v>
      </c>
      <c r="F15" s="5277" t="s">
        <v>10309</v>
      </c>
      <c r="G15" s="5118" t="s">
        <v>10310</v>
      </c>
      <c r="H15" s="5277"/>
      <c r="I15" s="5277"/>
      <c r="J15" s="5277"/>
      <c r="K15" s="5277"/>
      <c r="L15" s="5277" t="s">
        <v>9917</v>
      </c>
      <c r="M15" s="5403">
        <v>45512</v>
      </c>
      <c r="N15" s="5403">
        <v>45511</v>
      </c>
      <c r="O15" s="5403">
        <v>45511</v>
      </c>
      <c r="P15" s="5277" t="s">
        <v>10311</v>
      </c>
      <c r="Q15" s="5277" t="s">
        <v>9226</v>
      </c>
      <c r="R15" s="5277" t="s">
        <v>10312</v>
      </c>
      <c r="S15" s="5277" t="s">
        <v>1320</v>
      </c>
      <c r="T15" s="5277"/>
      <c r="U15" s="5277"/>
      <c r="V15" s="5277"/>
      <c r="W15" s="5277"/>
      <c r="X15" s="5277"/>
      <c r="Y15" s="5277"/>
      <c r="Z15" s="5277"/>
      <c r="AA15" s="4892"/>
    </row>
    <row r="16" spans="1:35" s="650" customFormat="1" ht="30" hidden="1">
      <c r="A16" s="5622" t="s">
        <v>4815</v>
      </c>
      <c r="B16" s="5277" t="s">
        <v>10313</v>
      </c>
      <c r="C16" s="4861" t="s">
        <v>28</v>
      </c>
      <c r="D16" s="5665">
        <v>45490</v>
      </c>
      <c r="E16" s="5666">
        <v>45507</v>
      </c>
      <c r="F16" s="4861" t="s">
        <v>151</v>
      </c>
      <c r="G16" s="5277" t="s">
        <v>46</v>
      </c>
      <c r="H16" s="5667"/>
      <c r="I16" s="5277"/>
      <c r="J16" s="5622" t="s">
        <v>32</v>
      </c>
      <c r="K16" s="5277" t="s">
        <v>47</v>
      </c>
      <c r="L16" s="4834" t="s">
        <v>10314</v>
      </c>
      <c r="M16" s="4867">
        <v>45510</v>
      </c>
      <c r="N16" s="4953">
        <v>45510</v>
      </c>
      <c r="O16" s="4953">
        <v>45512</v>
      </c>
      <c r="P16" s="4864" t="s">
        <v>10315</v>
      </c>
      <c r="Q16" s="5620" t="s">
        <v>6852</v>
      </c>
      <c r="R16" s="4861" t="s">
        <v>51</v>
      </c>
      <c r="S16" s="4834"/>
      <c r="T16" s="4861"/>
      <c r="U16" s="4861"/>
      <c r="V16" s="4861"/>
      <c r="W16" s="4861"/>
      <c r="X16" s="5378"/>
      <c r="Y16" s="4861"/>
      <c r="Z16" s="4861"/>
      <c r="AA16" s="4913"/>
    </row>
    <row r="17" spans="1:35" s="1350" customFormat="1" ht="15" hidden="1">
      <c r="A17" s="5622" t="s">
        <v>4815</v>
      </c>
      <c r="B17" s="5277" t="s">
        <v>10316</v>
      </c>
      <c r="C17" s="4861" t="s">
        <v>28</v>
      </c>
      <c r="D17" s="5665">
        <v>45492</v>
      </c>
      <c r="E17" s="5666">
        <v>45507</v>
      </c>
      <c r="F17" s="4861" t="s">
        <v>45</v>
      </c>
      <c r="G17" s="5277" t="s">
        <v>46</v>
      </c>
      <c r="H17" s="5667"/>
      <c r="I17" s="5277"/>
      <c r="J17" s="5622" t="s">
        <v>32</v>
      </c>
      <c r="K17" s="5277" t="s">
        <v>47</v>
      </c>
      <c r="L17" s="4834" t="s">
        <v>10317</v>
      </c>
      <c r="M17" s="4859"/>
      <c r="N17" s="4953">
        <v>45507</v>
      </c>
      <c r="O17" s="4953">
        <v>45511</v>
      </c>
      <c r="P17" s="4864" t="s">
        <v>10318</v>
      </c>
      <c r="Q17" s="5620" t="s">
        <v>6852</v>
      </c>
      <c r="R17" s="4861" t="s">
        <v>51</v>
      </c>
      <c r="S17" s="4834"/>
      <c r="T17" s="4861"/>
      <c r="U17" s="4861"/>
      <c r="V17" s="4861"/>
      <c r="W17" s="4861"/>
      <c r="X17" s="5378"/>
      <c r="Y17" s="4861"/>
      <c r="Z17" s="4861"/>
      <c r="AA17" s="5277"/>
    </row>
    <row r="18" spans="1:35" s="650" customFormat="1" ht="15" hidden="1">
      <c r="A18" s="5622" t="s">
        <v>4815</v>
      </c>
      <c r="B18" s="5277" t="s">
        <v>10319</v>
      </c>
      <c r="C18" s="4861" t="s">
        <v>28</v>
      </c>
      <c r="D18" s="5665">
        <v>45497</v>
      </c>
      <c r="E18" s="5666">
        <v>45507</v>
      </c>
      <c r="F18" s="4861" t="s">
        <v>45</v>
      </c>
      <c r="G18" s="5277" t="s">
        <v>46</v>
      </c>
      <c r="H18" s="5670"/>
      <c r="I18" s="5277"/>
      <c r="J18" s="5622" t="s">
        <v>32</v>
      </c>
      <c r="K18" s="5277" t="s">
        <v>47</v>
      </c>
      <c r="L18" s="4834" t="s">
        <v>10320</v>
      </c>
      <c r="M18" s="4859">
        <v>45508</v>
      </c>
      <c r="N18" s="4953">
        <v>45506</v>
      </c>
      <c r="O18" s="4953">
        <v>45508</v>
      </c>
      <c r="P18" s="4864" t="s">
        <v>10321</v>
      </c>
      <c r="Q18" s="5620" t="s">
        <v>6852</v>
      </c>
      <c r="R18" s="4861" t="s">
        <v>51</v>
      </c>
      <c r="S18" s="4834"/>
      <c r="T18" s="4861"/>
      <c r="U18" s="4861"/>
      <c r="V18" s="4861"/>
      <c r="W18" s="4861"/>
      <c r="X18" s="5378"/>
      <c r="Y18" s="4861"/>
      <c r="Z18" s="4861"/>
      <c r="AA18" s="4913"/>
    </row>
    <row r="19" spans="1:35" s="36" customFormat="1" ht="15" hidden="1">
      <c r="A19" s="5445" t="s">
        <v>263</v>
      </c>
      <c r="B19" s="5445" t="s">
        <v>9616</v>
      </c>
      <c r="C19" s="5277" t="s">
        <v>28</v>
      </c>
      <c r="D19" s="5671">
        <v>45507</v>
      </c>
      <c r="E19" s="5671">
        <v>45507</v>
      </c>
      <c r="F19" s="5445" t="s">
        <v>151</v>
      </c>
      <c r="G19" s="5445" t="s">
        <v>6295</v>
      </c>
      <c r="H19" s="5671">
        <v>45516</v>
      </c>
      <c r="I19" s="5445"/>
      <c r="J19" s="5445" t="s">
        <v>6296</v>
      </c>
      <c r="K19" s="5445" t="s">
        <v>9364</v>
      </c>
      <c r="L19" s="5445">
        <v>33215</v>
      </c>
      <c r="M19" s="5277"/>
      <c r="N19" s="5671">
        <v>45513</v>
      </c>
      <c r="O19" s="5671">
        <v>45518</v>
      </c>
      <c r="P19" s="5445">
        <v>2737998890</v>
      </c>
      <c r="Q19" s="5277" t="s">
        <v>128</v>
      </c>
      <c r="R19" s="4913" t="s">
        <v>36</v>
      </c>
      <c r="S19" s="5277" t="s">
        <v>67</v>
      </c>
      <c r="T19" s="5277"/>
      <c r="U19" s="5277"/>
      <c r="V19" s="5277"/>
      <c r="W19" s="5277"/>
      <c r="X19" s="5277"/>
      <c r="Y19" s="5277"/>
      <c r="Z19" s="5277"/>
      <c r="AA19" s="4921"/>
    </row>
    <row r="20" spans="1:35" s="1350" customFormat="1" ht="15" hidden="1">
      <c r="A20" s="5445" t="s">
        <v>263</v>
      </c>
      <c r="B20" s="5445" t="s">
        <v>9618</v>
      </c>
      <c r="C20" s="5277" t="s">
        <v>28</v>
      </c>
      <c r="D20" s="5671">
        <v>45507</v>
      </c>
      <c r="E20" s="5671">
        <v>45507</v>
      </c>
      <c r="F20" s="5445" t="s">
        <v>151</v>
      </c>
      <c r="G20" s="5445" t="s">
        <v>6295</v>
      </c>
      <c r="H20" s="5671">
        <v>45513</v>
      </c>
      <c r="I20" s="5445"/>
      <c r="J20" s="5445" t="s">
        <v>6296</v>
      </c>
      <c r="K20" s="5445" t="s">
        <v>9364</v>
      </c>
      <c r="L20" s="5445">
        <v>33216</v>
      </c>
      <c r="M20" s="4863"/>
      <c r="N20" s="5671">
        <v>45512</v>
      </c>
      <c r="O20" s="5671">
        <v>45516</v>
      </c>
      <c r="P20" s="5445">
        <v>2737998890</v>
      </c>
      <c r="Q20" s="4861" t="s">
        <v>128</v>
      </c>
      <c r="R20" s="5277" t="s">
        <v>36</v>
      </c>
      <c r="S20" s="5277" t="s">
        <v>67</v>
      </c>
      <c r="T20" s="5577"/>
      <c r="U20" s="4861"/>
      <c r="V20" s="4861"/>
      <c r="W20" s="4861"/>
      <c r="X20" s="4861"/>
      <c r="Y20" s="4861"/>
      <c r="Z20" s="4861"/>
      <c r="AA20" s="5277"/>
    </row>
    <row r="21" spans="1:35" s="52" customFormat="1" ht="15" hidden="1">
      <c r="A21" s="5622" t="s">
        <v>409</v>
      </c>
      <c r="B21" s="5277" t="s">
        <v>10322</v>
      </c>
      <c r="C21" s="4861" t="s">
        <v>28</v>
      </c>
      <c r="D21" s="5665">
        <v>45500</v>
      </c>
      <c r="E21" s="5672">
        <v>45508</v>
      </c>
      <c r="F21" s="4861" t="s">
        <v>151</v>
      </c>
      <c r="G21" s="5277" t="s">
        <v>46</v>
      </c>
      <c r="H21" s="5667"/>
      <c r="I21" s="5277"/>
      <c r="J21" s="5622" t="s">
        <v>32</v>
      </c>
      <c r="K21" s="5277" t="s">
        <v>47</v>
      </c>
      <c r="L21" s="4834" t="s">
        <v>10323</v>
      </c>
      <c r="M21" s="4859">
        <v>45510</v>
      </c>
      <c r="N21" s="4953">
        <v>45509</v>
      </c>
      <c r="O21" s="4953">
        <v>45511</v>
      </c>
      <c r="P21" s="4864" t="s">
        <v>10324</v>
      </c>
      <c r="Q21" s="5620" t="s">
        <v>6852</v>
      </c>
      <c r="R21" s="4861" t="s">
        <v>36</v>
      </c>
      <c r="S21" s="4834"/>
      <c r="T21" s="4861"/>
      <c r="U21" s="4861"/>
      <c r="V21" s="4861"/>
      <c r="W21" s="4861"/>
      <c r="X21" s="5378"/>
      <c r="Y21" s="4861"/>
      <c r="Z21" s="4861"/>
      <c r="AA21" s="5277"/>
      <c r="AB21" s="1350"/>
      <c r="AC21" s="1350"/>
      <c r="AD21" s="1350"/>
      <c r="AE21" s="1350"/>
      <c r="AF21" s="1350"/>
      <c r="AG21" s="1350"/>
      <c r="AH21" s="1350"/>
      <c r="AI21" s="1350"/>
    </row>
    <row r="22" spans="1:35" s="26" customFormat="1" ht="60" hidden="1">
      <c r="A22" s="5375" t="s">
        <v>788</v>
      </c>
      <c r="B22" s="4845" t="s">
        <v>10325</v>
      </c>
      <c r="C22" s="4845" t="s">
        <v>28</v>
      </c>
      <c r="D22" s="4906">
        <v>45499</v>
      </c>
      <c r="E22" s="4916">
        <v>45508</v>
      </c>
      <c r="F22" s="4845" t="s">
        <v>63</v>
      </c>
      <c r="G22" s="4908" t="s">
        <v>30</v>
      </c>
      <c r="H22" s="5237">
        <v>45512</v>
      </c>
      <c r="I22" s="5243" t="s">
        <v>926</v>
      </c>
      <c r="J22" s="5375" t="s">
        <v>32</v>
      </c>
      <c r="K22" s="4845" t="s">
        <v>10284</v>
      </c>
      <c r="L22" s="4918" t="s">
        <v>10326</v>
      </c>
      <c r="M22" s="4918">
        <v>45511</v>
      </c>
      <c r="N22" s="4918">
        <v>45511</v>
      </c>
      <c r="O22" s="4906">
        <v>45512</v>
      </c>
      <c r="P22" s="4909" t="s">
        <v>10286</v>
      </c>
      <c r="Q22" s="5065" t="s">
        <v>75</v>
      </c>
      <c r="R22" s="4845" t="s">
        <v>10327</v>
      </c>
      <c r="S22" s="4947" t="s">
        <v>67</v>
      </c>
      <c r="T22" s="5190">
        <v>1350</v>
      </c>
      <c r="U22" s="4922">
        <v>1070</v>
      </c>
      <c r="V22" s="4845">
        <v>1</v>
      </c>
      <c r="W22" s="4922">
        <f>T22-U22</f>
        <v>280</v>
      </c>
      <c r="X22" s="5060">
        <f>W22/U22</f>
        <v>0.26168224299065418</v>
      </c>
      <c r="Y22" s="4845"/>
      <c r="Z22" s="4845"/>
      <c r="AA22" s="4873"/>
    </row>
    <row r="23" spans="1:35" s="1350" customFormat="1" ht="15" hidden="1">
      <c r="A23" s="4843" t="s">
        <v>10328</v>
      </c>
      <c r="B23" s="4913" t="s">
        <v>10329</v>
      </c>
      <c r="C23" s="4861" t="s">
        <v>28</v>
      </c>
      <c r="D23" s="5668">
        <v>45501</v>
      </c>
      <c r="E23" s="5673">
        <v>45509</v>
      </c>
      <c r="F23" s="4882" t="s">
        <v>260</v>
      </c>
      <c r="G23" s="4891" t="s">
        <v>829</v>
      </c>
      <c r="H23" s="4913"/>
      <c r="I23" s="4913"/>
      <c r="J23" s="4913" t="s">
        <v>32</v>
      </c>
      <c r="K23" s="5277" t="s">
        <v>47</v>
      </c>
      <c r="L23" s="5674" t="s">
        <v>10330</v>
      </c>
      <c r="M23" s="4897">
        <v>45512</v>
      </c>
      <c r="N23" s="4953">
        <v>45510</v>
      </c>
      <c r="O23" s="4953">
        <v>45513</v>
      </c>
      <c r="P23" s="4913" t="s">
        <v>10331</v>
      </c>
      <c r="Q23" s="5539" t="s">
        <v>6852</v>
      </c>
      <c r="R23" s="4913" t="s">
        <v>10332</v>
      </c>
      <c r="S23" s="4913"/>
      <c r="T23" s="4913"/>
      <c r="U23" s="4913"/>
      <c r="V23" s="4913"/>
      <c r="W23" s="4913"/>
      <c r="X23" s="4913"/>
      <c r="Y23" s="4913"/>
      <c r="Z23" s="4913"/>
      <c r="AA23" s="5277"/>
    </row>
    <row r="24" spans="1:35" s="36" customFormat="1" ht="30" hidden="1">
      <c r="A24" s="5118" t="s">
        <v>10307</v>
      </c>
      <c r="B24" s="5277" t="s">
        <v>10333</v>
      </c>
      <c r="C24" s="5277" t="s">
        <v>28</v>
      </c>
      <c r="D24" s="5669">
        <v>45507</v>
      </c>
      <c r="E24" s="5669">
        <v>45509</v>
      </c>
      <c r="F24" s="5277" t="s">
        <v>10309</v>
      </c>
      <c r="G24" s="5118" t="s">
        <v>10310</v>
      </c>
      <c r="H24" s="5277"/>
      <c r="I24" s="5277"/>
      <c r="J24" s="5277"/>
      <c r="K24" s="5277"/>
      <c r="L24" s="5277" t="s">
        <v>9917</v>
      </c>
      <c r="M24" s="5403">
        <v>45513</v>
      </c>
      <c r="N24" s="5403">
        <v>45511</v>
      </c>
      <c r="O24" s="5403">
        <v>45511</v>
      </c>
      <c r="P24" s="5277" t="s">
        <v>10311</v>
      </c>
      <c r="Q24" s="5277" t="s">
        <v>9226</v>
      </c>
      <c r="R24" s="5277" t="s">
        <v>10312</v>
      </c>
      <c r="S24" s="5277" t="s">
        <v>1320</v>
      </c>
      <c r="T24" s="5277"/>
      <c r="U24" s="5277"/>
      <c r="V24" s="5277"/>
      <c r="W24" s="5277"/>
      <c r="X24" s="5277"/>
      <c r="Y24" s="5277"/>
      <c r="Z24" s="5277"/>
      <c r="AA24" s="4892"/>
      <c r="AB24"/>
      <c r="AC24"/>
      <c r="AD24"/>
      <c r="AE24"/>
      <c r="AF24"/>
      <c r="AG24"/>
      <c r="AH24"/>
      <c r="AI24"/>
    </row>
    <row r="25" spans="1:35" s="650" customFormat="1" ht="30" hidden="1">
      <c r="A25" s="5118" t="s">
        <v>10307</v>
      </c>
      <c r="B25" s="5277" t="s">
        <v>10334</v>
      </c>
      <c r="C25" s="5277" t="s">
        <v>28</v>
      </c>
      <c r="D25" s="5669">
        <v>45507</v>
      </c>
      <c r="E25" s="5669">
        <v>45509</v>
      </c>
      <c r="F25" s="5277" t="s">
        <v>10309</v>
      </c>
      <c r="G25" s="5118" t="s">
        <v>10310</v>
      </c>
      <c r="H25" s="5277"/>
      <c r="I25" s="5277"/>
      <c r="J25" s="5277"/>
      <c r="K25" s="5277"/>
      <c r="L25" s="5277" t="s">
        <v>9917</v>
      </c>
      <c r="M25" s="5403">
        <v>45513</v>
      </c>
      <c r="N25" s="5403">
        <v>45511</v>
      </c>
      <c r="O25" s="5403">
        <v>45511</v>
      </c>
      <c r="P25" s="5277" t="s">
        <v>10311</v>
      </c>
      <c r="Q25" s="5277" t="s">
        <v>9226</v>
      </c>
      <c r="R25" s="5277" t="s">
        <v>10312</v>
      </c>
      <c r="S25" s="5277" t="s">
        <v>1320</v>
      </c>
      <c r="T25" s="5277"/>
      <c r="U25" s="5277"/>
      <c r="V25" s="5277"/>
      <c r="W25" s="5277"/>
      <c r="X25" s="5277"/>
      <c r="Y25" s="5277"/>
      <c r="Z25" s="5277"/>
      <c r="AA25" s="5277"/>
      <c r="AB25" s="1350"/>
      <c r="AC25" s="1350"/>
      <c r="AD25" s="1350"/>
      <c r="AE25" s="1350"/>
      <c r="AF25" s="1350"/>
      <c r="AG25" s="1350"/>
      <c r="AH25" s="1350"/>
      <c r="AI25" s="1350"/>
    </row>
    <row r="26" spans="1:35" s="650" customFormat="1" ht="15" hidden="1">
      <c r="A26" s="4843" t="s">
        <v>10335</v>
      </c>
      <c r="B26" s="4913" t="s">
        <v>10336</v>
      </c>
      <c r="C26" s="4882" t="s">
        <v>28</v>
      </c>
      <c r="D26" s="5668">
        <v>45497</v>
      </c>
      <c r="E26" s="5673">
        <v>45510</v>
      </c>
      <c r="F26" s="4882" t="s">
        <v>151</v>
      </c>
      <c r="G26" s="4891" t="s">
        <v>46</v>
      </c>
      <c r="H26" s="4913"/>
      <c r="I26" s="4913"/>
      <c r="J26" s="4913" t="s">
        <v>32</v>
      </c>
      <c r="K26" s="5277" t="s">
        <v>47</v>
      </c>
      <c r="L26" s="4870" t="s">
        <v>10337</v>
      </c>
      <c r="M26" s="4897">
        <v>45512</v>
      </c>
      <c r="N26" s="4953">
        <v>45511</v>
      </c>
      <c r="O26" s="4914">
        <v>45512</v>
      </c>
      <c r="P26" s="4913" t="s">
        <v>10338</v>
      </c>
      <c r="Q26" s="5539" t="s">
        <v>6852</v>
      </c>
      <c r="R26" s="4913" t="s">
        <v>10339</v>
      </c>
      <c r="S26" s="4913"/>
      <c r="T26" s="4913"/>
      <c r="U26" s="4913"/>
      <c r="V26" s="4913"/>
      <c r="W26" s="4913"/>
      <c r="X26" s="4913"/>
      <c r="Y26" s="4913"/>
      <c r="Z26" s="4913"/>
      <c r="AA26" s="5277"/>
      <c r="AB26" s="1350"/>
      <c r="AC26" s="1350"/>
      <c r="AD26" s="1350"/>
      <c r="AE26" s="1350"/>
      <c r="AF26" s="1350"/>
      <c r="AG26" s="1350"/>
      <c r="AH26" s="1350"/>
      <c r="AI26" s="1350"/>
    </row>
    <row r="27" spans="1:35" s="52" customFormat="1" ht="15" hidden="1">
      <c r="A27" s="5622" t="s">
        <v>4815</v>
      </c>
      <c r="B27" s="5277" t="s">
        <v>10340</v>
      </c>
      <c r="C27" s="4861" t="s">
        <v>28</v>
      </c>
      <c r="D27" s="5665">
        <v>45497</v>
      </c>
      <c r="E27" s="5666">
        <v>45510</v>
      </c>
      <c r="F27" s="4861" t="s">
        <v>45</v>
      </c>
      <c r="G27" s="5277" t="s">
        <v>46</v>
      </c>
      <c r="H27" s="5667"/>
      <c r="I27" s="5277"/>
      <c r="J27" s="5622" t="s">
        <v>32</v>
      </c>
      <c r="K27" s="5277" t="s">
        <v>47</v>
      </c>
      <c r="L27" s="4834" t="s">
        <v>10341</v>
      </c>
      <c r="M27" s="4867">
        <v>45512</v>
      </c>
      <c r="N27" s="4953">
        <v>45511</v>
      </c>
      <c r="O27" s="4953">
        <v>45513</v>
      </c>
      <c r="P27" s="4864" t="s">
        <v>10342</v>
      </c>
      <c r="Q27" s="5620" t="s">
        <v>6852</v>
      </c>
      <c r="R27" s="4861" t="s">
        <v>51</v>
      </c>
      <c r="S27" s="4834"/>
      <c r="T27" s="4861"/>
      <c r="U27" s="4861"/>
      <c r="V27" s="4861"/>
      <c r="W27" s="4861"/>
      <c r="X27" s="5378"/>
      <c r="Y27" s="4861"/>
      <c r="Z27" s="4861"/>
      <c r="AA27" s="4921"/>
      <c r="AB27" s="36"/>
      <c r="AC27" s="36"/>
      <c r="AD27" s="36"/>
      <c r="AE27" s="36"/>
      <c r="AF27" s="36"/>
      <c r="AG27" s="36"/>
      <c r="AH27" s="36"/>
      <c r="AI27" s="36"/>
    </row>
    <row r="28" spans="1:35" ht="60" hidden="1">
      <c r="A28" s="5243" t="s">
        <v>3849</v>
      </c>
      <c r="B28" s="5243" t="s">
        <v>10343</v>
      </c>
      <c r="C28" s="4908" t="s">
        <v>451</v>
      </c>
      <c r="D28" s="4906">
        <v>45501</v>
      </c>
      <c r="E28" s="4916">
        <v>45510</v>
      </c>
      <c r="F28" s="4908" t="s">
        <v>167</v>
      </c>
      <c r="G28" s="4908" t="s">
        <v>302</v>
      </c>
      <c r="H28" s="4918">
        <v>45517</v>
      </c>
      <c r="I28" s="4929" t="s">
        <v>618</v>
      </c>
      <c r="J28" s="4915" t="s">
        <v>32</v>
      </c>
      <c r="K28" s="4908" t="s">
        <v>10344</v>
      </c>
      <c r="L28" s="4909" t="s">
        <v>10345</v>
      </c>
      <c r="M28" s="4918">
        <v>45513</v>
      </c>
      <c r="N28" s="4918">
        <v>45513</v>
      </c>
      <c r="O28" s="4906">
        <v>45517</v>
      </c>
      <c r="P28" s="4909" t="s">
        <v>10346</v>
      </c>
      <c r="Q28" s="5065" t="s">
        <v>75</v>
      </c>
      <c r="R28" s="4845" t="s">
        <v>10347</v>
      </c>
      <c r="S28" s="4908" t="s">
        <v>10279</v>
      </c>
      <c r="T28" s="5190">
        <v>1060</v>
      </c>
      <c r="U28" s="4845">
        <v>807.5</v>
      </c>
      <c r="V28" s="4845">
        <v>1</v>
      </c>
      <c r="W28" s="4845">
        <f>T28-U28</f>
        <v>252.5</v>
      </c>
      <c r="X28" s="5060">
        <f>W28/U28</f>
        <v>0.31269349845201239</v>
      </c>
      <c r="Y28" s="4845"/>
      <c r="Z28" s="4845"/>
      <c r="AA28" s="4874"/>
    </row>
    <row r="29" spans="1:35" s="707" customFormat="1" ht="105" hidden="1">
      <c r="A29" s="5375" t="s">
        <v>1945</v>
      </c>
      <c r="B29" s="4908" t="s">
        <v>10348</v>
      </c>
      <c r="C29" s="4845" t="s">
        <v>28</v>
      </c>
      <c r="D29" s="4906">
        <v>45496</v>
      </c>
      <c r="E29" s="4916">
        <v>45510</v>
      </c>
      <c r="F29" s="4908" t="s">
        <v>29</v>
      </c>
      <c r="G29" s="4908" t="s">
        <v>57</v>
      </c>
      <c r="H29" s="4916">
        <v>45513</v>
      </c>
      <c r="I29" s="5242" t="s">
        <v>790</v>
      </c>
      <c r="J29" s="5375" t="s">
        <v>9695</v>
      </c>
      <c r="K29" s="4908" t="s">
        <v>10349</v>
      </c>
      <c r="L29" s="4909">
        <v>4373546</v>
      </c>
      <c r="M29" s="4918">
        <v>45513</v>
      </c>
      <c r="N29" s="4918">
        <v>45513</v>
      </c>
      <c r="O29" s="4918">
        <v>45513</v>
      </c>
      <c r="P29" s="4909" t="s">
        <v>10350</v>
      </c>
      <c r="Q29" s="5065" t="s">
        <v>75</v>
      </c>
      <c r="R29" s="4908" t="s">
        <v>10351</v>
      </c>
      <c r="S29" s="4845" t="s">
        <v>67</v>
      </c>
      <c r="T29" s="5190">
        <v>1455</v>
      </c>
      <c r="U29" s="5190">
        <f xml:space="preserve"> 1015.6+90</f>
        <v>1105.5999999999999</v>
      </c>
      <c r="V29" s="4845">
        <v>1</v>
      </c>
      <c r="W29" s="5190">
        <f>T29-U29</f>
        <v>349.40000000000009</v>
      </c>
      <c r="X29" s="5060">
        <f>W29/U29</f>
        <v>0.31602749638205513</v>
      </c>
      <c r="Y29" s="4845"/>
      <c r="Z29" s="4845"/>
      <c r="AA29" s="4861"/>
      <c r="AB29" s="709"/>
      <c r="AC29" s="709"/>
      <c r="AD29" s="709"/>
      <c r="AE29" s="709"/>
      <c r="AF29" s="709"/>
      <c r="AG29" s="709"/>
      <c r="AH29" s="709"/>
      <c r="AI29" s="709"/>
    </row>
    <row r="30" spans="1:35" s="650" customFormat="1" ht="90" hidden="1">
      <c r="A30" s="5370" t="s">
        <v>7362</v>
      </c>
      <c r="B30" s="4971" t="s">
        <v>10352</v>
      </c>
      <c r="C30" s="4886" t="s">
        <v>28</v>
      </c>
      <c r="D30" s="5053">
        <v>45486</v>
      </c>
      <c r="E30" s="4885">
        <v>45511</v>
      </c>
      <c r="F30" s="4886" t="s">
        <v>1357</v>
      </c>
      <c r="G30" s="4886" t="s">
        <v>302</v>
      </c>
      <c r="H30" s="4953">
        <v>45555</v>
      </c>
      <c r="I30" s="5675">
        <v>0.33333333333333331</v>
      </c>
      <c r="J30" s="5326" t="s">
        <v>1028</v>
      </c>
      <c r="K30" s="4886" t="s">
        <v>5663</v>
      </c>
      <c r="L30" s="5676" t="s">
        <v>10353</v>
      </c>
      <c r="M30" s="4885">
        <v>45514</v>
      </c>
      <c r="N30" s="4889">
        <v>45554</v>
      </c>
      <c r="O30" s="5450">
        <v>45555</v>
      </c>
      <c r="P30" s="5049" t="s">
        <v>10354</v>
      </c>
      <c r="Q30" s="5480" t="s">
        <v>9226</v>
      </c>
      <c r="R30" s="5049" t="s">
        <v>10355</v>
      </c>
      <c r="S30" s="4908" t="s">
        <v>10279</v>
      </c>
      <c r="T30" s="4874"/>
      <c r="U30" s="4874">
        <v>858.88</v>
      </c>
      <c r="V30" s="4874">
        <v>1</v>
      </c>
      <c r="W30" s="5580">
        <f>表15_1731[[#This Row],[Sales Amount]]-表15_1731[[#This Row],[Cost]]</f>
        <v>0</v>
      </c>
      <c r="X30" s="5184" t="e">
        <f>表15_1731[[#This Row],[Profit]]/表15_1731[[#This Row],[Cost]]</f>
        <v>#DIV/0!</v>
      </c>
      <c r="Y30" s="4874"/>
      <c r="Z30" s="4874"/>
      <c r="AA30" s="5277"/>
      <c r="AB30" s="1350"/>
      <c r="AC30" s="1350"/>
      <c r="AD30" s="1350"/>
      <c r="AE30" s="1350"/>
      <c r="AF30" s="1350"/>
      <c r="AG30" s="1350"/>
      <c r="AH30" s="1350"/>
      <c r="AI30" s="1350"/>
    </row>
    <row r="31" spans="1:35" s="650" customFormat="1" ht="15" hidden="1">
      <c r="A31" s="5622" t="s">
        <v>799</v>
      </c>
      <c r="B31" s="5277" t="s">
        <v>10356</v>
      </c>
      <c r="C31" s="4861" t="s">
        <v>28</v>
      </c>
      <c r="D31" s="5665">
        <v>45496</v>
      </c>
      <c r="E31" s="5672">
        <v>45511</v>
      </c>
      <c r="F31" s="4861" t="s">
        <v>135</v>
      </c>
      <c r="G31" s="5277" t="s">
        <v>829</v>
      </c>
      <c r="H31" s="5667"/>
      <c r="I31" s="5277"/>
      <c r="J31" s="5622" t="s">
        <v>32</v>
      </c>
      <c r="K31" s="5277" t="s">
        <v>47</v>
      </c>
      <c r="L31" s="4834" t="s">
        <v>10357</v>
      </c>
      <c r="M31" s="4859">
        <v>45513</v>
      </c>
      <c r="N31" s="4953">
        <v>45511</v>
      </c>
      <c r="O31" s="4953">
        <v>45513</v>
      </c>
      <c r="P31" s="4864" t="s">
        <v>10358</v>
      </c>
      <c r="Q31" s="5620" t="s">
        <v>6852</v>
      </c>
      <c r="R31" s="4861" t="s">
        <v>51</v>
      </c>
      <c r="S31" s="4834"/>
      <c r="T31" s="4861"/>
      <c r="U31" s="4861"/>
      <c r="V31" s="4861"/>
      <c r="W31" s="4861"/>
      <c r="X31" s="5378"/>
      <c r="Y31" s="4861"/>
      <c r="Z31" s="4861"/>
      <c r="AA31" s="4913"/>
    </row>
    <row r="32" spans="1:35" s="1350" customFormat="1" ht="15" hidden="1">
      <c r="A32" s="5622" t="s">
        <v>409</v>
      </c>
      <c r="B32" s="5277" t="s">
        <v>10359</v>
      </c>
      <c r="C32" s="4861" t="s">
        <v>28</v>
      </c>
      <c r="D32" s="5665">
        <v>45488</v>
      </c>
      <c r="E32" s="5672">
        <v>45511</v>
      </c>
      <c r="F32" s="4861" t="s">
        <v>260</v>
      </c>
      <c r="G32" s="5277" t="s">
        <v>829</v>
      </c>
      <c r="H32" s="5667"/>
      <c r="I32" s="5277"/>
      <c r="J32" s="5622" t="s">
        <v>32</v>
      </c>
      <c r="K32" s="5277" t="s">
        <v>47</v>
      </c>
      <c r="L32" s="4834" t="s">
        <v>10360</v>
      </c>
      <c r="M32" s="4859">
        <v>45514</v>
      </c>
      <c r="N32" s="4953">
        <v>45512</v>
      </c>
      <c r="O32" s="4953">
        <v>45513</v>
      </c>
      <c r="P32" s="4884" t="s">
        <v>10361</v>
      </c>
      <c r="Q32" s="5620" t="s">
        <v>6852</v>
      </c>
      <c r="R32" s="4861" t="s">
        <v>36</v>
      </c>
      <c r="S32" s="4834"/>
      <c r="T32" s="4861"/>
      <c r="U32" s="4861"/>
      <c r="V32" s="4861"/>
      <c r="W32" s="4861"/>
      <c r="X32" s="5378"/>
      <c r="Y32" s="4861"/>
      <c r="Z32" s="4861"/>
      <c r="AA32" s="4913"/>
      <c r="AB32" s="650"/>
      <c r="AC32" s="650"/>
      <c r="AD32" s="650"/>
      <c r="AE32" s="650"/>
      <c r="AF32" s="650"/>
      <c r="AG32" s="650"/>
      <c r="AH32" s="650"/>
      <c r="AI32" s="650"/>
    </row>
    <row r="33" spans="1:35" s="52" customFormat="1" ht="15" hidden="1">
      <c r="A33" s="5622" t="s">
        <v>409</v>
      </c>
      <c r="B33" s="5277" t="s">
        <v>10362</v>
      </c>
      <c r="C33" s="4861" t="s">
        <v>28</v>
      </c>
      <c r="D33" s="5665">
        <v>45500</v>
      </c>
      <c r="E33" s="5672">
        <v>45511</v>
      </c>
      <c r="F33" s="4861" t="s">
        <v>151</v>
      </c>
      <c r="G33" s="5277" t="s">
        <v>46</v>
      </c>
      <c r="H33" s="5667"/>
      <c r="I33" s="5277"/>
      <c r="J33" s="5622" t="s">
        <v>32</v>
      </c>
      <c r="K33" s="5277" t="s">
        <v>47</v>
      </c>
      <c r="L33" s="4834" t="s">
        <v>10363</v>
      </c>
      <c r="M33" s="4859"/>
      <c r="N33" s="4953">
        <v>45511</v>
      </c>
      <c r="O33" s="4953">
        <v>45514</v>
      </c>
      <c r="P33" s="4864" t="s">
        <v>10364</v>
      </c>
      <c r="Q33" s="5620" t="s">
        <v>6852</v>
      </c>
      <c r="R33" s="4861" t="s">
        <v>36</v>
      </c>
      <c r="S33" s="4834"/>
      <c r="T33" s="4861"/>
      <c r="U33" s="4861"/>
      <c r="V33" s="4861"/>
      <c r="W33" s="4861"/>
      <c r="X33" s="5378"/>
      <c r="Y33" s="4861"/>
      <c r="Z33" s="4861"/>
      <c r="AA33" s="4892"/>
      <c r="AB33"/>
      <c r="AC33"/>
      <c r="AD33"/>
      <c r="AE33"/>
      <c r="AF33"/>
      <c r="AG33"/>
      <c r="AH33"/>
      <c r="AI33"/>
    </row>
    <row r="34" spans="1:35" s="52" customFormat="1" ht="15" hidden="1">
      <c r="A34" s="5622" t="s">
        <v>4815</v>
      </c>
      <c r="B34" s="5277" t="s">
        <v>10365</v>
      </c>
      <c r="C34" s="4861" t="s">
        <v>28</v>
      </c>
      <c r="D34" s="5665">
        <v>45498</v>
      </c>
      <c r="E34" s="5672">
        <v>45511</v>
      </c>
      <c r="F34" s="4861" t="s">
        <v>151</v>
      </c>
      <c r="G34" s="5277" t="s">
        <v>46</v>
      </c>
      <c r="H34" s="5670"/>
      <c r="I34" s="5277"/>
      <c r="J34" s="5622" t="s">
        <v>32</v>
      </c>
      <c r="K34" s="5277" t="s">
        <v>47</v>
      </c>
      <c r="L34" s="5677" t="s">
        <v>10366</v>
      </c>
      <c r="M34" s="4859">
        <v>45513</v>
      </c>
      <c r="N34" s="4953">
        <v>45512</v>
      </c>
      <c r="O34" s="4953">
        <v>45514</v>
      </c>
      <c r="P34" s="4864" t="s">
        <v>10367</v>
      </c>
      <c r="Q34" s="5620" t="s">
        <v>6852</v>
      </c>
      <c r="R34" s="4861" t="s">
        <v>51</v>
      </c>
      <c r="S34" s="4834"/>
      <c r="T34" s="4861"/>
      <c r="U34" s="4861"/>
      <c r="V34" s="4861"/>
      <c r="W34" s="4861"/>
      <c r="X34" s="5378"/>
      <c r="Y34" s="4861"/>
      <c r="Z34" s="4861"/>
      <c r="AA34" s="4892"/>
      <c r="AB34"/>
      <c r="AC34"/>
      <c r="AD34"/>
      <c r="AE34"/>
      <c r="AF34"/>
      <c r="AG34"/>
      <c r="AH34"/>
      <c r="AI34"/>
    </row>
    <row r="35" spans="1:35" s="709" customFormat="1" ht="60" hidden="1">
      <c r="A35" s="5243" t="s">
        <v>3849</v>
      </c>
      <c r="B35" s="5243" t="s">
        <v>10368</v>
      </c>
      <c r="C35" s="4908" t="s">
        <v>451</v>
      </c>
      <c r="D35" s="4906">
        <v>45501</v>
      </c>
      <c r="E35" s="4916">
        <v>45511</v>
      </c>
      <c r="F35" s="4908" t="s">
        <v>167</v>
      </c>
      <c r="G35" s="4908" t="s">
        <v>302</v>
      </c>
      <c r="H35" s="4918">
        <v>45516</v>
      </c>
      <c r="I35" s="4929" t="s">
        <v>790</v>
      </c>
      <c r="J35" s="4915" t="s">
        <v>32</v>
      </c>
      <c r="K35" s="4908" t="s">
        <v>10344</v>
      </c>
      <c r="L35" s="4909" t="s">
        <v>10369</v>
      </c>
      <c r="M35" s="4918">
        <v>45513</v>
      </c>
      <c r="N35" s="4918">
        <v>45513</v>
      </c>
      <c r="O35" s="4918">
        <v>45516</v>
      </c>
      <c r="P35" s="4909" t="s">
        <v>10370</v>
      </c>
      <c r="Q35" s="5065" t="s">
        <v>75</v>
      </c>
      <c r="R35" s="4845" t="s">
        <v>10371</v>
      </c>
      <c r="S35" s="4908" t="s">
        <v>10279</v>
      </c>
      <c r="T35" s="4845">
        <v>980</v>
      </c>
      <c r="U35" s="4845">
        <v>807.5</v>
      </c>
      <c r="V35" s="4845">
        <v>1</v>
      </c>
      <c r="W35" s="4845">
        <f>T35-U35</f>
        <v>172.5</v>
      </c>
      <c r="X35" s="5060">
        <f>W35/U35</f>
        <v>0.21362229102167182</v>
      </c>
      <c r="Y35" s="4845"/>
      <c r="Z35" s="4845"/>
      <c r="AA35" s="4861"/>
    </row>
    <row r="36" spans="1:35" s="1350" customFormat="1" ht="15" hidden="1">
      <c r="A36" s="4891" t="s">
        <v>1088</v>
      </c>
      <c r="B36" s="4913" t="s">
        <v>10372</v>
      </c>
      <c r="C36" s="4882" t="s">
        <v>1508</v>
      </c>
      <c r="D36" s="5351"/>
      <c r="E36" s="5673">
        <v>45512</v>
      </c>
      <c r="F36" s="4882"/>
      <c r="G36" s="4891" t="s">
        <v>738</v>
      </c>
      <c r="H36" s="4913"/>
      <c r="I36" s="4913"/>
      <c r="J36" s="4913" t="s">
        <v>4011</v>
      </c>
      <c r="K36" s="4913" t="s">
        <v>47</v>
      </c>
      <c r="L36" s="4870"/>
      <c r="M36" s="4870"/>
      <c r="N36" s="4914">
        <v>45515</v>
      </c>
      <c r="O36" s="4914">
        <v>45515</v>
      </c>
      <c r="P36" s="4913" t="s">
        <v>10373</v>
      </c>
      <c r="Q36" s="4913" t="s">
        <v>50</v>
      </c>
      <c r="R36" s="4913" t="s">
        <v>51</v>
      </c>
      <c r="S36" s="4913"/>
      <c r="T36" s="4913"/>
      <c r="U36" s="4913"/>
      <c r="V36" s="4913"/>
      <c r="W36" s="4913"/>
      <c r="X36" s="4913"/>
      <c r="Y36" s="4913"/>
      <c r="Z36" s="4913"/>
      <c r="AA36" s="5277"/>
    </row>
    <row r="37" spans="1:35" s="1350" customFormat="1" ht="15" hidden="1">
      <c r="A37" s="5678" t="s">
        <v>409</v>
      </c>
      <c r="B37" s="4913" t="s">
        <v>10374</v>
      </c>
      <c r="C37" s="4861" t="s">
        <v>28</v>
      </c>
      <c r="D37" s="5668">
        <v>45500</v>
      </c>
      <c r="E37" s="5673">
        <v>45512</v>
      </c>
      <c r="F37" s="4882" t="s">
        <v>151</v>
      </c>
      <c r="G37" s="4891" t="s">
        <v>46</v>
      </c>
      <c r="H37" s="4913"/>
      <c r="I37" s="4913"/>
      <c r="J37" s="4913" t="s">
        <v>32</v>
      </c>
      <c r="K37" s="5277" t="s">
        <v>47</v>
      </c>
      <c r="L37" s="4870" t="s">
        <v>10375</v>
      </c>
      <c r="M37" s="4859">
        <v>45514</v>
      </c>
      <c r="N37" s="4914">
        <v>45513</v>
      </c>
      <c r="O37" s="4914">
        <v>45516</v>
      </c>
      <c r="P37" s="4913" t="s">
        <v>10376</v>
      </c>
      <c r="Q37" s="5539" t="s">
        <v>6852</v>
      </c>
      <c r="R37" s="4913" t="s">
        <v>36</v>
      </c>
      <c r="S37" s="4913"/>
      <c r="T37" s="4913"/>
      <c r="U37" s="4913"/>
      <c r="V37" s="4913"/>
      <c r="W37" s="4913"/>
      <c r="X37" s="4913"/>
      <c r="Y37" s="4913"/>
      <c r="Z37" s="4913"/>
      <c r="AA37" s="4913"/>
      <c r="AB37" s="650"/>
      <c r="AC37" s="650"/>
      <c r="AD37" s="650"/>
      <c r="AE37" s="650"/>
      <c r="AF37" s="650"/>
      <c r="AG37" s="650"/>
      <c r="AH37" s="650"/>
      <c r="AI37" s="650"/>
    </row>
    <row r="38" spans="1:35" s="52" customFormat="1" ht="15" hidden="1">
      <c r="A38" s="5678" t="s">
        <v>409</v>
      </c>
      <c r="B38" s="4913" t="s">
        <v>10377</v>
      </c>
      <c r="C38" s="4861" t="s">
        <v>28</v>
      </c>
      <c r="D38" s="5668">
        <v>45500</v>
      </c>
      <c r="E38" s="5673">
        <v>45512</v>
      </c>
      <c r="F38" s="4882" t="s">
        <v>151</v>
      </c>
      <c r="G38" s="4891" t="s">
        <v>46</v>
      </c>
      <c r="H38" s="4913"/>
      <c r="I38" s="4913"/>
      <c r="J38" s="4913" t="s">
        <v>32</v>
      </c>
      <c r="K38" s="5277" t="s">
        <v>47</v>
      </c>
      <c r="L38" s="4870" t="s">
        <v>10378</v>
      </c>
      <c r="M38" s="4897">
        <v>45515</v>
      </c>
      <c r="N38" s="4914">
        <v>45513</v>
      </c>
      <c r="O38" s="4914">
        <v>45515</v>
      </c>
      <c r="P38" s="4913" t="s">
        <v>10379</v>
      </c>
      <c r="Q38" s="5539" t="s">
        <v>6852</v>
      </c>
      <c r="R38" s="4913" t="s">
        <v>36</v>
      </c>
      <c r="S38" s="4913"/>
      <c r="T38" s="4913"/>
      <c r="U38" s="4913"/>
      <c r="V38" s="4913"/>
      <c r="W38" s="4913"/>
      <c r="X38" s="4913"/>
      <c r="Y38" s="4913"/>
      <c r="Z38" s="4913"/>
      <c r="AA38" s="4921"/>
      <c r="AB38" s="36"/>
      <c r="AC38" s="36"/>
      <c r="AD38" s="36"/>
      <c r="AE38" s="36"/>
      <c r="AF38" s="36"/>
      <c r="AG38" s="36"/>
      <c r="AH38" s="36"/>
      <c r="AI38" s="36"/>
    </row>
    <row r="39" spans="1:35" s="1350" customFormat="1" ht="15" hidden="1">
      <c r="A39" s="5622" t="s">
        <v>409</v>
      </c>
      <c r="B39" s="5277" t="s">
        <v>10380</v>
      </c>
      <c r="C39" s="4861" t="s">
        <v>28</v>
      </c>
      <c r="D39" s="5665">
        <v>45500</v>
      </c>
      <c r="E39" s="5666">
        <v>45512</v>
      </c>
      <c r="F39" s="4861" t="s">
        <v>151</v>
      </c>
      <c r="G39" s="5277" t="s">
        <v>46</v>
      </c>
      <c r="H39" s="5667"/>
      <c r="I39" s="5277"/>
      <c r="J39" s="5622" t="s">
        <v>32</v>
      </c>
      <c r="K39" s="5277" t="s">
        <v>47</v>
      </c>
      <c r="L39" s="4834" t="s">
        <v>10381</v>
      </c>
      <c r="M39" s="4859">
        <v>45514</v>
      </c>
      <c r="N39" s="4953">
        <v>45513</v>
      </c>
      <c r="O39" s="4953">
        <v>45516</v>
      </c>
      <c r="P39" s="4864" t="s">
        <v>10382</v>
      </c>
      <c r="Q39" s="5620" t="s">
        <v>6852</v>
      </c>
      <c r="R39" s="4861" t="s">
        <v>36</v>
      </c>
      <c r="S39" s="4834"/>
      <c r="T39" s="4861"/>
      <c r="U39" s="4861"/>
      <c r="V39" s="4861"/>
      <c r="W39" s="4861"/>
      <c r="X39" s="5378"/>
      <c r="Y39" s="4861"/>
      <c r="Z39" s="4861"/>
      <c r="AA39" s="5277"/>
    </row>
    <row r="40" spans="1:35" ht="60" hidden="1">
      <c r="A40" s="5375" t="s">
        <v>622</v>
      </c>
      <c r="B40" s="4908" t="s">
        <v>10383</v>
      </c>
      <c r="C40" s="4908" t="s">
        <v>28</v>
      </c>
      <c r="D40" s="4961">
        <v>45492</v>
      </c>
      <c r="E40" s="4916">
        <v>45512</v>
      </c>
      <c r="F40" s="4908" t="s">
        <v>245</v>
      </c>
      <c r="G40" s="4908" t="s">
        <v>57</v>
      </c>
      <c r="H40" s="4906">
        <v>45516</v>
      </c>
      <c r="I40" s="4908" t="s">
        <v>926</v>
      </c>
      <c r="J40" s="5375" t="s">
        <v>32</v>
      </c>
      <c r="K40" s="4915" t="s">
        <v>1445</v>
      </c>
      <c r="L40" s="5679" t="s">
        <v>10384</v>
      </c>
      <c r="M40" s="4918">
        <v>45517</v>
      </c>
      <c r="N40" s="4918">
        <v>45516</v>
      </c>
      <c r="O40" s="4918">
        <v>45517</v>
      </c>
      <c r="P40" s="4909" t="s">
        <v>10385</v>
      </c>
      <c r="Q40" s="5065" t="s">
        <v>75</v>
      </c>
      <c r="R40" s="4908" t="s">
        <v>10386</v>
      </c>
      <c r="S40" s="4947" t="s">
        <v>67</v>
      </c>
      <c r="T40" s="5190">
        <v>9825</v>
      </c>
      <c r="U40" s="4845">
        <f>8850+50+90+550</f>
        <v>9540</v>
      </c>
      <c r="V40" s="4845">
        <v>1</v>
      </c>
      <c r="W40" s="5190">
        <f>T40-U40</f>
        <v>285</v>
      </c>
      <c r="X40" s="5111">
        <f>W40/U40</f>
        <v>2.9874213836477988E-2</v>
      </c>
      <c r="Y40" s="4845"/>
      <c r="Z40" s="4845"/>
      <c r="AA40" s="4874"/>
    </row>
    <row r="41" spans="1:35" s="36" customFormat="1" ht="15" hidden="1">
      <c r="A41" s="5445" t="s">
        <v>263</v>
      </c>
      <c r="B41" s="5445" t="s">
        <v>10387</v>
      </c>
      <c r="C41" s="5277" t="s">
        <v>28</v>
      </c>
      <c r="D41" s="5671">
        <v>45512</v>
      </c>
      <c r="E41" s="5671">
        <v>45512</v>
      </c>
      <c r="F41" s="5445" t="s">
        <v>135</v>
      </c>
      <c r="G41" s="5445" t="s">
        <v>10388</v>
      </c>
      <c r="H41" s="5671">
        <v>45518</v>
      </c>
      <c r="I41" s="5680">
        <v>0.5</v>
      </c>
      <c r="J41" s="5445" t="s">
        <v>377</v>
      </c>
      <c r="K41" s="5445" t="s">
        <v>10389</v>
      </c>
      <c r="L41" s="5445" t="s">
        <v>10390</v>
      </c>
      <c r="M41" s="4863"/>
      <c r="N41" s="5671">
        <v>45518</v>
      </c>
      <c r="O41" s="5671">
        <v>45520</v>
      </c>
      <c r="P41" s="5445">
        <v>90400140094</v>
      </c>
      <c r="Q41" s="4861" t="s">
        <v>128</v>
      </c>
      <c r="R41" s="4861" t="s">
        <v>36</v>
      </c>
      <c r="S41" s="5277" t="s">
        <v>67</v>
      </c>
      <c r="T41" s="4861"/>
      <c r="U41" s="4861"/>
      <c r="V41" s="4861"/>
      <c r="W41" s="4861"/>
      <c r="X41" s="4861"/>
      <c r="Y41" s="4861"/>
      <c r="Z41" s="4861"/>
      <c r="AA41" s="4921"/>
    </row>
    <row r="42" spans="1:35" s="117" customFormat="1" ht="45" hidden="1">
      <c r="A42" s="5375" t="s">
        <v>468</v>
      </c>
      <c r="B42" s="4908" t="s">
        <v>10391</v>
      </c>
      <c r="C42" s="4845" t="s">
        <v>200</v>
      </c>
      <c r="D42" s="4906">
        <v>45513</v>
      </c>
      <c r="E42" s="4916">
        <v>45513</v>
      </c>
      <c r="F42" s="4845" t="s">
        <v>260</v>
      </c>
      <c r="G42" s="4947" t="s">
        <v>10392</v>
      </c>
      <c r="H42" s="4918">
        <v>45518</v>
      </c>
      <c r="I42" s="4929" t="s">
        <v>672</v>
      </c>
      <c r="J42" s="5375" t="s">
        <v>10393</v>
      </c>
      <c r="K42" s="4908" t="s">
        <v>6955</v>
      </c>
      <c r="L42" s="4951" t="s">
        <v>162</v>
      </c>
      <c r="M42" s="4918">
        <v>45519</v>
      </c>
      <c r="N42" s="4906">
        <v>45517</v>
      </c>
      <c r="O42" s="4906">
        <v>45518</v>
      </c>
      <c r="P42" s="4909" t="s">
        <v>10394</v>
      </c>
      <c r="Q42" s="5065" t="s">
        <v>75</v>
      </c>
      <c r="R42" s="4909" t="s">
        <v>10395</v>
      </c>
      <c r="S42" s="4908" t="s">
        <v>10279</v>
      </c>
      <c r="T42" s="5190">
        <v>1207.5</v>
      </c>
      <c r="U42" s="4845">
        <v>872.5</v>
      </c>
      <c r="V42" s="4845">
        <v>1</v>
      </c>
      <c r="W42" s="5190">
        <f>T42-U42</f>
        <v>335</v>
      </c>
      <c r="X42" s="5060">
        <f>W42/U42</f>
        <v>0.38395415472779371</v>
      </c>
      <c r="Y42" s="4845"/>
      <c r="Z42" s="4845"/>
      <c r="AA42" s="4873"/>
      <c r="AB42" s="26"/>
      <c r="AC42" s="26"/>
      <c r="AD42" s="26"/>
      <c r="AE42" s="26"/>
      <c r="AF42" s="26"/>
      <c r="AG42" s="26"/>
      <c r="AH42" s="26"/>
      <c r="AI42" s="26"/>
    </row>
    <row r="43" spans="1:35" s="117" customFormat="1" ht="45" hidden="1">
      <c r="A43" s="5375" t="s">
        <v>468</v>
      </c>
      <c r="B43" s="4908" t="s">
        <v>10396</v>
      </c>
      <c r="C43" s="4845" t="s">
        <v>200</v>
      </c>
      <c r="D43" s="4906">
        <v>45513</v>
      </c>
      <c r="E43" s="4916">
        <v>45513</v>
      </c>
      <c r="F43" s="4845" t="s">
        <v>260</v>
      </c>
      <c r="G43" s="4909" t="s">
        <v>10392</v>
      </c>
      <c r="H43" s="4918">
        <v>45518</v>
      </c>
      <c r="I43" s="4929" t="s">
        <v>926</v>
      </c>
      <c r="J43" s="4929" t="s">
        <v>10393</v>
      </c>
      <c r="K43" s="4845" t="s">
        <v>6955</v>
      </c>
      <c r="L43" s="4951" t="s">
        <v>162</v>
      </c>
      <c r="M43" s="4918">
        <v>45519</v>
      </c>
      <c r="N43" s="4918">
        <v>45517</v>
      </c>
      <c r="O43" s="4906">
        <v>45519</v>
      </c>
      <c r="P43" s="4909" t="s">
        <v>10397</v>
      </c>
      <c r="Q43" s="5065" t="s">
        <v>75</v>
      </c>
      <c r="R43" s="4908" t="s">
        <v>10398</v>
      </c>
      <c r="S43" s="4908" t="s">
        <v>10279</v>
      </c>
      <c r="T43" s="5190">
        <v>1311.25</v>
      </c>
      <c r="U43" s="4845">
        <v>931.25</v>
      </c>
      <c r="V43" s="4845">
        <v>1</v>
      </c>
      <c r="W43" s="5190">
        <f>T43-U43</f>
        <v>380</v>
      </c>
      <c r="X43" s="5060">
        <f>W43/U43</f>
        <v>0.40805369127516777</v>
      </c>
      <c r="Y43" s="4845"/>
      <c r="Z43" s="4845"/>
      <c r="AA43" s="4873"/>
      <c r="AB43" s="26"/>
      <c r="AC43" s="26"/>
      <c r="AD43" s="26"/>
      <c r="AE43" s="26"/>
      <c r="AF43" s="26"/>
      <c r="AG43" s="26"/>
      <c r="AH43" s="26"/>
      <c r="AI43" s="26"/>
    </row>
    <row r="44" spans="1:35" s="26" customFormat="1" ht="45" hidden="1">
      <c r="A44" s="5375" t="s">
        <v>468</v>
      </c>
      <c r="B44" s="4908" t="s">
        <v>10399</v>
      </c>
      <c r="C44" s="4845" t="s">
        <v>200</v>
      </c>
      <c r="D44" s="4906">
        <v>45513</v>
      </c>
      <c r="E44" s="4916">
        <v>45513</v>
      </c>
      <c r="F44" s="4845" t="s">
        <v>260</v>
      </c>
      <c r="G44" s="4947" t="s">
        <v>10392</v>
      </c>
      <c r="H44" s="4918">
        <v>45519</v>
      </c>
      <c r="I44" s="4929" t="s">
        <v>618</v>
      </c>
      <c r="J44" s="5375" t="s">
        <v>10393</v>
      </c>
      <c r="K44" s="4845" t="s">
        <v>6955</v>
      </c>
      <c r="L44" s="4951" t="s">
        <v>162</v>
      </c>
      <c r="M44" s="4918">
        <v>45519</v>
      </c>
      <c r="N44" s="4918">
        <v>45518</v>
      </c>
      <c r="O44" s="4906">
        <v>45520</v>
      </c>
      <c r="P44" s="4909" t="s">
        <v>10400</v>
      </c>
      <c r="Q44" s="5065" t="s">
        <v>75</v>
      </c>
      <c r="R44" s="4908" t="s">
        <v>10401</v>
      </c>
      <c r="S44" s="4908" t="s">
        <v>10279</v>
      </c>
      <c r="T44" s="4845">
        <v>1481.25</v>
      </c>
      <c r="U44" s="4845">
        <v>1100</v>
      </c>
      <c r="V44" s="4845">
        <v>1</v>
      </c>
      <c r="W44" s="5190">
        <f>表15_17[[#This Row],[Sales Amount]]-表15_17[[#This Row],[Cost]]</f>
        <v>0</v>
      </c>
      <c r="X44" s="5060" t="e">
        <f>表15_17[[#This Row],[Profit]]/表15_17[[#This Row],[Cost]]</f>
        <v>#DIV/0!</v>
      </c>
      <c r="Y44" s="4845"/>
      <c r="Z44" s="4845"/>
      <c r="AA44" s="4861"/>
      <c r="AB44" s="709"/>
      <c r="AC44" s="709"/>
      <c r="AD44" s="709"/>
      <c r="AE44" s="709"/>
      <c r="AF44" s="709"/>
      <c r="AG44" s="709"/>
      <c r="AH44" s="709"/>
      <c r="AI44" s="709"/>
    </row>
    <row r="45" spans="1:35" s="650" customFormat="1" ht="15" hidden="1">
      <c r="A45" s="5678" t="s">
        <v>409</v>
      </c>
      <c r="B45" s="4913" t="s">
        <v>10402</v>
      </c>
      <c r="C45" s="4882" t="s">
        <v>28</v>
      </c>
      <c r="D45" s="5668">
        <v>45503</v>
      </c>
      <c r="E45" s="5673">
        <v>45513</v>
      </c>
      <c r="F45" s="4882" t="s">
        <v>2225</v>
      </c>
      <c r="G45" s="4891" t="s">
        <v>57</v>
      </c>
      <c r="H45" s="4913"/>
      <c r="I45" s="4913"/>
      <c r="J45" s="4913" t="s">
        <v>32</v>
      </c>
      <c r="K45" s="5277" t="s">
        <v>47</v>
      </c>
      <c r="L45" s="4870">
        <v>4707569</v>
      </c>
      <c r="M45" s="4914">
        <v>45515</v>
      </c>
      <c r="N45" s="4914">
        <v>45513</v>
      </c>
      <c r="O45" s="4914">
        <v>45516</v>
      </c>
      <c r="P45" s="4913" t="s">
        <v>10403</v>
      </c>
      <c r="Q45" s="5539" t="s">
        <v>6852</v>
      </c>
      <c r="R45" s="4913" t="s">
        <v>36</v>
      </c>
      <c r="S45" s="4913"/>
      <c r="T45" s="4913"/>
      <c r="U45" s="4913"/>
      <c r="V45" s="4913"/>
      <c r="W45" s="4913"/>
      <c r="X45" s="4913"/>
      <c r="Y45" s="4913"/>
      <c r="Z45" s="4913"/>
      <c r="AA45" s="5277"/>
      <c r="AB45" s="1350"/>
      <c r="AC45" s="1350"/>
      <c r="AD45" s="1350"/>
      <c r="AE45" s="1350"/>
      <c r="AF45" s="1350"/>
      <c r="AG45" s="1350"/>
      <c r="AH45" s="1350"/>
      <c r="AI45" s="1350"/>
    </row>
    <row r="46" spans="1:35" s="1350" customFormat="1" ht="15" hidden="1">
      <c r="A46" s="5622" t="s">
        <v>4321</v>
      </c>
      <c r="B46" s="5277" t="s">
        <v>10404</v>
      </c>
      <c r="C46" s="4861" t="s">
        <v>28</v>
      </c>
      <c r="D46" s="5665">
        <v>45497</v>
      </c>
      <c r="E46" s="5672">
        <v>45514</v>
      </c>
      <c r="F46" s="4861" t="s">
        <v>93</v>
      </c>
      <c r="G46" s="5277" t="s">
        <v>46</v>
      </c>
      <c r="H46" s="5667"/>
      <c r="I46" s="5277"/>
      <c r="J46" s="5622" t="s">
        <v>32</v>
      </c>
      <c r="K46" s="5277" t="s">
        <v>47</v>
      </c>
      <c r="L46" s="5101" t="s">
        <v>10405</v>
      </c>
      <c r="M46" s="4855">
        <v>45516</v>
      </c>
      <c r="N46" s="4953">
        <v>45516</v>
      </c>
      <c r="O46" s="4953">
        <v>45518</v>
      </c>
      <c r="P46" s="4864" t="s">
        <v>10406</v>
      </c>
      <c r="Q46" s="5620" t="s">
        <v>6852</v>
      </c>
      <c r="R46" s="4861" t="s">
        <v>10407</v>
      </c>
      <c r="S46" s="4834"/>
      <c r="T46" s="4861"/>
      <c r="U46" s="4861"/>
      <c r="V46" s="4861"/>
      <c r="W46" s="4861"/>
      <c r="X46" s="5378"/>
      <c r="Y46" s="4861"/>
      <c r="Z46" s="4861"/>
      <c r="AA46" s="4892"/>
      <c r="AB46"/>
      <c r="AC46"/>
      <c r="AD46"/>
      <c r="AE46"/>
      <c r="AF46"/>
      <c r="AG46"/>
      <c r="AH46"/>
      <c r="AI46"/>
    </row>
    <row r="47" spans="1:35" s="36" customFormat="1" ht="15" hidden="1">
      <c r="A47" s="5622" t="s">
        <v>409</v>
      </c>
      <c r="B47" s="5277" t="s">
        <v>10408</v>
      </c>
      <c r="C47" s="4861" t="s">
        <v>28</v>
      </c>
      <c r="D47" s="5665">
        <v>45486</v>
      </c>
      <c r="E47" s="5672">
        <v>45514</v>
      </c>
      <c r="F47" s="4861" t="s">
        <v>151</v>
      </c>
      <c r="G47" s="5277" t="s">
        <v>46</v>
      </c>
      <c r="H47" s="5667"/>
      <c r="I47" s="5277"/>
      <c r="J47" s="5622" t="s">
        <v>32</v>
      </c>
      <c r="K47" s="5277" t="s">
        <v>47</v>
      </c>
      <c r="L47" s="4870" t="s">
        <v>10409</v>
      </c>
      <c r="M47" s="4859">
        <v>45516</v>
      </c>
      <c r="N47" s="4953">
        <v>45514</v>
      </c>
      <c r="O47" s="4953">
        <v>45517</v>
      </c>
      <c r="P47" s="4864" t="s">
        <v>10410</v>
      </c>
      <c r="Q47" s="5620" t="s">
        <v>6852</v>
      </c>
      <c r="R47" s="4861" t="s">
        <v>36</v>
      </c>
      <c r="S47" s="4834"/>
      <c r="T47" s="4861"/>
      <c r="U47" s="4861"/>
      <c r="V47" s="4861"/>
      <c r="W47" s="4861"/>
      <c r="X47" s="5378"/>
      <c r="Y47" s="4861"/>
      <c r="Z47" s="4861"/>
      <c r="AA47" s="4845"/>
      <c r="AB47" s="117"/>
      <c r="AC47" s="117"/>
      <c r="AD47" s="117"/>
      <c r="AE47" s="117"/>
      <c r="AF47" s="117"/>
      <c r="AG47" s="117"/>
      <c r="AH47" s="117"/>
      <c r="AI47" s="117"/>
    </row>
    <row r="48" spans="1:35" s="709" customFormat="1" ht="45" hidden="1">
      <c r="A48" s="4915" t="s">
        <v>8929</v>
      </c>
      <c r="B48" s="4908" t="s">
        <v>10411</v>
      </c>
      <c r="C48" s="4845" t="s">
        <v>28</v>
      </c>
      <c r="D48" s="4906">
        <v>45514</v>
      </c>
      <c r="E48" s="4916">
        <v>45514</v>
      </c>
      <c r="F48" s="4908" t="s">
        <v>8546</v>
      </c>
      <c r="G48" s="4908" t="s">
        <v>10412</v>
      </c>
      <c r="H48" s="4961" t="s">
        <v>10413</v>
      </c>
      <c r="I48" s="4961" t="s">
        <v>10413</v>
      </c>
      <c r="J48" s="5375" t="s">
        <v>10106</v>
      </c>
      <c r="K48" s="5375" t="s">
        <v>10106</v>
      </c>
      <c r="L48" s="4909" t="s">
        <v>10414</v>
      </c>
      <c r="M48" s="4916">
        <v>45519</v>
      </c>
      <c r="N48" s="4906">
        <v>45519</v>
      </c>
      <c r="O48" s="4906">
        <v>45520</v>
      </c>
      <c r="P48" s="4909" t="s">
        <v>10415</v>
      </c>
      <c r="Q48" s="5065" t="s">
        <v>75</v>
      </c>
      <c r="R48" s="4908" t="s">
        <v>10416</v>
      </c>
      <c r="S48" s="4947" t="s">
        <v>67</v>
      </c>
      <c r="T48" s="4845">
        <v>595</v>
      </c>
      <c r="U48" s="4845">
        <v>270</v>
      </c>
      <c r="V48" s="4845">
        <v>1</v>
      </c>
      <c r="W48" s="5190">
        <f>T48-U48</f>
        <v>325</v>
      </c>
      <c r="X48" s="5060">
        <f>W48/U48</f>
        <v>1.2037037037037037</v>
      </c>
      <c r="Y48" s="4845"/>
      <c r="Z48" s="4845"/>
      <c r="AA48" s="4864"/>
      <c r="AB48" s="723"/>
      <c r="AC48" s="723"/>
      <c r="AD48" s="723"/>
      <c r="AE48" s="723"/>
      <c r="AF48" s="723"/>
      <c r="AG48" s="723"/>
      <c r="AH48" s="723"/>
      <c r="AI48" s="723"/>
    </row>
    <row r="49" spans="1:35" s="650" customFormat="1" ht="30" hidden="1">
      <c r="A49" s="5118" t="s">
        <v>10124</v>
      </c>
      <c r="B49" s="5277" t="s">
        <v>10417</v>
      </c>
      <c r="C49" s="5277" t="s">
        <v>10418</v>
      </c>
      <c r="D49" s="5403">
        <v>45502</v>
      </c>
      <c r="E49" s="5403">
        <v>45514</v>
      </c>
      <c r="F49" s="5277" t="s">
        <v>167</v>
      </c>
      <c r="G49" s="5118" t="s">
        <v>46</v>
      </c>
      <c r="H49" s="5403">
        <v>45519</v>
      </c>
      <c r="I49" s="5277"/>
      <c r="J49" s="5277" t="s">
        <v>9695</v>
      </c>
      <c r="K49" s="5404" t="s">
        <v>641</v>
      </c>
      <c r="L49" s="5277">
        <v>188151</v>
      </c>
      <c r="M49" s="5403">
        <v>45517</v>
      </c>
      <c r="N49" s="5403">
        <v>45518</v>
      </c>
      <c r="O49" s="5403">
        <v>45519</v>
      </c>
      <c r="P49" s="5118" t="s">
        <v>10419</v>
      </c>
      <c r="Q49" s="5277" t="s">
        <v>9226</v>
      </c>
      <c r="R49" s="5404" t="s">
        <v>10420</v>
      </c>
      <c r="S49" s="4908" t="s">
        <v>10279</v>
      </c>
      <c r="T49" s="5623">
        <v>1250</v>
      </c>
      <c r="U49" s="5277">
        <v>874.8</v>
      </c>
      <c r="V49" s="5277">
        <v>1</v>
      </c>
      <c r="W49" s="5277"/>
      <c r="X49" s="5277"/>
      <c r="Y49" s="5277"/>
      <c r="Z49" s="5277"/>
      <c r="AA49" s="4861"/>
      <c r="AB49" s="709"/>
      <c r="AC49" s="709"/>
      <c r="AD49" s="709"/>
      <c r="AE49" s="709"/>
      <c r="AF49" s="709"/>
      <c r="AG49" s="709"/>
      <c r="AH49" s="709"/>
      <c r="AI49" s="709"/>
    </row>
    <row r="50" spans="1:35" s="1350" customFormat="1" ht="30" hidden="1">
      <c r="A50" s="5118" t="s">
        <v>10421</v>
      </c>
      <c r="B50" s="4864" t="s">
        <v>10422</v>
      </c>
      <c r="C50" s="5118" t="s">
        <v>28</v>
      </c>
      <c r="D50" s="5681">
        <v>45503</v>
      </c>
      <c r="E50" s="5682">
        <v>45515</v>
      </c>
      <c r="F50" s="5118" t="s">
        <v>245</v>
      </c>
      <c r="G50" s="5118" t="s">
        <v>10423</v>
      </c>
      <c r="H50" s="5118"/>
      <c r="I50" s="5118"/>
      <c r="J50" s="5118" t="s">
        <v>4896</v>
      </c>
      <c r="K50" s="5118" t="s">
        <v>10424</v>
      </c>
      <c r="L50" s="4864" t="s">
        <v>10425</v>
      </c>
      <c r="M50" s="5164">
        <v>45517</v>
      </c>
      <c r="N50" s="5681">
        <v>45517</v>
      </c>
      <c r="O50" s="5681">
        <v>45519</v>
      </c>
      <c r="P50" s="5118" t="s">
        <v>10426</v>
      </c>
      <c r="Q50" s="5118" t="s">
        <v>9226</v>
      </c>
      <c r="R50" s="5277" t="s">
        <v>10427</v>
      </c>
      <c r="S50" s="4908" t="s">
        <v>10279</v>
      </c>
      <c r="T50" s="5118"/>
      <c r="U50" s="5118"/>
      <c r="V50" s="5118"/>
      <c r="W50" s="5118"/>
      <c r="X50" s="5118"/>
      <c r="Y50" s="5118"/>
      <c r="Z50" s="5118"/>
      <c r="AA50" s="4861"/>
      <c r="AB50" s="709"/>
      <c r="AC50" s="709"/>
      <c r="AD50" s="709"/>
      <c r="AE50" s="709"/>
      <c r="AF50" s="709"/>
      <c r="AG50" s="709"/>
      <c r="AH50" s="709"/>
      <c r="AI50" s="709"/>
    </row>
    <row r="51" spans="1:35" s="1350" customFormat="1" ht="15" hidden="1">
      <c r="A51" s="4843" t="s">
        <v>10328</v>
      </c>
      <c r="B51" s="4913" t="s">
        <v>10428</v>
      </c>
      <c r="C51" s="4882" t="s">
        <v>28</v>
      </c>
      <c r="D51" s="5668">
        <v>45508</v>
      </c>
      <c r="E51" s="5673">
        <f>7+D51</f>
        <v>45515</v>
      </c>
      <c r="F51" s="4882" t="s">
        <v>260</v>
      </c>
      <c r="G51" s="4891" t="s">
        <v>46</v>
      </c>
      <c r="H51" s="4913"/>
      <c r="I51" s="4913"/>
      <c r="J51" s="4913" t="s">
        <v>32</v>
      </c>
      <c r="K51" s="5277" t="s">
        <v>47</v>
      </c>
      <c r="L51" s="4913" t="s">
        <v>10429</v>
      </c>
      <c r="M51" s="4897">
        <v>45517</v>
      </c>
      <c r="N51" s="4914">
        <v>45517</v>
      </c>
      <c r="O51" s="4914">
        <v>45518</v>
      </c>
      <c r="P51" s="4913" t="s">
        <v>10430</v>
      </c>
      <c r="Q51" s="5539" t="s">
        <v>6852</v>
      </c>
      <c r="R51" s="4913" t="s">
        <v>10431</v>
      </c>
      <c r="S51" s="4913"/>
      <c r="T51" s="4913"/>
      <c r="U51" s="4913"/>
      <c r="V51" s="4913"/>
      <c r="W51" s="4913"/>
      <c r="X51" s="4913"/>
      <c r="Y51" s="4913"/>
      <c r="Z51" s="4913"/>
      <c r="AA51" s="4913"/>
      <c r="AB51" s="650"/>
      <c r="AC51" s="650"/>
      <c r="AD51" s="650"/>
      <c r="AE51" s="650"/>
      <c r="AF51" s="650"/>
      <c r="AG51" s="650"/>
      <c r="AH51" s="650"/>
      <c r="AI51" s="650"/>
    </row>
    <row r="52" spans="1:35" s="1350" customFormat="1" ht="15" hidden="1">
      <c r="A52" s="5116" t="s">
        <v>4815</v>
      </c>
      <c r="B52" s="5683" t="s">
        <v>10432</v>
      </c>
      <c r="C52" s="4873" t="s">
        <v>28</v>
      </c>
      <c r="D52" s="5684">
        <v>45504</v>
      </c>
      <c r="E52" s="5685">
        <v>45515</v>
      </c>
      <c r="F52" s="4873" t="s">
        <v>45</v>
      </c>
      <c r="G52" s="5116" t="s">
        <v>46</v>
      </c>
      <c r="H52" s="4892"/>
      <c r="I52" s="4892"/>
      <c r="J52" s="4892" t="s">
        <v>32</v>
      </c>
      <c r="K52" s="5283" t="s">
        <v>47</v>
      </c>
      <c r="L52" s="4872" t="s">
        <v>10433</v>
      </c>
      <c r="M52" s="5485">
        <v>45516</v>
      </c>
      <c r="N52" s="5686">
        <v>45516</v>
      </c>
      <c r="O52" s="5686">
        <v>45517</v>
      </c>
      <c r="P52" s="4892" t="s">
        <v>10434</v>
      </c>
      <c r="Q52" s="5482" t="s">
        <v>6852</v>
      </c>
      <c r="R52" s="4892" t="s">
        <v>10435</v>
      </c>
      <c r="S52" s="4892"/>
      <c r="T52" s="4892"/>
      <c r="U52" s="4892"/>
      <c r="V52" s="4892"/>
      <c r="W52" s="4892"/>
      <c r="X52" s="4892"/>
      <c r="Y52" s="4892"/>
      <c r="Z52" s="4892"/>
      <c r="AA52" s="5277"/>
    </row>
    <row r="53" spans="1:35" s="52" customFormat="1" ht="45" hidden="1">
      <c r="A53" s="4902" t="s">
        <v>7362</v>
      </c>
      <c r="B53" s="4886" t="s">
        <v>10436</v>
      </c>
      <c r="C53" s="4886" t="s">
        <v>28</v>
      </c>
      <c r="D53" s="5053">
        <v>45501</v>
      </c>
      <c r="E53" s="4885">
        <v>45516</v>
      </c>
      <c r="F53" s="4886" t="s">
        <v>93</v>
      </c>
      <c r="G53" s="4886" t="s">
        <v>10437</v>
      </c>
      <c r="H53" s="4953">
        <v>45519</v>
      </c>
      <c r="I53" s="4861" t="s">
        <v>10438</v>
      </c>
      <c r="J53" s="5326" t="s">
        <v>9709</v>
      </c>
      <c r="K53" s="4886" t="s">
        <v>10439</v>
      </c>
      <c r="L53" s="5325">
        <v>1867</v>
      </c>
      <c r="M53" s="4953">
        <v>45518</v>
      </c>
      <c r="N53" s="4953">
        <v>45518</v>
      </c>
      <c r="O53" s="5687">
        <v>45519</v>
      </c>
      <c r="P53" s="4890" t="s">
        <v>10440</v>
      </c>
      <c r="Q53" s="5576" t="s">
        <v>9226</v>
      </c>
      <c r="R53" s="4861" t="s">
        <v>10441</v>
      </c>
      <c r="S53" s="4908" t="s">
        <v>10279</v>
      </c>
      <c r="T53" s="5577">
        <v>1050</v>
      </c>
      <c r="U53" s="4861">
        <v>852.5</v>
      </c>
      <c r="V53" s="4861">
        <v>1</v>
      </c>
      <c r="W53" s="5577">
        <f>T53-U53</f>
        <v>197.5</v>
      </c>
      <c r="X53" s="5378">
        <f>W53/U53</f>
        <v>0.2316715542521994</v>
      </c>
      <c r="Y53" s="4861"/>
      <c r="Z53" s="4861"/>
      <c r="AA53" s="5277"/>
      <c r="AB53" s="1350"/>
      <c r="AC53" s="1350"/>
      <c r="AD53" s="1350"/>
      <c r="AE53" s="1350"/>
      <c r="AF53" s="1350"/>
      <c r="AG53" s="1350"/>
      <c r="AH53" s="1350"/>
      <c r="AI53" s="1350"/>
    </row>
    <row r="54" spans="1:35" s="707" customFormat="1" ht="30" hidden="1">
      <c r="A54" s="5375" t="s">
        <v>165</v>
      </c>
      <c r="B54" s="4908" t="s">
        <v>10442</v>
      </c>
      <c r="C54" s="4845" t="s">
        <v>28</v>
      </c>
      <c r="D54" s="4906">
        <v>45483</v>
      </c>
      <c r="E54" s="4916">
        <v>45516</v>
      </c>
      <c r="F54" s="4845" t="s">
        <v>93</v>
      </c>
      <c r="G54" s="4845" t="s">
        <v>302</v>
      </c>
      <c r="H54" s="4906">
        <v>45519</v>
      </c>
      <c r="I54" s="4908" t="s">
        <v>445</v>
      </c>
      <c r="J54" s="5375" t="s">
        <v>32</v>
      </c>
      <c r="K54" s="4845" t="s">
        <v>1179</v>
      </c>
      <c r="L54" s="4909" t="s">
        <v>10443</v>
      </c>
      <c r="M54" s="4918">
        <v>45519</v>
      </c>
      <c r="N54" s="4918">
        <v>45519</v>
      </c>
      <c r="O54" s="4906">
        <v>45519</v>
      </c>
      <c r="P54" s="4909" t="s">
        <v>10444</v>
      </c>
      <c r="Q54" s="5065" t="s">
        <v>75</v>
      </c>
      <c r="R54" s="4908" t="s">
        <v>10445</v>
      </c>
      <c r="S54" s="4908" t="s">
        <v>10279</v>
      </c>
      <c r="T54" s="4845">
        <v>660</v>
      </c>
      <c r="U54" s="4845">
        <v>560</v>
      </c>
      <c r="V54" s="4845">
        <v>1</v>
      </c>
      <c r="W54" s="5190">
        <f>T54-U54</f>
        <v>100</v>
      </c>
      <c r="X54" s="5060" t="e">
        <f>表15_17[[#This Row],[Profit]]/表15_17[[#This Row],[Cost]]</f>
        <v>#DIV/0!</v>
      </c>
      <c r="Y54" s="4845"/>
      <c r="Z54" s="4845"/>
      <c r="AA54" s="4861"/>
      <c r="AB54" s="709"/>
      <c r="AC54" s="709"/>
      <c r="AD54" s="709"/>
      <c r="AE54" s="709"/>
      <c r="AF54" s="709"/>
      <c r="AG54" s="709"/>
      <c r="AH54" s="709"/>
      <c r="AI54" s="709"/>
    </row>
    <row r="55" spans="1:35" s="1365" customFormat="1" ht="15" hidden="1">
      <c r="A55" s="5622" t="s">
        <v>409</v>
      </c>
      <c r="B55" s="5277" t="s">
        <v>10446</v>
      </c>
      <c r="C55" s="4861" t="s">
        <v>28</v>
      </c>
      <c r="D55" s="5665">
        <v>45494</v>
      </c>
      <c r="E55" s="5666">
        <v>45517</v>
      </c>
      <c r="F55" s="4861" t="s">
        <v>260</v>
      </c>
      <c r="G55" s="5277" t="s">
        <v>46</v>
      </c>
      <c r="H55" s="5667"/>
      <c r="I55" s="5277"/>
      <c r="J55" s="5622" t="s">
        <v>32</v>
      </c>
      <c r="K55" s="5277" t="s">
        <v>47</v>
      </c>
      <c r="L55" s="5688" t="s">
        <v>10447</v>
      </c>
      <c r="M55" s="4859">
        <v>45521</v>
      </c>
      <c r="N55" s="4953">
        <v>45521</v>
      </c>
      <c r="O55" s="4953">
        <v>45524</v>
      </c>
      <c r="P55" s="4864" t="s">
        <v>10448</v>
      </c>
      <c r="Q55" s="5620" t="s">
        <v>6852</v>
      </c>
      <c r="R55" s="4913" t="s">
        <v>36</v>
      </c>
      <c r="S55" s="4913"/>
      <c r="T55" s="4913"/>
      <c r="U55" s="4913"/>
      <c r="V55" s="4913"/>
      <c r="W55" s="4913"/>
      <c r="X55" s="4913"/>
      <c r="Y55" s="4913"/>
      <c r="Z55" s="4913"/>
      <c r="AA55" s="5277"/>
      <c r="AB55" s="1350"/>
      <c r="AC55" s="1350"/>
      <c r="AD55" s="1350"/>
      <c r="AE55" s="1350"/>
      <c r="AF55" s="1350"/>
      <c r="AG55" s="1350"/>
      <c r="AH55" s="1350"/>
      <c r="AI55" s="1350"/>
    </row>
    <row r="56" spans="1:35" s="1350" customFormat="1" ht="15" hidden="1">
      <c r="A56" s="5678" t="s">
        <v>409</v>
      </c>
      <c r="B56" s="5395" t="s">
        <v>10449</v>
      </c>
      <c r="C56" s="5367" t="s">
        <v>28</v>
      </c>
      <c r="D56" s="5689">
        <v>45509</v>
      </c>
      <c r="E56" s="5673">
        <v>45517</v>
      </c>
      <c r="F56" s="5367" t="s">
        <v>260</v>
      </c>
      <c r="G56" s="4891" t="s">
        <v>46</v>
      </c>
      <c r="H56" s="4913"/>
      <c r="I56" s="4913"/>
      <c r="J56" s="4913" t="s">
        <v>32</v>
      </c>
      <c r="K56" s="5277" t="s">
        <v>47</v>
      </c>
      <c r="L56" s="4913" t="s">
        <v>10450</v>
      </c>
      <c r="M56" s="4897">
        <v>45520</v>
      </c>
      <c r="N56" s="4914">
        <v>45518</v>
      </c>
      <c r="O56" s="4914">
        <v>45519</v>
      </c>
      <c r="P56" s="4913" t="s">
        <v>10451</v>
      </c>
      <c r="Q56" s="5539" t="s">
        <v>6852</v>
      </c>
      <c r="R56" s="4913" t="s">
        <v>36</v>
      </c>
      <c r="S56" s="4913"/>
      <c r="T56" s="4913"/>
      <c r="U56" s="4913"/>
      <c r="V56" s="4913"/>
      <c r="W56" s="4913"/>
      <c r="X56" s="4913"/>
      <c r="Y56" s="4913"/>
      <c r="Z56" s="4913"/>
      <c r="AA56" s="4861"/>
      <c r="AB56" s="709"/>
      <c r="AC56" s="709"/>
      <c r="AD56" s="709"/>
      <c r="AE56" s="709"/>
      <c r="AF56" s="709"/>
      <c r="AG56" s="709"/>
      <c r="AH56" s="709"/>
      <c r="AI56" s="709"/>
    </row>
    <row r="57" spans="1:35" ht="15" hidden="1">
      <c r="A57" s="5116" t="s">
        <v>4815</v>
      </c>
      <c r="B57" s="5690" t="s">
        <v>10452</v>
      </c>
      <c r="C57" s="4873" t="s">
        <v>28</v>
      </c>
      <c r="D57" s="5684">
        <v>45504</v>
      </c>
      <c r="E57" s="5685">
        <v>45517</v>
      </c>
      <c r="F57" s="4873" t="s">
        <v>45</v>
      </c>
      <c r="G57" s="5116" t="s">
        <v>46</v>
      </c>
      <c r="H57" s="4892"/>
      <c r="I57" s="4892"/>
      <c r="J57" s="4892" t="s">
        <v>32</v>
      </c>
      <c r="K57" s="5283" t="s">
        <v>47</v>
      </c>
      <c r="L57" s="4872" t="s">
        <v>10453</v>
      </c>
      <c r="M57" s="5485">
        <v>45518</v>
      </c>
      <c r="N57" s="5686">
        <v>45517</v>
      </c>
      <c r="O57" s="5686">
        <v>45519</v>
      </c>
      <c r="P57" s="4892" t="s">
        <v>10454</v>
      </c>
      <c r="Q57" s="5482" t="s">
        <v>6852</v>
      </c>
      <c r="R57" s="4892" t="s">
        <v>10455</v>
      </c>
      <c r="S57" s="4892"/>
      <c r="T57" s="4892"/>
      <c r="U57" s="4892"/>
      <c r="V57" s="4892"/>
      <c r="W57" s="4892"/>
      <c r="X57" s="4892"/>
      <c r="Y57" s="4892"/>
      <c r="Z57" s="4892"/>
      <c r="AA57" s="4873"/>
      <c r="AB57" s="26"/>
      <c r="AC57" s="26"/>
      <c r="AD57" s="26"/>
      <c r="AE57" s="26"/>
      <c r="AF57" s="26"/>
      <c r="AG57" s="26"/>
      <c r="AH57" s="26"/>
      <c r="AI57" s="26"/>
    </row>
    <row r="58" spans="1:35" s="1350" customFormat="1" ht="15" hidden="1">
      <c r="A58" s="5445" t="s">
        <v>263</v>
      </c>
      <c r="B58" s="5445" t="s">
        <v>10456</v>
      </c>
      <c r="C58" s="5277" t="s">
        <v>28</v>
      </c>
      <c r="D58" s="5671">
        <v>45517</v>
      </c>
      <c r="E58" s="5671">
        <v>45517</v>
      </c>
      <c r="F58" s="5445" t="s">
        <v>151</v>
      </c>
      <c r="G58" s="5445" t="s">
        <v>6295</v>
      </c>
      <c r="H58" s="5671">
        <v>45523</v>
      </c>
      <c r="I58" s="5691">
        <v>0.375</v>
      </c>
      <c r="J58" s="5445" t="s">
        <v>8987</v>
      </c>
      <c r="K58" s="5445" t="s">
        <v>9364</v>
      </c>
      <c r="L58" s="5445" t="s">
        <v>10457</v>
      </c>
      <c r="M58" s="5277"/>
      <c r="N58" s="5671">
        <v>45520</v>
      </c>
      <c r="O58" s="5671">
        <v>45524</v>
      </c>
      <c r="P58" s="5445" t="s">
        <v>10458</v>
      </c>
      <c r="Q58" s="4886" t="s">
        <v>128</v>
      </c>
      <c r="R58" s="4861" t="s">
        <v>10459</v>
      </c>
      <c r="S58" s="5277" t="s">
        <v>67</v>
      </c>
      <c r="T58" s="5577">
        <f>2183.12</f>
        <v>2183.12</v>
      </c>
      <c r="U58" s="4861">
        <f>1466.5+67+131.12</f>
        <v>1664.62</v>
      </c>
      <c r="V58" s="4861"/>
      <c r="W58" s="5577">
        <f>T58-U58</f>
        <v>518.5</v>
      </c>
      <c r="X58" s="5089">
        <f>W58/U58</f>
        <v>0.31148250051062709</v>
      </c>
      <c r="Y58" s="4861"/>
      <c r="Z58" s="4861"/>
      <c r="AA58" s="5277"/>
    </row>
    <row r="59" spans="1:35" s="1350" customFormat="1" ht="15" hidden="1">
      <c r="A59" s="5692" t="s">
        <v>10328</v>
      </c>
      <c r="B59" s="5690" t="s">
        <v>10460</v>
      </c>
      <c r="C59" s="5283" t="s">
        <v>28</v>
      </c>
      <c r="D59" s="5684">
        <v>45509</v>
      </c>
      <c r="E59" s="5685">
        <v>45518</v>
      </c>
      <c r="F59" s="4873" t="s">
        <v>260</v>
      </c>
      <c r="G59" s="5283" t="s">
        <v>46</v>
      </c>
      <c r="H59" s="4892"/>
      <c r="I59" s="4892"/>
      <c r="J59" s="4892" t="s">
        <v>32</v>
      </c>
      <c r="K59" s="5283" t="s">
        <v>47</v>
      </c>
      <c r="L59" s="4895" t="s">
        <v>10461</v>
      </c>
      <c r="M59" s="5485">
        <v>45520</v>
      </c>
      <c r="N59" s="5686">
        <v>45518</v>
      </c>
      <c r="O59" s="5686">
        <v>45520</v>
      </c>
      <c r="P59" s="4892" t="s">
        <v>10462</v>
      </c>
      <c r="Q59" s="5633" t="s">
        <v>6852</v>
      </c>
      <c r="R59" s="4892"/>
      <c r="S59" s="4892"/>
      <c r="T59" s="4892"/>
      <c r="U59" s="4892"/>
      <c r="V59" s="4892"/>
      <c r="W59" s="4892"/>
      <c r="X59" s="4892"/>
      <c r="Y59" s="4892"/>
      <c r="Z59" s="4892"/>
      <c r="AA59" s="5277"/>
    </row>
    <row r="60" spans="1:35" s="1350" customFormat="1" ht="45" hidden="1">
      <c r="A60" s="5118" t="s">
        <v>9716</v>
      </c>
      <c r="B60" s="5277" t="s">
        <v>10463</v>
      </c>
      <c r="C60" s="5277" t="s">
        <v>28</v>
      </c>
      <c r="D60" s="5403">
        <v>45518</v>
      </c>
      <c r="E60" s="5403">
        <v>45518</v>
      </c>
      <c r="F60" s="5277" t="s">
        <v>245</v>
      </c>
      <c r="G60" s="5118" t="s">
        <v>10464</v>
      </c>
      <c r="H60" s="5403">
        <v>45532</v>
      </c>
      <c r="I60" s="5693" t="s">
        <v>10465</v>
      </c>
      <c r="J60" s="5277" t="s">
        <v>10466</v>
      </c>
      <c r="K60" s="5118" t="s">
        <v>10467</v>
      </c>
      <c r="L60" s="5277"/>
      <c r="M60" s="5277"/>
      <c r="N60" s="5403">
        <v>45531</v>
      </c>
      <c r="O60" s="5682">
        <v>45534</v>
      </c>
      <c r="P60" s="5277" t="s">
        <v>10468</v>
      </c>
      <c r="Q60" s="5277" t="s">
        <v>9226</v>
      </c>
      <c r="R60" s="5405" t="s">
        <v>10469</v>
      </c>
      <c r="S60" s="4908" t="s">
        <v>10279</v>
      </c>
      <c r="T60" s="5623">
        <v>2465</v>
      </c>
      <c r="U60" s="5277">
        <v>1430</v>
      </c>
      <c r="V60" s="5277">
        <v>1</v>
      </c>
      <c r="W60" s="5277"/>
      <c r="X60" s="5277"/>
      <c r="Y60" s="5277"/>
      <c r="Z60" s="5277"/>
      <c r="AA60" s="4921"/>
      <c r="AB60" s="36"/>
      <c r="AC60" s="36"/>
      <c r="AD60" s="36"/>
      <c r="AE60" s="36"/>
      <c r="AF60" s="36"/>
      <c r="AG60" s="36"/>
      <c r="AH60" s="36"/>
      <c r="AI60" s="36"/>
    </row>
    <row r="61" spans="1:35" s="1350" customFormat="1" ht="17.25" hidden="1">
      <c r="A61" s="4891" t="s">
        <v>10470</v>
      </c>
      <c r="B61" s="5117" t="s">
        <v>10471</v>
      </c>
      <c r="C61" s="4882" t="s">
        <v>1508</v>
      </c>
      <c r="D61" s="4891" t="s">
        <v>738</v>
      </c>
      <c r="E61" s="5668">
        <v>45518</v>
      </c>
      <c r="F61" s="4891" t="s">
        <v>738</v>
      </c>
      <c r="G61" s="4891" t="s">
        <v>738</v>
      </c>
      <c r="H61" s="4914">
        <v>45522</v>
      </c>
      <c r="I61" s="4913"/>
      <c r="J61" s="4913" t="s">
        <v>738</v>
      </c>
      <c r="K61" s="5277" t="s">
        <v>47</v>
      </c>
      <c r="L61" s="4870"/>
      <c r="M61" s="4870"/>
      <c r="N61" s="4914">
        <v>45519</v>
      </c>
      <c r="O61" s="4914">
        <v>45519</v>
      </c>
      <c r="P61" s="4913" t="s">
        <v>10472</v>
      </c>
      <c r="Q61" s="4913" t="s">
        <v>50</v>
      </c>
      <c r="R61" s="4913" t="s">
        <v>51</v>
      </c>
      <c r="S61" s="4913"/>
      <c r="T61" s="4913"/>
      <c r="U61" s="4913"/>
      <c r="V61" s="4913"/>
      <c r="W61" s="4913"/>
      <c r="X61" s="4913"/>
      <c r="Y61" s="4913"/>
      <c r="Z61" s="4913"/>
      <c r="AA61" s="5277"/>
    </row>
    <row r="62" spans="1:35" s="36" customFormat="1" ht="17.25" hidden="1">
      <c r="A62" s="4891" t="s">
        <v>10470</v>
      </c>
      <c r="B62" s="5117">
        <v>439653</v>
      </c>
      <c r="C62" s="4882" t="s">
        <v>1508</v>
      </c>
      <c r="D62" s="4891" t="s">
        <v>738</v>
      </c>
      <c r="E62" s="5668">
        <v>45518</v>
      </c>
      <c r="F62" s="4891" t="s">
        <v>738</v>
      </c>
      <c r="G62" s="4891" t="s">
        <v>738</v>
      </c>
      <c r="H62" s="4914">
        <v>45523</v>
      </c>
      <c r="I62" s="4913"/>
      <c r="J62" s="4913" t="s">
        <v>738</v>
      </c>
      <c r="K62" s="5277" t="s">
        <v>47</v>
      </c>
      <c r="L62" s="4870"/>
      <c r="M62" s="4870"/>
      <c r="N62" s="4914">
        <v>45519</v>
      </c>
      <c r="O62" s="4914">
        <v>45519</v>
      </c>
      <c r="P62" s="4913" t="s">
        <v>10472</v>
      </c>
      <c r="Q62" s="4913" t="s">
        <v>50</v>
      </c>
      <c r="R62" s="4913" t="s">
        <v>51</v>
      </c>
      <c r="S62" s="4913"/>
      <c r="T62" s="4913"/>
      <c r="U62" s="4913"/>
      <c r="V62" s="4913"/>
      <c r="W62" s="4913"/>
      <c r="X62" s="4913"/>
      <c r="Y62" s="4913"/>
      <c r="Z62" s="4913"/>
      <c r="AA62" s="4921"/>
    </row>
    <row r="63" spans="1:35" s="52" customFormat="1" ht="15" hidden="1">
      <c r="A63" s="5678" t="s">
        <v>409</v>
      </c>
      <c r="B63" s="5395" t="s">
        <v>10473</v>
      </c>
      <c r="C63" s="5367" t="s">
        <v>28</v>
      </c>
      <c r="D63" s="5689">
        <v>45509</v>
      </c>
      <c r="E63" s="5673">
        <v>45518</v>
      </c>
      <c r="F63" s="5367" t="s">
        <v>260</v>
      </c>
      <c r="G63" s="4891" t="s">
        <v>46</v>
      </c>
      <c r="H63" s="4913"/>
      <c r="I63" s="4913"/>
      <c r="J63" s="4913" t="s">
        <v>32</v>
      </c>
      <c r="K63" s="5277" t="s">
        <v>47</v>
      </c>
      <c r="L63" s="4839" t="s">
        <v>10474</v>
      </c>
      <c r="M63" s="4897">
        <v>45520</v>
      </c>
      <c r="N63" s="4914">
        <v>45518</v>
      </c>
      <c r="O63" s="4914">
        <v>45520</v>
      </c>
      <c r="P63" s="4913" t="s">
        <v>10475</v>
      </c>
      <c r="Q63" s="5539" t="s">
        <v>6852</v>
      </c>
      <c r="R63" s="4913" t="s">
        <v>36</v>
      </c>
      <c r="S63" s="4913"/>
      <c r="T63" s="4913"/>
      <c r="U63" s="4913"/>
      <c r="V63" s="4913"/>
      <c r="W63" s="4913"/>
      <c r="X63" s="4913"/>
      <c r="Y63" s="4913"/>
      <c r="Z63" s="4913"/>
      <c r="AA63" s="4921"/>
      <c r="AB63" s="36"/>
      <c r="AC63" s="36"/>
      <c r="AD63" s="36"/>
      <c r="AE63" s="36"/>
      <c r="AF63" s="36"/>
      <c r="AG63" s="36"/>
      <c r="AH63" s="36"/>
      <c r="AI63" s="36"/>
    </row>
    <row r="64" spans="1:35" s="1350" customFormat="1" ht="15" hidden="1">
      <c r="A64" s="4891" t="s">
        <v>4815</v>
      </c>
      <c r="B64" s="4913" t="s">
        <v>10476</v>
      </c>
      <c r="C64" s="4882" t="s">
        <v>28</v>
      </c>
      <c r="D64" s="5668">
        <v>45504</v>
      </c>
      <c r="E64" s="5673">
        <v>45518</v>
      </c>
      <c r="F64" s="4882" t="s">
        <v>45</v>
      </c>
      <c r="G64" s="4891" t="s">
        <v>46</v>
      </c>
      <c r="H64" s="4913"/>
      <c r="I64" s="4913"/>
      <c r="J64" s="4913" t="s">
        <v>32</v>
      </c>
      <c r="K64" s="5277" t="s">
        <v>47</v>
      </c>
      <c r="L64" s="4839" t="s">
        <v>10477</v>
      </c>
      <c r="M64" s="4897">
        <v>45519</v>
      </c>
      <c r="N64" s="4914">
        <v>45518</v>
      </c>
      <c r="O64" s="4914">
        <v>45519</v>
      </c>
      <c r="P64" s="4913" t="s">
        <v>10478</v>
      </c>
      <c r="Q64" s="5539" t="s">
        <v>6852</v>
      </c>
      <c r="R64" s="4913" t="s">
        <v>51</v>
      </c>
      <c r="S64" s="4913"/>
      <c r="T64" s="4913"/>
      <c r="U64" s="4913"/>
      <c r="V64" s="4913"/>
      <c r="W64" s="4913"/>
      <c r="X64" s="4913"/>
      <c r="Y64" s="4913"/>
      <c r="Z64" s="4913"/>
      <c r="AA64" s="4913"/>
      <c r="AB64" s="650"/>
      <c r="AC64" s="650"/>
      <c r="AD64" s="650"/>
      <c r="AE64" s="650"/>
      <c r="AF64" s="650"/>
      <c r="AG64" s="650"/>
      <c r="AH64" s="650"/>
      <c r="AI64" s="650"/>
    </row>
    <row r="65" spans="1:35" s="1350" customFormat="1" ht="49.5" hidden="1">
      <c r="A65" s="5326" t="s">
        <v>3866</v>
      </c>
      <c r="B65" s="4861" t="s">
        <v>10479</v>
      </c>
      <c r="C65" s="4861" t="s">
        <v>28</v>
      </c>
      <c r="D65" s="4953">
        <v>45514</v>
      </c>
      <c r="E65" s="4953">
        <v>45518</v>
      </c>
      <c r="F65" s="4861" t="s">
        <v>45</v>
      </c>
      <c r="G65" s="4890" t="s">
        <v>10480</v>
      </c>
      <c r="H65" s="5694">
        <v>45520</v>
      </c>
      <c r="I65" s="5675">
        <v>0.4375</v>
      </c>
      <c r="J65" s="5325" t="s">
        <v>1478</v>
      </c>
      <c r="K65" s="5695" t="s">
        <v>10481</v>
      </c>
      <c r="L65" s="4864">
        <v>69422908</v>
      </c>
      <c r="M65" s="4953">
        <v>45519</v>
      </c>
      <c r="N65" s="4953">
        <v>45520</v>
      </c>
      <c r="O65" s="4953">
        <v>45522</v>
      </c>
      <c r="P65" s="4890" t="s">
        <v>10482</v>
      </c>
      <c r="Q65" s="5576" t="s">
        <v>9226</v>
      </c>
      <c r="R65" s="4861" t="s">
        <v>10483</v>
      </c>
      <c r="S65" s="4908" t="s">
        <v>10279</v>
      </c>
      <c r="T65" s="4861"/>
      <c r="U65" s="4861"/>
      <c r="V65" s="4861"/>
      <c r="W65" s="4861"/>
      <c r="X65" s="5378"/>
      <c r="Y65" s="4861"/>
      <c r="Z65" s="4861"/>
      <c r="AA65" s="4913"/>
      <c r="AB65" s="650"/>
      <c r="AC65" s="650"/>
      <c r="AD65" s="650"/>
      <c r="AE65" s="650"/>
      <c r="AF65" s="650"/>
      <c r="AG65" s="650"/>
      <c r="AH65" s="650"/>
      <c r="AI65" s="650"/>
    </row>
    <row r="66" spans="1:35" s="52" customFormat="1" ht="30" hidden="1">
      <c r="A66" s="5118" t="s">
        <v>26</v>
      </c>
      <c r="B66" s="5277" t="s">
        <v>10484</v>
      </c>
      <c r="C66" s="4861" t="s">
        <v>28</v>
      </c>
      <c r="D66" s="5665">
        <v>45509</v>
      </c>
      <c r="E66" s="5666">
        <v>45519</v>
      </c>
      <c r="F66" s="4861" t="s">
        <v>245</v>
      </c>
      <c r="G66" s="5118" t="s">
        <v>10423</v>
      </c>
      <c r="H66" s="5403">
        <v>45520</v>
      </c>
      <c r="I66" s="5696">
        <v>0.45833333333333331</v>
      </c>
      <c r="J66" s="5277" t="s">
        <v>4896</v>
      </c>
      <c r="K66" s="5277" t="s">
        <v>9588</v>
      </c>
      <c r="L66" s="4839">
        <v>108232</v>
      </c>
      <c r="M66" s="4839"/>
      <c r="N66" s="5403">
        <v>45520</v>
      </c>
      <c r="O66" s="5403">
        <v>45520</v>
      </c>
      <c r="P66" s="5277" t="s">
        <v>10485</v>
      </c>
      <c r="Q66" s="5277" t="s">
        <v>9226</v>
      </c>
      <c r="R66" s="5277" t="s">
        <v>10486</v>
      </c>
      <c r="S66" s="4908" t="s">
        <v>10279</v>
      </c>
      <c r="T66" s="5623">
        <v>1931</v>
      </c>
      <c r="U66" s="5623">
        <v>1705</v>
      </c>
      <c r="V66" s="5277">
        <v>1</v>
      </c>
      <c r="W66" s="5277"/>
      <c r="X66" s="5277"/>
      <c r="Y66" s="5277"/>
      <c r="Z66" s="5277"/>
      <c r="AA66" s="4874"/>
      <c r="AB66" s="106"/>
      <c r="AC66" s="106"/>
      <c r="AD66" s="106"/>
      <c r="AE66" s="106"/>
      <c r="AF66" s="106"/>
      <c r="AG66" s="106"/>
      <c r="AH66" s="106"/>
      <c r="AI66" s="106"/>
    </row>
    <row r="67" spans="1:35" s="52" customFormat="1" ht="30" hidden="1">
      <c r="A67" s="5118" t="s">
        <v>26</v>
      </c>
      <c r="B67" s="5277" t="s">
        <v>10487</v>
      </c>
      <c r="C67" s="4861" t="s">
        <v>28</v>
      </c>
      <c r="D67" s="5665">
        <v>45509</v>
      </c>
      <c r="E67" s="5666">
        <v>45519</v>
      </c>
      <c r="F67" s="4861" t="s">
        <v>245</v>
      </c>
      <c r="G67" s="5118" t="s">
        <v>10423</v>
      </c>
      <c r="H67" s="5403">
        <v>45520</v>
      </c>
      <c r="I67" s="5696">
        <v>0.41666666666666669</v>
      </c>
      <c r="J67" s="5277" t="s">
        <v>4896</v>
      </c>
      <c r="K67" s="5277" t="s">
        <v>9588</v>
      </c>
      <c r="L67" s="4839" t="s">
        <v>10488</v>
      </c>
      <c r="M67" s="4957">
        <v>45521</v>
      </c>
      <c r="N67" s="5403">
        <v>45520</v>
      </c>
      <c r="O67" s="5403">
        <v>45520</v>
      </c>
      <c r="P67" s="5277" t="s">
        <v>10489</v>
      </c>
      <c r="Q67" s="5277" t="s">
        <v>9226</v>
      </c>
      <c r="R67" s="5277" t="s">
        <v>10490</v>
      </c>
      <c r="S67" s="4908" t="s">
        <v>10279</v>
      </c>
      <c r="T67" s="5697">
        <v>1863.5</v>
      </c>
      <c r="U67" s="5623">
        <v>1635</v>
      </c>
      <c r="V67" s="5277">
        <v>1</v>
      </c>
      <c r="W67" s="5277"/>
      <c r="X67" s="5277"/>
      <c r="Y67" s="5277"/>
      <c r="Z67" s="5277"/>
      <c r="AA67" s="5277"/>
      <c r="AB67" s="1350"/>
      <c r="AC67" s="1350"/>
      <c r="AD67" s="1350"/>
      <c r="AE67" s="1350"/>
      <c r="AF67" s="1350"/>
      <c r="AG67" s="1350"/>
      <c r="AH67" s="1350"/>
      <c r="AI67" s="1350"/>
    </row>
    <row r="68" spans="1:35" s="1350" customFormat="1" ht="30" hidden="1">
      <c r="A68" s="5118" t="s">
        <v>26</v>
      </c>
      <c r="B68" s="5277" t="s">
        <v>10491</v>
      </c>
      <c r="C68" s="4861" t="s">
        <v>28</v>
      </c>
      <c r="D68" s="5651">
        <v>45509</v>
      </c>
      <c r="E68" s="5652">
        <v>45519</v>
      </c>
      <c r="F68" s="4861" t="s">
        <v>245</v>
      </c>
      <c r="G68" s="5118" t="s">
        <v>10423</v>
      </c>
      <c r="H68" s="5403">
        <v>45524</v>
      </c>
      <c r="I68" s="5696">
        <v>0.41666666666666669</v>
      </c>
      <c r="J68" s="5277" t="s">
        <v>4896</v>
      </c>
      <c r="K68" s="5277" t="s">
        <v>9588</v>
      </c>
      <c r="L68" s="4839">
        <v>301310</v>
      </c>
      <c r="M68" s="4859">
        <v>45521</v>
      </c>
      <c r="N68" s="5406">
        <v>45520</v>
      </c>
      <c r="O68" s="5406">
        <v>45523</v>
      </c>
      <c r="P68" s="5277" t="s">
        <v>10492</v>
      </c>
      <c r="Q68" s="5277" t="s">
        <v>9226</v>
      </c>
      <c r="R68" s="5277" t="s">
        <v>10493</v>
      </c>
      <c r="S68" s="4908" t="s">
        <v>10279</v>
      </c>
      <c r="T68" s="5623">
        <v>2088.5</v>
      </c>
      <c r="U68" s="5623">
        <v>1780</v>
      </c>
      <c r="V68" s="5277">
        <v>1</v>
      </c>
      <c r="W68" s="5277"/>
      <c r="X68" s="5277"/>
      <c r="Y68" s="5277"/>
      <c r="Z68" s="5277"/>
      <c r="AA68" s="5277"/>
    </row>
    <row r="69" spans="1:35" s="52" customFormat="1" ht="30" hidden="1">
      <c r="A69" s="5118" t="s">
        <v>26</v>
      </c>
      <c r="B69" s="5277" t="s">
        <v>10494</v>
      </c>
      <c r="C69" s="4861" t="s">
        <v>28</v>
      </c>
      <c r="D69" s="5665">
        <v>45509</v>
      </c>
      <c r="E69" s="5666">
        <v>45519</v>
      </c>
      <c r="F69" s="4861" t="s">
        <v>245</v>
      </c>
      <c r="G69" s="5118" t="s">
        <v>10423</v>
      </c>
      <c r="H69" s="5403">
        <v>45523</v>
      </c>
      <c r="I69" s="5696">
        <v>0.41666666666666669</v>
      </c>
      <c r="J69" s="5277" t="s">
        <v>4896</v>
      </c>
      <c r="K69" s="5277" t="s">
        <v>9588</v>
      </c>
      <c r="L69" s="4839">
        <v>697682</v>
      </c>
      <c r="M69" s="4957">
        <v>45521</v>
      </c>
      <c r="N69" s="5403">
        <v>45520</v>
      </c>
      <c r="O69" s="5403">
        <v>45523</v>
      </c>
      <c r="P69" s="5277" t="s">
        <v>10495</v>
      </c>
      <c r="Q69" s="5277" t="s">
        <v>9226</v>
      </c>
      <c r="R69" s="5277" t="s">
        <v>10496</v>
      </c>
      <c r="S69" s="4908" t="s">
        <v>10279</v>
      </c>
      <c r="T69" s="5623">
        <v>2068.5</v>
      </c>
      <c r="U69" s="5623">
        <v>1745</v>
      </c>
      <c r="V69" s="5277">
        <v>1</v>
      </c>
      <c r="W69" s="5277"/>
      <c r="X69" s="5277"/>
      <c r="Y69" s="5277"/>
      <c r="Z69" s="5277"/>
      <c r="AA69" s="5283"/>
    </row>
    <row r="70" spans="1:35" s="52" customFormat="1" ht="30" hidden="1">
      <c r="A70" s="5118" t="s">
        <v>26</v>
      </c>
      <c r="B70" s="5277" t="s">
        <v>10497</v>
      </c>
      <c r="C70" s="4861" t="s">
        <v>28</v>
      </c>
      <c r="D70" s="5665">
        <v>45509</v>
      </c>
      <c r="E70" s="5666">
        <v>45519</v>
      </c>
      <c r="F70" s="4861" t="s">
        <v>245</v>
      </c>
      <c r="G70" s="5118" t="s">
        <v>10423</v>
      </c>
      <c r="H70" s="5669">
        <v>45524</v>
      </c>
      <c r="I70" s="5696">
        <v>0.45833333333333331</v>
      </c>
      <c r="J70" s="5277" t="s">
        <v>4896</v>
      </c>
      <c r="K70" s="5277" t="s">
        <v>9588</v>
      </c>
      <c r="L70" s="4839">
        <v>113627</v>
      </c>
      <c r="M70" s="4957">
        <v>45521</v>
      </c>
      <c r="N70" s="5403">
        <v>45521</v>
      </c>
      <c r="O70" s="5403">
        <v>45524</v>
      </c>
      <c r="P70" s="5277" t="s">
        <v>10498</v>
      </c>
      <c r="Q70" s="5277" t="s">
        <v>9226</v>
      </c>
      <c r="R70" s="5277" t="s">
        <v>10499</v>
      </c>
      <c r="S70" s="4908" t="s">
        <v>10279</v>
      </c>
      <c r="T70" s="5623">
        <v>2136</v>
      </c>
      <c r="U70" s="5623">
        <v>1815</v>
      </c>
      <c r="V70" s="5277">
        <v>1</v>
      </c>
      <c r="W70" s="5277"/>
      <c r="X70" s="5277"/>
      <c r="Y70" s="5277"/>
      <c r="Z70" s="5277"/>
      <c r="AA70" s="5277"/>
      <c r="AB70" s="1350"/>
      <c r="AC70" s="1350"/>
      <c r="AD70" s="1350"/>
      <c r="AE70" s="1350"/>
      <c r="AF70" s="1350"/>
      <c r="AG70" s="1350"/>
      <c r="AH70" s="1350"/>
      <c r="AI70" s="1350"/>
    </row>
    <row r="71" spans="1:35" s="1350" customFormat="1" ht="15" hidden="1">
      <c r="A71" s="4843" t="s">
        <v>10328</v>
      </c>
      <c r="B71" s="4913" t="s">
        <v>10500</v>
      </c>
      <c r="C71" s="4861" t="s">
        <v>28</v>
      </c>
      <c r="D71" s="5668">
        <v>45504</v>
      </c>
      <c r="E71" s="5673">
        <v>45519</v>
      </c>
      <c r="F71" s="4882" t="s">
        <v>135</v>
      </c>
      <c r="G71" s="5277" t="s">
        <v>57</v>
      </c>
      <c r="H71" s="4913"/>
      <c r="I71" s="4913"/>
      <c r="J71" s="4913" t="s">
        <v>32</v>
      </c>
      <c r="K71" s="5277" t="s">
        <v>47</v>
      </c>
      <c r="L71" s="5206">
        <v>5269988</v>
      </c>
      <c r="M71" s="4897">
        <v>45521</v>
      </c>
      <c r="N71" s="4914">
        <v>45520</v>
      </c>
      <c r="O71" s="4914">
        <v>45523</v>
      </c>
      <c r="P71" s="4913" t="s">
        <v>10501</v>
      </c>
      <c r="Q71" s="5539" t="s">
        <v>6852</v>
      </c>
      <c r="R71" s="4913" t="s">
        <v>10502</v>
      </c>
      <c r="S71" s="4913"/>
      <c r="T71" s="4913"/>
      <c r="U71" s="4913"/>
      <c r="V71" s="4913"/>
      <c r="W71" s="4913"/>
      <c r="X71" s="4913"/>
      <c r="Y71" s="4913"/>
      <c r="Z71" s="4913"/>
      <c r="AA71" s="5277"/>
    </row>
    <row r="72" spans="1:35" s="1350" customFormat="1" ht="15" hidden="1">
      <c r="A72" s="5622" t="s">
        <v>4321</v>
      </c>
      <c r="B72" s="5277" t="s">
        <v>10503</v>
      </c>
      <c r="C72" s="4861" t="s">
        <v>28</v>
      </c>
      <c r="D72" s="5665">
        <v>45498</v>
      </c>
      <c r="E72" s="5666">
        <v>45519</v>
      </c>
      <c r="F72" s="4861" t="s">
        <v>93</v>
      </c>
      <c r="G72" s="5277" t="s">
        <v>46</v>
      </c>
      <c r="H72" s="5667"/>
      <c r="I72" s="5277"/>
      <c r="J72" s="5622" t="s">
        <v>32</v>
      </c>
      <c r="K72" s="5277" t="s">
        <v>47</v>
      </c>
      <c r="L72" s="4834">
        <v>364530</v>
      </c>
      <c r="M72" s="4859">
        <v>45520</v>
      </c>
      <c r="N72" s="5698">
        <v>45519</v>
      </c>
      <c r="O72" s="5699">
        <v>45521</v>
      </c>
      <c r="P72" s="4864" t="s">
        <v>10504</v>
      </c>
      <c r="Q72" s="5620" t="s">
        <v>6852</v>
      </c>
      <c r="R72" s="4913" t="s">
        <v>10505</v>
      </c>
      <c r="S72" s="4913"/>
      <c r="T72" s="4913"/>
      <c r="U72" s="4913"/>
      <c r="V72" s="4913"/>
      <c r="W72" s="4913"/>
      <c r="X72" s="4913"/>
      <c r="Y72" s="4913"/>
      <c r="Z72" s="4913"/>
      <c r="AA72" s="5277"/>
    </row>
    <row r="73" spans="1:35" ht="75" hidden="1">
      <c r="A73" s="5375" t="s">
        <v>409</v>
      </c>
      <c r="B73" s="4908" t="s">
        <v>10506</v>
      </c>
      <c r="C73" s="4845" t="s">
        <v>28</v>
      </c>
      <c r="D73" s="4961">
        <v>45504</v>
      </c>
      <c r="E73" s="4916">
        <v>45519</v>
      </c>
      <c r="F73" s="4908" t="s">
        <v>2225</v>
      </c>
      <c r="G73" s="4908" t="s">
        <v>57</v>
      </c>
      <c r="H73" s="4918">
        <v>45523</v>
      </c>
      <c r="I73" s="4918" t="s">
        <v>31</v>
      </c>
      <c r="J73" s="5375" t="s">
        <v>1353</v>
      </c>
      <c r="K73" s="4908" t="s">
        <v>10507</v>
      </c>
      <c r="L73" s="4947">
        <v>4707467</v>
      </c>
      <c r="M73" s="4906">
        <v>45522</v>
      </c>
      <c r="N73" s="4906">
        <v>45520</v>
      </c>
      <c r="O73" s="4906">
        <v>45523</v>
      </c>
      <c r="P73" s="4909" t="s">
        <v>10508</v>
      </c>
      <c r="Q73" s="5065" t="s">
        <v>75</v>
      </c>
      <c r="R73" s="4908" t="s">
        <v>10509</v>
      </c>
      <c r="S73" s="4908" t="s">
        <v>10279</v>
      </c>
      <c r="T73" s="5700">
        <v>1300</v>
      </c>
      <c r="U73" s="5190">
        <v>1000</v>
      </c>
      <c r="V73" s="4845">
        <v>1</v>
      </c>
      <c r="W73" s="5190">
        <f>T73-U73</f>
        <v>300</v>
      </c>
      <c r="X73" s="5060">
        <f>W73/U73</f>
        <v>0.3</v>
      </c>
      <c r="Y73" s="4845"/>
      <c r="Z73" s="4845"/>
      <c r="AA73" s="4874"/>
    </row>
    <row r="74" spans="1:35" s="52" customFormat="1" ht="15" hidden="1">
      <c r="A74" s="5678" t="s">
        <v>409</v>
      </c>
      <c r="B74" s="4913" t="s">
        <v>10510</v>
      </c>
      <c r="C74" s="4882" t="s">
        <v>28</v>
      </c>
      <c r="D74" s="5668">
        <v>45503</v>
      </c>
      <c r="E74" s="5673">
        <v>45519</v>
      </c>
      <c r="F74" s="4882" t="s">
        <v>2225</v>
      </c>
      <c r="G74" s="4891" t="s">
        <v>57</v>
      </c>
      <c r="H74" s="4913"/>
      <c r="I74" s="4913"/>
      <c r="J74" s="4913" t="s">
        <v>32</v>
      </c>
      <c r="K74" s="5277" t="s">
        <v>47</v>
      </c>
      <c r="L74" s="4839">
        <v>4707343</v>
      </c>
      <c r="M74" s="4897">
        <v>45521</v>
      </c>
      <c r="N74" s="4914">
        <v>45520</v>
      </c>
      <c r="O74" s="4914">
        <v>45523</v>
      </c>
      <c r="P74" s="4913" t="s">
        <v>10511</v>
      </c>
      <c r="Q74" s="5539" t="s">
        <v>6852</v>
      </c>
      <c r="R74" s="4913" t="s">
        <v>36</v>
      </c>
      <c r="S74" s="4913"/>
      <c r="T74" s="4913"/>
      <c r="U74" s="4913"/>
      <c r="V74" s="4913"/>
      <c r="W74" s="4913"/>
      <c r="X74" s="4913"/>
      <c r="Y74" s="4913"/>
      <c r="Z74" s="4913"/>
      <c r="AA74" s="5277"/>
      <c r="AB74" s="1350"/>
      <c r="AC74" s="1350"/>
      <c r="AD74" s="1350"/>
      <c r="AE74" s="1350"/>
      <c r="AF74" s="1350"/>
      <c r="AG74" s="1350"/>
      <c r="AH74" s="1350"/>
      <c r="AI74" s="1350"/>
    </row>
    <row r="75" spans="1:35" s="52" customFormat="1" ht="15" hidden="1">
      <c r="A75" s="5678" t="s">
        <v>409</v>
      </c>
      <c r="B75" s="4913" t="s">
        <v>10512</v>
      </c>
      <c r="C75" s="4882" t="s">
        <v>28</v>
      </c>
      <c r="D75" s="5668">
        <v>45503</v>
      </c>
      <c r="E75" s="5673">
        <v>45519</v>
      </c>
      <c r="F75" s="4882" t="s">
        <v>2225</v>
      </c>
      <c r="G75" s="4891" t="s">
        <v>57</v>
      </c>
      <c r="H75" s="4913"/>
      <c r="I75" s="4913"/>
      <c r="J75" s="4913" t="s">
        <v>32</v>
      </c>
      <c r="K75" s="5277" t="s">
        <v>47</v>
      </c>
      <c r="L75" s="4839">
        <v>4707478</v>
      </c>
      <c r="M75" s="4897">
        <v>45522</v>
      </c>
      <c r="N75" s="4914">
        <v>45521</v>
      </c>
      <c r="O75" s="4914">
        <v>45524</v>
      </c>
      <c r="P75" s="4913" t="s">
        <v>10513</v>
      </c>
      <c r="Q75" s="5539" t="s">
        <v>6852</v>
      </c>
      <c r="R75" s="4913" t="s">
        <v>36</v>
      </c>
      <c r="S75" s="4913"/>
      <c r="T75" s="4913"/>
      <c r="U75" s="4913"/>
      <c r="V75" s="4913"/>
      <c r="W75" s="4913"/>
      <c r="X75" s="4913"/>
      <c r="Y75" s="4913"/>
      <c r="Z75" s="4913"/>
      <c r="AA75" s="5283"/>
    </row>
    <row r="76" spans="1:35" s="1350" customFormat="1" ht="15" hidden="1">
      <c r="A76" s="5678" t="s">
        <v>409</v>
      </c>
      <c r="B76" s="5277" t="s">
        <v>10514</v>
      </c>
      <c r="C76" s="4861" t="s">
        <v>28</v>
      </c>
      <c r="D76" s="5665">
        <v>45506</v>
      </c>
      <c r="E76" s="5666">
        <v>45519</v>
      </c>
      <c r="F76" s="4861" t="s">
        <v>2225</v>
      </c>
      <c r="G76" s="5118" t="s">
        <v>57</v>
      </c>
      <c r="H76" s="5667"/>
      <c r="I76" s="5277"/>
      <c r="J76" s="5622" t="s">
        <v>32</v>
      </c>
      <c r="K76" s="5277" t="s">
        <v>47</v>
      </c>
      <c r="L76" s="4839">
        <v>5365774</v>
      </c>
      <c r="M76" s="4859">
        <v>45521</v>
      </c>
      <c r="N76" s="5406">
        <v>45519</v>
      </c>
      <c r="O76" s="5406">
        <v>45521</v>
      </c>
      <c r="P76" s="5118" t="s">
        <v>10515</v>
      </c>
      <c r="Q76" s="5539" t="s">
        <v>6852</v>
      </c>
      <c r="R76" s="5277" t="s">
        <v>36</v>
      </c>
      <c r="S76" s="5118"/>
      <c r="T76" s="5277"/>
      <c r="U76" s="5277"/>
      <c r="V76" s="5277"/>
      <c r="W76" s="5277"/>
      <c r="X76" s="5701"/>
      <c r="Y76" s="5277"/>
      <c r="Z76" s="5277"/>
      <c r="AA76" s="5277"/>
    </row>
    <row r="77" spans="1:35" s="1350" customFormat="1" ht="15" hidden="1">
      <c r="A77" s="5702" t="s">
        <v>409</v>
      </c>
      <c r="B77" s="5683" t="s">
        <v>10516</v>
      </c>
      <c r="C77" s="4873" t="s">
        <v>28</v>
      </c>
      <c r="D77" s="5684">
        <v>45503</v>
      </c>
      <c r="E77" s="5685">
        <v>45519</v>
      </c>
      <c r="F77" s="4873" t="s">
        <v>2225</v>
      </c>
      <c r="G77" s="5116" t="s">
        <v>57</v>
      </c>
      <c r="H77" s="4892"/>
      <c r="I77" s="4892"/>
      <c r="J77" s="4892" t="s">
        <v>32</v>
      </c>
      <c r="K77" s="5283" t="s">
        <v>47</v>
      </c>
      <c r="L77" s="5537" t="s">
        <v>10517</v>
      </c>
      <c r="M77" s="5485">
        <v>45522</v>
      </c>
      <c r="N77" s="5686">
        <v>45521</v>
      </c>
      <c r="O77" s="5686">
        <v>45523</v>
      </c>
      <c r="P77" s="4892" t="s">
        <v>10518</v>
      </c>
      <c r="Q77" s="5482" t="s">
        <v>6852</v>
      </c>
      <c r="R77" s="4892"/>
      <c r="S77" s="4892"/>
      <c r="T77" s="4892"/>
      <c r="U77" s="4892"/>
      <c r="V77" s="4892"/>
      <c r="W77" s="4892"/>
      <c r="X77" s="4892"/>
      <c r="Y77" s="4892"/>
      <c r="Z77" s="4892"/>
      <c r="AA77" s="4861"/>
      <c r="AB77" s="709"/>
      <c r="AC77" s="709"/>
      <c r="AD77" s="709"/>
      <c r="AE77" s="709"/>
      <c r="AF77" s="709"/>
      <c r="AG77" s="709"/>
      <c r="AH77" s="709"/>
      <c r="AI77" s="709"/>
    </row>
    <row r="78" spans="1:35" s="52" customFormat="1" ht="45" hidden="1">
      <c r="A78" s="5326" t="s">
        <v>7362</v>
      </c>
      <c r="B78" s="4861" t="s">
        <v>10519</v>
      </c>
      <c r="C78" s="4861" t="s">
        <v>28</v>
      </c>
      <c r="D78" s="4953">
        <v>45496</v>
      </c>
      <c r="E78" s="4885">
        <v>45520</v>
      </c>
      <c r="F78" s="4886" t="s">
        <v>151</v>
      </c>
      <c r="G78" s="4886" t="s">
        <v>801</v>
      </c>
      <c r="H78" s="5703">
        <v>45526</v>
      </c>
      <c r="I78" s="5675">
        <v>0.33333333333333331</v>
      </c>
      <c r="J78" s="5326" t="s">
        <v>3010</v>
      </c>
      <c r="K78" s="4886" t="s">
        <v>7364</v>
      </c>
      <c r="L78" s="4864">
        <v>109541</v>
      </c>
      <c r="M78" s="4953">
        <v>45523</v>
      </c>
      <c r="N78" s="4953">
        <v>45523</v>
      </c>
      <c r="O78" s="5450">
        <v>45526</v>
      </c>
      <c r="P78" s="4890" t="s">
        <v>10520</v>
      </c>
      <c r="Q78" s="5576" t="s">
        <v>9226</v>
      </c>
      <c r="R78" s="4864" t="s">
        <v>10521</v>
      </c>
      <c r="S78" s="4908" t="s">
        <v>10279</v>
      </c>
      <c r="T78" s="4861">
        <v>1780</v>
      </c>
      <c r="U78" s="4861">
        <v>1343.13</v>
      </c>
      <c r="V78" s="4861">
        <v>1</v>
      </c>
      <c r="W78" s="5577">
        <f>T78-U78</f>
        <v>436.86999999999989</v>
      </c>
      <c r="X78" s="5378">
        <f>W78/U78</f>
        <v>0.32526263280546175</v>
      </c>
      <c r="Y78" s="4861"/>
      <c r="Z78" s="4861"/>
      <c r="AA78" s="4921"/>
      <c r="AB78" s="36"/>
      <c r="AC78" s="36"/>
      <c r="AD78" s="36"/>
      <c r="AE78" s="36"/>
      <c r="AF78" s="36"/>
      <c r="AG78" s="36"/>
      <c r="AH78" s="36"/>
      <c r="AI78" s="36"/>
    </row>
    <row r="79" spans="1:35" s="36" customFormat="1" ht="15" hidden="1">
      <c r="A79" s="5118" t="s">
        <v>2618</v>
      </c>
      <c r="B79" s="5277" t="s">
        <v>10522</v>
      </c>
      <c r="C79" s="5277" t="s">
        <v>28</v>
      </c>
      <c r="D79" s="5669">
        <v>45510</v>
      </c>
      <c r="E79" s="5704">
        <v>45520</v>
      </c>
      <c r="F79" s="5277" t="s">
        <v>151</v>
      </c>
      <c r="G79" s="5118" t="s">
        <v>10523</v>
      </c>
      <c r="H79" s="5277"/>
      <c r="I79" s="5277"/>
      <c r="J79" s="5277"/>
      <c r="K79" s="5277"/>
      <c r="L79" s="5277">
        <v>772791</v>
      </c>
      <c r="M79" s="5277"/>
      <c r="N79" s="5403">
        <v>45520</v>
      </c>
      <c r="O79" s="5403">
        <v>45524</v>
      </c>
      <c r="P79" s="5277" t="s">
        <v>10524</v>
      </c>
      <c r="Q79" s="5277" t="s">
        <v>9226</v>
      </c>
      <c r="R79" s="5277" t="s">
        <v>10525</v>
      </c>
      <c r="S79" s="5277" t="s">
        <v>1320</v>
      </c>
      <c r="T79" s="5277"/>
      <c r="U79" s="5277"/>
      <c r="V79" s="5277"/>
      <c r="W79" s="5277"/>
      <c r="X79" s="5277"/>
      <c r="Y79" s="5277"/>
      <c r="Z79" s="5277"/>
      <c r="AA79" s="4837"/>
      <c r="AB79" s="3"/>
      <c r="AC79" s="3"/>
      <c r="AD79" s="3"/>
      <c r="AE79" s="3"/>
      <c r="AF79" s="3"/>
      <c r="AG79" s="3"/>
      <c r="AH79" s="3"/>
      <c r="AI79" s="3"/>
    </row>
    <row r="80" spans="1:35" s="52" customFormat="1" ht="15" hidden="1">
      <c r="A80" s="5118" t="s">
        <v>2618</v>
      </c>
      <c r="B80" s="5277" t="s">
        <v>10526</v>
      </c>
      <c r="C80" s="5277" t="s">
        <v>28</v>
      </c>
      <c r="D80" s="5669">
        <v>45510</v>
      </c>
      <c r="E80" s="5704">
        <v>45520</v>
      </c>
      <c r="F80" s="5277" t="s">
        <v>151</v>
      </c>
      <c r="G80" s="5118" t="s">
        <v>10523</v>
      </c>
      <c r="H80" s="5277"/>
      <c r="I80" s="5277"/>
      <c r="J80" s="5277"/>
      <c r="K80" s="5277"/>
      <c r="L80" s="5642">
        <v>860379</v>
      </c>
      <c r="M80" s="5277"/>
      <c r="N80" s="5403">
        <v>45522</v>
      </c>
      <c r="O80" s="5403">
        <v>45524</v>
      </c>
      <c r="P80" s="5277" t="s">
        <v>10524</v>
      </c>
      <c r="Q80" s="5277" t="s">
        <v>9226</v>
      </c>
      <c r="R80" s="5277" t="s">
        <v>10525</v>
      </c>
      <c r="S80" s="5277" t="s">
        <v>1320</v>
      </c>
      <c r="T80" s="5277"/>
      <c r="U80" s="5277"/>
      <c r="V80" s="5277"/>
      <c r="W80" s="5277"/>
      <c r="X80" s="5277"/>
      <c r="Y80" s="5277"/>
      <c r="Z80" s="5277"/>
      <c r="AA80" s="5283"/>
    </row>
    <row r="81" spans="1:35" s="650" customFormat="1" ht="15" hidden="1">
      <c r="A81" s="5118" t="s">
        <v>26</v>
      </c>
      <c r="B81" s="5277" t="s">
        <v>10527</v>
      </c>
      <c r="C81" s="5277" t="s">
        <v>28</v>
      </c>
      <c r="D81" s="5669">
        <v>45502</v>
      </c>
      <c r="E81" s="5704">
        <v>45521</v>
      </c>
      <c r="F81" s="5277" t="s">
        <v>245</v>
      </c>
      <c r="G81" s="5118" t="s">
        <v>57</v>
      </c>
      <c r="H81" s="5403">
        <v>45524</v>
      </c>
      <c r="I81" s="5696">
        <v>0.41666666666666669</v>
      </c>
      <c r="J81" s="5277" t="s">
        <v>4896</v>
      </c>
      <c r="K81" s="5277" t="s">
        <v>9588</v>
      </c>
      <c r="L81" s="5277">
        <v>4790737</v>
      </c>
      <c r="M81" s="5403">
        <v>45523</v>
      </c>
      <c r="N81" s="5403">
        <v>45523</v>
      </c>
      <c r="O81" s="5403">
        <v>45524</v>
      </c>
      <c r="P81" s="5277" t="s">
        <v>10528</v>
      </c>
      <c r="Q81" s="5277" t="s">
        <v>9226</v>
      </c>
      <c r="R81" s="5277" t="s">
        <v>10529</v>
      </c>
      <c r="S81" s="4908" t="s">
        <v>10279</v>
      </c>
      <c r="T81" s="5623">
        <v>1818.5</v>
      </c>
      <c r="U81" s="5623">
        <v>1595</v>
      </c>
      <c r="V81" s="5277">
        <v>1</v>
      </c>
      <c r="W81" s="5623">
        <f>T81-U81</f>
        <v>223.5</v>
      </c>
      <c r="X81" s="5277">
        <f>W81/U81</f>
        <v>0.14012539184952977</v>
      </c>
      <c r="Y81" s="5277"/>
      <c r="Z81" s="5277"/>
      <c r="AA81" s="5277"/>
      <c r="AB81" s="1350"/>
      <c r="AC81" s="1350"/>
      <c r="AD81" s="1350"/>
      <c r="AE81" s="1350"/>
      <c r="AF81" s="1416"/>
      <c r="AG81" s="1416"/>
      <c r="AH81" s="1416"/>
      <c r="AI81" s="1365"/>
    </row>
    <row r="82" spans="1:35" s="1350" customFormat="1" ht="175.5" hidden="1" customHeight="1">
      <c r="A82" s="4843" t="s">
        <v>10328</v>
      </c>
      <c r="B82" s="4913" t="s">
        <v>10530</v>
      </c>
      <c r="C82" s="4861" t="s">
        <v>28</v>
      </c>
      <c r="D82" s="5668">
        <v>45510</v>
      </c>
      <c r="E82" s="5673">
        <v>45521</v>
      </c>
      <c r="F82" s="4882" t="s">
        <v>260</v>
      </c>
      <c r="G82" s="5277" t="s">
        <v>46</v>
      </c>
      <c r="H82" s="4913"/>
      <c r="I82" s="4913"/>
      <c r="J82" s="4913" t="s">
        <v>32</v>
      </c>
      <c r="K82" s="5277" t="s">
        <v>47</v>
      </c>
      <c r="L82" s="4870" t="s">
        <v>10531</v>
      </c>
      <c r="M82" s="4897">
        <v>45523</v>
      </c>
      <c r="N82" s="4914">
        <v>45520</v>
      </c>
      <c r="O82" s="4914">
        <v>45524</v>
      </c>
      <c r="P82" s="4913" t="s">
        <v>10532</v>
      </c>
      <c r="Q82" s="4870" t="s">
        <v>6852</v>
      </c>
      <c r="R82" s="4913" t="s">
        <v>10533</v>
      </c>
      <c r="S82" s="4913"/>
      <c r="T82" s="4913"/>
      <c r="U82" s="4913"/>
      <c r="V82" s="4913"/>
      <c r="W82" s="4913"/>
      <c r="X82" s="4913"/>
      <c r="Y82" s="4913"/>
      <c r="Z82" s="4913"/>
      <c r="AA82" s="5277"/>
    </row>
    <row r="83" spans="1:35" s="117" customFormat="1" ht="150" hidden="1">
      <c r="A83" s="5375" t="s">
        <v>409</v>
      </c>
      <c r="B83" s="4908" t="s">
        <v>10534</v>
      </c>
      <c r="C83" s="4845" t="s">
        <v>28</v>
      </c>
      <c r="D83" s="4906">
        <v>45499</v>
      </c>
      <c r="E83" s="4916">
        <v>45521</v>
      </c>
      <c r="F83" s="4845" t="s">
        <v>151</v>
      </c>
      <c r="G83" s="4909" t="s">
        <v>10535</v>
      </c>
      <c r="H83" s="5705" t="s">
        <v>10536</v>
      </c>
      <c r="I83" s="5705" t="s">
        <v>10537</v>
      </c>
      <c r="J83" s="5375" t="s">
        <v>8758</v>
      </c>
      <c r="K83" s="507" t="s">
        <v>10538</v>
      </c>
      <c r="L83" s="4977" t="s">
        <v>10539</v>
      </c>
      <c r="M83" s="4988" t="s">
        <v>10540</v>
      </c>
      <c r="N83" s="4988" t="s">
        <v>10541</v>
      </c>
      <c r="O83" s="4906">
        <v>45567</v>
      </c>
      <c r="P83" s="4909" t="s">
        <v>10542</v>
      </c>
      <c r="Q83" s="5065" t="s">
        <v>75</v>
      </c>
      <c r="R83" s="507" t="s">
        <v>10543</v>
      </c>
      <c r="S83" s="4908" t="s">
        <v>10279</v>
      </c>
      <c r="T83" s="4845">
        <v>2680</v>
      </c>
      <c r="U83" s="4845">
        <v>2471.1</v>
      </c>
      <c r="V83" s="4845">
        <v>1</v>
      </c>
      <c r="W83" s="4845">
        <f>T83-U83</f>
        <v>208.90000000000009</v>
      </c>
      <c r="X83" s="507">
        <f>W83/U83</f>
        <v>8.4537250617134116E-2</v>
      </c>
      <c r="Y83" s="4845"/>
      <c r="Z83" s="4845"/>
      <c r="AA83" s="4934"/>
      <c r="AB83" s="507"/>
      <c r="AC83" s="507"/>
      <c r="AD83" s="507"/>
      <c r="AE83" s="507"/>
      <c r="AF83" s="507"/>
      <c r="AG83" s="507"/>
      <c r="AH83" s="507"/>
      <c r="AI83" s="507"/>
    </row>
    <row r="84" spans="1:35" ht="90.75" hidden="1" customHeight="1">
      <c r="A84" s="5118" t="s">
        <v>2618</v>
      </c>
      <c r="B84" s="5277" t="s">
        <v>10544</v>
      </c>
      <c r="C84" s="5277" t="s">
        <v>28</v>
      </c>
      <c r="D84" s="5669">
        <v>45510</v>
      </c>
      <c r="E84" s="5704">
        <v>45521</v>
      </c>
      <c r="F84" s="5277" t="s">
        <v>151</v>
      </c>
      <c r="G84" s="5118" t="s">
        <v>10523</v>
      </c>
      <c r="H84" s="5277"/>
      <c r="I84" s="5277"/>
      <c r="J84" s="5277"/>
      <c r="K84" s="5277"/>
      <c r="L84" s="5642">
        <v>574225</v>
      </c>
      <c r="M84" s="5403">
        <v>45523</v>
      </c>
      <c r="N84" s="5403">
        <v>45523</v>
      </c>
      <c r="O84" s="5403">
        <v>45524</v>
      </c>
      <c r="P84" s="5277" t="s">
        <v>10524</v>
      </c>
      <c r="Q84" s="5277" t="s">
        <v>9226</v>
      </c>
      <c r="R84" s="5277" t="s">
        <v>10525</v>
      </c>
      <c r="S84" s="5277" t="s">
        <v>1320</v>
      </c>
      <c r="T84" s="5277"/>
      <c r="U84" s="5277"/>
      <c r="V84" s="5277"/>
      <c r="W84" s="5277"/>
      <c r="X84" s="5277"/>
      <c r="Y84" s="5277"/>
      <c r="Z84" s="5277"/>
      <c r="AA84" s="4892"/>
      <c r="AB84"/>
      <c r="AC84"/>
      <c r="AD84"/>
      <c r="AE84"/>
      <c r="AF84"/>
      <c r="AG84"/>
      <c r="AH84"/>
      <c r="AI84"/>
    </row>
    <row r="85" spans="1:35" s="709" customFormat="1" ht="75" hidden="1">
      <c r="A85" s="5375" t="s">
        <v>68</v>
      </c>
      <c r="B85" s="5706" t="s">
        <v>10545</v>
      </c>
      <c r="C85" s="4845" t="s">
        <v>28</v>
      </c>
      <c r="D85" s="4906">
        <v>45511</v>
      </c>
      <c r="E85" s="4916">
        <v>45521</v>
      </c>
      <c r="F85" s="4845" t="s">
        <v>45</v>
      </c>
      <c r="G85" s="4908" t="s">
        <v>919</v>
      </c>
      <c r="H85" s="4918">
        <v>45524</v>
      </c>
      <c r="I85" s="4951" t="s">
        <v>31</v>
      </c>
      <c r="J85" s="5375" t="s">
        <v>490</v>
      </c>
      <c r="K85" s="4908" t="s">
        <v>2671</v>
      </c>
      <c r="L85" s="4909" t="s">
        <v>10546</v>
      </c>
      <c r="M85" s="4918">
        <v>45524</v>
      </c>
      <c r="N85" s="4918">
        <v>45524</v>
      </c>
      <c r="O85" s="4906">
        <v>45525</v>
      </c>
      <c r="P85" s="4909" t="s">
        <v>10547</v>
      </c>
      <c r="Q85" s="5065" t="s">
        <v>75</v>
      </c>
      <c r="R85" s="4908" t="s">
        <v>10548</v>
      </c>
      <c r="S85" s="4909" t="s">
        <v>67</v>
      </c>
      <c r="T85" s="4845">
        <v>660</v>
      </c>
      <c r="U85" s="4845">
        <f>437.5+90</f>
        <v>527.5</v>
      </c>
      <c r="V85" s="4845">
        <v>1</v>
      </c>
      <c r="W85" s="4845">
        <f>T85-U85</f>
        <v>132.5</v>
      </c>
      <c r="X85" s="5060">
        <f>W85/U85</f>
        <v>0.25118483412322273</v>
      </c>
      <c r="Y85" s="4845"/>
      <c r="Z85" s="4845"/>
      <c r="AA85" s="4874"/>
      <c r="AB85" s="106"/>
      <c r="AC85" s="106"/>
      <c r="AD85" s="106"/>
      <c r="AE85" s="106"/>
      <c r="AF85" s="106"/>
      <c r="AG85" s="106"/>
      <c r="AH85" s="106"/>
      <c r="AI85" s="106"/>
    </row>
    <row r="86" spans="1:35" s="709" customFormat="1" ht="75" hidden="1">
      <c r="A86" s="5375" t="s">
        <v>165</v>
      </c>
      <c r="B86" s="5706" t="s">
        <v>10549</v>
      </c>
      <c r="C86" s="4845" t="s">
        <v>28</v>
      </c>
      <c r="D86" s="4906">
        <v>45515</v>
      </c>
      <c r="E86" s="4916">
        <v>45521</v>
      </c>
      <c r="F86" s="4908" t="s">
        <v>29</v>
      </c>
      <c r="G86" s="4908" t="s">
        <v>5557</v>
      </c>
      <c r="H86" s="4915" t="s">
        <v>10550</v>
      </c>
      <c r="I86" s="4915" t="s">
        <v>10551</v>
      </c>
      <c r="J86" s="5375" t="s">
        <v>363</v>
      </c>
      <c r="K86" s="4908" t="s">
        <v>10552</v>
      </c>
      <c r="L86" s="4951">
        <v>5848846</v>
      </c>
      <c r="M86" s="4918">
        <v>45523</v>
      </c>
      <c r="N86" s="4906">
        <v>45523</v>
      </c>
      <c r="O86" s="4918">
        <v>45525</v>
      </c>
      <c r="P86" s="4909" t="s">
        <v>10553</v>
      </c>
      <c r="Q86" s="5065" t="s">
        <v>75</v>
      </c>
      <c r="R86" s="4908" t="s">
        <v>10554</v>
      </c>
      <c r="S86" s="4908" t="s">
        <v>10279</v>
      </c>
      <c r="T86" s="4845">
        <v>845</v>
      </c>
      <c r="U86" s="4909">
        <v>646.6</v>
      </c>
      <c r="V86" s="4845">
        <v>1</v>
      </c>
      <c r="W86" s="5190">
        <f>T86-U86</f>
        <v>198.39999999999998</v>
      </c>
      <c r="X86" s="5060">
        <f>W86/U86</f>
        <v>0.30683575626353227</v>
      </c>
      <c r="Y86" s="4845"/>
      <c r="Z86" s="4845"/>
      <c r="AA86" s="4861"/>
    </row>
    <row r="87" spans="1:35" ht="75" hidden="1">
      <c r="A87" s="5375" t="s">
        <v>165</v>
      </c>
      <c r="B87" s="5706" t="s">
        <v>10555</v>
      </c>
      <c r="C87" s="4845" t="s">
        <v>28</v>
      </c>
      <c r="D87" s="4906">
        <v>45515</v>
      </c>
      <c r="E87" s="4917">
        <v>45521</v>
      </c>
      <c r="F87" s="4908" t="s">
        <v>29</v>
      </c>
      <c r="G87" s="4908" t="s">
        <v>5557</v>
      </c>
      <c r="H87" s="4918">
        <v>45526</v>
      </c>
      <c r="I87" s="4915" t="s">
        <v>445</v>
      </c>
      <c r="J87" s="5375" t="s">
        <v>363</v>
      </c>
      <c r="K87" s="4908" t="s">
        <v>10552</v>
      </c>
      <c r="L87" s="4951">
        <v>5848856</v>
      </c>
      <c r="M87" s="4918">
        <v>45523</v>
      </c>
      <c r="N87" s="4906">
        <v>45523</v>
      </c>
      <c r="O87" s="4918">
        <v>45526</v>
      </c>
      <c r="P87" s="4909" t="s">
        <v>10556</v>
      </c>
      <c r="Q87" s="5065" t="s">
        <v>75</v>
      </c>
      <c r="R87" s="4908" t="s">
        <v>10557</v>
      </c>
      <c r="S87" s="4908" t="s">
        <v>10279</v>
      </c>
      <c r="T87" s="4845">
        <v>940</v>
      </c>
      <c r="U87" s="4909">
        <v>741.6</v>
      </c>
      <c r="V87" s="4845">
        <v>1</v>
      </c>
      <c r="W87" s="5190">
        <f>T87-U87</f>
        <v>198.39999999999998</v>
      </c>
      <c r="X87" s="5060">
        <f>W87/U87</f>
        <v>0.26752966558791796</v>
      </c>
      <c r="Y87" s="4845"/>
      <c r="Z87" s="4845"/>
      <c r="AA87" s="4874"/>
    </row>
    <row r="88" spans="1:35" s="1350" customFormat="1" ht="15" hidden="1">
      <c r="A88" s="4891" t="s">
        <v>4321</v>
      </c>
      <c r="B88" s="4913" t="s">
        <v>10558</v>
      </c>
      <c r="C88" s="4882" t="s">
        <v>28</v>
      </c>
      <c r="D88" s="5668">
        <v>45502</v>
      </c>
      <c r="E88" s="5673">
        <v>45522</v>
      </c>
      <c r="F88" s="4882" t="s">
        <v>245</v>
      </c>
      <c r="G88" s="4891" t="s">
        <v>57</v>
      </c>
      <c r="H88" s="4913"/>
      <c r="I88" s="4913"/>
      <c r="J88" s="4913" t="s">
        <v>32</v>
      </c>
      <c r="K88" s="5277" t="s">
        <v>47</v>
      </c>
      <c r="L88" s="4869">
        <v>4790711</v>
      </c>
      <c r="M88" s="4897">
        <v>45524</v>
      </c>
      <c r="N88" s="4914">
        <v>45524</v>
      </c>
      <c r="O88" s="4914">
        <v>45525</v>
      </c>
      <c r="P88" s="4913" t="s">
        <v>10559</v>
      </c>
      <c r="Q88" s="5539" t="s">
        <v>6852</v>
      </c>
      <c r="R88" s="4913" t="s">
        <v>10560</v>
      </c>
      <c r="S88" s="4913"/>
      <c r="T88" s="4913"/>
      <c r="U88" s="4913"/>
      <c r="V88" s="4913"/>
      <c r="W88" s="4913"/>
      <c r="X88" s="4913"/>
      <c r="Y88" s="4913"/>
      <c r="Z88" s="4913"/>
      <c r="AA88" s="5277"/>
    </row>
    <row r="89" spans="1:35" s="709" customFormat="1" ht="15" hidden="1">
      <c r="A89" s="5678" t="s">
        <v>409</v>
      </c>
      <c r="B89" s="5277" t="s">
        <v>10561</v>
      </c>
      <c r="C89" s="4882" t="s">
        <v>28</v>
      </c>
      <c r="D89" s="5668">
        <v>45505</v>
      </c>
      <c r="E89" s="5673">
        <v>45522</v>
      </c>
      <c r="F89" s="4882" t="s">
        <v>151</v>
      </c>
      <c r="G89" s="4891" t="s">
        <v>46</v>
      </c>
      <c r="H89" s="4913"/>
      <c r="I89" s="4913"/>
      <c r="J89" s="4913" t="s">
        <v>32</v>
      </c>
      <c r="K89" s="5277" t="s">
        <v>47</v>
      </c>
      <c r="L89" s="4870" t="s">
        <v>10562</v>
      </c>
      <c r="M89" s="4897">
        <v>45523</v>
      </c>
      <c r="N89" s="4914">
        <v>45523</v>
      </c>
      <c r="O89" s="4914">
        <v>45525</v>
      </c>
      <c r="P89" s="4913" t="s">
        <v>10563</v>
      </c>
      <c r="Q89" s="5539" t="s">
        <v>6852</v>
      </c>
      <c r="R89" s="4913" t="s">
        <v>36</v>
      </c>
      <c r="S89" s="4913"/>
      <c r="T89" s="4913"/>
      <c r="U89" s="4913"/>
      <c r="V89" s="4913"/>
      <c r="W89" s="4913"/>
      <c r="X89" s="4913"/>
      <c r="Y89" s="4913"/>
      <c r="Z89" s="4913"/>
      <c r="AA89" s="5277"/>
      <c r="AB89" s="1350"/>
      <c r="AC89" s="1350"/>
      <c r="AD89" s="1350"/>
      <c r="AE89" s="1350"/>
      <c r="AF89" s="1350"/>
      <c r="AG89" s="1350"/>
      <c r="AH89" s="1350"/>
      <c r="AI89" s="1350"/>
    </row>
    <row r="90" spans="1:35" s="1350" customFormat="1" ht="30" hidden="1">
      <c r="A90" s="5118" t="s">
        <v>26</v>
      </c>
      <c r="B90" s="5277" t="s">
        <v>10564</v>
      </c>
      <c r="C90" s="5277" t="s">
        <v>28</v>
      </c>
      <c r="D90" s="5669">
        <v>45502</v>
      </c>
      <c r="E90" s="5704">
        <v>45523</v>
      </c>
      <c r="F90" s="5277" t="s">
        <v>245</v>
      </c>
      <c r="G90" s="5118" t="s">
        <v>57</v>
      </c>
      <c r="H90" s="5277"/>
      <c r="I90" s="5277"/>
      <c r="J90" s="5277" t="s">
        <v>4896</v>
      </c>
      <c r="K90" s="5118" t="s">
        <v>10565</v>
      </c>
      <c r="L90" s="5277">
        <v>4790765</v>
      </c>
      <c r="M90" s="5403">
        <v>45525</v>
      </c>
      <c r="N90" s="5403">
        <v>45524</v>
      </c>
      <c r="O90" s="5403">
        <v>45525</v>
      </c>
      <c r="P90" s="5118" t="s">
        <v>10566</v>
      </c>
      <c r="Q90" s="5277" t="s">
        <v>9226</v>
      </c>
      <c r="R90" s="5277" t="s">
        <v>10567</v>
      </c>
      <c r="S90" s="4908" t="s">
        <v>10279</v>
      </c>
      <c r="T90" s="5623">
        <v>2344</v>
      </c>
      <c r="U90" s="5707" t="s">
        <v>10568</v>
      </c>
      <c r="V90" s="5277"/>
      <c r="W90" s="5623"/>
      <c r="X90" s="5277"/>
      <c r="Y90" s="5277"/>
      <c r="Z90" s="5277"/>
      <c r="AA90" s="5277"/>
    </row>
    <row r="91" spans="1:35" s="1350" customFormat="1" ht="15" hidden="1">
      <c r="A91" s="4891" t="s">
        <v>799</v>
      </c>
      <c r="B91" s="4913" t="s">
        <v>10569</v>
      </c>
      <c r="C91" s="4882" t="s">
        <v>28</v>
      </c>
      <c r="D91" s="5668">
        <v>45504</v>
      </c>
      <c r="E91" s="5673">
        <v>45523</v>
      </c>
      <c r="F91" s="4882" t="s">
        <v>45</v>
      </c>
      <c r="G91" s="4891" t="s">
        <v>46</v>
      </c>
      <c r="H91" s="4913"/>
      <c r="I91" s="4913"/>
      <c r="J91" s="4913" t="s">
        <v>32</v>
      </c>
      <c r="K91" s="5277" t="s">
        <v>47</v>
      </c>
      <c r="L91" s="4870" t="s">
        <v>10570</v>
      </c>
      <c r="M91" s="4870"/>
      <c r="N91" s="4914">
        <v>45523</v>
      </c>
      <c r="O91" s="4914">
        <v>45525</v>
      </c>
      <c r="P91" s="4913" t="s">
        <v>10571</v>
      </c>
      <c r="Q91" s="5539" t="s">
        <v>6852</v>
      </c>
      <c r="R91" s="4913" t="s">
        <v>10572</v>
      </c>
      <c r="S91" s="4913"/>
      <c r="T91" s="4913"/>
      <c r="U91" s="4913"/>
      <c r="V91" s="4913"/>
      <c r="W91" s="4913"/>
      <c r="X91" s="4913"/>
      <c r="Y91" s="4913"/>
      <c r="Z91" s="4913"/>
      <c r="AA91" s="5277"/>
    </row>
    <row r="92" spans="1:35" s="36" customFormat="1" ht="30" hidden="1">
      <c r="A92" s="5118" t="s">
        <v>26</v>
      </c>
      <c r="B92" s="5277" t="s">
        <v>10573</v>
      </c>
      <c r="C92" s="4861" t="s">
        <v>28</v>
      </c>
      <c r="D92" s="5665">
        <v>45513</v>
      </c>
      <c r="E92" s="5666">
        <v>45524</v>
      </c>
      <c r="F92" s="4861" t="s">
        <v>245</v>
      </c>
      <c r="G92" s="5118" t="s">
        <v>10423</v>
      </c>
      <c r="H92" s="5403">
        <v>45526</v>
      </c>
      <c r="I92" s="5696">
        <v>0.41666666666666669</v>
      </c>
      <c r="J92" s="5277" t="s">
        <v>4896</v>
      </c>
      <c r="K92" s="5277" t="s">
        <v>9588</v>
      </c>
      <c r="L92" s="4913">
        <v>649051</v>
      </c>
      <c r="M92" s="4914">
        <v>45526</v>
      </c>
      <c r="N92" s="5403">
        <v>45526</v>
      </c>
      <c r="O92" s="5403">
        <v>45527</v>
      </c>
      <c r="P92" s="5277" t="s">
        <v>10574</v>
      </c>
      <c r="Q92" s="5277" t="s">
        <v>9226</v>
      </c>
      <c r="R92" s="5277" t="s">
        <v>10575</v>
      </c>
      <c r="S92" s="4908" t="s">
        <v>10279</v>
      </c>
      <c r="T92" s="5623">
        <v>1863.5</v>
      </c>
      <c r="U92" s="5623">
        <v>1630</v>
      </c>
      <c r="V92" s="5277">
        <v>1</v>
      </c>
      <c r="W92" s="5277"/>
      <c r="X92" s="5277"/>
      <c r="Y92" s="5277"/>
      <c r="Z92" s="5277"/>
      <c r="AA92" s="5283"/>
      <c r="AB92" s="52"/>
      <c r="AC92" s="52"/>
      <c r="AD92" s="52"/>
      <c r="AE92" s="52"/>
      <c r="AF92" s="52"/>
      <c r="AG92" s="52"/>
      <c r="AH92" s="52"/>
      <c r="AI92" s="52"/>
    </row>
    <row r="93" spans="1:35" s="1350" customFormat="1" ht="60" hidden="1">
      <c r="A93" s="5118" t="s">
        <v>9716</v>
      </c>
      <c r="B93" s="5277" t="s">
        <v>10576</v>
      </c>
      <c r="C93" s="5277" t="s">
        <v>28</v>
      </c>
      <c r="D93" s="5403">
        <v>45524</v>
      </c>
      <c r="E93" s="5403">
        <v>45524</v>
      </c>
      <c r="F93" s="5277" t="s">
        <v>1671</v>
      </c>
      <c r="G93" s="5118" t="s">
        <v>10577</v>
      </c>
      <c r="H93" s="5403">
        <v>45533</v>
      </c>
      <c r="I93" s="5708" t="s">
        <v>10578</v>
      </c>
      <c r="J93" s="5118" t="s">
        <v>1163</v>
      </c>
      <c r="K93" s="5118" t="s">
        <v>10579</v>
      </c>
      <c r="L93" s="5277"/>
      <c r="M93" s="5403">
        <v>45531</v>
      </c>
      <c r="N93" s="5403">
        <v>45531</v>
      </c>
      <c r="O93" s="5709">
        <v>45534</v>
      </c>
      <c r="P93" s="5277" t="s">
        <v>10580</v>
      </c>
      <c r="Q93" s="5277" t="s">
        <v>9226</v>
      </c>
      <c r="R93" s="5277" t="s">
        <v>10581</v>
      </c>
      <c r="S93" s="4908" t="s">
        <v>10279</v>
      </c>
      <c r="T93" s="5710">
        <v>2090</v>
      </c>
      <c r="U93" s="5623">
        <v>1706.65</v>
      </c>
      <c r="V93" s="5277">
        <v>1</v>
      </c>
      <c r="W93" s="5277"/>
      <c r="X93" s="5277"/>
      <c r="Y93" s="5277"/>
      <c r="Z93" s="5277"/>
      <c r="AA93" s="5277"/>
    </row>
    <row r="94" spans="1:35" s="1350" customFormat="1" ht="15" hidden="1">
      <c r="A94" s="5702" t="s">
        <v>409</v>
      </c>
      <c r="B94" s="5683" t="s">
        <v>10582</v>
      </c>
      <c r="C94" s="4873" t="s">
        <v>28</v>
      </c>
      <c r="D94" s="5684">
        <v>45505</v>
      </c>
      <c r="E94" s="5685">
        <v>45524</v>
      </c>
      <c r="F94" s="4873" t="s">
        <v>151</v>
      </c>
      <c r="G94" s="5116" t="s">
        <v>46</v>
      </c>
      <c r="H94" s="4892"/>
      <c r="I94" s="4892"/>
      <c r="J94" s="4892" t="s">
        <v>32</v>
      </c>
      <c r="K94" s="5283" t="s">
        <v>47</v>
      </c>
      <c r="L94" s="4872" t="s">
        <v>10583</v>
      </c>
      <c r="M94" s="5485">
        <v>45525</v>
      </c>
      <c r="N94" s="5686">
        <v>45524</v>
      </c>
      <c r="O94" s="5686">
        <v>45526</v>
      </c>
      <c r="P94" s="4892" t="s">
        <v>10584</v>
      </c>
      <c r="Q94" s="5482" t="s">
        <v>6852</v>
      </c>
      <c r="R94" s="4892" t="s">
        <v>10585</v>
      </c>
      <c r="S94" s="4892"/>
      <c r="T94" s="4892"/>
      <c r="U94" s="4892"/>
      <c r="V94" s="4892"/>
      <c r="W94" s="4892"/>
      <c r="X94" s="4892"/>
      <c r="Y94" s="4892"/>
      <c r="Z94" s="4892"/>
      <c r="AA94" s="5277"/>
    </row>
    <row r="95" spans="1:35" s="3" customFormat="1" ht="15" hidden="1">
      <c r="A95" s="5678" t="s">
        <v>409</v>
      </c>
      <c r="B95" s="4913" t="s">
        <v>10586</v>
      </c>
      <c r="C95" s="4882" t="s">
        <v>28</v>
      </c>
      <c r="D95" s="5668">
        <v>45507</v>
      </c>
      <c r="E95" s="5673">
        <v>45524</v>
      </c>
      <c r="F95" s="4882" t="s">
        <v>151</v>
      </c>
      <c r="G95" s="4891" t="s">
        <v>46</v>
      </c>
      <c r="H95" s="4913"/>
      <c r="I95" s="4913"/>
      <c r="J95" s="4913" t="s">
        <v>32</v>
      </c>
      <c r="K95" s="5277" t="s">
        <v>47</v>
      </c>
      <c r="L95" s="4870" t="s">
        <v>10587</v>
      </c>
      <c r="M95" s="4897">
        <v>45526</v>
      </c>
      <c r="N95" s="4914">
        <v>45525</v>
      </c>
      <c r="O95" s="4914">
        <v>45526</v>
      </c>
      <c r="P95" s="4913" t="s">
        <v>10588</v>
      </c>
      <c r="Q95" s="5539" t="s">
        <v>6852</v>
      </c>
      <c r="R95" s="4913" t="s">
        <v>36</v>
      </c>
      <c r="S95" s="4913"/>
      <c r="T95" s="4913"/>
      <c r="U95" s="4913"/>
      <c r="V95" s="4913"/>
      <c r="W95" s="4913"/>
      <c r="X95" s="4913"/>
      <c r="Y95" s="4913"/>
      <c r="Z95" s="4913"/>
      <c r="AA95" s="4921"/>
      <c r="AB95" s="36"/>
      <c r="AC95" s="36"/>
      <c r="AD95" s="36"/>
      <c r="AE95" s="36"/>
      <c r="AF95" s="36"/>
      <c r="AG95" s="36"/>
      <c r="AH95" s="36"/>
      <c r="AI95" s="36"/>
    </row>
    <row r="96" spans="1:35" ht="75" hidden="1">
      <c r="A96" s="5375" t="s">
        <v>68</v>
      </c>
      <c r="B96" s="5706" t="s">
        <v>10589</v>
      </c>
      <c r="C96" s="4845" t="s">
        <v>28</v>
      </c>
      <c r="D96" s="4906">
        <v>45511</v>
      </c>
      <c r="E96" s="4916">
        <v>45524</v>
      </c>
      <c r="F96" s="4845" t="s">
        <v>45</v>
      </c>
      <c r="G96" s="4908" t="s">
        <v>919</v>
      </c>
      <c r="H96" s="4918">
        <v>45526</v>
      </c>
      <c r="I96" s="4845"/>
      <c r="J96" s="5375" t="s">
        <v>490</v>
      </c>
      <c r="K96" s="4908" t="s">
        <v>2671</v>
      </c>
      <c r="L96" s="4909" t="s">
        <v>10590</v>
      </c>
      <c r="M96" s="4936">
        <v>45526</v>
      </c>
      <c r="N96" s="4918">
        <v>45525</v>
      </c>
      <c r="O96" s="4906">
        <v>45526</v>
      </c>
      <c r="P96" s="4909" t="s">
        <v>10591</v>
      </c>
      <c r="Q96" s="5065" t="s">
        <v>75</v>
      </c>
      <c r="R96" s="4908" t="s">
        <v>10592</v>
      </c>
      <c r="S96" s="4909" t="s">
        <v>67</v>
      </c>
      <c r="T96" s="4845">
        <v>790</v>
      </c>
      <c r="U96" s="4845">
        <f>437.5</f>
        <v>437.5</v>
      </c>
      <c r="V96" s="4845">
        <v>1</v>
      </c>
      <c r="W96" s="4845">
        <f>T96-U96</f>
        <v>352.5</v>
      </c>
      <c r="X96" s="5060">
        <f>W96/U96</f>
        <v>0.80571428571428572</v>
      </c>
      <c r="Y96" s="4845"/>
      <c r="Z96" s="4845"/>
      <c r="AA96" s="4874"/>
    </row>
    <row r="97" spans="1:35" s="26" customFormat="1" ht="150" hidden="1">
      <c r="A97" s="5243" t="s">
        <v>788</v>
      </c>
      <c r="B97" s="5706" t="s">
        <v>10593</v>
      </c>
      <c r="C97" s="4845" t="s">
        <v>200</v>
      </c>
      <c r="D97" s="4906">
        <v>45521</v>
      </c>
      <c r="E97" s="4916">
        <v>45524</v>
      </c>
      <c r="F97" s="4908" t="s">
        <v>93</v>
      </c>
      <c r="G97" s="4908" t="s">
        <v>10594</v>
      </c>
      <c r="H97" s="4906">
        <v>45526</v>
      </c>
      <c r="I97" s="4845" t="s">
        <v>445</v>
      </c>
      <c r="J97" s="5065" t="s">
        <v>1163</v>
      </c>
      <c r="K97" s="4908" t="s">
        <v>10595</v>
      </c>
      <c r="L97" s="4918" t="s">
        <v>10596</v>
      </c>
      <c r="M97" s="4906">
        <v>45526</v>
      </c>
      <c r="N97" s="4906">
        <v>45526</v>
      </c>
      <c r="O97" s="4906">
        <v>45526</v>
      </c>
      <c r="P97" s="4909" t="s">
        <v>10597</v>
      </c>
      <c r="Q97" s="5065" t="s">
        <v>75</v>
      </c>
      <c r="R97" s="4908" t="s">
        <v>10598</v>
      </c>
      <c r="S97" s="4909" t="s">
        <v>67</v>
      </c>
      <c r="T97" s="5190">
        <v>1065</v>
      </c>
      <c r="U97" s="5711">
        <v>618.5</v>
      </c>
      <c r="V97" s="4845">
        <v>1</v>
      </c>
      <c r="W97" s="4845">
        <f>T97-U97</f>
        <v>446.5</v>
      </c>
      <c r="X97" s="5060">
        <f>W97/U97</f>
        <v>0.72190784155214227</v>
      </c>
      <c r="Y97" s="4845"/>
      <c r="Z97" s="4845"/>
      <c r="AA97" s="4874"/>
      <c r="AB97" s="106"/>
      <c r="AC97" s="106"/>
      <c r="AD97" s="106"/>
      <c r="AE97" s="106"/>
      <c r="AF97" s="106"/>
      <c r="AG97" s="106"/>
      <c r="AH97" s="106"/>
      <c r="AI97" s="106"/>
    </row>
    <row r="98" spans="1:35" s="26" customFormat="1" ht="30" hidden="1">
      <c r="A98" s="5712" t="s">
        <v>9620</v>
      </c>
      <c r="B98" s="5067" t="s">
        <v>10599</v>
      </c>
      <c r="C98" s="5713" t="s">
        <v>28</v>
      </c>
      <c r="D98" s="5714">
        <v>45518</v>
      </c>
      <c r="E98" s="5715">
        <v>45525</v>
      </c>
      <c r="F98" s="5713" t="s">
        <v>10600</v>
      </c>
      <c r="G98" s="5712" t="s">
        <v>302</v>
      </c>
      <c r="H98" s="5716" t="s">
        <v>10601</v>
      </c>
      <c r="I98" s="5713"/>
      <c r="J98" s="5716" t="s">
        <v>32</v>
      </c>
      <c r="K98" s="5716" t="s">
        <v>10602</v>
      </c>
      <c r="L98" s="5717" t="s">
        <v>10603</v>
      </c>
      <c r="M98" s="4844">
        <v>45529</v>
      </c>
      <c r="N98" s="4844">
        <v>45529</v>
      </c>
      <c r="O98" s="4844">
        <v>45530</v>
      </c>
      <c r="P98" s="5049" t="s">
        <v>10604</v>
      </c>
      <c r="Q98" s="5480" t="s">
        <v>75</v>
      </c>
      <c r="R98" s="4874"/>
      <c r="S98" s="4874" t="s">
        <v>3350</v>
      </c>
      <c r="T98" s="4874"/>
      <c r="U98" s="4874"/>
      <c r="V98" s="4874"/>
      <c r="W98" s="4874"/>
      <c r="X98" s="4874"/>
      <c r="Y98" s="4874"/>
      <c r="Z98" s="4874"/>
      <c r="AA98" s="4874"/>
      <c r="AB98" s="106"/>
      <c r="AC98" s="106"/>
      <c r="AD98" s="106"/>
      <c r="AE98" s="106"/>
      <c r="AF98" s="106"/>
      <c r="AG98" s="106"/>
      <c r="AH98" s="106"/>
      <c r="AI98" s="106"/>
    </row>
    <row r="99" spans="1:35" s="26" customFormat="1" ht="30" hidden="1">
      <c r="A99" s="5712" t="s">
        <v>9620</v>
      </c>
      <c r="B99" s="5067" t="s">
        <v>10605</v>
      </c>
      <c r="C99" s="5713" t="s">
        <v>28</v>
      </c>
      <c r="D99" s="5714">
        <v>45518</v>
      </c>
      <c r="E99" s="5715">
        <v>45525</v>
      </c>
      <c r="F99" s="5713" t="s">
        <v>10600</v>
      </c>
      <c r="G99" s="5712" t="s">
        <v>302</v>
      </c>
      <c r="H99" s="5716" t="s">
        <v>10601</v>
      </c>
      <c r="I99" s="5713"/>
      <c r="J99" s="5716" t="s">
        <v>32</v>
      </c>
      <c r="K99" s="5716" t="s">
        <v>10602</v>
      </c>
      <c r="L99" s="5717" t="s">
        <v>10606</v>
      </c>
      <c r="M99" s="4844">
        <v>45529</v>
      </c>
      <c r="N99" s="4844">
        <v>45529</v>
      </c>
      <c r="O99" s="4844">
        <v>45531</v>
      </c>
      <c r="P99" s="5049" t="s">
        <v>10607</v>
      </c>
      <c r="Q99" s="5480" t="s">
        <v>75</v>
      </c>
      <c r="R99" s="4874"/>
      <c r="S99" s="4874" t="s">
        <v>3350</v>
      </c>
      <c r="T99" s="4874"/>
      <c r="U99" s="4874"/>
      <c r="V99" s="4874"/>
      <c r="W99" s="4874"/>
      <c r="X99" s="4874"/>
      <c r="Y99" s="4874"/>
      <c r="Z99" s="4874"/>
      <c r="AA99" s="4873"/>
    </row>
    <row r="100" spans="1:35" s="650" customFormat="1" ht="15" hidden="1">
      <c r="A100" s="5678" t="s">
        <v>409</v>
      </c>
      <c r="B100" s="4913" t="s">
        <v>10608</v>
      </c>
      <c r="C100" s="4882" t="s">
        <v>28</v>
      </c>
      <c r="D100" s="5668">
        <v>45507</v>
      </c>
      <c r="E100" s="5673">
        <v>45525</v>
      </c>
      <c r="F100" s="4882" t="s">
        <v>151</v>
      </c>
      <c r="G100" s="4891" t="s">
        <v>46</v>
      </c>
      <c r="H100" s="4913"/>
      <c r="I100" s="4913"/>
      <c r="J100" s="4913" t="s">
        <v>32</v>
      </c>
      <c r="K100" s="5277" t="s">
        <v>47</v>
      </c>
      <c r="L100" s="4870" t="s">
        <v>10609</v>
      </c>
      <c r="M100" s="4897">
        <v>45526</v>
      </c>
      <c r="N100" s="4914">
        <v>45525</v>
      </c>
      <c r="O100" s="4914">
        <v>45527</v>
      </c>
      <c r="P100" s="4913" t="s">
        <v>10610</v>
      </c>
      <c r="Q100" s="5539" t="s">
        <v>6852</v>
      </c>
      <c r="R100" s="4913" t="s">
        <v>10611</v>
      </c>
      <c r="S100" s="4913"/>
      <c r="T100" s="4913"/>
      <c r="U100" s="4913"/>
      <c r="V100" s="4913"/>
      <c r="W100" s="4913"/>
      <c r="X100" s="4913"/>
      <c r="Y100" s="4913"/>
      <c r="Z100" s="4913"/>
      <c r="AA100" s="5277"/>
      <c r="AB100" s="1350"/>
      <c r="AC100" s="1350"/>
      <c r="AD100" s="1350"/>
      <c r="AE100" s="1350"/>
      <c r="AF100" s="1350"/>
      <c r="AG100" s="1350"/>
      <c r="AH100" s="1350"/>
      <c r="AI100" s="1350"/>
    </row>
    <row r="101" spans="1:35" s="36" customFormat="1" ht="30" hidden="1">
      <c r="A101" s="5678" t="s">
        <v>10307</v>
      </c>
      <c r="B101" s="5277" t="s">
        <v>10612</v>
      </c>
      <c r="C101" s="5277" t="s">
        <v>28</v>
      </c>
      <c r="D101" s="5406">
        <v>45525</v>
      </c>
      <c r="E101" s="5406">
        <v>45525</v>
      </c>
      <c r="F101" s="5277" t="s">
        <v>173</v>
      </c>
      <c r="G101" s="5405" t="s">
        <v>10613</v>
      </c>
      <c r="H101" s="5404" t="s">
        <v>162</v>
      </c>
      <c r="I101" s="5404" t="s">
        <v>162</v>
      </c>
      <c r="J101" s="5404" t="s">
        <v>162</v>
      </c>
      <c r="K101" s="5404" t="s">
        <v>162</v>
      </c>
      <c r="L101" s="5405" t="s">
        <v>9917</v>
      </c>
      <c r="M101" s="5406">
        <v>45531</v>
      </c>
      <c r="N101" s="5406">
        <v>45531</v>
      </c>
      <c r="O101" s="5406">
        <v>45534</v>
      </c>
      <c r="P101" s="5405" t="s">
        <v>10614</v>
      </c>
      <c r="Q101" s="5539" t="s">
        <v>9226</v>
      </c>
      <c r="R101" s="5539" t="s">
        <v>10615</v>
      </c>
      <c r="S101" s="5277" t="s">
        <v>1320</v>
      </c>
      <c r="T101" s="5277"/>
      <c r="U101" s="5277"/>
      <c r="V101" s="5277"/>
      <c r="W101" s="5277"/>
      <c r="X101" s="5409"/>
      <c r="Y101" s="5277"/>
      <c r="Z101" s="5277"/>
      <c r="AA101" s="4837"/>
      <c r="AB101" s="3"/>
      <c r="AC101" s="3"/>
      <c r="AD101" s="3"/>
      <c r="AE101" s="3"/>
      <c r="AF101" s="3"/>
      <c r="AG101" s="3"/>
      <c r="AH101" s="3"/>
      <c r="AI101" s="3"/>
    </row>
    <row r="102" spans="1:35" customFormat="1" ht="30" hidden="1">
      <c r="A102" s="5678" t="s">
        <v>10307</v>
      </c>
      <c r="B102" s="5277" t="s">
        <v>10616</v>
      </c>
      <c r="C102" s="5277" t="s">
        <v>28</v>
      </c>
      <c r="D102" s="5406">
        <v>45525</v>
      </c>
      <c r="E102" s="5406">
        <v>45525</v>
      </c>
      <c r="F102" s="5277" t="s">
        <v>173</v>
      </c>
      <c r="G102" s="5405" t="s">
        <v>10613</v>
      </c>
      <c r="H102" s="5404" t="s">
        <v>162</v>
      </c>
      <c r="I102" s="5404" t="s">
        <v>162</v>
      </c>
      <c r="J102" s="5404" t="s">
        <v>162</v>
      </c>
      <c r="K102" s="5404" t="s">
        <v>162</v>
      </c>
      <c r="L102" s="5642" t="s">
        <v>9917</v>
      </c>
      <c r="M102" s="5406">
        <v>45531</v>
      </c>
      <c r="N102" s="5406">
        <v>45530</v>
      </c>
      <c r="O102" s="5406">
        <v>45531</v>
      </c>
      <c r="P102" s="5405" t="s">
        <v>10614</v>
      </c>
      <c r="Q102" s="5539" t="s">
        <v>9226</v>
      </c>
      <c r="R102" s="5539" t="s">
        <v>10615</v>
      </c>
      <c r="S102" s="5277" t="s">
        <v>1320</v>
      </c>
      <c r="T102" s="5277"/>
      <c r="U102" s="5277"/>
      <c r="V102" s="5277"/>
      <c r="W102" s="5277"/>
      <c r="X102" s="5409"/>
      <c r="Y102" s="5277"/>
      <c r="Z102" s="5277"/>
      <c r="AA102" s="5283"/>
      <c r="AB102" s="52"/>
      <c r="AC102" s="52"/>
      <c r="AD102" s="52"/>
      <c r="AE102" s="52"/>
      <c r="AF102" s="52"/>
      <c r="AG102" s="52"/>
      <c r="AH102" s="52"/>
      <c r="AI102" s="52"/>
    </row>
    <row r="103" spans="1:35" customFormat="1" ht="30" hidden="1">
      <c r="A103" s="5678" t="s">
        <v>10307</v>
      </c>
      <c r="B103" s="5277" t="s">
        <v>10617</v>
      </c>
      <c r="C103" s="5277" t="s">
        <v>28</v>
      </c>
      <c r="D103" s="5406">
        <v>45525</v>
      </c>
      <c r="E103" s="5406">
        <v>45525</v>
      </c>
      <c r="F103" s="5277" t="s">
        <v>173</v>
      </c>
      <c r="G103" s="5405" t="s">
        <v>10613</v>
      </c>
      <c r="H103" s="5404" t="s">
        <v>162</v>
      </c>
      <c r="I103" s="5404" t="s">
        <v>162</v>
      </c>
      <c r="J103" s="5404" t="s">
        <v>162</v>
      </c>
      <c r="K103" s="5404" t="s">
        <v>162</v>
      </c>
      <c r="L103" s="5642" t="s">
        <v>9917</v>
      </c>
      <c r="M103" s="5406">
        <v>45531</v>
      </c>
      <c r="N103" s="5406">
        <v>45527</v>
      </c>
      <c r="O103" s="5406">
        <v>45530</v>
      </c>
      <c r="P103" s="5405" t="s">
        <v>10614</v>
      </c>
      <c r="Q103" s="5539" t="s">
        <v>9226</v>
      </c>
      <c r="R103" s="5539" t="s">
        <v>10615</v>
      </c>
      <c r="S103" s="5277" t="s">
        <v>1320</v>
      </c>
      <c r="T103" s="5277"/>
      <c r="U103" s="5277"/>
      <c r="V103" s="5277"/>
      <c r="W103" s="5277"/>
      <c r="X103" s="5409"/>
      <c r="Y103" s="5277"/>
      <c r="Z103" s="5277"/>
      <c r="AA103" s="5283"/>
      <c r="AB103" s="52"/>
      <c r="AC103" s="52"/>
      <c r="AD103" s="52"/>
      <c r="AE103" s="52"/>
      <c r="AF103" s="52"/>
      <c r="AG103" s="52"/>
      <c r="AH103" s="52"/>
      <c r="AI103" s="52"/>
    </row>
    <row r="104" spans="1:35" s="650" customFormat="1" ht="30" hidden="1">
      <c r="A104" s="5678" t="s">
        <v>10307</v>
      </c>
      <c r="B104" s="5277" t="s">
        <v>10618</v>
      </c>
      <c r="C104" s="5277" t="s">
        <v>28</v>
      </c>
      <c r="D104" s="5406">
        <v>45525</v>
      </c>
      <c r="E104" s="5406">
        <v>45525</v>
      </c>
      <c r="F104" s="5277" t="s">
        <v>173</v>
      </c>
      <c r="G104" s="5405" t="s">
        <v>10613</v>
      </c>
      <c r="H104" s="5404" t="s">
        <v>162</v>
      </c>
      <c r="I104" s="5404" t="s">
        <v>162</v>
      </c>
      <c r="J104" s="5404" t="s">
        <v>162</v>
      </c>
      <c r="K104" s="5404" t="s">
        <v>162</v>
      </c>
      <c r="L104" s="5642" t="s">
        <v>9917</v>
      </c>
      <c r="M104" s="5406">
        <v>45531</v>
      </c>
      <c r="N104" s="5406">
        <v>45530</v>
      </c>
      <c r="O104" s="5406">
        <v>45531</v>
      </c>
      <c r="P104" s="5405" t="s">
        <v>10614</v>
      </c>
      <c r="Q104" s="5539" t="s">
        <v>9226</v>
      </c>
      <c r="R104" s="5539" t="s">
        <v>10615</v>
      </c>
      <c r="S104" s="5277" t="s">
        <v>1320</v>
      </c>
      <c r="T104" s="5277"/>
      <c r="U104" s="5277"/>
      <c r="V104" s="5277"/>
      <c r="W104" s="5277"/>
      <c r="X104" s="5409"/>
      <c r="Y104" s="5277"/>
      <c r="Z104" s="5277"/>
      <c r="AA104" s="5277"/>
      <c r="AB104" s="1350"/>
      <c r="AC104" s="1350"/>
      <c r="AD104" s="1350"/>
      <c r="AE104" s="1350"/>
      <c r="AF104" s="1350"/>
      <c r="AG104" s="1350"/>
      <c r="AH104" s="1350"/>
      <c r="AI104" s="1350"/>
    </row>
    <row r="105" spans="1:35" ht="30" hidden="1">
      <c r="A105" s="5243" t="s">
        <v>2489</v>
      </c>
      <c r="B105" s="4908" t="s">
        <v>10619</v>
      </c>
      <c r="C105" s="4845" t="s">
        <v>28</v>
      </c>
      <c r="D105" s="4906">
        <v>45507</v>
      </c>
      <c r="E105" s="4916">
        <v>45525</v>
      </c>
      <c r="F105" s="4908" t="s">
        <v>1357</v>
      </c>
      <c r="G105" s="4908" t="s">
        <v>10620</v>
      </c>
      <c r="H105" s="4844">
        <v>45527</v>
      </c>
      <c r="I105" s="4845" t="s">
        <v>5702</v>
      </c>
      <c r="J105" s="5237" t="s">
        <v>363</v>
      </c>
      <c r="K105" s="4908" t="s">
        <v>1105</v>
      </c>
      <c r="L105" s="4947">
        <v>4538</v>
      </c>
      <c r="M105" s="4844">
        <v>45527</v>
      </c>
      <c r="N105" s="4844">
        <v>45527</v>
      </c>
      <c r="O105" s="4906">
        <v>45530</v>
      </c>
      <c r="P105" s="4909" t="s">
        <v>10621</v>
      </c>
      <c r="Q105" s="5065" t="s">
        <v>75</v>
      </c>
      <c r="R105" s="4908" t="s">
        <v>10622</v>
      </c>
      <c r="S105" s="4908" t="s">
        <v>10279</v>
      </c>
      <c r="T105" s="5190">
        <v>1065</v>
      </c>
      <c r="U105" s="4845">
        <v>790.5</v>
      </c>
      <c r="V105" s="4845">
        <v>1</v>
      </c>
      <c r="W105" s="5190">
        <f>T105-U105</f>
        <v>274.5</v>
      </c>
      <c r="X105" s="5060">
        <f>W105/U105</f>
        <v>0.34724857685009486</v>
      </c>
      <c r="Y105" s="4845"/>
      <c r="Z105" s="4845"/>
      <c r="AA105" s="4874"/>
    </row>
    <row r="106" spans="1:35" ht="15" hidden="1">
      <c r="A106" s="5375" t="s">
        <v>468</v>
      </c>
      <c r="B106" s="4908" t="s">
        <v>10623</v>
      </c>
      <c r="C106" s="4845" t="s">
        <v>200</v>
      </c>
      <c r="D106" s="4906">
        <v>45526</v>
      </c>
      <c r="E106" s="4916">
        <v>45526</v>
      </c>
      <c r="F106" s="4908" t="s">
        <v>1828</v>
      </c>
      <c r="G106" s="4909" t="s">
        <v>10624</v>
      </c>
      <c r="H106" s="4916">
        <v>45532</v>
      </c>
      <c r="I106" s="5242" t="s">
        <v>672</v>
      </c>
      <c r="J106" s="5375" t="s">
        <v>322</v>
      </c>
      <c r="K106" s="4908" t="s">
        <v>10625</v>
      </c>
      <c r="L106" s="4947"/>
      <c r="M106" s="4916">
        <v>45533</v>
      </c>
      <c r="N106" s="4906">
        <v>45531</v>
      </c>
      <c r="O106" s="4906">
        <v>45532</v>
      </c>
      <c r="P106" s="4908" t="s">
        <v>10626</v>
      </c>
      <c r="Q106" s="5065" t="s">
        <v>75</v>
      </c>
      <c r="R106" s="4908" t="s">
        <v>10627</v>
      </c>
      <c r="S106" s="4908" t="s">
        <v>10279</v>
      </c>
      <c r="T106" s="5190">
        <v>1030</v>
      </c>
      <c r="U106" s="4845">
        <v>826.5</v>
      </c>
      <c r="V106" s="4845">
        <v>1</v>
      </c>
      <c r="W106" s="5190">
        <f>T106-U106</f>
        <v>203.5</v>
      </c>
      <c r="X106" s="5718">
        <f>W106/U106</f>
        <v>0.24621899576527526</v>
      </c>
      <c r="Y106" s="4845"/>
      <c r="Z106" s="4845"/>
      <c r="AA106" s="4874"/>
    </row>
    <row r="107" spans="1:35" s="52" customFormat="1" ht="15" hidden="1">
      <c r="A107" s="5678" t="s">
        <v>409</v>
      </c>
      <c r="B107" s="4913" t="s">
        <v>10628</v>
      </c>
      <c r="C107" s="4861" t="s">
        <v>28</v>
      </c>
      <c r="D107" s="5668">
        <v>45514</v>
      </c>
      <c r="E107" s="5673">
        <v>45526</v>
      </c>
      <c r="F107" s="4882" t="s">
        <v>151</v>
      </c>
      <c r="G107" s="4891" t="s">
        <v>46</v>
      </c>
      <c r="H107" s="4913"/>
      <c r="I107" s="4913"/>
      <c r="J107" s="4913" t="s">
        <v>32</v>
      </c>
      <c r="K107" s="5277" t="s">
        <v>47</v>
      </c>
      <c r="L107" s="4870" t="s">
        <v>10629</v>
      </c>
      <c r="M107" s="4897">
        <v>45527</v>
      </c>
      <c r="N107" s="4914">
        <v>45525</v>
      </c>
      <c r="O107" s="4914">
        <v>45529</v>
      </c>
      <c r="P107" s="4913" t="s">
        <v>10630</v>
      </c>
      <c r="Q107" s="5539" t="s">
        <v>6852</v>
      </c>
      <c r="R107" s="4913" t="s">
        <v>36</v>
      </c>
      <c r="S107" s="4913"/>
      <c r="T107" s="4913"/>
      <c r="U107" s="4913"/>
      <c r="V107" s="4913"/>
      <c r="W107" s="4913"/>
      <c r="X107" s="4913"/>
      <c r="Y107" s="4913"/>
      <c r="Z107" s="4913"/>
      <c r="AA107" s="5283"/>
    </row>
    <row r="108" spans="1:35" s="1350" customFormat="1" ht="15" hidden="1">
      <c r="A108" s="5702" t="s">
        <v>409</v>
      </c>
      <c r="B108" s="5719" t="s">
        <v>10631</v>
      </c>
      <c r="C108" s="4874" t="s">
        <v>28</v>
      </c>
      <c r="D108" s="5684">
        <v>45514</v>
      </c>
      <c r="E108" s="5685">
        <v>45526</v>
      </c>
      <c r="F108" s="4873" t="s">
        <v>151</v>
      </c>
      <c r="G108" s="5116" t="s">
        <v>46</v>
      </c>
      <c r="H108" s="4892"/>
      <c r="I108" s="4892"/>
      <c r="J108" s="4892" t="s">
        <v>32</v>
      </c>
      <c r="K108" s="5283" t="s">
        <v>47</v>
      </c>
      <c r="L108" s="5720" t="s">
        <v>10632</v>
      </c>
      <c r="M108" s="5485">
        <v>45527</v>
      </c>
      <c r="N108" s="5686">
        <v>45525</v>
      </c>
      <c r="O108" s="5686">
        <v>45529</v>
      </c>
      <c r="P108" s="4892" t="s">
        <v>10633</v>
      </c>
      <c r="Q108" s="5482" t="s">
        <v>6852</v>
      </c>
      <c r="R108" s="4892" t="s">
        <v>10634</v>
      </c>
      <c r="S108" s="4892"/>
      <c r="T108" s="4892"/>
      <c r="U108" s="4892"/>
      <c r="V108" s="4892"/>
      <c r="W108" s="4892"/>
      <c r="X108" s="4892"/>
      <c r="Y108" s="4892"/>
      <c r="Z108" s="4892"/>
      <c r="AA108" s="4913"/>
      <c r="AB108" s="650"/>
      <c r="AC108" s="650"/>
      <c r="AD108" s="650"/>
      <c r="AE108" s="650"/>
      <c r="AF108" s="650"/>
      <c r="AG108" s="650"/>
      <c r="AH108" s="650"/>
      <c r="AI108" s="650"/>
    </row>
    <row r="109" spans="1:35" s="1350" customFormat="1" ht="15" hidden="1">
      <c r="A109" s="5116" t="s">
        <v>3866</v>
      </c>
      <c r="B109" s="5721" t="s">
        <v>10635</v>
      </c>
      <c r="C109" s="5722" t="s">
        <v>28</v>
      </c>
      <c r="D109" s="5723">
        <v>45509</v>
      </c>
      <c r="E109" s="5685">
        <v>45526</v>
      </c>
      <c r="F109" s="5722" t="s">
        <v>45</v>
      </c>
      <c r="G109" s="5116" t="s">
        <v>46</v>
      </c>
      <c r="H109" s="4892"/>
      <c r="I109" s="4892"/>
      <c r="J109" s="4892" t="s">
        <v>32</v>
      </c>
      <c r="K109" s="5283" t="s">
        <v>47</v>
      </c>
      <c r="L109" s="4872" t="s">
        <v>10636</v>
      </c>
      <c r="M109" s="5485">
        <v>45527</v>
      </c>
      <c r="N109" s="5686">
        <v>45526</v>
      </c>
      <c r="O109" s="5631">
        <v>45526</v>
      </c>
      <c r="P109" s="4892" t="s">
        <v>10637</v>
      </c>
      <c r="Q109" s="5482" t="s">
        <v>6852</v>
      </c>
      <c r="R109" s="4892" t="s">
        <v>10638</v>
      </c>
      <c r="S109" s="4892"/>
      <c r="T109" s="4892"/>
      <c r="U109" s="4892"/>
      <c r="V109" s="4892"/>
      <c r="W109" s="4892"/>
      <c r="X109" s="4892"/>
      <c r="Y109" s="4892"/>
      <c r="Z109" s="4892"/>
      <c r="AA109" s="4913"/>
      <c r="AB109" s="650"/>
      <c r="AC109" s="650"/>
      <c r="AD109" s="650"/>
      <c r="AE109" s="650"/>
      <c r="AF109" s="650"/>
      <c r="AG109" s="650"/>
      <c r="AH109" s="650"/>
      <c r="AI109" s="650"/>
    </row>
    <row r="110" spans="1:35" s="650" customFormat="1" ht="15" hidden="1">
      <c r="A110" s="5445" t="s">
        <v>263</v>
      </c>
      <c r="B110" s="5445" t="s">
        <v>10639</v>
      </c>
      <c r="C110" s="5277" t="s">
        <v>28</v>
      </c>
      <c r="D110" s="5671">
        <v>45526</v>
      </c>
      <c r="E110" s="5671">
        <v>45526</v>
      </c>
      <c r="F110" s="5445" t="s">
        <v>135</v>
      </c>
      <c r="G110" s="5445" t="s">
        <v>10388</v>
      </c>
      <c r="H110" s="5671">
        <v>45534</v>
      </c>
      <c r="I110" s="5691">
        <v>0.5</v>
      </c>
      <c r="J110" s="5445" t="s">
        <v>377</v>
      </c>
      <c r="K110" s="5445" t="s">
        <v>10389</v>
      </c>
      <c r="L110" s="5445" t="s">
        <v>10640</v>
      </c>
      <c r="M110" s="5277"/>
      <c r="N110" s="5671">
        <v>45533</v>
      </c>
      <c r="O110" s="5671">
        <v>45538</v>
      </c>
      <c r="P110" s="5445" t="s">
        <v>10641</v>
      </c>
      <c r="Q110" s="5539" t="s">
        <v>128</v>
      </c>
      <c r="R110" s="1350" t="s">
        <v>10642</v>
      </c>
      <c r="S110" s="5277" t="s">
        <v>67</v>
      </c>
      <c r="T110" s="5277">
        <v>1842.66</v>
      </c>
      <c r="U110" s="5277">
        <f>1350+170.16</f>
        <v>1520.16</v>
      </c>
      <c r="V110" s="5277"/>
      <c r="W110" s="5277">
        <f>T110-U110</f>
        <v>322.5</v>
      </c>
      <c r="X110" s="5409">
        <f>W110/U110</f>
        <v>0.21214872118724343</v>
      </c>
      <c r="Y110" s="5277"/>
      <c r="Z110" s="5277"/>
      <c r="AA110" s="5277"/>
      <c r="AB110" s="1350"/>
      <c r="AC110" s="1350"/>
      <c r="AD110" s="1350"/>
      <c r="AE110" s="1350"/>
      <c r="AF110" s="1350"/>
      <c r="AG110" s="1350"/>
      <c r="AH110" s="1350"/>
      <c r="AI110" s="1350"/>
    </row>
    <row r="111" spans="1:35" customFormat="1" ht="15" hidden="1">
      <c r="A111" s="5724" t="s">
        <v>263</v>
      </c>
      <c r="B111" s="5724" t="s">
        <v>10643</v>
      </c>
      <c r="C111" s="4921" t="s">
        <v>28</v>
      </c>
      <c r="D111" s="5725">
        <v>45526</v>
      </c>
      <c r="E111" s="5725">
        <v>45526</v>
      </c>
      <c r="F111" s="5724" t="s">
        <v>63</v>
      </c>
      <c r="G111" s="5724" t="s">
        <v>10644</v>
      </c>
      <c r="H111" s="5725">
        <v>45532</v>
      </c>
      <c r="I111" s="5726">
        <v>0.45833333333333331</v>
      </c>
      <c r="J111" s="5724" t="s">
        <v>4539</v>
      </c>
      <c r="K111" s="5724" t="s">
        <v>10645</v>
      </c>
      <c r="L111" s="5724" t="s">
        <v>10646</v>
      </c>
      <c r="M111" s="4837"/>
      <c r="N111" s="5725">
        <v>45531</v>
      </c>
      <c r="O111" s="5725">
        <v>45533</v>
      </c>
      <c r="P111" s="5724" t="s">
        <v>10647</v>
      </c>
      <c r="Q111" s="5065" t="s">
        <v>128</v>
      </c>
      <c r="R111" s="4908" t="s">
        <v>10648</v>
      </c>
      <c r="S111" s="4921" t="s">
        <v>67</v>
      </c>
      <c r="T111" s="5190">
        <v>1737.24</v>
      </c>
      <c r="U111" s="4845">
        <f>32+172.74+700+40</f>
        <v>944.74</v>
      </c>
      <c r="V111" s="4845">
        <v>1</v>
      </c>
      <c r="W111" s="5190">
        <f>T111-U111</f>
        <v>792.5</v>
      </c>
      <c r="X111" s="5060">
        <f>W111/U111</f>
        <v>0.83885513474606765</v>
      </c>
      <c r="Y111" s="4845"/>
      <c r="Z111" s="4845"/>
      <c r="AA111" s="5283"/>
      <c r="AB111" s="52"/>
      <c r="AC111" s="52"/>
      <c r="AD111" s="52"/>
      <c r="AE111" s="52"/>
      <c r="AF111" s="52"/>
      <c r="AG111" s="52"/>
      <c r="AH111" s="52"/>
      <c r="AI111" s="52"/>
    </row>
    <row r="112" spans="1:35" s="26" customFormat="1" ht="30" hidden="1">
      <c r="A112" s="5118" t="s">
        <v>26</v>
      </c>
      <c r="B112" s="5277" t="s">
        <v>10649</v>
      </c>
      <c r="C112" s="4861" t="s">
        <v>28</v>
      </c>
      <c r="D112" s="5665">
        <v>45513</v>
      </c>
      <c r="E112" s="5666">
        <v>45527</v>
      </c>
      <c r="F112" s="4861" t="s">
        <v>245</v>
      </c>
      <c r="G112" s="5118" t="s">
        <v>10423</v>
      </c>
      <c r="H112" s="5277"/>
      <c r="I112" s="5277"/>
      <c r="J112" s="5277" t="s">
        <v>4896</v>
      </c>
      <c r="K112" s="5277" t="s">
        <v>9588</v>
      </c>
      <c r="L112" s="4839">
        <v>546396</v>
      </c>
      <c r="M112" s="4957">
        <v>45530</v>
      </c>
      <c r="N112" s="5403">
        <v>45530</v>
      </c>
      <c r="O112" s="5403">
        <v>45530</v>
      </c>
      <c r="P112" s="5277" t="s">
        <v>10650</v>
      </c>
      <c r="Q112" s="5277" t="s">
        <v>9226</v>
      </c>
      <c r="R112" s="5277" t="s">
        <v>10651</v>
      </c>
      <c r="S112" s="4908" t="s">
        <v>10279</v>
      </c>
      <c r="T112" s="5277" t="s">
        <v>10652</v>
      </c>
      <c r="U112" s="5623">
        <v>1630</v>
      </c>
      <c r="V112" s="5277">
        <v>1</v>
      </c>
      <c r="W112" s="5277"/>
      <c r="X112" s="5277"/>
      <c r="Y112" s="5277"/>
      <c r="Z112" s="5277"/>
      <c r="AA112" s="4874"/>
      <c r="AB112" s="106"/>
      <c r="AC112" s="106"/>
      <c r="AD112" s="106"/>
      <c r="AE112" s="106"/>
      <c r="AF112" s="106"/>
      <c r="AG112" s="106"/>
      <c r="AH112" s="106"/>
      <c r="AI112" s="106"/>
    </row>
    <row r="113" spans="1:35" customFormat="1" ht="30" hidden="1">
      <c r="A113" s="5118" t="s">
        <v>26</v>
      </c>
      <c r="B113" s="5277" t="s">
        <v>10653</v>
      </c>
      <c r="C113" s="4861" t="s">
        <v>28</v>
      </c>
      <c r="D113" s="5665">
        <v>45513</v>
      </c>
      <c r="E113" s="5666">
        <v>45527</v>
      </c>
      <c r="F113" s="4861" t="s">
        <v>245</v>
      </c>
      <c r="G113" s="5118" t="s">
        <v>10423</v>
      </c>
      <c r="H113" s="5403">
        <v>45530</v>
      </c>
      <c r="I113" s="5277" t="s">
        <v>790</v>
      </c>
      <c r="J113" s="5277" t="s">
        <v>4896</v>
      </c>
      <c r="K113" s="5118" t="s">
        <v>10654</v>
      </c>
      <c r="L113" s="4839">
        <v>606509</v>
      </c>
      <c r="M113" s="4957">
        <v>45530</v>
      </c>
      <c r="N113" s="4957">
        <v>45530</v>
      </c>
      <c r="O113" s="4957">
        <v>45530</v>
      </c>
      <c r="P113" s="5277" t="s">
        <v>10655</v>
      </c>
      <c r="Q113" s="5277" t="s">
        <v>9226</v>
      </c>
      <c r="R113" s="5277" t="s">
        <v>10656</v>
      </c>
      <c r="S113" s="4908" t="s">
        <v>10279</v>
      </c>
      <c r="T113" s="5623">
        <v>1045</v>
      </c>
      <c r="U113" s="5277">
        <v>895</v>
      </c>
      <c r="V113" s="5277">
        <v>1</v>
      </c>
      <c r="W113" s="5277"/>
      <c r="X113" s="5277"/>
      <c r="Y113" s="5277"/>
      <c r="Z113" s="5277"/>
      <c r="AA113" s="5283"/>
      <c r="AB113" s="52"/>
      <c r="AC113" s="52"/>
      <c r="AD113" s="52"/>
      <c r="AE113" s="52"/>
      <c r="AF113" s="52"/>
      <c r="AG113" s="52"/>
      <c r="AH113" s="52"/>
      <c r="AI113" s="52"/>
    </row>
    <row r="114" spans="1:35" ht="141" hidden="1" customHeight="1">
      <c r="A114" s="5375" t="s">
        <v>468</v>
      </c>
      <c r="B114" s="4908" t="s">
        <v>10657</v>
      </c>
      <c r="C114" s="4845" t="s">
        <v>200</v>
      </c>
      <c r="D114" s="4906">
        <v>45497</v>
      </c>
      <c r="E114" s="4916">
        <v>45527</v>
      </c>
      <c r="F114" s="4845" t="s">
        <v>245</v>
      </c>
      <c r="G114" s="4845" t="s">
        <v>57</v>
      </c>
      <c r="H114" s="4917">
        <v>45530</v>
      </c>
      <c r="I114" s="4845" t="s">
        <v>445</v>
      </c>
      <c r="J114" s="5375" t="s">
        <v>32</v>
      </c>
      <c r="K114" s="4845" t="s">
        <v>6656</v>
      </c>
      <c r="L114" s="4947">
        <v>4332227</v>
      </c>
      <c r="M114" s="4918">
        <v>45530</v>
      </c>
      <c r="N114" s="4906">
        <v>45530</v>
      </c>
      <c r="O114" s="4844">
        <v>45530</v>
      </c>
      <c r="P114" s="4951" t="s">
        <v>10658</v>
      </c>
      <c r="Q114" s="5065" t="s">
        <v>75</v>
      </c>
      <c r="R114" s="4845" t="s">
        <v>10659</v>
      </c>
      <c r="S114" s="4908" t="s">
        <v>10279</v>
      </c>
      <c r="T114" s="5190">
        <v>1025</v>
      </c>
      <c r="U114" s="4845">
        <v>835</v>
      </c>
      <c r="V114" s="4845">
        <v>1</v>
      </c>
      <c r="W114" s="5190">
        <f>T114-U114</f>
        <v>190</v>
      </c>
      <c r="X114" s="5060">
        <f>W114/U114</f>
        <v>0.22754491017964071</v>
      </c>
      <c r="Y114" s="4845"/>
      <c r="Z114" s="4845"/>
      <c r="AA114" s="4874"/>
    </row>
    <row r="115" spans="1:35" s="52" customFormat="1" ht="60" hidden="1">
      <c r="A115" s="5622" t="s">
        <v>10660</v>
      </c>
      <c r="B115" s="5277" t="s">
        <v>10661</v>
      </c>
      <c r="C115" s="5277" t="s">
        <v>28</v>
      </c>
      <c r="D115" s="5406">
        <v>45527</v>
      </c>
      <c r="E115" s="5406">
        <v>45527</v>
      </c>
      <c r="F115" s="5277" t="s">
        <v>93</v>
      </c>
      <c r="G115" s="5118" t="s">
        <v>10662</v>
      </c>
      <c r="H115" s="5406"/>
      <c r="I115" s="5277"/>
      <c r="J115" s="5622"/>
      <c r="K115" s="5277"/>
      <c r="L115" s="5118" t="s">
        <v>9917</v>
      </c>
      <c r="M115" s="5406">
        <v>45531</v>
      </c>
      <c r="N115" s="5406">
        <v>45531</v>
      </c>
      <c r="O115" s="5406">
        <v>45533</v>
      </c>
      <c r="P115" s="5118" t="s">
        <v>10663</v>
      </c>
      <c r="Q115" s="5539" t="s">
        <v>9226</v>
      </c>
      <c r="R115" s="5118" t="s">
        <v>10664</v>
      </c>
      <c r="S115" s="5277" t="s">
        <v>1320</v>
      </c>
      <c r="T115" s="5277"/>
      <c r="U115" s="5277"/>
      <c r="V115" s="5277"/>
      <c r="W115" s="5277"/>
      <c r="X115" s="5277"/>
      <c r="Y115" s="5277"/>
      <c r="Z115" s="5277"/>
      <c r="AA115" s="5283"/>
    </row>
    <row r="116" spans="1:35" s="52" customFormat="1" ht="60" hidden="1">
      <c r="A116" s="5622" t="s">
        <v>10660</v>
      </c>
      <c r="B116" s="5277" t="s">
        <v>10665</v>
      </c>
      <c r="C116" s="5277" t="s">
        <v>28</v>
      </c>
      <c r="D116" s="5406">
        <v>45527</v>
      </c>
      <c r="E116" s="5406">
        <v>45527</v>
      </c>
      <c r="F116" s="5277" t="s">
        <v>93</v>
      </c>
      <c r="G116" s="5118" t="s">
        <v>10662</v>
      </c>
      <c r="H116" s="5406"/>
      <c r="I116" s="5277"/>
      <c r="J116" s="5622"/>
      <c r="K116" s="5277"/>
      <c r="L116" s="5118" t="s">
        <v>9917</v>
      </c>
      <c r="M116" s="5406">
        <v>45531</v>
      </c>
      <c r="N116" s="5406">
        <v>45531</v>
      </c>
      <c r="O116" s="5406">
        <v>45531</v>
      </c>
      <c r="P116" s="5118" t="s">
        <v>10666</v>
      </c>
      <c r="Q116" s="5539" t="s">
        <v>9226</v>
      </c>
      <c r="R116" s="5118" t="s">
        <v>10667</v>
      </c>
      <c r="S116" s="5277" t="s">
        <v>1320</v>
      </c>
      <c r="T116" s="5277"/>
      <c r="U116" s="5277"/>
      <c r="V116" s="5277"/>
      <c r="W116" s="5277"/>
      <c r="X116" s="5277"/>
      <c r="Y116" s="5277"/>
      <c r="Z116" s="5277"/>
      <c r="AA116" s="5283"/>
    </row>
    <row r="117" spans="1:35" s="52" customFormat="1" ht="15" hidden="1">
      <c r="A117" s="4871" t="s">
        <v>4815</v>
      </c>
      <c r="B117" s="4882" t="s">
        <v>10668</v>
      </c>
      <c r="C117" s="5277" t="s">
        <v>28</v>
      </c>
      <c r="D117" s="4940">
        <f t="shared" ref="D117:D127" si="0">E117-7</f>
        <v>45520</v>
      </c>
      <c r="E117" s="4940">
        <v>45527</v>
      </c>
      <c r="F117" s="4882" t="s">
        <v>93</v>
      </c>
      <c r="G117" s="4871"/>
      <c r="H117" s="4882"/>
      <c r="I117" s="4882"/>
      <c r="J117" s="4882" t="s">
        <v>10669</v>
      </c>
      <c r="K117" s="5277" t="s">
        <v>810</v>
      </c>
      <c r="L117" s="4882"/>
      <c r="M117" s="4882"/>
      <c r="N117" s="4882"/>
      <c r="O117" s="4913"/>
      <c r="P117" s="4913"/>
      <c r="Q117" s="4913" t="s">
        <v>6852</v>
      </c>
      <c r="R117" s="4913"/>
      <c r="S117" s="4913"/>
      <c r="T117" s="4913"/>
      <c r="U117" s="4913"/>
      <c r="V117" s="4913"/>
      <c r="W117" s="4913"/>
      <c r="X117" s="4913"/>
      <c r="Y117" s="4913"/>
      <c r="Z117" s="4913"/>
      <c r="AA117" s="5283"/>
    </row>
    <row r="118" spans="1:35" s="52" customFormat="1" ht="15" hidden="1">
      <c r="A118" s="4871" t="s">
        <v>4815</v>
      </c>
      <c r="B118" s="4882" t="s">
        <v>10670</v>
      </c>
      <c r="C118" s="5277" t="s">
        <v>28</v>
      </c>
      <c r="D118" s="4940">
        <f t="shared" si="0"/>
        <v>45520</v>
      </c>
      <c r="E118" s="4940">
        <v>45527</v>
      </c>
      <c r="F118" s="4882" t="s">
        <v>93</v>
      </c>
      <c r="G118" s="4871"/>
      <c r="H118" s="4882"/>
      <c r="I118" s="4882"/>
      <c r="J118" s="4882" t="s">
        <v>10669</v>
      </c>
      <c r="K118" s="5277" t="s">
        <v>810</v>
      </c>
      <c r="L118" s="4882"/>
      <c r="M118" s="4882"/>
      <c r="N118" s="4882"/>
      <c r="O118" s="4913"/>
      <c r="P118" s="4913"/>
      <c r="Q118" s="4913" t="s">
        <v>6852</v>
      </c>
      <c r="R118" s="4913"/>
      <c r="S118" s="4913"/>
      <c r="T118" s="4913"/>
      <c r="U118" s="4913"/>
      <c r="V118" s="4913"/>
      <c r="W118" s="4913"/>
      <c r="X118" s="4913"/>
      <c r="Y118" s="4913"/>
      <c r="Z118" s="4913"/>
      <c r="AA118" s="4892"/>
      <c r="AB118"/>
      <c r="AC118"/>
      <c r="AD118"/>
      <c r="AE118"/>
      <c r="AF118"/>
      <c r="AG118"/>
      <c r="AH118"/>
      <c r="AI118"/>
    </row>
    <row r="119" spans="1:35" s="52" customFormat="1" ht="15" hidden="1">
      <c r="A119" s="4871" t="s">
        <v>4815</v>
      </c>
      <c r="B119" s="4882" t="s">
        <v>10671</v>
      </c>
      <c r="C119" s="5277" t="s">
        <v>28</v>
      </c>
      <c r="D119" s="4940">
        <f t="shared" si="0"/>
        <v>45520</v>
      </c>
      <c r="E119" s="4940">
        <v>45527</v>
      </c>
      <c r="F119" s="4882" t="s">
        <v>93</v>
      </c>
      <c r="G119" s="4871"/>
      <c r="H119" s="4882"/>
      <c r="I119" s="4882"/>
      <c r="J119" s="4882" t="s">
        <v>10669</v>
      </c>
      <c r="K119" s="5277" t="s">
        <v>810</v>
      </c>
      <c r="L119" s="4882"/>
      <c r="M119" s="4882"/>
      <c r="N119" s="4882"/>
      <c r="O119" s="4913"/>
      <c r="P119" s="4913"/>
      <c r="Q119" s="4913" t="s">
        <v>6852</v>
      </c>
      <c r="R119" s="4913"/>
      <c r="S119" s="4913"/>
      <c r="T119" s="4913"/>
      <c r="U119" s="4913"/>
      <c r="V119" s="4913"/>
      <c r="W119" s="4913"/>
      <c r="X119" s="4913"/>
      <c r="Y119" s="4913"/>
      <c r="Z119" s="4913"/>
      <c r="AA119" s="5283"/>
    </row>
    <row r="120" spans="1:35" s="52" customFormat="1" ht="15" hidden="1">
      <c r="A120" s="4871" t="s">
        <v>4815</v>
      </c>
      <c r="B120" s="4882" t="s">
        <v>10672</v>
      </c>
      <c r="C120" s="5277" t="s">
        <v>28</v>
      </c>
      <c r="D120" s="4940">
        <f t="shared" si="0"/>
        <v>45520</v>
      </c>
      <c r="E120" s="4940">
        <v>45527</v>
      </c>
      <c r="F120" s="4882" t="s">
        <v>93</v>
      </c>
      <c r="G120" s="4871"/>
      <c r="H120" s="4882"/>
      <c r="I120" s="4882"/>
      <c r="J120" s="4882" t="s">
        <v>10669</v>
      </c>
      <c r="K120" s="5277" t="s">
        <v>810</v>
      </c>
      <c r="L120" s="4882"/>
      <c r="M120" s="4882"/>
      <c r="N120" s="4882"/>
      <c r="O120" s="4913"/>
      <c r="P120" s="4913"/>
      <c r="Q120" s="4913" t="s">
        <v>6852</v>
      </c>
      <c r="R120" s="4913"/>
      <c r="S120" s="4913"/>
      <c r="T120" s="4913"/>
      <c r="U120" s="4913"/>
      <c r="V120" s="4913"/>
      <c r="W120" s="4913"/>
      <c r="X120" s="4913"/>
      <c r="Y120" s="4913"/>
      <c r="Z120" s="4913"/>
      <c r="AA120" s="4892"/>
      <c r="AB120"/>
      <c r="AC120"/>
      <c r="AD120"/>
      <c r="AE120"/>
      <c r="AF120"/>
      <c r="AG120"/>
      <c r="AH120"/>
      <c r="AI120"/>
    </row>
    <row r="121" spans="1:35" s="52" customFormat="1" ht="15" hidden="1">
      <c r="A121" s="4871" t="s">
        <v>4815</v>
      </c>
      <c r="B121" s="4882" t="s">
        <v>10673</v>
      </c>
      <c r="C121" s="5277" t="s">
        <v>28</v>
      </c>
      <c r="D121" s="4940">
        <f t="shared" si="0"/>
        <v>45520</v>
      </c>
      <c r="E121" s="4940">
        <v>45527</v>
      </c>
      <c r="F121" s="4882" t="s">
        <v>93</v>
      </c>
      <c r="G121" s="4871"/>
      <c r="H121" s="4882"/>
      <c r="I121" s="4882"/>
      <c r="J121" s="4882" t="s">
        <v>10669</v>
      </c>
      <c r="K121" s="5277" t="s">
        <v>810</v>
      </c>
      <c r="L121" s="4882"/>
      <c r="M121" s="4882"/>
      <c r="N121" s="4882"/>
      <c r="O121" s="4913"/>
      <c r="P121" s="4913"/>
      <c r="Q121" s="4913" t="s">
        <v>6852</v>
      </c>
      <c r="R121" s="4913"/>
      <c r="S121" s="4913"/>
      <c r="T121" s="4913"/>
      <c r="U121" s="4913"/>
      <c r="V121" s="4913"/>
      <c r="W121" s="4913"/>
      <c r="X121" s="4913"/>
      <c r="Y121" s="4913"/>
      <c r="Z121" s="4913"/>
      <c r="AA121" s="4892"/>
      <c r="AB121"/>
      <c r="AC121"/>
      <c r="AD121"/>
      <c r="AE121"/>
      <c r="AF121"/>
      <c r="AG121"/>
      <c r="AH121"/>
      <c r="AI121"/>
    </row>
    <row r="122" spans="1:35" s="1350" customFormat="1" ht="15" hidden="1">
      <c r="A122" s="4871" t="s">
        <v>4815</v>
      </c>
      <c r="B122" s="4882" t="s">
        <v>10674</v>
      </c>
      <c r="C122" s="5277" t="s">
        <v>28</v>
      </c>
      <c r="D122" s="4940">
        <f t="shared" si="0"/>
        <v>45520</v>
      </c>
      <c r="E122" s="4940">
        <v>45527</v>
      </c>
      <c r="F122" s="4882" t="s">
        <v>93</v>
      </c>
      <c r="G122" s="4871"/>
      <c r="H122" s="4882"/>
      <c r="I122" s="4882"/>
      <c r="J122" s="4882" t="s">
        <v>10669</v>
      </c>
      <c r="K122" s="5277" t="s">
        <v>810</v>
      </c>
      <c r="L122" s="4882"/>
      <c r="M122" s="4882"/>
      <c r="N122" s="4882"/>
      <c r="O122" s="4913"/>
      <c r="P122" s="4913"/>
      <c r="Q122" s="4913" t="s">
        <v>6852</v>
      </c>
      <c r="R122" s="4913"/>
      <c r="S122" s="4913"/>
      <c r="T122" s="4913"/>
      <c r="U122" s="4913"/>
      <c r="V122" s="4913"/>
      <c r="W122" s="4913"/>
      <c r="X122" s="4913"/>
      <c r="Y122" s="4913"/>
      <c r="Z122" s="4913"/>
      <c r="AA122" s="4913"/>
      <c r="AB122" s="650"/>
      <c r="AC122" s="650"/>
      <c r="AD122" s="650"/>
      <c r="AE122" s="650"/>
      <c r="AF122" s="650"/>
      <c r="AG122" s="650"/>
      <c r="AH122" s="650"/>
      <c r="AI122" s="650"/>
    </row>
    <row r="123" spans="1:35" s="52" customFormat="1" ht="15" hidden="1">
      <c r="A123" s="4871" t="s">
        <v>4815</v>
      </c>
      <c r="B123" s="4882" t="s">
        <v>10675</v>
      </c>
      <c r="C123" s="5277" t="s">
        <v>28</v>
      </c>
      <c r="D123" s="4940">
        <f t="shared" si="0"/>
        <v>45520</v>
      </c>
      <c r="E123" s="4940">
        <v>45527</v>
      </c>
      <c r="F123" s="4882" t="s">
        <v>93</v>
      </c>
      <c r="G123" s="4871"/>
      <c r="H123" s="4882"/>
      <c r="I123" s="4882"/>
      <c r="J123" s="4882" t="s">
        <v>10669</v>
      </c>
      <c r="K123" s="5277" t="s">
        <v>810</v>
      </c>
      <c r="L123" s="4882"/>
      <c r="M123" s="4882"/>
      <c r="N123" s="4882"/>
      <c r="O123" s="4913"/>
      <c r="P123" s="4913"/>
      <c r="Q123" s="4913" t="s">
        <v>6852</v>
      </c>
      <c r="R123" s="4913"/>
      <c r="S123" s="4913"/>
      <c r="T123" s="4913"/>
      <c r="U123" s="4913"/>
      <c r="V123" s="4913"/>
      <c r="W123" s="4913"/>
      <c r="X123" s="4913"/>
      <c r="Y123" s="4913"/>
      <c r="Z123" s="4913"/>
      <c r="AA123" s="4892"/>
      <c r="AB123"/>
      <c r="AC123"/>
      <c r="AD123"/>
      <c r="AE123"/>
      <c r="AF123"/>
      <c r="AG123"/>
      <c r="AH123"/>
      <c r="AI123"/>
    </row>
    <row r="124" spans="1:35" s="36" customFormat="1" ht="15" hidden="1">
      <c r="A124" s="4871" t="s">
        <v>4815</v>
      </c>
      <c r="B124" s="4882" t="s">
        <v>10676</v>
      </c>
      <c r="C124" s="5277" t="s">
        <v>28</v>
      </c>
      <c r="D124" s="4940">
        <f t="shared" si="0"/>
        <v>45520</v>
      </c>
      <c r="E124" s="4940">
        <v>45527</v>
      </c>
      <c r="F124" s="4882" t="s">
        <v>93</v>
      </c>
      <c r="G124" s="4871"/>
      <c r="H124" s="4882"/>
      <c r="I124" s="4882"/>
      <c r="J124" s="4882" t="s">
        <v>10669</v>
      </c>
      <c r="K124" s="5277" t="s">
        <v>810</v>
      </c>
      <c r="L124" s="4882"/>
      <c r="M124" s="4882"/>
      <c r="N124" s="4882"/>
      <c r="O124" s="4913"/>
      <c r="P124" s="4913"/>
      <c r="Q124" s="4913" t="s">
        <v>6852</v>
      </c>
      <c r="R124" s="4913"/>
      <c r="S124" s="4913"/>
      <c r="T124" s="4913"/>
      <c r="U124" s="4913"/>
      <c r="V124" s="4913"/>
      <c r="W124" s="4913"/>
      <c r="X124" s="4913"/>
      <c r="Y124" s="4913"/>
      <c r="Z124" s="4913"/>
      <c r="AA124" s="4921"/>
    </row>
    <row r="125" spans="1:35" s="36" customFormat="1" ht="15" hidden="1">
      <c r="A125" s="4871" t="s">
        <v>4815</v>
      </c>
      <c r="B125" s="4882" t="s">
        <v>10677</v>
      </c>
      <c r="C125" s="5277" t="s">
        <v>28</v>
      </c>
      <c r="D125" s="4940">
        <f t="shared" si="0"/>
        <v>45520</v>
      </c>
      <c r="E125" s="4940">
        <v>45527</v>
      </c>
      <c r="F125" s="4882" t="s">
        <v>93</v>
      </c>
      <c r="G125" s="4871"/>
      <c r="H125" s="4882"/>
      <c r="I125" s="4882"/>
      <c r="J125" s="4882" t="s">
        <v>10669</v>
      </c>
      <c r="K125" s="5277" t="s">
        <v>810</v>
      </c>
      <c r="L125" s="4882"/>
      <c r="M125" s="4882"/>
      <c r="N125" s="4882"/>
      <c r="O125" s="4913"/>
      <c r="P125" s="4913"/>
      <c r="Q125" s="4913" t="s">
        <v>6852</v>
      </c>
      <c r="R125" s="4913"/>
      <c r="S125" s="4913"/>
      <c r="T125" s="4913"/>
      <c r="U125" s="4913"/>
      <c r="V125" s="4913"/>
      <c r="W125" s="4913"/>
      <c r="X125" s="4913"/>
      <c r="Y125" s="4913"/>
      <c r="Z125" s="4913"/>
      <c r="AA125" s="4921"/>
    </row>
    <row r="126" spans="1:35" s="3" customFormat="1" ht="15" hidden="1">
      <c r="A126" s="4871" t="s">
        <v>4815</v>
      </c>
      <c r="B126" s="4882" t="s">
        <v>10678</v>
      </c>
      <c r="C126" s="5277" t="s">
        <v>28</v>
      </c>
      <c r="D126" s="4940">
        <f t="shared" si="0"/>
        <v>45520</v>
      </c>
      <c r="E126" s="4940">
        <v>45527</v>
      </c>
      <c r="F126" s="4882" t="s">
        <v>93</v>
      </c>
      <c r="G126" s="4871"/>
      <c r="H126" s="4882"/>
      <c r="I126" s="4882"/>
      <c r="J126" s="4882" t="s">
        <v>10669</v>
      </c>
      <c r="K126" s="5277" t="s">
        <v>810</v>
      </c>
      <c r="L126" s="4882"/>
      <c r="M126" s="4882"/>
      <c r="N126" s="4882"/>
      <c r="O126" s="4913"/>
      <c r="P126" s="4913"/>
      <c r="Q126" s="4913" t="s">
        <v>6852</v>
      </c>
      <c r="R126" s="4913"/>
      <c r="S126" s="4913"/>
      <c r="T126" s="4913"/>
      <c r="U126" s="4913"/>
      <c r="V126" s="4913"/>
      <c r="W126" s="4913"/>
      <c r="X126" s="4913"/>
      <c r="Y126" s="4913"/>
      <c r="Z126" s="4913"/>
      <c r="AA126" s="4921"/>
      <c r="AB126" s="36"/>
      <c r="AC126" s="36"/>
      <c r="AD126" s="36"/>
      <c r="AE126" s="36"/>
      <c r="AF126" s="36"/>
      <c r="AG126" s="36"/>
      <c r="AH126" s="36"/>
      <c r="AI126" s="36"/>
    </row>
    <row r="127" spans="1:35" customFormat="1" ht="15" hidden="1">
      <c r="A127" s="4871" t="s">
        <v>4815</v>
      </c>
      <c r="B127" s="4882" t="s">
        <v>10679</v>
      </c>
      <c r="C127" s="5277" t="s">
        <v>28</v>
      </c>
      <c r="D127" s="4940">
        <f t="shared" si="0"/>
        <v>45520</v>
      </c>
      <c r="E127" s="4940">
        <v>45527</v>
      </c>
      <c r="F127" s="4882" t="s">
        <v>93</v>
      </c>
      <c r="G127" s="4871"/>
      <c r="H127" s="4882"/>
      <c r="I127" s="4882"/>
      <c r="J127" s="4882" t="s">
        <v>10669</v>
      </c>
      <c r="K127" s="5277" t="s">
        <v>810</v>
      </c>
      <c r="L127" s="4882"/>
      <c r="M127" s="4882"/>
      <c r="N127" s="4882"/>
      <c r="O127" s="4913"/>
      <c r="P127" s="4913"/>
      <c r="Q127" s="4913" t="s">
        <v>6852</v>
      </c>
      <c r="R127" s="4913"/>
      <c r="S127" s="4913"/>
      <c r="T127" s="4913"/>
      <c r="U127" s="4913"/>
      <c r="V127" s="4913"/>
      <c r="W127" s="4913"/>
      <c r="X127" s="4913"/>
      <c r="Y127" s="4913"/>
      <c r="Z127" s="4913"/>
      <c r="AA127" s="4874"/>
      <c r="AB127" s="106"/>
      <c r="AC127" s="106"/>
      <c r="AD127" s="106"/>
      <c r="AE127" s="106"/>
      <c r="AF127" s="106"/>
      <c r="AG127" s="106"/>
      <c r="AH127" s="106"/>
      <c r="AI127" s="106"/>
    </row>
    <row r="128" spans="1:35" s="36" customFormat="1" ht="15" hidden="1">
      <c r="A128" s="4838" t="s">
        <v>2966</v>
      </c>
      <c r="B128" s="4921" t="s">
        <v>10680</v>
      </c>
      <c r="C128" s="4921" t="s">
        <v>28</v>
      </c>
      <c r="D128" s="5727">
        <v>45511</v>
      </c>
      <c r="E128" s="5728">
        <v>45527</v>
      </c>
      <c r="F128" s="4921" t="s">
        <v>151</v>
      </c>
      <c r="G128" s="4838" t="s">
        <v>46</v>
      </c>
      <c r="H128" s="4921"/>
      <c r="I128" s="4921"/>
      <c r="J128" s="4921"/>
      <c r="K128" s="4921"/>
      <c r="L128" s="4921" t="s">
        <v>10681</v>
      </c>
      <c r="M128" s="5626">
        <v>45530</v>
      </c>
      <c r="N128" s="5729">
        <v>45530</v>
      </c>
      <c r="O128" s="5729">
        <v>45531</v>
      </c>
      <c r="P128" s="4970" t="s">
        <v>10682</v>
      </c>
      <c r="Q128" s="4921" t="s">
        <v>9226</v>
      </c>
      <c r="R128" s="4838" t="s">
        <v>10683</v>
      </c>
      <c r="S128" s="4921" t="s">
        <v>1320</v>
      </c>
      <c r="T128" s="4921"/>
      <c r="U128" s="4921"/>
      <c r="V128" s="4921"/>
      <c r="W128" s="4921"/>
      <c r="X128" s="4921"/>
      <c r="Y128" s="4921"/>
      <c r="Z128" s="4921"/>
      <c r="AA128" s="4845"/>
      <c r="AB128" s="117"/>
      <c r="AC128" s="117"/>
      <c r="AD128" s="117"/>
      <c r="AE128" s="117"/>
      <c r="AF128" s="117"/>
      <c r="AG128" s="117"/>
      <c r="AH128" s="117"/>
      <c r="AI128" s="117"/>
    </row>
    <row r="129" spans="1:41" s="52" customFormat="1" ht="15" hidden="1">
      <c r="A129" s="5116" t="s">
        <v>799</v>
      </c>
      <c r="B129" s="5719" t="s">
        <v>10684</v>
      </c>
      <c r="C129" s="5283" t="s">
        <v>28</v>
      </c>
      <c r="D129" s="5684">
        <v>45523</v>
      </c>
      <c r="E129" s="5730">
        <v>45528</v>
      </c>
      <c r="F129" s="4873" t="s">
        <v>167</v>
      </c>
      <c r="G129" s="5116" t="s">
        <v>46</v>
      </c>
      <c r="H129" s="4892"/>
      <c r="I129" s="4892"/>
      <c r="J129" s="4892" t="s">
        <v>32</v>
      </c>
      <c r="K129" s="5283" t="s">
        <v>47</v>
      </c>
      <c r="L129" s="4872" t="s">
        <v>10685</v>
      </c>
      <c r="M129" s="5686">
        <v>45530</v>
      </c>
      <c r="N129" s="5390">
        <v>45530</v>
      </c>
      <c r="O129" s="5686">
        <v>45532</v>
      </c>
      <c r="P129" s="4892" t="s">
        <v>10686</v>
      </c>
      <c r="Q129" s="4872" t="s">
        <v>6852</v>
      </c>
      <c r="R129" s="4892"/>
      <c r="S129" s="4892"/>
      <c r="T129" s="4892"/>
      <c r="U129" s="4892"/>
      <c r="V129" s="4892"/>
      <c r="W129" s="4892"/>
      <c r="X129" s="4892"/>
      <c r="Y129" s="4892"/>
      <c r="Z129" s="4892"/>
      <c r="AA129" s="4892"/>
      <c r="AB129"/>
      <c r="AC129"/>
      <c r="AD129"/>
      <c r="AE129"/>
      <c r="AF129"/>
      <c r="AG129"/>
      <c r="AH129"/>
      <c r="AI129"/>
    </row>
    <row r="130" spans="1:41" ht="15" hidden="1">
      <c r="A130" s="5622" t="s">
        <v>409</v>
      </c>
      <c r="B130" s="4913" t="s">
        <v>10687</v>
      </c>
      <c r="C130" s="4861" t="s">
        <v>28</v>
      </c>
      <c r="D130" s="5668">
        <v>45518</v>
      </c>
      <c r="E130" s="5673">
        <v>45528</v>
      </c>
      <c r="F130" s="4861" t="s">
        <v>151</v>
      </c>
      <c r="G130" s="5277" t="s">
        <v>46</v>
      </c>
      <c r="H130" s="4913"/>
      <c r="I130" s="4913"/>
      <c r="J130" s="4913" t="s">
        <v>32</v>
      </c>
      <c r="K130" s="5277" t="s">
        <v>10688</v>
      </c>
      <c r="L130" s="4870" t="s">
        <v>10689</v>
      </c>
      <c r="M130" s="4897">
        <v>45529</v>
      </c>
      <c r="N130" s="4914">
        <v>45529</v>
      </c>
      <c r="O130" s="4914">
        <v>45531</v>
      </c>
      <c r="P130" s="4913" t="s">
        <v>10690</v>
      </c>
      <c r="Q130" s="5620" t="s">
        <v>6852</v>
      </c>
      <c r="R130" s="4913" t="s">
        <v>36</v>
      </c>
      <c r="S130" s="4913"/>
      <c r="T130" s="4913"/>
      <c r="U130" s="4913"/>
      <c r="V130" s="4913"/>
      <c r="W130" s="4913"/>
      <c r="X130" s="4913"/>
      <c r="Y130" s="4913"/>
      <c r="Z130" s="4913"/>
      <c r="AA130" s="4874"/>
    </row>
    <row r="131" spans="1:41" s="26" customFormat="1" ht="15" hidden="1">
      <c r="A131" s="5622" t="s">
        <v>409</v>
      </c>
      <c r="B131" s="5265" t="s">
        <v>10691</v>
      </c>
      <c r="C131" s="4861" t="s">
        <v>28</v>
      </c>
      <c r="D131" s="5668">
        <v>45518</v>
      </c>
      <c r="E131" s="5673">
        <v>45528</v>
      </c>
      <c r="F131" s="4861" t="s">
        <v>151</v>
      </c>
      <c r="G131" s="5277" t="s">
        <v>46</v>
      </c>
      <c r="H131" s="4913"/>
      <c r="I131" s="4913"/>
      <c r="J131" s="4913" t="s">
        <v>32</v>
      </c>
      <c r="K131" s="5277" t="s">
        <v>10688</v>
      </c>
      <c r="L131" s="4870" t="s">
        <v>10692</v>
      </c>
      <c r="M131" s="4897">
        <v>45529</v>
      </c>
      <c r="N131" s="4914">
        <v>45529</v>
      </c>
      <c r="O131" s="4914">
        <v>45531</v>
      </c>
      <c r="P131" s="4913" t="s">
        <v>10693</v>
      </c>
      <c r="Q131" s="5620" t="s">
        <v>6852</v>
      </c>
      <c r="R131" s="4913" t="s">
        <v>10694</v>
      </c>
      <c r="S131" s="4913"/>
      <c r="T131" s="4913"/>
      <c r="U131" s="4913"/>
      <c r="V131" s="4913"/>
      <c r="W131" s="4913"/>
      <c r="X131" s="4913"/>
      <c r="Y131" s="4913"/>
      <c r="Z131" s="4913"/>
      <c r="AA131" s="4861"/>
      <c r="AB131" s="709"/>
      <c r="AC131" s="709"/>
      <c r="AD131" s="709"/>
      <c r="AE131" s="709"/>
      <c r="AF131" s="709"/>
      <c r="AG131" s="709"/>
      <c r="AH131" s="709"/>
      <c r="AI131" s="709"/>
    </row>
    <row r="132" spans="1:41" s="26" customFormat="1" ht="120" hidden="1">
      <c r="A132" s="5375" t="s">
        <v>1945</v>
      </c>
      <c r="B132" s="5706" t="s">
        <v>10695</v>
      </c>
      <c r="C132" s="4845" t="s">
        <v>28</v>
      </c>
      <c r="D132" s="4906">
        <v>45511</v>
      </c>
      <c r="E132" s="4916">
        <v>45528</v>
      </c>
      <c r="F132" s="4845" t="s">
        <v>151</v>
      </c>
      <c r="G132" s="4845" t="s">
        <v>1707</v>
      </c>
      <c r="H132" s="4961">
        <v>45531</v>
      </c>
      <c r="I132" s="4908" t="s">
        <v>445</v>
      </c>
      <c r="J132" s="5375" t="s">
        <v>8987</v>
      </c>
      <c r="K132" s="4908" t="s">
        <v>10696</v>
      </c>
      <c r="L132" s="4977">
        <v>2616</v>
      </c>
      <c r="M132" s="4916">
        <v>45530</v>
      </c>
      <c r="N132" s="4906">
        <v>45531</v>
      </c>
      <c r="O132" s="4906">
        <v>45531</v>
      </c>
      <c r="P132" s="4909" t="s">
        <v>10697</v>
      </c>
      <c r="Q132" s="5065" t="s">
        <v>75</v>
      </c>
      <c r="R132" s="4908" t="s">
        <v>10698</v>
      </c>
      <c r="S132" s="4845" t="s">
        <v>67</v>
      </c>
      <c r="T132" s="5417">
        <v>925</v>
      </c>
      <c r="U132" s="5417">
        <f>533.48+90</f>
        <v>623.48</v>
      </c>
      <c r="V132" s="4845">
        <v>1</v>
      </c>
      <c r="W132" s="5731">
        <f>T132-U132</f>
        <v>301.52</v>
      </c>
      <c r="X132" s="5060">
        <f>W132/U132</f>
        <v>0.48360813498428173</v>
      </c>
      <c r="Y132" s="4845"/>
      <c r="Z132" s="4845"/>
      <c r="AA132" s="4873"/>
    </row>
    <row r="133" spans="1:41" s="507" customFormat="1" ht="75">
      <c r="A133" s="5375" t="s">
        <v>1945</v>
      </c>
      <c r="B133" s="5706" t="s">
        <v>10699</v>
      </c>
      <c r="C133" s="4845" t="s">
        <v>28</v>
      </c>
      <c r="D133" s="4906">
        <v>45522</v>
      </c>
      <c r="E133" s="4916">
        <v>45528</v>
      </c>
      <c r="F133" s="4908" t="s">
        <v>98</v>
      </c>
      <c r="G133" s="4908" t="s">
        <v>302</v>
      </c>
      <c r="H133" s="4906">
        <v>45531</v>
      </c>
      <c r="I133" s="4908" t="s">
        <v>445</v>
      </c>
      <c r="J133" s="5375" t="s">
        <v>32</v>
      </c>
      <c r="K133" s="4908" t="s">
        <v>10700</v>
      </c>
      <c r="L133" s="4909" t="s">
        <v>10701</v>
      </c>
      <c r="M133" s="4906">
        <v>45532</v>
      </c>
      <c r="N133" s="4906">
        <v>45530</v>
      </c>
      <c r="O133" s="4906">
        <v>45531</v>
      </c>
      <c r="P133" s="4909" t="s">
        <v>10702</v>
      </c>
      <c r="Q133" s="5065" t="s">
        <v>75</v>
      </c>
      <c r="R133" s="4908" t="s">
        <v>10703</v>
      </c>
      <c r="S133" s="4845" t="s">
        <v>67</v>
      </c>
      <c r="T133" s="5190">
        <v>1690</v>
      </c>
      <c r="U133" s="5190">
        <f>985+90</f>
        <v>1075</v>
      </c>
      <c r="V133" s="4845">
        <v>1</v>
      </c>
      <c r="W133" s="5731">
        <f>T133-U133</f>
        <v>615</v>
      </c>
      <c r="X133" s="5060">
        <f>W133/U133</f>
        <v>0.5720930232558139</v>
      </c>
      <c r="Y133" s="4845"/>
      <c r="Z133" s="4845"/>
      <c r="AA133" s="4845"/>
      <c r="AB133" s="117"/>
      <c r="AC133" s="117"/>
      <c r="AD133" s="117"/>
      <c r="AE133" s="117"/>
      <c r="AF133" s="117"/>
      <c r="AG133" s="117"/>
      <c r="AH133" s="117"/>
      <c r="AI133" s="117"/>
    </row>
    <row r="134" spans="1:41" s="117" customFormat="1" ht="15" hidden="1">
      <c r="A134" s="5375" t="s">
        <v>165</v>
      </c>
      <c r="B134" s="4928" t="s">
        <v>10704</v>
      </c>
      <c r="C134" s="4845" t="s">
        <v>28</v>
      </c>
      <c r="D134" s="4906">
        <v>45516</v>
      </c>
      <c r="E134" s="4916">
        <v>45529</v>
      </c>
      <c r="F134" s="4845" t="s">
        <v>93</v>
      </c>
      <c r="G134" s="4908" t="s">
        <v>302</v>
      </c>
      <c r="H134" s="4916">
        <v>45532</v>
      </c>
      <c r="I134" s="4908" t="s">
        <v>10247</v>
      </c>
      <c r="J134" s="5375" t="s">
        <v>32</v>
      </c>
      <c r="K134" s="4908" t="s">
        <v>2013</v>
      </c>
      <c r="L134" s="4929">
        <v>511208</v>
      </c>
      <c r="M134" s="4844">
        <v>45532</v>
      </c>
      <c r="N134" s="4918">
        <v>45532</v>
      </c>
      <c r="O134" s="4918">
        <v>45532</v>
      </c>
      <c r="P134" s="4909" t="s">
        <v>10705</v>
      </c>
      <c r="Q134" s="5065" t="s">
        <v>75</v>
      </c>
      <c r="R134" s="4908" t="s">
        <v>10706</v>
      </c>
      <c r="S134" s="4908" t="s">
        <v>10279</v>
      </c>
      <c r="T134" s="4845">
        <v>1150</v>
      </c>
      <c r="U134" s="4845">
        <v>870</v>
      </c>
      <c r="V134" s="4845">
        <v>1</v>
      </c>
      <c r="W134" s="4845">
        <f>T134-U134</f>
        <v>280</v>
      </c>
      <c r="X134" s="5060">
        <f>W134/U134</f>
        <v>0.32183908045977011</v>
      </c>
      <c r="Y134" s="5060"/>
      <c r="Z134" s="4845"/>
      <c r="AA134" s="4845"/>
    </row>
    <row r="135" spans="1:41" s="52" customFormat="1" ht="30" hidden="1">
      <c r="A135" s="5118" t="s">
        <v>26</v>
      </c>
      <c r="B135" s="5277" t="s">
        <v>10707</v>
      </c>
      <c r="C135" s="4861" t="s">
        <v>28</v>
      </c>
      <c r="D135" s="5665">
        <v>45513</v>
      </c>
      <c r="E135" s="5666">
        <v>45530</v>
      </c>
      <c r="F135" s="4861" t="s">
        <v>245</v>
      </c>
      <c r="G135" s="5118" t="s">
        <v>10423</v>
      </c>
      <c r="H135" s="5403">
        <v>45533</v>
      </c>
      <c r="I135" s="5696">
        <v>0.45833333333333331</v>
      </c>
      <c r="J135" s="5277" t="s">
        <v>4896</v>
      </c>
      <c r="K135" s="5277" t="s">
        <v>9588</v>
      </c>
      <c r="L135" s="4839">
        <v>808185</v>
      </c>
      <c r="M135" s="4957">
        <v>45532</v>
      </c>
      <c r="N135" s="4957">
        <v>45532</v>
      </c>
      <c r="O135" s="5403">
        <v>45533</v>
      </c>
      <c r="P135" s="5405" t="s">
        <v>10708</v>
      </c>
      <c r="Q135" s="5277" t="s">
        <v>9226</v>
      </c>
      <c r="R135" s="5277" t="s">
        <v>10709</v>
      </c>
      <c r="S135" s="4908" t="s">
        <v>10279</v>
      </c>
      <c r="T135" s="5623">
        <v>1933.5</v>
      </c>
      <c r="U135" s="5623">
        <v>1630</v>
      </c>
      <c r="V135" s="5277">
        <v>1</v>
      </c>
      <c r="W135" s="5277"/>
      <c r="X135" s="5277"/>
      <c r="Y135" s="5277"/>
      <c r="Z135" s="5277"/>
      <c r="AA135" s="5283"/>
    </row>
    <row r="136" spans="1:41" s="709" customFormat="1" ht="30" hidden="1">
      <c r="A136" s="4843" t="s">
        <v>10328</v>
      </c>
      <c r="B136" s="4913" t="s">
        <v>10710</v>
      </c>
      <c r="C136" s="4861" t="s">
        <v>28</v>
      </c>
      <c r="D136" s="5668">
        <v>45511</v>
      </c>
      <c r="E136" s="5673">
        <v>45530</v>
      </c>
      <c r="F136" s="4861" t="s">
        <v>151</v>
      </c>
      <c r="G136" s="5277" t="s">
        <v>46</v>
      </c>
      <c r="H136" s="4913"/>
      <c r="I136" s="4913"/>
      <c r="J136" s="4913" t="s">
        <v>32</v>
      </c>
      <c r="K136" s="5277" t="s">
        <v>10688</v>
      </c>
      <c r="L136" s="4913" t="s">
        <v>10711</v>
      </c>
      <c r="M136" s="4897">
        <v>45528</v>
      </c>
      <c r="N136" s="4914">
        <v>45530</v>
      </c>
      <c r="O136" s="4914">
        <v>45532</v>
      </c>
      <c r="P136" s="4891" t="s">
        <v>10712</v>
      </c>
      <c r="Q136" s="4870" t="s">
        <v>6852</v>
      </c>
      <c r="R136" s="4913" t="s">
        <v>51</v>
      </c>
      <c r="S136" s="4913"/>
      <c r="T136" s="4913"/>
      <c r="U136" s="4913"/>
      <c r="V136" s="4913"/>
      <c r="W136" s="4913"/>
      <c r="X136" s="4913"/>
      <c r="Y136" s="4913"/>
      <c r="Z136" s="4913"/>
      <c r="AA136" s="4882"/>
      <c r="AB136" s="707"/>
      <c r="AC136" s="707"/>
      <c r="AD136" s="707"/>
      <c r="AE136" s="707"/>
      <c r="AF136" s="707"/>
      <c r="AG136" s="707"/>
      <c r="AH136" s="707"/>
      <c r="AI136" s="707"/>
    </row>
    <row r="137" spans="1:41" s="1350" customFormat="1" ht="15" hidden="1">
      <c r="A137" s="4891" t="s">
        <v>799</v>
      </c>
      <c r="B137" s="4913" t="s">
        <v>10713</v>
      </c>
      <c r="C137" s="4861" t="s">
        <v>28</v>
      </c>
      <c r="D137" s="5668">
        <v>45521</v>
      </c>
      <c r="E137" s="5673">
        <v>45530</v>
      </c>
      <c r="F137" s="4882" t="s">
        <v>45</v>
      </c>
      <c r="G137" s="5277" t="s">
        <v>46</v>
      </c>
      <c r="H137" s="4913"/>
      <c r="I137" s="4913"/>
      <c r="J137" s="4913" t="s">
        <v>32</v>
      </c>
      <c r="K137" s="5277" t="s">
        <v>10688</v>
      </c>
      <c r="L137" s="4870" t="s">
        <v>10714</v>
      </c>
      <c r="M137" s="4897">
        <v>45530</v>
      </c>
      <c r="N137" s="4914">
        <v>45529</v>
      </c>
      <c r="O137" s="4914">
        <v>45532</v>
      </c>
      <c r="P137" s="4913" t="s">
        <v>10715</v>
      </c>
      <c r="Q137" s="5620" t="s">
        <v>6852</v>
      </c>
      <c r="R137" s="3020" t="s">
        <v>10716</v>
      </c>
      <c r="S137" s="4913"/>
      <c r="T137" s="4913"/>
      <c r="U137" s="4913"/>
      <c r="V137" s="4913"/>
      <c r="W137" s="4913"/>
      <c r="X137" s="4913"/>
      <c r="Y137" s="4913"/>
      <c r="Z137" s="4913"/>
      <c r="AA137" s="4913"/>
      <c r="AB137" s="650"/>
      <c r="AC137" s="650"/>
      <c r="AD137" s="650"/>
      <c r="AE137" s="650"/>
      <c r="AF137" s="650"/>
      <c r="AG137" s="650"/>
      <c r="AH137" s="650"/>
      <c r="AI137" s="650"/>
    </row>
    <row r="138" spans="1:41" s="1350" customFormat="1" ht="15" hidden="1">
      <c r="A138" s="5118" t="s">
        <v>10717</v>
      </c>
      <c r="B138" s="5732" t="s">
        <v>10718</v>
      </c>
      <c r="C138" s="5277" t="s">
        <v>10719</v>
      </c>
      <c r="D138" s="5403">
        <v>45523</v>
      </c>
      <c r="E138" s="5621">
        <v>45530</v>
      </c>
      <c r="F138" s="5277" t="s">
        <v>245</v>
      </c>
      <c r="G138" s="5118" t="s">
        <v>57</v>
      </c>
      <c r="H138" s="5277"/>
      <c r="I138" s="5277"/>
      <c r="J138" s="5277" t="s">
        <v>4896</v>
      </c>
      <c r="K138" s="5277" t="s">
        <v>10720</v>
      </c>
      <c r="L138" s="5277">
        <v>5159406</v>
      </c>
      <c r="M138" s="5403">
        <v>45532</v>
      </c>
      <c r="N138" s="5403">
        <v>45531</v>
      </c>
      <c r="O138" s="5403">
        <v>45533</v>
      </c>
      <c r="P138" s="5277" t="s">
        <v>10721</v>
      </c>
      <c r="Q138" s="4839" t="s">
        <v>50</v>
      </c>
      <c r="R138" s="5277" t="s">
        <v>51</v>
      </c>
      <c r="S138" s="5277"/>
      <c r="T138" s="5277"/>
      <c r="U138" s="5277"/>
      <c r="V138" s="5277"/>
      <c r="W138" s="5277"/>
      <c r="X138" s="5277"/>
      <c r="Y138" s="5277"/>
      <c r="Z138" s="5277"/>
      <c r="AA138" s="4913"/>
      <c r="AB138" s="650"/>
      <c r="AC138" s="650"/>
      <c r="AD138" s="650"/>
      <c r="AE138" s="650"/>
      <c r="AF138" s="650"/>
      <c r="AG138" s="650"/>
      <c r="AH138" s="650"/>
      <c r="AI138" s="650"/>
    </row>
    <row r="139" spans="1:41" s="709" customFormat="1" ht="30" hidden="1">
      <c r="A139" s="5375" t="s">
        <v>1945</v>
      </c>
      <c r="B139" s="5706" t="s">
        <v>10722</v>
      </c>
      <c r="C139" s="4845" t="s">
        <v>28</v>
      </c>
      <c r="D139" s="4906">
        <v>45530</v>
      </c>
      <c r="E139" s="4916">
        <v>45530</v>
      </c>
      <c r="F139" s="4908" t="s">
        <v>135</v>
      </c>
      <c r="G139" s="4909" t="s">
        <v>10723</v>
      </c>
      <c r="H139" s="4961">
        <v>45532</v>
      </c>
      <c r="I139" s="4908" t="s">
        <v>926</v>
      </c>
      <c r="J139" s="5375" t="s">
        <v>435</v>
      </c>
      <c r="K139" s="4908" t="s">
        <v>10724</v>
      </c>
      <c r="L139" s="4951" t="s">
        <v>10725</v>
      </c>
      <c r="M139" s="4918">
        <v>45537</v>
      </c>
      <c r="N139" s="4906">
        <v>45531</v>
      </c>
      <c r="O139" s="4906">
        <v>45532</v>
      </c>
      <c r="P139" s="4909" t="s">
        <v>10726</v>
      </c>
      <c r="Q139" s="5065" t="s">
        <v>75</v>
      </c>
      <c r="R139" s="4909" t="s">
        <v>10727</v>
      </c>
      <c r="S139" s="4845" t="s">
        <v>67</v>
      </c>
      <c r="T139" s="4845">
        <v>1170</v>
      </c>
      <c r="U139" s="4845">
        <f>497+90</f>
        <v>587</v>
      </c>
      <c r="V139" s="4845">
        <v>1</v>
      </c>
      <c r="W139" s="5731">
        <f>T139-U139</f>
        <v>583</v>
      </c>
      <c r="X139" s="5060">
        <f>W139/U139</f>
        <v>0.99318568994889267</v>
      </c>
      <c r="Y139" s="4845"/>
      <c r="Z139" s="4845"/>
      <c r="AA139" s="4882"/>
      <c r="AB139" s="707"/>
      <c r="AC139" s="707"/>
      <c r="AD139" s="707"/>
      <c r="AE139" s="707"/>
      <c r="AF139" s="707"/>
      <c r="AG139" s="707"/>
      <c r="AH139" s="707"/>
      <c r="AI139" s="707"/>
    </row>
    <row r="140" spans="1:41" s="1350" customFormat="1" ht="15" hidden="1">
      <c r="A140" s="5445" t="s">
        <v>263</v>
      </c>
      <c r="B140" s="5445" t="s">
        <v>10728</v>
      </c>
      <c r="C140" s="5277" t="s">
        <v>28</v>
      </c>
      <c r="D140" s="5671">
        <v>45530</v>
      </c>
      <c r="E140" s="5671">
        <v>45530</v>
      </c>
      <c r="F140" s="5445" t="s">
        <v>63</v>
      </c>
      <c r="G140" s="5445" t="s">
        <v>10388</v>
      </c>
      <c r="H140" s="5671">
        <v>45533</v>
      </c>
      <c r="I140" s="5691">
        <v>0.5</v>
      </c>
      <c r="J140" s="5445" t="s">
        <v>377</v>
      </c>
      <c r="K140" s="5445" t="s">
        <v>10389</v>
      </c>
      <c r="L140" s="5445">
        <v>61677</v>
      </c>
      <c r="M140" s="4861"/>
      <c r="N140" s="5671">
        <v>45533</v>
      </c>
      <c r="O140" s="5671">
        <v>45539</v>
      </c>
      <c r="P140" s="5445" t="s">
        <v>10729</v>
      </c>
      <c r="Q140" s="4886" t="s">
        <v>128</v>
      </c>
      <c r="R140" s="4886" t="s">
        <v>10730</v>
      </c>
      <c r="S140" s="5277" t="s">
        <v>67</v>
      </c>
      <c r="T140" s="4861">
        <v>1875.16</v>
      </c>
      <c r="U140" s="4861">
        <f>1440+170.16</f>
        <v>1610.16</v>
      </c>
      <c r="V140" s="4861">
        <v>1</v>
      </c>
      <c r="W140" s="4861">
        <f>T140-U140</f>
        <v>265</v>
      </c>
      <c r="X140" s="4865">
        <f>W140/U140</f>
        <v>0.16457991752372433</v>
      </c>
      <c r="Y140" s="4861"/>
      <c r="Z140" s="4861"/>
      <c r="AA140" s="4892"/>
      <c r="AB140"/>
      <c r="AC140"/>
      <c r="AD140"/>
      <c r="AE140"/>
      <c r="AF140"/>
      <c r="AG140"/>
      <c r="AH140"/>
      <c r="AI140"/>
      <c r="AJ140" s="52"/>
      <c r="AK140" s="52"/>
      <c r="AL140" s="52"/>
      <c r="AM140" s="52"/>
      <c r="AN140" s="52"/>
      <c r="AO140" s="52"/>
    </row>
    <row r="141" spans="1:41" ht="45" hidden="1">
      <c r="A141" s="5471" t="s">
        <v>468</v>
      </c>
      <c r="B141" s="4971" t="s">
        <v>10731</v>
      </c>
      <c r="C141" s="4874" t="s">
        <v>200</v>
      </c>
      <c r="D141" s="4975">
        <v>45515</v>
      </c>
      <c r="E141" s="5040">
        <v>45531</v>
      </c>
      <c r="F141" s="4874" t="s">
        <v>245</v>
      </c>
      <c r="G141" s="4874" t="s">
        <v>57</v>
      </c>
      <c r="H141" s="5040">
        <v>45532</v>
      </c>
      <c r="I141" s="5608" t="s">
        <v>445</v>
      </c>
      <c r="J141" s="5471" t="s">
        <v>32</v>
      </c>
      <c r="K141" s="4874" t="s">
        <v>2728</v>
      </c>
      <c r="L141" s="5049">
        <v>5272991</v>
      </c>
      <c r="M141" s="5086">
        <v>45533</v>
      </c>
      <c r="N141" s="4975">
        <v>45532</v>
      </c>
      <c r="O141" s="5376">
        <v>45532</v>
      </c>
      <c r="P141" s="5049" t="s">
        <v>10732</v>
      </c>
      <c r="Q141" s="5480" t="s">
        <v>75</v>
      </c>
      <c r="R141" s="4971" t="s">
        <v>10733</v>
      </c>
      <c r="S141" s="4971" t="s">
        <v>10279</v>
      </c>
      <c r="T141" s="5580">
        <v>1000</v>
      </c>
      <c r="U141" s="4874">
        <v>785</v>
      </c>
      <c r="V141" s="4874">
        <v>1</v>
      </c>
      <c r="W141" s="5580">
        <f>T141-U141</f>
        <v>215</v>
      </c>
      <c r="X141" s="5733">
        <f>W141/U141</f>
        <v>0.27388535031847133</v>
      </c>
      <c r="Y141" s="4874" t="s">
        <v>5640</v>
      </c>
      <c r="Z141" s="4874"/>
      <c r="AA141" s="4873"/>
      <c r="AB141" s="26"/>
      <c r="AC141" s="26"/>
      <c r="AD141" s="26"/>
      <c r="AE141" s="26"/>
      <c r="AF141" s="26"/>
      <c r="AG141" s="26"/>
      <c r="AH141" s="26"/>
      <c r="AI141" s="26"/>
    </row>
    <row r="142" spans="1:41" ht="60" hidden="1">
      <c r="A142" s="5326" t="s">
        <v>9692</v>
      </c>
      <c r="B142" s="4886" t="s">
        <v>10734</v>
      </c>
      <c r="C142" s="4861" t="s">
        <v>28</v>
      </c>
      <c r="D142" s="4863">
        <v>45512</v>
      </c>
      <c r="E142" s="5601">
        <v>45531</v>
      </c>
      <c r="F142" s="4861" t="s">
        <v>29</v>
      </c>
      <c r="G142" s="4861" t="s">
        <v>10735</v>
      </c>
      <c r="H142" s="5550">
        <v>45533</v>
      </c>
      <c r="I142" s="4861" t="s">
        <v>10736</v>
      </c>
      <c r="J142" s="5326" t="s">
        <v>9695</v>
      </c>
      <c r="K142" s="4886" t="s">
        <v>8824</v>
      </c>
      <c r="L142" s="4864">
        <v>5179559</v>
      </c>
      <c r="M142" s="4953">
        <v>45533</v>
      </c>
      <c r="N142" s="4953">
        <v>45532</v>
      </c>
      <c r="O142" s="4953">
        <v>45533</v>
      </c>
      <c r="P142" s="4890" t="s">
        <v>10737</v>
      </c>
      <c r="Q142" s="5576" t="s">
        <v>9226</v>
      </c>
      <c r="R142" s="4861" t="s">
        <v>10738</v>
      </c>
      <c r="S142" s="4908" t="s">
        <v>10279</v>
      </c>
      <c r="T142" s="4861"/>
      <c r="U142" s="4861"/>
      <c r="V142" s="4861"/>
      <c r="W142" s="4861"/>
      <c r="X142" s="5378"/>
      <c r="Y142" s="4861"/>
      <c r="Z142" s="4861"/>
      <c r="AA142" s="4892"/>
      <c r="AB142"/>
      <c r="AC142"/>
      <c r="AD142"/>
      <c r="AE142"/>
      <c r="AF142"/>
      <c r="AG142"/>
      <c r="AH142"/>
      <c r="AI142"/>
    </row>
    <row r="143" spans="1:41" s="709" customFormat="1" ht="45" hidden="1">
      <c r="A143" s="5326" t="s">
        <v>9692</v>
      </c>
      <c r="B143" s="4861" t="s">
        <v>10739</v>
      </c>
      <c r="C143" s="4861" t="s">
        <v>28</v>
      </c>
      <c r="D143" s="4863">
        <v>45512</v>
      </c>
      <c r="E143" s="5601">
        <v>45531</v>
      </c>
      <c r="F143" s="4861" t="s">
        <v>29</v>
      </c>
      <c r="G143" s="4861" t="s">
        <v>10735</v>
      </c>
      <c r="H143" s="5694">
        <v>45532</v>
      </c>
      <c r="I143" s="5675">
        <v>0.39583333333333331</v>
      </c>
      <c r="J143" s="5326" t="s">
        <v>9695</v>
      </c>
      <c r="K143" s="4861" t="s">
        <v>8824</v>
      </c>
      <c r="L143" s="4864">
        <v>5179440</v>
      </c>
      <c r="M143" s="4953">
        <v>45533</v>
      </c>
      <c r="N143" s="4953">
        <v>45532</v>
      </c>
      <c r="O143" s="4953">
        <v>45532</v>
      </c>
      <c r="P143" s="4864" t="s">
        <v>10740</v>
      </c>
      <c r="Q143" s="5576" t="s">
        <v>9226</v>
      </c>
      <c r="R143" s="4861" t="s">
        <v>10741</v>
      </c>
      <c r="S143" s="4908" t="s">
        <v>10279</v>
      </c>
      <c r="T143" s="4861"/>
      <c r="U143" s="4861"/>
      <c r="V143" s="4861"/>
      <c r="W143" s="4861"/>
      <c r="X143" s="5378"/>
      <c r="Y143" s="4861"/>
      <c r="Z143" s="4861"/>
      <c r="AA143" s="5277"/>
      <c r="AB143" s="1350"/>
      <c r="AC143" s="1350"/>
      <c r="AD143" s="1350"/>
      <c r="AE143" s="1350"/>
      <c r="AF143" s="1350"/>
      <c r="AG143" s="1350"/>
      <c r="AH143" s="1350"/>
      <c r="AI143" s="1350"/>
    </row>
    <row r="144" spans="1:41" s="1350" customFormat="1" ht="17.25" hidden="1">
      <c r="A144" s="5678" t="s">
        <v>409</v>
      </c>
      <c r="B144" s="4913" t="s">
        <v>10742</v>
      </c>
      <c r="C144" s="4882" t="s">
        <v>28</v>
      </c>
      <c r="D144" s="5668">
        <v>45514</v>
      </c>
      <c r="E144" s="5673">
        <v>45531</v>
      </c>
      <c r="F144" s="4882" t="s">
        <v>151</v>
      </c>
      <c r="G144" s="4891" t="s">
        <v>46</v>
      </c>
      <c r="H144" s="4913"/>
      <c r="I144" s="4913"/>
      <c r="J144" s="4913" t="s">
        <v>32</v>
      </c>
      <c r="K144" s="5277" t="s">
        <v>10688</v>
      </c>
      <c r="L144" s="5117" t="s">
        <v>10743</v>
      </c>
      <c r="M144" s="4897">
        <v>45530</v>
      </c>
      <c r="N144" s="4914">
        <v>45531</v>
      </c>
      <c r="O144" s="4914">
        <v>45533</v>
      </c>
      <c r="P144" s="4913" t="s">
        <v>10744</v>
      </c>
      <c r="Q144" s="5620" t="s">
        <v>6852</v>
      </c>
      <c r="R144" s="4913" t="s">
        <v>36</v>
      </c>
      <c r="S144" s="4913"/>
      <c r="T144" s="4913"/>
      <c r="U144" s="4913"/>
      <c r="V144" s="4913"/>
      <c r="W144" s="4913"/>
      <c r="X144" s="4913"/>
      <c r="Y144" s="4913"/>
      <c r="Z144" s="4913"/>
      <c r="AA144" s="5277"/>
    </row>
    <row r="145" spans="1:35" s="52" customFormat="1" ht="15" hidden="1">
      <c r="A145" s="5702" t="s">
        <v>409</v>
      </c>
      <c r="B145" s="5719" t="s">
        <v>10745</v>
      </c>
      <c r="C145" s="4874" t="s">
        <v>28</v>
      </c>
      <c r="D145" s="5684">
        <v>45515</v>
      </c>
      <c r="E145" s="5685">
        <v>45531</v>
      </c>
      <c r="F145" s="4873" t="s">
        <v>2225</v>
      </c>
      <c r="G145" s="5087" t="s">
        <v>57</v>
      </c>
      <c r="H145" s="4892"/>
      <c r="I145" s="4892"/>
      <c r="J145" s="4892" t="s">
        <v>32</v>
      </c>
      <c r="K145" s="5283" t="s">
        <v>10688</v>
      </c>
      <c r="L145" s="4872">
        <v>5695835</v>
      </c>
      <c r="M145" s="5485">
        <v>45533</v>
      </c>
      <c r="N145" s="5686">
        <v>45532</v>
      </c>
      <c r="O145" s="5686">
        <v>45536</v>
      </c>
      <c r="P145" s="4892" t="s">
        <v>10746</v>
      </c>
      <c r="Q145" s="5482" t="s">
        <v>6852</v>
      </c>
      <c r="R145" s="4892" t="s">
        <v>10747</v>
      </c>
      <c r="S145" s="4892"/>
      <c r="T145" s="4892"/>
      <c r="U145" s="4892"/>
      <c r="V145" s="4892"/>
      <c r="W145" s="4892"/>
      <c r="X145" s="4892"/>
      <c r="Y145" s="4892"/>
      <c r="Z145" s="4892"/>
      <c r="AA145" s="5283"/>
    </row>
    <row r="146" spans="1:35" s="52" customFormat="1" ht="90.75" hidden="1" customHeight="1">
      <c r="A146" s="5118" t="s">
        <v>10660</v>
      </c>
      <c r="B146" s="5277" t="s">
        <v>10748</v>
      </c>
      <c r="C146" s="5277" t="s">
        <v>28</v>
      </c>
      <c r="D146" s="5403">
        <v>45531</v>
      </c>
      <c r="E146" s="5403">
        <v>45531</v>
      </c>
      <c r="F146" s="5277" t="s">
        <v>151</v>
      </c>
      <c r="G146" s="5118" t="s">
        <v>10749</v>
      </c>
      <c r="H146" s="5277"/>
      <c r="I146" s="5277"/>
      <c r="J146" s="5277"/>
      <c r="K146" s="5277"/>
      <c r="L146" s="5277" t="s">
        <v>9917</v>
      </c>
      <c r="M146" s="5403">
        <v>45533</v>
      </c>
      <c r="N146" s="5406">
        <v>45531</v>
      </c>
      <c r="O146" s="5403">
        <v>45538</v>
      </c>
      <c r="P146" s="5277" t="s">
        <v>10750</v>
      </c>
      <c r="Q146" s="5277" t="s">
        <v>9226</v>
      </c>
      <c r="R146" s="5277" t="s">
        <v>10751</v>
      </c>
      <c r="S146" s="5277" t="s">
        <v>1320</v>
      </c>
      <c r="T146" s="5277"/>
      <c r="U146" s="5277"/>
      <c r="V146" s="5277"/>
      <c r="W146" s="5277"/>
      <c r="X146" s="5277"/>
      <c r="Y146" s="5277"/>
      <c r="Z146" s="5277"/>
      <c r="AA146" s="4874"/>
      <c r="AB146" s="106"/>
      <c r="AC146" s="106"/>
      <c r="AD146" s="106"/>
      <c r="AE146" s="106"/>
      <c r="AF146" s="106"/>
      <c r="AG146" s="106"/>
      <c r="AH146" s="106"/>
      <c r="AI146" s="106"/>
    </row>
    <row r="147" spans="1:35" s="1350" customFormat="1" ht="15" hidden="1">
      <c r="A147" s="5118" t="s">
        <v>9454</v>
      </c>
      <c r="B147" s="5277" t="s">
        <v>10752</v>
      </c>
      <c r="C147" s="5277" t="s">
        <v>200</v>
      </c>
      <c r="D147" s="5669">
        <v>45507</v>
      </c>
      <c r="E147" s="5704">
        <v>45531</v>
      </c>
      <c r="F147" s="5277" t="s">
        <v>1357</v>
      </c>
      <c r="G147" s="5118" t="s">
        <v>46</v>
      </c>
      <c r="H147" s="5277"/>
      <c r="I147" s="5277"/>
      <c r="J147" s="5277"/>
      <c r="K147" s="5277"/>
      <c r="L147" s="5277" t="s">
        <v>10753</v>
      </c>
      <c r="M147" s="5403">
        <v>45533</v>
      </c>
      <c r="N147" s="5403">
        <v>45532</v>
      </c>
      <c r="O147" s="5403">
        <v>45538</v>
      </c>
      <c r="P147" s="5277" t="s">
        <v>10754</v>
      </c>
      <c r="Q147" s="5277" t="s">
        <v>9226</v>
      </c>
      <c r="R147" s="5277" t="s">
        <v>10755</v>
      </c>
      <c r="S147" s="5277" t="s">
        <v>1320</v>
      </c>
      <c r="T147" s="5277"/>
      <c r="U147" s="5277"/>
      <c r="V147" s="5277"/>
      <c r="W147" s="5277"/>
      <c r="X147" s="5277"/>
      <c r="Y147" s="5277"/>
      <c r="Z147" s="5277"/>
      <c r="AA147" s="5277"/>
    </row>
    <row r="148" spans="1:35" s="650" customFormat="1" ht="15" hidden="1">
      <c r="A148" s="5118" t="s">
        <v>9454</v>
      </c>
      <c r="B148" s="5277" t="s">
        <v>10756</v>
      </c>
      <c r="C148" s="4861" t="s">
        <v>200</v>
      </c>
      <c r="D148" s="5665">
        <v>45509</v>
      </c>
      <c r="E148" s="5071">
        <v>45531</v>
      </c>
      <c r="F148" s="4861" t="s">
        <v>10757</v>
      </c>
      <c r="G148" s="5118" t="s">
        <v>46</v>
      </c>
      <c r="H148" s="5277"/>
      <c r="I148" s="5277"/>
      <c r="J148" s="5277"/>
      <c r="K148" s="5277"/>
      <c r="L148" s="4839" t="s">
        <v>10758</v>
      </c>
      <c r="M148" s="4839"/>
      <c r="N148" s="5403">
        <v>45532</v>
      </c>
      <c r="O148" s="5403">
        <v>45534</v>
      </c>
      <c r="P148" s="5277" t="s">
        <v>10759</v>
      </c>
      <c r="Q148" s="5277" t="s">
        <v>9226</v>
      </c>
      <c r="R148" s="5277" t="s">
        <v>10760</v>
      </c>
      <c r="S148" s="5277" t="s">
        <v>1320</v>
      </c>
      <c r="T148" s="5277"/>
      <c r="U148" s="5277"/>
      <c r="V148" s="5277"/>
      <c r="W148" s="5277"/>
      <c r="X148" s="5277"/>
      <c r="Y148" s="5277"/>
      <c r="Z148" s="5277"/>
      <c r="AA148" s="4913"/>
    </row>
    <row r="149" spans="1:35" s="1350" customFormat="1" ht="30" hidden="1">
      <c r="A149" s="5118" t="s">
        <v>26</v>
      </c>
      <c r="B149" s="5404" t="s">
        <v>10761</v>
      </c>
      <c r="C149" s="4861" t="s">
        <v>28</v>
      </c>
      <c r="D149" s="5665">
        <v>45522</v>
      </c>
      <c r="E149" s="5666">
        <v>45532</v>
      </c>
      <c r="F149" s="4861" t="s">
        <v>245</v>
      </c>
      <c r="G149" s="5118" t="s">
        <v>10423</v>
      </c>
      <c r="H149" s="5403">
        <v>45534</v>
      </c>
      <c r="I149" s="5404" t="s">
        <v>40</v>
      </c>
      <c r="J149" s="5277" t="s">
        <v>4896</v>
      </c>
      <c r="K149" s="5277" t="s">
        <v>9588</v>
      </c>
      <c r="L149" s="5277">
        <v>974120</v>
      </c>
      <c r="M149" s="4957">
        <v>45535</v>
      </c>
      <c r="N149" s="5403">
        <v>45534</v>
      </c>
      <c r="O149" s="5403">
        <v>45534</v>
      </c>
      <c r="P149" s="5277" t="s">
        <v>10762</v>
      </c>
      <c r="Q149" s="5277" t="s">
        <v>9226</v>
      </c>
      <c r="R149" s="5277" t="s">
        <v>10763</v>
      </c>
      <c r="S149" s="4908" t="s">
        <v>10279</v>
      </c>
      <c r="T149" s="5623">
        <v>1821</v>
      </c>
      <c r="U149" s="5623">
        <v>1595</v>
      </c>
      <c r="V149" s="5277">
        <v>1</v>
      </c>
      <c r="W149" s="5277"/>
      <c r="X149" s="5277"/>
      <c r="Y149" s="5277"/>
      <c r="Z149" s="5277"/>
      <c r="AA149" s="5277"/>
    </row>
    <row r="150" spans="1:35" s="36" customFormat="1" ht="30" hidden="1">
      <c r="A150" s="5087" t="s">
        <v>10764</v>
      </c>
      <c r="B150" s="5734" t="s">
        <v>10765</v>
      </c>
      <c r="C150" s="5283" t="s">
        <v>28</v>
      </c>
      <c r="D150" s="5684">
        <v>45521</v>
      </c>
      <c r="E150" s="5685">
        <v>45532</v>
      </c>
      <c r="F150" s="4873" t="s">
        <v>151</v>
      </c>
      <c r="G150" s="5087" t="s">
        <v>46</v>
      </c>
      <c r="H150" s="4873"/>
      <c r="I150" s="4873"/>
      <c r="J150" s="4873" t="s">
        <v>32</v>
      </c>
      <c r="K150" s="5283" t="s">
        <v>10688</v>
      </c>
      <c r="L150" s="4873" t="s">
        <v>10766</v>
      </c>
      <c r="M150" s="5498">
        <v>45533</v>
      </c>
      <c r="N150" s="5498">
        <v>45531</v>
      </c>
      <c r="O150" s="5686">
        <v>45536</v>
      </c>
      <c r="P150" s="4892" t="s">
        <v>10767</v>
      </c>
      <c r="Q150" s="4872" t="s">
        <v>6852</v>
      </c>
      <c r="R150" s="4892"/>
      <c r="S150" s="4892"/>
      <c r="T150" s="4892"/>
      <c r="U150" s="4892"/>
      <c r="V150" s="4892"/>
      <c r="W150" s="4892"/>
      <c r="X150" s="4892"/>
      <c r="Y150" s="4892"/>
      <c r="Z150" s="4892"/>
      <c r="AA150" s="4921"/>
    </row>
    <row r="151" spans="1:35" customFormat="1" ht="15" hidden="1">
      <c r="A151" s="5702" t="s">
        <v>409</v>
      </c>
      <c r="B151" s="5721" t="s">
        <v>10768</v>
      </c>
      <c r="C151" s="5722" t="s">
        <v>28</v>
      </c>
      <c r="D151" s="5723">
        <v>45509</v>
      </c>
      <c r="E151" s="5685">
        <v>45532</v>
      </c>
      <c r="F151" s="5722" t="s">
        <v>260</v>
      </c>
      <c r="G151" s="5116" t="s">
        <v>46</v>
      </c>
      <c r="H151" s="4892"/>
      <c r="I151" s="4892"/>
      <c r="J151" s="4892" t="s">
        <v>32</v>
      </c>
      <c r="K151" s="5283" t="s">
        <v>10688</v>
      </c>
      <c r="L151" s="5537" t="s">
        <v>10769</v>
      </c>
      <c r="M151" s="5485">
        <v>45534</v>
      </c>
      <c r="N151" s="5686">
        <v>45532</v>
      </c>
      <c r="O151" s="5686">
        <v>45534</v>
      </c>
      <c r="P151" s="4892" t="s">
        <v>10770</v>
      </c>
      <c r="Q151" s="5633" t="s">
        <v>6852</v>
      </c>
      <c r="R151" s="4892" t="s">
        <v>10771</v>
      </c>
      <c r="S151" s="4892"/>
      <c r="T151" s="4892"/>
      <c r="U151" s="4892"/>
      <c r="V151" s="4892"/>
      <c r="W151" s="4892"/>
      <c r="X151" s="4892"/>
      <c r="Y151" s="4892"/>
      <c r="Z151" s="4892"/>
      <c r="AA151" s="4892"/>
    </row>
    <row r="152" spans="1:35" s="52" customFormat="1" ht="15" hidden="1">
      <c r="A152" s="5678" t="s">
        <v>409</v>
      </c>
      <c r="B152" s="4913" t="s">
        <v>10772</v>
      </c>
      <c r="C152" s="4861" t="s">
        <v>28</v>
      </c>
      <c r="D152" s="5668">
        <v>45515</v>
      </c>
      <c r="E152" s="5673">
        <v>45532</v>
      </c>
      <c r="F152" s="4882" t="s">
        <v>2225</v>
      </c>
      <c r="G152" s="4891" t="s">
        <v>57</v>
      </c>
      <c r="H152" s="4913"/>
      <c r="I152" s="4913"/>
      <c r="J152" s="4913" t="s">
        <v>32</v>
      </c>
      <c r="K152" s="5277" t="s">
        <v>10688</v>
      </c>
      <c r="L152" s="4870">
        <v>5695779</v>
      </c>
      <c r="M152" s="4897">
        <v>45533</v>
      </c>
      <c r="N152" s="4914">
        <v>45532</v>
      </c>
      <c r="O152" s="4914">
        <v>45535</v>
      </c>
      <c r="P152" s="4913" t="s">
        <v>10773</v>
      </c>
      <c r="Q152" s="5620" t="s">
        <v>6852</v>
      </c>
      <c r="R152" s="4913" t="s">
        <v>36</v>
      </c>
      <c r="S152" s="4913"/>
      <c r="T152" s="4913"/>
      <c r="U152" s="4913"/>
      <c r="V152" s="4913"/>
      <c r="W152" s="4913"/>
      <c r="X152" s="4913"/>
      <c r="Y152" s="4913"/>
      <c r="Z152" s="4913"/>
      <c r="AA152" s="5283"/>
    </row>
    <row r="153" spans="1:35" s="52" customFormat="1" ht="15" hidden="1">
      <c r="A153" s="4902" t="s">
        <v>9692</v>
      </c>
      <c r="B153" s="4886" t="s">
        <v>10774</v>
      </c>
      <c r="C153" s="4861" t="s">
        <v>28</v>
      </c>
      <c r="D153" s="4953">
        <v>45503</v>
      </c>
      <c r="E153" s="4885">
        <v>45533</v>
      </c>
      <c r="F153" s="4886" t="s">
        <v>29</v>
      </c>
      <c r="G153" s="4886" t="s">
        <v>57</v>
      </c>
      <c r="H153" s="4953">
        <v>45534</v>
      </c>
      <c r="I153" s="4886" t="s">
        <v>10736</v>
      </c>
      <c r="J153" s="5326" t="s">
        <v>9695</v>
      </c>
      <c r="K153" s="4890" t="s">
        <v>8824</v>
      </c>
      <c r="L153" s="4864">
        <v>4929303</v>
      </c>
      <c r="M153" s="4885"/>
      <c r="N153" s="4953">
        <v>45534</v>
      </c>
      <c r="O153" s="4953">
        <v>45534</v>
      </c>
      <c r="P153" s="4886" t="s">
        <v>10775</v>
      </c>
      <c r="Q153" s="5576" t="s">
        <v>9226</v>
      </c>
      <c r="R153" s="4861" t="s">
        <v>10776</v>
      </c>
      <c r="S153" s="4908" t="s">
        <v>10279</v>
      </c>
      <c r="T153" s="4861">
        <v>830</v>
      </c>
      <c r="U153" s="4861">
        <v>710</v>
      </c>
      <c r="V153" s="4861">
        <v>1</v>
      </c>
      <c r="W153" s="4861"/>
      <c r="X153" s="5378"/>
      <c r="Y153" s="4861"/>
      <c r="Z153" s="4861"/>
      <c r="AA153" s="5283"/>
    </row>
    <row r="154" spans="1:35" ht="15" hidden="1">
      <c r="A154" s="5375" t="s">
        <v>165</v>
      </c>
      <c r="B154" s="5706" t="s">
        <v>10777</v>
      </c>
      <c r="C154" s="4908" t="s">
        <v>200</v>
      </c>
      <c r="D154" s="4906">
        <v>45520</v>
      </c>
      <c r="E154" s="4916">
        <v>45533</v>
      </c>
      <c r="F154" s="4906" t="s">
        <v>167</v>
      </c>
      <c r="G154" s="4908" t="s">
        <v>302</v>
      </c>
      <c r="H154" s="4916">
        <v>45534</v>
      </c>
      <c r="I154" s="4908" t="s">
        <v>672</v>
      </c>
      <c r="J154" s="5375" t="s">
        <v>32</v>
      </c>
      <c r="K154" s="4845" t="s">
        <v>2013</v>
      </c>
      <c r="L154" s="4947" t="s">
        <v>10778</v>
      </c>
      <c r="M154" s="4906">
        <v>45534</v>
      </c>
      <c r="N154" s="4906">
        <v>45534</v>
      </c>
      <c r="O154" s="4906">
        <v>45534</v>
      </c>
      <c r="P154" s="4909" t="s">
        <v>10779</v>
      </c>
      <c r="Q154" s="5065" t="s">
        <v>75</v>
      </c>
      <c r="R154" s="4908" t="s">
        <v>10780</v>
      </c>
      <c r="S154" s="4908" t="s">
        <v>10279</v>
      </c>
      <c r="T154" s="4845">
        <v>1150</v>
      </c>
      <c r="U154" s="4845">
        <v>870</v>
      </c>
      <c r="V154" s="4845">
        <v>1</v>
      </c>
      <c r="W154" s="4845">
        <f>T154-U154</f>
        <v>280</v>
      </c>
      <c r="X154" s="5060">
        <f>W154/U154</f>
        <v>0.32183908045977011</v>
      </c>
      <c r="Y154" s="5060"/>
      <c r="Z154" s="4845"/>
      <c r="AA154" s="4874"/>
    </row>
    <row r="155" spans="1:35" s="52" customFormat="1" ht="15" hidden="1">
      <c r="A155" s="5678" t="s">
        <v>409</v>
      </c>
      <c r="B155" s="4913" t="s">
        <v>10781</v>
      </c>
      <c r="C155" s="4882" t="s">
        <v>28</v>
      </c>
      <c r="D155" s="5668">
        <v>45518</v>
      </c>
      <c r="E155" s="5673">
        <v>45534</v>
      </c>
      <c r="F155" s="4882" t="s">
        <v>151</v>
      </c>
      <c r="G155" s="4891" t="s">
        <v>46</v>
      </c>
      <c r="H155" s="4913"/>
      <c r="I155" s="4913"/>
      <c r="J155" s="4913" t="s">
        <v>32</v>
      </c>
      <c r="K155" s="5277" t="s">
        <v>10688</v>
      </c>
      <c r="L155" s="4870" t="s">
        <v>10782</v>
      </c>
      <c r="M155" s="4897">
        <v>45529</v>
      </c>
      <c r="N155" s="4914">
        <v>45528</v>
      </c>
      <c r="O155" s="4914">
        <v>45530</v>
      </c>
      <c r="P155" s="4913" t="s">
        <v>10783</v>
      </c>
      <c r="Q155" s="5620" t="s">
        <v>6852</v>
      </c>
      <c r="R155" s="4913" t="s">
        <v>10784</v>
      </c>
      <c r="S155" s="4913"/>
      <c r="T155" s="4913"/>
      <c r="U155" s="4913"/>
      <c r="V155" s="4913"/>
      <c r="W155" s="4913"/>
      <c r="X155" s="4913"/>
      <c r="Y155" s="4913"/>
      <c r="Z155" s="4913"/>
      <c r="AA155" s="5283"/>
    </row>
    <row r="156" spans="1:35" s="117" customFormat="1" ht="30" hidden="1">
      <c r="A156" s="5375" t="s">
        <v>68</v>
      </c>
      <c r="B156" s="5706" t="s">
        <v>10785</v>
      </c>
      <c r="C156" s="4845" t="s">
        <v>28</v>
      </c>
      <c r="D156" s="4906">
        <v>45521</v>
      </c>
      <c r="E156" s="4916">
        <v>45535</v>
      </c>
      <c r="F156" s="4845" t="s">
        <v>45</v>
      </c>
      <c r="G156" s="4908" t="s">
        <v>919</v>
      </c>
      <c r="H156" s="4960">
        <v>45539</v>
      </c>
      <c r="I156" s="4908" t="s">
        <v>618</v>
      </c>
      <c r="J156" s="5375" t="s">
        <v>490</v>
      </c>
      <c r="K156" s="4908" t="s">
        <v>2671</v>
      </c>
      <c r="L156" s="4951">
        <v>804995</v>
      </c>
      <c r="M156" s="4906">
        <v>45539</v>
      </c>
      <c r="N156" s="4906">
        <v>45539</v>
      </c>
      <c r="O156" s="4906">
        <v>45539</v>
      </c>
      <c r="P156" s="4909" t="s">
        <v>10786</v>
      </c>
      <c r="Q156" s="5065" t="s">
        <v>75</v>
      </c>
      <c r="R156" s="4909" t="s">
        <v>10787</v>
      </c>
      <c r="S156" s="4909" t="s">
        <v>67</v>
      </c>
      <c r="T156" s="4845">
        <v>760</v>
      </c>
      <c r="U156" s="4845">
        <f>522.5+90</f>
        <v>612.5</v>
      </c>
      <c r="V156" s="4845"/>
      <c r="W156" s="4845"/>
      <c r="X156" s="5060"/>
      <c r="Y156" s="4845"/>
      <c r="Z156" s="4845"/>
      <c r="AA156" s="4845"/>
    </row>
    <row r="157" spans="1:35" ht="105" hidden="1">
      <c r="A157" s="5243" t="s">
        <v>122</v>
      </c>
      <c r="B157" s="4908" t="s">
        <v>10788</v>
      </c>
      <c r="C157" s="5243" t="s">
        <v>28</v>
      </c>
      <c r="D157" s="4961">
        <v>45502</v>
      </c>
      <c r="E157" s="4916">
        <v>45535</v>
      </c>
      <c r="F157" s="4845" t="s">
        <v>245</v>
      </c>
      <c r="G157" s="4908" t="s">
        <v>10437</v>
      </c>
      <c r="H157" s="5735">
        <v>45539</v>
      </c>
      <c r="I157" s="4908" t="s">
        <v>672</v>
      </c>
      <c r="J157" s="4931" t="s">
        <v>2872</v>
      </c>
      <c r="K157" s="4947" t="s">
        <v>10789</v>
      </c>
      <c r="L157" s="4909">
        <v>2022</v>
      </c>
      <c r="M157" s="4906">
        <v>45535</v>
      </c>
      <c r="N157" s="4906">
        <v>45538</v>
      </c>
      <c r="O157" s="4906">
        <v>45541</v>
      </c>
      <c r="P157" s="5144" t="s">
        <v>10790</v>
      </c>
      <c r="Q157" s="5065" t="s">
        <v>75</v>
      </c>
      <c r="R157" s="4909" t="s">
        <v>10791</v>
      </c>
      <c r="S157" s="4909" t="s">
        <v>67</v>
      </c>
      <c r="T157" s="4845">
        <v>1455</v>
      </c>
      <c r="U157" s="4845">
        <f>523.2+90</f>
        <v>613.20000000000005</v>
      </c>
      <c r="V157" s="4845">
        <v>1</v>
      </c>
      <c r="W157" s="4845">
        <f>T157-U157</f>
        <v>841.8</v>
      </c>
      <c r="X157" s="5060">
        <f>W157/U157</f>
        <v>1.3727984344422699</v>
      </c>
      <c r="Y157" s="4845"/>
      <c r="Z157" s="4845"/>
      <c r="AA157" s="4874"/>
    </row>
    <row r="158" spans="1:35" s="1350" customFormat="1" ht="15.75" hidden="1">
      <c r="A158" s="5173" t="s">
        <v>409</v>
      </c>
      <c r="B158" s="5690" t="s">
        <v>10792</v>
      </c>
      <c r="C158" s="4874" t="s">
        <v>28</v>
      </c>
      <c r="D158" s="5684">
        <v>45517</v>
      </c>
      <c r="E158" s="5685">
        <v>45536</v>
      </c>
      <c r="F158" s="4874" t="s">
        <v>260</v>
      </c>
      <c r="G158" s="5283" t="s">
        <v>46</v>
      </c>
      <c r="H158" s="4892"/>
      <c r="I158" s="4892"/>
      <c r="J158" s="4892" t="s">
        <v>32</v>
      </c>
      <c r="K158" s="5283" t="s">
        <v>10688</v>
      </c>
      <c r="L158" s="5736" t="s">
        <v>10793</v>
      </c>
      <c r="M158" s="5485">
        <v>45540</v>
      </c>
      <c r="N158" s="5686">
        <v>45538</v>
      </c>
      <c r="O158" s="5686">
        <v>45539</v>
      </c>
      <c r="P158" s="4892" t="s">
        <v>10794</v>
      </c>
      <c r="Q158" s="5633" t="s">
        <v>6852</v>
      </c>
      <c r="R158" s="4892" t="s">
        <v>10795</v>
      </c>
      <c r="S158" s="4892"/>
      <c r="T158" s="4892"/>
      <c r="U158" s="4892"/>
      <c r="V158" s="4892"/>
      <c r="W158" s="4892"/>
      <c r="X158" s="4892"/>
      <c r="Y158" s="4892"/>
      <c r="Z158" s="4892"/>
      <c r="AA158" s="5277"/>
    </row>
    <row r="159" spans="1:35" s="52" customFormat="1" ht="15" hidden="1">
      <c r="A159" s="5622" t="s">
        <v>409</v>
      </c>
      <c r="B159" s="4913" t="s">
        <v>10796</v>
      </c>
      <c r="C159" s="4861" t="s">
        <v>28</v>
      </c>
      <c r="D159" s="5668">
        <v>45519</v>
      </c>
      <c r="E159" s="5673">
        <v>45537</v>
      </c>
      <c r="F159" s="4861" t="s">
        <v>151</v>
      </c>
      <c r="G159" s="5277" t="s">
        <v>46</v>
      </c>
      <c r="H159" s="4913"/>
      <c r="I159" s="4913"/>
      <c r="J159" s="4913" t="s">
        <v>32</v>
      </c>
      <c r="K159" s="5277" t="s">
        <v>10688</v>
      </c>
      <c r="L159" s="4870" t="s">
        <v>10797</v>
      </c>
      <c r="M159" s="4897">
        <v>45537</v>
      </c>
      <c r="N159" s="4914">
        <v>45536</v>
      </c>
      <c r="O159" s="4914">
        <v>45539</v>
      </c>
      <c r="P159" s="4913" t="s">
        <v>10798</v>
      </c>
      <c r="Q159" s="5620" t="s">
        <v>6852</v>
      </c>
      <c r="R159" s="4913" t="s">
        <v>10799</v>
      </c>
      <c r="S159" s="4913"/>
      <c r="T159" s="4913"/>
      <c r="U159" s="4913"/>
      <c r="V159" s="4913"/>
      <c r="W159" s="4913"/>
      <c r="X159" s="4913"/>
      <c r="Y159" s="4913"/>
      <c r="Z159" s="4913"/>
      <c r="AA159" s="5283"/>
    </row>
    <row r="160" spans="1:35" s="52" customFormat="1" ht="15" hidden="1">
      <c r="A160" s="5173" t="s">
        <v>409</v>
      </c>
      <c r="B160" s="5690" t="s">
        <v>10800</v>
      </c>
      <c r="C160" s="4874" t="s">
        <v>28</v>
      </c>
      <c r="D160" s="5684">
        <v>45519</v>
      </c>
      <c r="E160" s="5685">
        <v>45537</v>
      </c>
      <c r="F160" s="4874" t="s">
        <v>151</v>
      </c>
      <c r="G160" s="5283" t="s">
        <v>46</v>
      </c>
      <c r="H160" s="4892"/>
      <c r="I160" s="4892"/>
      <c r="J160" s="4892" t="s">
        <v>32</v>
      </c>
      <c r="K160" s="5283" t="s">
        <v>10688</v>
      </c>
      <c r="L160" s="4872" t="s">
        <v>10801</v>
      </c>
      <c r="M160" s="5485">
        <v>45537</v>
      </c>
      <c r="N160" s="5686">
        <v>45536</v>
      </c>
      <c r="O160" s="5686">
        <v>45538</v>
      </c>
      <c r="P160" s="4892" t="s">
        <v>10802</v>
      </c>
      <c r="Q160" s="5633" t="s">
        <v>6852</v>
      </c>
      <c r="R160" s="4892" t="s">
        <v>10803</v>
      </c>
      <c r="S160" s="4892"/>
      <c r="T160" s="4892"/>
      <c r="U160" s="4892"/>
      <c r="V160" s="4892"/>
      <c r="W160" s="4892"/>
      <c r="X160" s="4892"/>
      <c r="Y160" s="4892"/>
      <c r="Z160" s="4892"/>
      <c r="AA160" s="5283"/>
    </row>
    <row r="161" spans="1:35" s="826" customFormat="1" ht="15" hidden="1">
      <c r="A161" s="5622" t="s">
        <v>409</v>
      </c>
      <c r="B161" s="4913" t="s">
        <v>10804</v>
      </c>
      <c r="C161" s="4861" t="s">
        <v>28</v>
      </c>
      <c r="D161" s="5668">
        <v>45519</v>
      </c>
      <c r="E161" s="5673">
        <v>45537</v>
      </c>
      <c r="F161" s="4861" t="s">
        <v>151</v>
      </c>
      <c r="G161" s="5277" t="s">
        <v>46</v>
      </c>
      <c r="H161" s="4913"/>
      <c r="I161" s="4913"/>
      <c r="J161" s="4913" t="s">
        <v>32</v>
      </c>
      <c r="K161" s="5277" t="s">
        <v>10688</v>
      </c>
      <c r="L161" s="4870" t="s">
        <v>10805</v>
      </c>
      <c r="M161" s="4897">
        <v>45537</v>
      </c>
      <c r="N161" s="4914">
        <v>45536</v>
      </c>
      <c r="O161" s="4914">
        <v>45539</v>
      </c>
      <c r="P161" s="4913" t="s">
        <v>10806</v>
      </c>
      <c r="Q161" s="5620" t="s">
        <v>6852</v>
      </c>
      <c r="R161" s="4913" t="s">
        <v>10807</v>
      </c>
      <c r="S161" s="4913"/>
      <c r="T161" s="4913"/>
      <c r="U161" s="4913"/>
      <c r="V161" s="4913"/>
      <c r="W161" s="4913"/>
      <c r="X161" s="4913"/>
      <c r="Y161" s="4913"/>
      <c r="Z161" s="4913"/>
      <c r="AA161" s="5277"/>
      <c r="AB161" s="1350"/>
      <c r="AC161" s="1350"/>
      <c r="AD161" s="1350"/>
      <c r="AE161" s="1350"/>
      <c r="AF161" s="1350"/>
      <c r="AG161" s="1350"/>
      <c r="AH161" s="1350"/>
      <c r="AI161" s="1350"/>
    </row>
    <row r="162" spans="1:35" s="52" customFormat="1" ht="15" hidden="1">
      <c r="A162" s="5173" t="s">
        <v>409</v>
      </c>
      <c r="B162" s="5690" t="s">
        <v>10808</v>
      </c>
      <c r="C162" s="5283" t="s">
        <v>28</v>
      </c>
      <c r="D162" s="5684">
        <v>45521</v>
      </c>
      <c r="E162" s="5685">
        <v>45537</v>
      </c>
      <c r="F162" s="4874" t="s">
        <v>151</v>
      </c>
      <c r="G162" s="5283" t="s">
        <v>46</v>
      </c>
      <c r="H162" s="4892"/>
      <c r="I162" s="4892"/>
      <c r="J162" s="4892" t="s">
        <v>32</v>
      </c>
      <c r="K162" s="5283" t="s">
        <v>10688</v>
      </c>
      <c r="L162" s="4872" t="s">
        <v>10809</v>
      </c>
      <c r="M162" s="5485">
        <v>45537</v>
      </c>
      <c r="N162" s="5686">
        <v>45538</v>
      </c>
      <c r="O162" s="5686">
        <v>45540</v>
      </c>
      <c r="P162" s="4892" t="s">
        <v>10810</v>
      </c>
      <c r="Q162" s="5633" t="s">
        <v>6852</v>
      </c>
      <c r="R162" s="4892" t="s">
        <v>10811</v>
      </c>
      <c r="S162" s="4892"/>
      <c r="T162" s="4892"/>
      <c r="U162" s="4892"/>
      <c r="V162" s="4892"/>
      <c r="W162" s="4892"/>
      <c r="X162" s="4892"/>
      <c r="Y162" s="4892"/>
      <c r="Z162" s="4892"/>
      <c r="AA162" s="5283"/>
    </row>
    <row r="163" spans="1:35" s="52" customFormat="1" ht="15" hidden="1">
      <c r="A163" s="5116" t="s">
        <v>3866</v>
      </c>
      <c r="B163" s="5690" t="s">
        <v>10812</v>
      </c>
      <c r="C163" s="4874" t="s">
        <v>28</v>
      </c>
      <c r="D163" s="5684">
        <v>45519</v>
      </c>
      <c r="E163" s="5685">
        <v>45537</v>
      </c>
      <c r="F163" s="4874" t="s">
        <v>45</v>
      </c>
      <c r="G163" s="5283" t="s">
        <v>46</v>
      </c>
      <c r="H163" s="4892"/>
      <c r="I163" s="4892"/>
      <c r="J163" s="4892" t="s">
        <v>32</v>
      </c>
      <c r="K163" s="5283" t="s">
        <v>10688</v>
      </c>
      <c r="L163" s="5737" t="s">
        <v>10813</v>
      </c>
      <c r="M163" s="5485">
        <v>45538</v>
      </c>
      <c r="N163" s="5686">
        <v>45538</v>
      </c>
      <c r="O163" s="5686">
        <v>45540</v>
      </c>
      <c r="P163" s="4892" t="s">
        <v>10814</v>
      </c>
      <c r="Q163" s="5633" t="s">
        <v>6852</v>
      </c>
      <c r="R163" s="4892" t="s">
        <v>10815</v>
      </c>
      <c r="S163" s="4892"/>
      <c r="T163" s="4892"/>
      <c r="U163" s="4892"/>
      <c r="V163" s="4892"/>
      <c r="W163" s="4892"/>
      <c r="X163" s="4892"/>
      <c r="Y163" s="4892"/>
      <c r="Z163" s="4892"/>
      <c r="AA163" s="5283"/>
    </row>
    <row r="164" spans="1:35" s="650" customFormat="1" ht="15" hidden="1">
      <c r="A164" s="5622" t="s">
        <v>409</v>
      </c>
      <c r="B164" s="4913" t="s">
        <v>10816</v>
      </c>
      <c r="C164" s="4861" t="s">
        <v>28</v>
      </c>
      <c r="D164" s="5668">
        <v>45519</v>
      </c>
      <c r="E164" s="5673">
        <v>45538</v>
      </c>
      <c r="F164" s="4861" t="s">
        <v>151</v>
      </c>
      <c r="G164" s="5277" t="s">
        <v>46</v>
      </c>
      <c r="H164" s="4913"/>
      <c r="I164" s="4913"/>
      <c r="J164" s="4913" t="s">
        <v>32</v>
      </c>
      <c r="K164" s="5277" t="s">
        <v>10688</v>
      </c>
      <c r="L164" s="4870" t="s">
        <v>10817</v>
      </c>
      <c r="M164" s="4897">
        <v>45540</v>
      </c>
      <c r="N164" s="4914">
        <v>45539</v>
      </c>
      <c r="O164" s="4914">
        <v>45541</v>
      </c>
      <c r="P164" s="4913" t="s">
        <v>10818</v>
      </c>
      <c r="Q164" s="5620" t="s">
        <v>6852</v>
      </c>
      <c r="R164" s="4913" t="s">
        <v>51</v>
      </c>
      <c r="S164" s="4913"/>
      <c r="T164" s="4913"/>
      <c r="U164" s="4913"/>
      <c r="V164" s="4913"/>
      <c r="W164" s="4913"/>
      <c r="X164" s="4913"/>
      <c r="Y164" s="4913"/>
      <c r="Z164" s="4913"/>
      <c r="AA164" s="4913"/>
    </row>
    <row r="165" spans="1:35" s="650" customFormat="1" ht="15" hidden="1">
      <c r="A165" s="5678" t="s">
        <v>409</v>
      </c>
      <c r="B165" s="5395" t="s">
        <v>10819</v>
      </c>
      <c r="C165" s="5367" t="s">
        <v>28</v>
      </c>
      <c r="D165" s="5689">
        <v>45512</v>
      </c>
      <c r="E165" s="5673">
        <v>45538</v>
      </c>
      <c r="F165" s="5367" t="s">
        <v>151</v>
      </c>
      <c r="G165" s="4891" t="s">
        <v>46</v>
      </c>
      <c r="H165" s="4913"/>
      <c r="I165" s="4913"/>
      <c r="J165" s="4913" t="s">
        <v>32</v>
      </c>
      <c r="K165" s="5277" t="s">
        <v>10688</v>
      </c>
      <c r="L165" s="4869" t="s">
        <v>10820</v>
      </c>
      <c r="M165" s="5394">
        <v>45537</v>
      </c>
      <c r="N165" s="4914">
        <v>45538</v>
      </c>
      <c r="O165" s="4914">
        <v>45539</v>
      </c>
      <c r="P165" s="4913" t="s">
        <v>10821</v>
      </c>
      <c r="Q165" s="5620" t="s">
        <v>6852</v>
      </c>
      <c r="R165" s="4913" t="s">
        <v>10822</v>
      </c>
      <c r="S165" s="4913"/>
      <c r="T165" s="4913"/>
      <c r="U165" s="4913"/>
      <c r="V165" s="4913"/>
      <c r="W165" s="4913"/>
      <c r="X165" s="4913"/>
      <c r="Y165" s="4913"/>
      <c r="Z165" s="4913"/>
      <c r="AA165" s="4913"/>
    </row>
    <row r="166" spans="1:35" s="650" customFormat="1" ht="15" hidden="1">
      <c r="A166" s="5678" t="s">
        <v>409</v>
      </c>
      <c r="B166" s="4913" t="s">
        <v>10823</v>
      </c>
      <c r="C166" s="4861" t="s">
        <v>28</v>
      </c>
      <c r="D166" s="5668">
        <v>45514</v>
      </c>
      <c r="E166" s="5673">
        <v>45538</v>
      </c>
      <c r="F166" s="4882" t="s">
        <v>151</v>
      </c>
      <c r="G166" s="4891" t="s">
        <v>46</v>
      </c>
      <c r="H166" s="4913"/>
      <c r="I166" s="4913"/>
      <c r="J166" s="4913" t="s">
        <v>32</v>
      </c>
      <c r="K166" s="5277" t="s">
        <v>10688</v>
      </c>
      <c r="L166" s="4870" t="s">
        <v>10824</v>
      </c>
      <c r="M166" s="4897">
        <v>45537</v>
      </c>
      <c r="N166" s="4914">
        <v>45536</v>
      </c>
      <c r="O166" s="4914">
        <v>45538</v>
      </c>
      <c r="P166" s="4913" t="s">
        <v>10825</v>
      </c>
      <c r="Q166" s="5620" t="s">
        <v>6852</v>
      </c>
      <c r="R166" s="4913" t="s">
        <v>10826</v>
      </c>
      <c r="S166" s="4913"/>
      <c r="T166" s="4913"/>
      <c r="U166" s="4913"/>
      <c r="V166" s="4913"/>
      <c r="W166" s="4913"/>
      <c r="X166" s="4913"/>
      <c r="Y166" s="4913"/>
      <c r="Z166" s="4913"/>
      <c r="AA166" s="4913"/>
    </row>
    <row r="167" spans="1:35" s="650" customFormat="1" ht="15" hidden="1">
      <c r="A167" s="5173" t="s">
        <v>409</v>
      </c>
      <c r="B167" s="5690" t="s">
        <v>10827</v>
      </c>
      <c r="C167" s="5283" t="s">
        <v>28</v>
      </c>
      <c r="D167" s="5684">
        <v>45526</v>
      </c>
      <c r="E167" s="5685">
        <v>45539</v>
      </c>
      <c r="F167" s="4873" t="s">
        <v>45</v>
      </c>
      <c r="G167" s="5116" t="s">
        <v>46</v>
      </c>
      <c r="H167" s="4892"/>
      <c r="I167" s="4892"/>
      <c r="J167" s="4892" t="s">
        <v>32</v>
      </c>
      <c r="K167" s="5283" t="s">
        <v>10688</v>
      </c>
      <c r="L167" s="4872" t="s">
        <v>10828</v>
      </c>
      <c r="M167" s="5485">
        <v>45542</v>
      </c>
      <c r="N167" s="5686">
        <v>45540</v>
      </c>
      <c r="O167" s="5686">
        <v>45543</v>
      </c>
      <c r="P167" s="4892" t="s">
        <v>10829</v>
      </c>
      <c r="Q167" s="4872" t="s">
        <v>6852</v>
      </c>
      <c r="R167" s="4892" t="s">
        <v>10830</v>
      </c>
      <c r="S167" s="4892"/>
      <c r="T167" s="4892"/>
      <c r="U167" s="4892"/>
      <c r="V167" s="4892"/>
      <c r="W167" s="4892"/>
      <c r="X167" s="4892"/>
      <c r="Y167" s="4892"/>
      <c r="Z167" s="4892"/>
      <c r="AA167" s="4913"/>
    </row>
    <row r="168" spans="1:35" s="52" customFormat="1" ht="15" hidden="1">
      <c r="A168" s="5173" t="s">
        <v>409</v>
      </c>
      <c r="B168" s="5690" t="s">
        <v>10831</v>
      </c>
      <c r="C168" s="5283" t="s">
        <v>28</v>
      </c>
      <c r="D168" s="5738">
        <v>45526</v>
      </c>
      <c r="E168" s="5739">
        <v>45539</v>
      </c>
      <c r="F168" s="4873" t="s">
        <v>151</v>
      </c>
      <c r="G168" s="5116" t="s">
        <v>46</v>
      </c>
      <c r="H168" s="4892"/>
      <c r="I168" s="4892"/>
      <c r="J168" s="4892" t="s">
        <v>32</v>
      </c>
      <c r="K168" s="5283" t="s">
        <v>10688</v>
      </c>
      <c r="L168" s="4872">
        <v>419907</v>
      </c>
      <c r="M168" s="5485">
        <v>45541</v>
      </c>
      <c r="N168" s="5686">
        <v>45540</v>
      </c>
      <c r="O168" s="5686">
        <v>45542</v>
      </c>
      <c r="P168" s="4892" t="s">
        <v>10832</v>
      </c>
      <c r="Q168" s="4872" t="s">
        <v>6852</v>
      </c>
      <c r="R168" s="4892" t="s">
        <v>10833</v>
      </c>
      <c r="S168" s="4892"/>
      <c r="T168" s="4892"/>
      <c r="U168" s="4892"/>
      <c r="V168" s="4892"/>
      <c r="W168" s="4892"/>
      <c r="X168" s="4892"/>
      <c r="Y168" s="4892"/>
      <c r="Z168" s="4892"/>
      <c r="AA168" s="5283"/>
    </row>
    <row r="169" spans="1:35" ht="15" hidden="1">
      <c r="A169" s="5173" t="s">
        <v>409</v>
      </c>
      <c r="B169" s="5683" t="s">
        <v>10834</v>
      </c>
      <c r="C169" s="4874" t="s">
        <v>28</v>
      </c>
      <c r="D169" s="5684">
        <v>45517</v>
      </c>
      <c r="E169" s="5685">
        <v>45544</v>
      </c>
      <c r="F169" s="4874" t="s">
        <v>260</v>
      </c>
      <c r="G169" s="5283" t="s">
        <v>46</v>
      </c>
      <c r="H169" s="4892"/>
      <c r="I169" s="4892"/>
      <c r="J169" s="4892" t="s">
        <v>32</v>
      </c>
      <c r="K169" s="5283" t="s">
        <v>10688</v>
      </c>
      <c r="L169" s="4872" t="s">
        <v>10835</v>
      </c>
      <c r="M169" s="5485">
        <v>45546</v>
      </c>
      <c r="N169" s="5686">
        <v>45544</v>
      </c>
      <c r="O169" s="5686">
        <v>45546</v>
      </c>
      <c r="P169" s="4892" t="s">
        <v>10836</v>
      </c>
      <c r="Q169" s="5633" t="s">
        <v>6852</v>
      </c>
      <c r="R169" s="4892" t="s">
        <v>10837</v>
      </c>
      <c r="S169" s="4892"/>
      <c r="T169" s="4892"/>
      <c r="U169" s="4892"/>
      <c r="V169" s="4892"/>
      <c r="W169" s="4892"/>
      <c r="X169" s="4892"/>
      <c r="Y169" s="4892"/>
      <c r="Z169" s="4892"/>
      <c r="AA169" s="4874"/>
    </row>
    <row r="170" spans="1:35" s="52" customFormat="1" ht="15" hidden="1">
      <c r="A170" s="5116" t="s">
        <v>3866</v>
      </c>
      <c r="B170" s="5683" t="s">
        <v>10838</v>
      </c>
      <c r="C170" s="5283" t="s">
        <v>28</v>
      </c>
      <c r="D170" s="5684">
        <v>45523</v>
      </c>
      <c r="E170" s="5739">
        <v>45544</v>
      </c>
      <c r="F170" s="4873" t="s">
        <v>45</v>
      </c>
      <c r="G170" s="5283" t="s">
        <v>46</v>
      </c>
      <c r="H170" s="4892"/>
      <c r="I170" s="4892"/>
      <c r="J170" s="4892" t="s">
        <v>32</v>
      </c>
      <c r="K170" s="5283" t="s">
        <v>10688</v>
      </c>
      <c r="L170" s="4872" t="s">
        <v>10839</v>
      </c>
      <c r="M170" s="5485">
        <v>45545</v>
      </c>
      <c r="N170" s="5686">
        <v>45544</v>
      </c>
      <c r="O170" s="5686">
        <v>45547</v>
      </c>
      <c r="P170" s="4892" t="s">
        <v>10840</v>
      </c>
      <c r="Q170" s="4872" t="s">
        <v>6852</v>
      </c>
      <c r="R170" s="4892" t="s">
        <v>10841</v>
      </c>
      <c r="S170" s="4892"/>
      <c r="T170" s="4892"/>
      <c r="U170" s="4892"/>
      <c r="V170" s="4892"/>
      <c r="W170" s="4892"/>
      <c r="X170" s="4892"/>
      <c r="Y170" s="4892"/>
      <c r="Z170" s="4892"/>
      <c r="AA170" s="5283"/>
    </row>
    <row r="171" spans="1:35" s="52" customFormat="1" ht="15" hidden="1">
      <c r="A171" s="5173" t="s">
        <v>409</v>
      </c>
      <c r="B171" s="5690" t="s">
        <v>10842</v>
      </c>
      <c r="C171" s="4874" t="s">
        <v>28</v>
      </c>
      <c r="D171" s="5684">
        <v>45522</v>
      </c>
      <c r="E171" s="5685">
        <v>45544</v>
      </c>
      <c r="F171" s="4874" t="s">
        <v>151</v>
      </c>
      <c r="G171" s="5283" t="s">
        <v>46</v>
      </c>
      <c r="H171" s="4892"/>
      <c r="I171" s="4892"/>
      <c r="J171" s="4892" t="s">
        <v>32</v>
      </c>
      <c r="K171" s="5283" t="s">
        <v>10688</v>
      </c>
      <c r="L171" s="4872" t="s">
        <v>10843</v>
      </c>
      <c r="M171" s="5485">
        <v>45545</v>
      </c>
      <c r="N171" s="5686">
        <v>45543</v>
      </c>
      <c r="O171" s="5686">
        <v>45547</v>
      </c>
      <c r="P171" s="4892" t="s">
        <v>10844</v>
      </c>
      <c r="Q171" s="5633" t="s">
        <v>6852</v>
      </c>
      <c r="R171" s="4892" t="s">
        <v>10845</v>
      </c>
      <c r="S171" s="4892"/>
      <c r="T171" s="4892"/>
      <c r="U171" s="4892"/>
      <c r="V171" s="4892"/>
      <c r="W171" s="4892"/>
      <c r="X171" s="4892"/>
      <c r="Y171" s="4892"/>
      <c r="Z171" s="4892"/>
      <c r="AA171" s="5283"/>
    </row>
    <row r="172" spans="1:35" s="52" customFormat="1" ht="15" hidden="1">
      <c r="A172" s="5173" t="s">
        <v>409</v>
      </c>
      <c r="B172" s="5661" t="s">
        <v>10846</v>
      </c>
      <c r="C172" s="4874" t="s">
        <v>28</v>
      </c>
      <c r="D172" s="5684">
        <v>45522</v>
      </c>
      <c r="E172" s="5685">
        <v>45544</v>
      </c>
      <c r="F172" s="4874" t="s">
        <v>151</v>
      </c>
      <c r="G172" s="5283" t="s">
        <v>46</v>
      </c>
      <c r="H172" s="4892"/>
      <c r="I172" s="4892"/>
      <c r="J172" s="4892" t="s">
        <v>32</v>
      </c>
      <c r="K172" s="5283" t="s">
        <v>10688</v>
      </c>
      <c r="L172" s="5740">
        <v>133178</v>
      </c>
      <c r="M172" s="5485">
        <v>45543</v>
      </c>
      <c r="N172" s="5686">
        <v>45542</v>
      </c>
      <c r="O172" s="5686">
        <v>45545</v>
      </c>
      <c r="P172" s="4892" t="s">
        <v>10847</v>
      </c>
      <c r="Q172" s="5633" t="s">
        <v>6852</v>
      </c>
      <c r="R172" s="4892" t="s">
        <v>10848</v>
      </c>
      <c r="S172" s="4892"/>
      <c r="T172" s="4892"/>
      <c r="U172" s="4892"/>
      <c r="V172" s="4892"/>
      <c r="W172" s="4892"/>
      <c r="X172" s="4892"/>
      <c r="Y172" s="4892"/>
      <c r="Z172" s="4892"/>
      <c r="AA172" s="5283"/>
    </row>
    <row r="173" spans="1:35" s="52" customFormat="1" ht="15" hidden="1">
      <c r="A173" s="5173" t="s">
        <v>409</v>
      </c>
      <c r="B173" s="5683" t="s">
        <v>10849</v>
      </c>
      <c r="C173" s="5283" t="s">
        <v>28</v>
      </c>
      <c r="D173" s="5684">
        <v>45524</v>
      </c>
      <c r="E173" s="5685">
        <v>45545</v>
      </c>
      <c r="F173" s="4873" t="s">
        <v>260</v>
      </c>
      <c r="G173" s="5283" t="s">
        <v>46</v>
      </c>
      <c r="H173" s="4892"/>
      <c r="I173" s="4892"/>
      <c r="J173" s="4892" t="s">
        <v>32</v>
      </c>
      <c r="K173" s="5283" t="s">
        <v>10688</v>
      </c>
      <c r="L173" s="4872" t="s">
        <v>10850</v>
      </c>
      <c r="M173" s="5485">
        <v>45547</v>
      </c>
      <c r="N173" s="5686">
        <v>45545</v>
      </c>
      <c r="O173" s="5686">
        <v>45547</v>
      </c>
      <c r="P173" s="4892" t="s">
        <v>10851</v>
      </c>
      <c r="Q173" s="4872" t="s">
        <v>6852</v>
      </c>
      <c r="R173" s="4892" t="s">
        <v>10852</v>
      </c>
      <c r="S173" s="4892"/>
      <c r="T173" s="4892"/>
      <c r="U173" s="4892"/>
      <c r="V173" s="4892"/>
      <c r="W173" s="4892"/>
      <c r="X173" s="4892"/>
      <c r="Y173" s="4892"/>
      <c r="Z173" s="4892"/>
      <c r="AA173" s="5283"/>
    </row>
    <row r="174" spans="1:35" s="3" customFormat="1" ht="15" hidden="1">
      <c r="A174" s="5173" t="s">
        <v>409</v>
      </c>
      <c r="B174" s="5683" t="s">
        <v>10853</v>
      </c>
      <c r="C174" s="4874" t="s">
        <v>28</v>
      </c>
      <c r="D174" s="5684">
        <v>45517</v>
      </c>
      <c r="E174" s="5685">
        <v>45548</v>
      </c>
      <c r="F174" s="4874" t="s">
        <v>260</v>
      </c>
      <c r="G174" s="5283" t="s">
        <v>46</v>
      </c>
      <c r="H174" s="4892"/>
      <c r="I174" s="4892"/>
      <c r="J174" s="4892" t="s">
        <v>32</v>
      </c>
      <c r="K174" s="5283" t="s">
        <v>10688</v>
      </c>
      <c r="L174" s="5741" t="s">
        <v>10854</v>
      </c>
      <c r="M174" s="5485">
        <v>45549</v>
      </c>
      <c r="N174" s="5686">
        <v>45548</v>
      </c>
      <c r="O174" s="4892"/>
      <c r="P174" s="4892" t="s">
        <v>10855</v>
      </c>
      <c r="Q174" s="5633" t="s">
        <v>6852</v>
      </c>
      <c r="R174" s="4892" t="s">
        <v>10856</v>
      </c>
      <c r="S174" s="4892"/>
      <c r="T174" s="4892"/>
      <c r="U174" s="4892"/>
      <c r="V174" s="4892"/>
      <c r="W174" s="4892"/>
      <c r="X174" s="4892"/>
      <c r="Y174" s="4892"/>
      <c r="Z174" s="4892"/>
      <c r="AA174" s="4837"/>
    </row>
    <row r="175" spans="1:35" s="650" customFormat="1" ht="30" hidden="1">
      <c r="A175" s="5105" t="s">
        <v>10857</v>
      </c>
      <c r="B175" s="5742" t="s">
        <v>10858</v>
      </c>
      <c r="C175" s="5283" t="s">
        <v>28</v>
      </c>
      <c r="D175" s="5631">
        <v>45528</v>
      </c>
      <c r="E175" s="5632">
        <v>45551</v>
      </c>
      <c r="F175" s="5283" t="s">
        <v>135</v>
      </c>
      <c r="G175" s="5105" t="s">
        <v>57</v>
      </c>
      <c r="H175" s="5283"/>
      <c r="I175" s="5283"/>
      <c r="J175" s="5283" t="s">
        <v>32</v>
      </c>
      <c r="K175" s="5283" t="s">
        <v>10688</v>
      </c>
      <c r="L175" s="5283">
        <v>7068611</v>
      </c>
      <c r="M175" s="5631">
        <v>45551</v>
      </c>
      <c r="N175" s="5631">
        <v>45551</v>
      </c>
      <c r="O175" s="5283"/>
      <c r="P175" s="5283" t="s">
        <v>10859</v>
      </c>
      <c r="Q175" s="4895" t="s">
        <v>6852</v>
      </c>
      <c r="R175" s="5283" t="s">
        <v>10860</v>
      </c>
      <c r="S175" s="5283"/>
      <c r="T175" s="5283">
        <v>4850</v>
      </c>
      <c r="U175" s="5283">
        <v>570</v>
      </c>
      <c r="V175" s="5283"/>
      <c r="W175" s="5283"/>
      <c r="X175" s="5283"/>
      <c r="Y175" s="5283"/>
      <c r="Z175" s="5283"/>
      <c r="AA175" s="4913"/>
    </row>
    <row r="176" spans="1:35" s="26" customFormat="1" ht="15">
      <c r="A176" s="3000"/>
      <c r="B176" s="106"/>
      <c r="C176" s="106"/>
      <c r="D176" s="3002"/>
      <c r="E176" s="3002"/>
      <c r="F176" s="106"/>
      <c r="G176" s="106"/>
      <c r="H176" s="106"/>
      <c r="I176" s="106"/>
      <c r="J176" s="3000"/>
      <c r="K176" s="147"/>
      <c r="L176" s="106"/>
      <c r="M176" s="106"/>
      <c r="N176" s="106"/>
      <c r="O176" s="106"/>
      <c r="P176" s="106"/>
      <c r="Q176" s="106"/>
      <c r="R176" s="106"/>
      <c r="S176" s="4141"/>
      <c r="T176" s="106"/>
      <c r="U176" s="106"/>
      <c r="V176" s="106"/>
      <c r="W176" s="106"/>
      <c r="X176" s="106"/>
      <c r="Y176" s="106"/>
      <c r="Z176" s="106"/>
    </row>
    <row r="177" spans="1:35" s="26" customFormat="1" ht="15">
      <c r="A177" s="3000"/>
      <c r="B177" s="106"/>
      <c r="C177" s="106"/>
      <c r="D177" s="3002"/>
      <c r="E177" s="3002"/>
      <c r="F177" s="106"/>
      <c r="G177" s="106"/>
      <c r="H177" s="106"/>
      <c r="I177" s="106"/>
      <c r="J177" s="3000"/>
      <c r="K177" s="147"/>
      <c r="L177" s="106"/>
      <c r="M177" s="106"/>
      <c r="N177" s="106"/>
      <c r="O177" s="106"/>
      <c r="P177" s="106"/>
      <c r="Q177" s="106"/>
      <c r="R177" s="106"/>
      <c r="S177" s="4141"/>
      <c r="T177" s="106"/>
      <c r="U177" s="106"/>
      <c r="V177" s="106"/>
      <c r="W177" s="106"/>
      <c r="X177" s="106"/>
      <c r="Y177" s="106"/>
      <c r="Z177" s="106"/>
    </row>
    <row r="178" spans="1:35" s="26" customFormat="1" ht="15">
      <c r="A178" s="147"/>
      <c r="B178" s="106"/>
      <c r="C178" s="106"/>
      <c r="D178" s="3002"/>
      <c r="E178" s="3048"/>
      <c r="F178" s="106"/>
      <c r="G178" s="147"/>
      <c r="H178" s="106"/>
      <c r="I178" s="106"/>
      <c r="J178" s="106"/>
      <c r="K178" s="106"/>
      <c r="L178" s="106"/>
      <c r="M178" s="106"/>
      <c r="N178" s="106"/>
      <c r="O178" s="106"/>
      <c r="P178" s="106"/>
      <c r="Q178" s="106"/>
      <c r="R178" s="106"/>
      <c r="S178" s="4141"/>
      <c r="T178" s="106"/>
      <c r="U178" s="106"/>
      <c r="V178" s="106"/>
      <c r="W178" s="106"/>
      <c r="X178" s="106"/>
      <c r="Y178" s="106"/>
      <c r="Z178" s="106"/>
    </row>
    <row r="179" spans="1:35" s="26" customFormat="1" ht="15">
      <c r="A179" s="147"/>
      <c r="B179" s="106"/>
      <c r="C179" s="106"/>
      <c r="D179" s="3002"/>
      <c r="E179" s="3048"/>
      <c r="F179" s="106"/>
      <c r="G179" s="147"/>
      <c r="H179" s="106"/>
      <c r="I179" s="106"/>
      <c r="J179" s="106"/>
      <c r="K179" s="106"/>
      <c r="L179" s="106"/>
      <c r="M179" s="106"/>
      <c r="N179" s="106"/>
      <c r="O179" s="106"/>
      <c r="P179" s="106"/>
      <c r="Q179" s="106"/>
      <c r="R179" s="106"/>
      <c r="S179" s="4141"/>
      <c r="T179" s="106"/>
      <c r="U179" s="106"/>
      <c r="V179" s="106"/>
      <c r="W179" s="106"/>
      <c r="X179" s="106"/>
      <c r="Y179" s="106"/>
      <c r="Z179" s="106"/>
    </row>
    <row r="180" spans="1:35" s="26" customFormat="1" ht="15">
      <c r="A180" s="147"/>
      <c r="B180" s="4141"/>
      <c r="C180" s="147"/>
      <c r="D180" s="3049"/>
      <c r="E180" s="3049"/>
      <c r="F180" s="147"/>
      <c r="G180" s="4141"/>
      <c r="H180" s="106"/>
      <c r="I180" s="147"/>
      <c r="J180" s="147"/>
      <c r="K180" s="147"/>
      <c r="L180" s="147"/>
      <c r="M180" s="147"/>
      <c r="N180" s="147"/>
      <c r="O180" s="147"/>
      <c r="P180" s="147"/>
      <c r="Q180" s="147"/>
      <c r="R180" s="147"/>
      <c r="S180" s="106"/>
      <c r="T180" s="147"/>
      <c r="U180" s="147"/>
      <c r="V180" s="147"/>
      <c r="W180" s="147"/>
      <c r="X180" s="147"/>
      <c r="Y180" s="147"/>
      <c r="Z180" s="147"/>
    </row>
    <row r="181" spans="1:35" s="26" customFormat="1" ht="15">
      <c r="A181" s="147"/>
      <c r="B181" s="106"/>
      <c r="C181" s="106"/>
      <c r="D181" s="3002"/>
      <c r="E181" s="3002"/>
      <c r="F181" s="106"/>
      <c r="G181" s="147"/>
      <c r="H181" s="106"/>
      <c r="I181" s="106"/>
      <c r="J181" s="106"/>
      <c r="K181" s="106"/>
      <c r="L181" s="106"/>
      <c r="M181" s="106"/>
      <c r="N181" s="106"/>
      <c r="O181" s="106"/>
      <c r="P181" s="106"/>
      <c r="Q181" s="106"/>
      <c r="R181" s="106"/>
      <c r="S181" s="106"/>
      <c r="T181" s="106"/>
      <c r="U181" s="106"/>
      <c r="V181" s="106"/>
      <c r="W181" s="106"/>
      <c r="X181" s="106"/>
      <c r="Y181" s="106"/>
      <c r="Z181" s="106"/>
    </row>
    <row r="182" spans="1:35" s="26" customFormat="1" ht="15">
      <c r="A182" s="147"/>
      <c r="B182" s="106"/>
      <c r="C182" s="4152"/>
      <c r="D182" s="3002"/>
      <c r="E182" s="3002"/>
      <c r="F182" s="4152"/>
      <c r="G182" s="4141"/>
      <c r="H182" s="106"/>
      <c r="I182" s="106"/>
      <c r="J182" s="106"/>
      <c r="K182" s="106"/>
      <c r="L182" s="106"/>
      <c r="M182" s="106"/>
      <c r="N182" s="106"/>
      <c r="O182" s="106"/>
      <c r="P182" s="4152"/>
      <c r="Q182" s="106"/>
      <c r="R182" s="106"/>
      <c r="S182" s="106"/>
      <c r="T182" s="106"/>
      <c r="U182" s="106"/>
      <c r="V182" s="106"/>
      <c r="W182" s="106"/>
      <c r="X182" s="106"/>
      <c r="Y182" s="106"/>
      <c r="Z182" s="106"/>
    </row>
    <row r="183" spans="1:35" s="26" customFormat="1" ht="15">
      <c r="A183" s="147"/>
      <c r="B183" s="4152"/>
      <c r="C183" s="4152"/>
      <c r="D183" s="3002"/>
      <c r="E183" s="3002"/>
      <c r="F183" s="4152"/>
      <c r="G183" s="4141"/>
      <c r="H183" s="106"/>
      <c r="I183" s="106"/>
      <c r="J183" s="106"/>
      <c r="K183" s="106"/>
      <c r="L183" s="106"/>
      <c r="M183" s="106"/>
      <c r="N183" s="106"/>
      <c r="O183" s="106"/>
      <c r="P183" s="106"/>
      <c r="Q183" s="106"/>
      <c r="R183" s="106"/>
      <c r="S183" s="106"/>
      <c r="T183" s="106"/>
      <c r="U183" s="106"/>
      <c r="V183" s="106"/>
      <c r="W183" s="106"/>
      <c r="X183" s="106"/>
      <c r="Y183" s="106"/>
      <c r="Z183" s="106"/>
    </row>
    <row r="184" spans="1:35" s="26" customFormat="1" ht="15">
      <c r="A184" s="3000"/>
      <c r="B184" s="3003"/>
      <c r="C184" s="106"/>
      <c r="D184" s="144"/>
      <c r="E184" s="898"/>
      <c r="F184" s="106"/>
      <c r="G184" s="4152"/>
      <c r="H184" s="106"/>
      <c r="I184" s="106"/>
      <c r="J184" s="3000"/>
      <c r="K184" s="4152"/>
      <c r="L184" s="2617"/>
      <c r="M184" s="144"/>
      <c r="N184" s="144"/>
      <c r="O184" s="144"/>
      <c r="P184" s="4141"/>
      <c r="Q184" s="3001"/>
      <c r="R184" s="4152"/>
      <c r="S184" s="4141"/>
      <c r="T184" s="106"/>
      <c r="U184" s="106"/>
      <c r="V184" s="106"/>
      <c r="W184" s="106"/>
      <c r="X184" s="3005"/>
      <c r="Y184" s="106"/>
      <c r="Z184" s="106"/>
    </row>
    <row r="185" spans="1:35" s="26" customFormat="1" ht="15">
      <c r="A185" s="3000"/>
      <c r="B185" s="3003"/>
      <c r="C185" s="106"/>
      <c r="D185" s="144"/>
      <c r="E185" s="898"/>
      <c r="F185" s="4152"/>
      <c r="G185" s="4152"/>
      <c r="H185" s="4152"/>
      <c r="I185" s="4152"/>
      <c r="J185" s="3004"/>
      <c r="K185" s="4152"/>
      <c r="L185" s="2617"/>
      <c r="M185" s="4152"/>
      <c r="N185" s="4152"/>
      <c r="O185" s="144"/>
      <c r="P185" s="4141"/>
      <c r="Q185" s="3001"/>
      <c r="R185" s="4152"/>
      <c r="S185" s="106"/>
      <c r="T185" s="106"/>
      <c r="U185" s="106"/>
      <c r="V185" s="106"/>
      <c r="W185" s="106"/>
      <c r="X185" s="3005"/>
      <c r="Y185" s="106"/>
      <c r="Z185" s="106"/>
    </row>
    <row r="186" spans="1:35" ht="15">
      <c r="A186" s="3000"/>
      <c r="B186" s="3003"/>
      <c r="D186" s="144"/>
      <c r="E186" s="898"/>
      <c r="F186" s="4152"/>
      <c r="G186" s="4152"/>
      <c r="H186" s="4251"/>
      <c r="I186" s="2617"/>
      <c r="J186" s="3000"/>
      <c r="K186" s="4152"/>
      <c r="L186" s="2617"/>
      <c r="M186" s="4254"/>
      <c r="N186" s="144"/>
      <c r="O186" s="144"/>
      <c r="P186" s="4141"/>
      <c r="Q186" s="3001"/>
      <c r="R186" s="4152"/>
      <c r="X186" s="3005"/>
    </row>
    <row r="187" spans="1:35" ht="15">
      <c r="A187" s="3000"/>
      <c r="B187" s="3003"/>
      <c r="C187" s="4152"/>
      <c r="D187" s="144"/>
      <c r="E187" s="898"/>
      <c r="F187" s="144"/>
      <c r="G187" s="4152"/>
      <c r="H187" s="144"/>
      <c r="J187" s="3000"/>
      <c r="L187" s="4141"/>
      <c r="M187" s="144"/>
      <c r="N187" s="144"/>
      <c r="O187" s="144"/>
      <c r="P187" s="4141"/>
      <c r="Q187" s="3001"/>
      <c r="S187" s="4152"/>
      <c r="X187" s="3005"/>
    </row>
    <row r="188" spans="1:35" ht="15">
      <c r="A188" s="163"/>
      <c r="B188" s="4152"/>
      <c r="D188" s="144"/>
      <c r="E188" s="898"/>
      <c r="F188" s="4152"/>
      <c r="G188" s="4152"/>
      <c r="J188" s="3001"/>
      <c r="K188" s="4152"/>
      <c r="L188" s="2616"/>
      <c r="M188" s="144"/>
      <c r="N188" s="144"/>
      <c r="O188" s="144"/>
      <c r="P188" s="4141"/>
      <c r="Q188" s="3001"/>
      <c r="S188" s="4141"/>
      <c r="X188" s="3005"/>
    </row>
    <row r="189" spans="1:35" ht="90.75" customHeight="1">
      <c r="A189" s="163"/>
      <c r="B189" s="3003"/>
      <c r="D189" s="144"/>
      <c r="E189" s="898"/>
      <c r="F189" s="4152"/>
      <c r="G189" s="4152"/>
      <c r="J189" s="3001"/>
      <c r="K189" s="4152"/>
      <c r="L189" s="2616"/>
      <c r="M189" s="144"/>
      <c r="N189" s="144"/>
      <c r="O189" s="144"/>
      <c r="P189" s="4141"/>
      <c r="Q189" s="3001"/>
      <c r="S189" s="4141"/>
      <c r="X189" s="3005"/>
    </row>
    <row r="190" spans="1:35" ht="15">
      <c r="A190" s="163"/>
      <c r="B190" s="3003"/>
      <c r="D190" s="144"/>
      <c r="E190" s="898"/>
      <c r="F190" s="4152"/>
      <c r="G190" s="4152"/>
      <c r="J190" s="3001"/>
      <c r="K190" s="4152"/>
      <c r="L190" s="2616"/>
      <c r="M190" s="144"/>
      <c r="N190" s="144"/>
      <c r="O190" s="144"/>
      <c r="P190" s="4141"/>
      <c r="Q190" s="3001"/>
      <c r="S190" s="4141"/>
      <c r="X190" s="3005"/>
    </row>
    <row r="191" spans="1:35" ht="15">
      <c r="A191" s="163"/>
      <c r="B191" s="3003"/>
      <c r="D191" s="144"/>
      <c r="E191" s="898"/>
      <c r="F191" s="4152"/>
      <c r="G191" s="4152"/>
      <c r="J191" s="3001"/>
      <c r="K191" s="4152"/>
      <c r="L191" s="2616"/>
      <c r="M191" s="144"/>
      <c r="N191" s="144"/>
      <c r="O191" s="144"/>
      <c r="P191" s="4141"/>
      <c r="Q191" s="3001"/>
      <c r="S191" s="4141"/>
      <c r="X191" s="3005"/>
      <c r="AA191" s="147"/>
      <c r="AB191" s="147"/>
      <c r="AC191" s="147"/>
      <c r="AD191" s="147"/>
      <c r="AE191" s="147"/>
      <c r="AF191" s="147"/>
      <c r="AG191" s="147"/>
      <c r="AH191" s="147"/>
      <c r="AI191" s="147"/>
    </row>
    <row r="192" spans="1:35" ht="15">
      <c r="A192" s="163"/>
      <c r="B192" s="3003"/>
      <c r="D192" s="144"/>
      <c r="E192" s="898"/>
      <c r="F192" s="4152"/>
      <c r="G192" s="4152"/>
      <c r="J192" s="3001"/>
      <c r="K192" s="4152"/>
      <c r="L192" s="2616"/>
      <c r="M192" s="144"/>
      <c r="N192" s="144"/>
      <c r="O192" s="144"/>
      <c r="P192" s="4141"/>
      <c r="Q192" s="3001"/>
      <c r="S192" s="4141"/>
      <c r="X192" s="3005"/>
    </row>
    <row r="193" spans="1:26" ht="90.75" customHeight="1">
      <c r="A193" s="3000"/>
      <c r="B193" s="26"/>
      <c r="C193" s="4152"/>
      <c r="D193" s="144"/>
      <c r="E193" s="144"/>
      <c r="G193" s="4152"/>
      <c r="J193" s="3000"/>
      <c r="K193" s="4152"/>
      <c r="L193" s="147"/>
      <c r="M193" s="144"/>
      <c r="N193" s="144"/>
      <c r="O193" s="1703"/>
      <c r="P193" s="4141"/>
      <c r="Q193" s="3001"/>
      <c r="S193" s="4152"/>
      <c r="W193" s="3050"/>
      <c r="X193" s="4419"/>
    </row>
    <row r="194" spans="1:26" ht="15">
      <c r="A194" s="163"/>
      <c r="B194" s="4152"/>
      <c r="D194" s="144"/>
      <c r="E194" s="898"/>
      <c r="F194" s="4152"/>
      <c r="G194" s="4152"/>
      <c r="J194" s="3051"/>
      <c r="K194" s="4152"/>
      <c r="L194" s="147"/>
      <c r="P194" s="4152"/>
      <c r="Q194" s="3001"/>
      <c r="S194" s="4141"/>
    </row>
    <row r="195" spans="1:26" ht="15">
      <c r="A195" s="163"/>
      <c r="B195" s="4152"/>
      <c r="D195" s="144"/>
      <c r="E195" s="898"/>
      <c r="F195" s="4152"/>
      <c r="G195" s="4152"/>
      <c r="J195" s="3051"/>
      <c r="K195" s="4152"/>
      <c r="L195" s="147"/>
      <c r="M195" s="144"/>
      <c r="N195" s="144"/>
      <c r="O195" s="144"/>
      <c r="P195" s="4141"/>
      <c r="Q195" s="3001"/>
      <c r="S195" s="4141"/>
      <c r="X195" s="3005"/>
    </row>
    <row r="196" spans="1:26" ht="15">
      <c r="A196" s="3000"/>
      <c r="B196" s="3003"/>
      <c r="D196" s="144"/>
      <c r="E196" s="898"/>
      <c r="G196" s="106"/>
      <c r="H196" s="144"/>
      <c r="J196" s="3000"/>
      <c r="L196" s="147"/>
      <c r="M196" s="144"/>
      <c r="N196" s="144"/>
      <c r="O196" s="144"/>
      <c r="P196" s="4141"/>
      <c r="Q196" s="3001"/>
      <c r="S196" s="4152"/>
      <c r="X196" s="3005"/>
    </row>
    <row r="197" spans="1:26" s="26" customFormat="1" ht="15">
      <c r="A197" s="3000"/>
      <c r="B197" s="3003"/>
      <c r="C197" s="106"/>
      <c r="D197" s="144"/>
      <c r="E197" s="898"/>
      <c r="F197" s="106"/>
      <c r="G197" s="4152"/>
      <c r="H197" s="106"/>
      <c r="I197" s="106"/>
      <c r="J197" s="3000"/>
      <c r="K197" s="4152"/>
      <c r="L197" s="2617"/>
      <c r="M197" s="144"/>
      <c r="N197" s="144"/>
      <c r="O197" s="144"/>
      <c r="P197" s="4141"/>
      <c r="Q197" s="3001"/>
      <c r="R197" s="4152"/>
      <c r="S197" s="4141"/>
      <c r="T197" s="106"/>
      <c r="U197" s="106"/>
      <c r="V197" s="106"/>
      <c r="W197" s="106"/>
      <c r="X197" s="3005"/>
      <c r="Y197" s="106"/>
      <c r="Z197" s="106"/>
    </row>
    <row r="198" spans="1:26" s="26" customFormat="1" ht="15">
      <c r="A198" s="3000"/>
      <c r="B198" s="2855"/>
      <c r="C198" s="106"/>
      <c r="D198" s="4254"/>
      <c r="E198" s="144"/>
      <c r="F198" s="4152"/>
      <c r="G198" s="4152"/>
      <c r="H198" s="4152"/>
      <c r="I198" s="106"/>
      <c r="J198" s="3000"/>
      <c r="K198" s="2904"/>
      <c r="L198" s="144"/>
      <c r="M198" s="144"/>
      <c r="N198" s="144"/>
      <c r="O198" s="144"/>
      <c r="P198" s="4141"/>
      <c r="Q198" s="3001"/>
      <c r="R198" s="106"/>
      <c r="S198" s="4152"/>
      <c r="T198" s="106"/>
      <c r="U198" s="106"/>
      <c r="V198" s="106"/>
      <c r="W198" s="106"/>
      <c r="X198" s="3005"/>
      <c r="Y198" s="106"/>
      <c r="Z198" s="106"/>
    </row>
    <row r="199" spans="1:26" ht="15">
      <c r="A199" s="3000"/>
      <c r="B199" s="2855"/>
      <c r="C199" s="4152"/>
      <c r="D199" s="144"/>
      <c r="E199" s="898"/>
      <c r="F199" s="4152"/>
      <c r="G199" s="4152"/>
      <c r="I199" s="761"/>
      <c r="J199" s="3000"/>
      <c r="K199" s="2904"/>
      <c r="L199" s="4254"/>
      <c r="M199" s="4152"/>
      <c r="N199" s="144"/>
      <c r="O199" s="144"/>
      <c r="P199" s="4141"/>
      <c r="Q199" s="3001"/>
      <c r="S199" s="4152"/>
      <c r="W199" s="3050"/>
      <c r="X199" s="3005"/>
    </row>
    <row r="200" spans="1:26" ht="15">
      <c r="A200" s="3000"/>
      <c r="B200" s="2855"/>
      <c r="C200" s="4152"/>
      <c r="D200" s="144"/>
      <c r="E200" s="898"/>
      <c r="F200" s="4152"/>
      <c r="G200" s="4152"/>
      <c r="H200" s="4251"/>
      <c r="I200" s="761"/>
      <c r="J200" s="3000"/>
      <c r="K200" s="2904"/>
      <c r="L200" s="4152"/>
      <c r="M200" s="4152"/>
      <c r="P200" s="4141"/>
      <c r="Q200" s="3001"/>
      <c r="S200" s="4152"/>
    </row>
    <row r="201" spans="1:26" ht="15">
      <c r="A201" s="4141"/>
      <c r="B201" s="4152"/>
      <c r="D201" s="144"/>
      <c r="E201" s="898"/>
      <c r="F201" s="4152"/>
      <c r="G201" s="4141"/>
      <c r="H201" s="144"/>
      <c r="J201" s="4152"/>
      <c r="K201" s="4152"/>
      <c r="L201" s="147"/>
      <c r="M201" s="144"/>
      <c r="N201" s="144"/>
      <c r="O201" s="144"/>
      <c r="P201" s="4141"/>
      <c r="Q201" s="3001"/>
      <c r="S201" s="4141"/>
      <c r="X201" s="3005"/>
    </row>
    <row r="202" spans="1:26" ht="15">
      <c r="A202" s="4141"/>
      <c r="B202" s="4152"/>
      <c r="D202" s="144"/>
      <c r="E202" s="898"/>
      <c r="F202" s="4152"/>
      <c r="G202" s="4141"/>
      <c r="H202" s="144"/>
      <c r="J202" s="4152"/>
      <c r="K202" s="4152"/>
      <c r="L202" s="147"/>
      <c r="M202" s="144"/>
      <c r="N202" s="144"/>
      <c r="O202" s="144"/>
      <c r="P202" s="4141"/>
      <c r="Q202" s="3001"/>
      <c r="S202" s="4141"/>
      <c r="X202" s="3005"/>
    </row>
    <row r="203" spans="1:26" ht="15">
      <c r="A203" s="4141"/>
      <c r="B203" s="4152"/>
      <c r="D203" s="144"/>
      <c r="E203" s="898"/>
      <c r="F203" s="4152"/>
      <c r="G203" s="4141"/>
      <c r="H203" s="144"/>
      <c r="J203" s="4152"/>
      <c r="K203" s="4152"/>
      <c r="L203" s="4141"/>
      <c r="M203" s="144"/>
      <c r="N203" s="144"/>
      <c r="O203" s="144"/>
      <c r="P203" s="4141"/>
      <c r="Q203" s="3001"/>
      <c r="S203" s="4141"/>
      <c r="X203" s="3005"/>
    </row>
    <row r="204" spans="1:26" ht="90.75" customHeight="1">
      <c r="A204" s="3004"/>
      <c r="B204" s="3003"/>
      <c r="C204" s="4152"/>
      <c r="D204" s="144"/>
      <c r="E204" s="144"/>
      <c r="F204" s="4152"/>
      <c r="G204" s="4152"/>
      <c r="H204" s="2617"/>
      <c r="J204" s="3000"/>
      <c r="K204" s="4152"/>
      <c r="L204" s="2617"/>
      <c r="M204" s="144"/>
      <c r="N204" s="144"/>
      <c r="O204" s="144"/>
      <c r="P204" s="4141"/>
      <c r="Q204" s="3001"/>
      <c r="R204" s="4152"/>
      <c r="S204" s="147"/>
      <c r="X204" s="3005"/>
    </row>
    <row r="205" spans="1:26" ht="15">
      <c r="A205" s="3004"/>
      <c r="B205" s="4152"/>
      <c r="C205" s="4152"/>
      <c r="D205" s="144"/>
      <c r="E205" s="144"/>
      <c r="F205" s="4152"/>
      <c r="G205" s="4152"/>
      <c r="H205" s="2617"/>
      <c r="J205" s="3000"/>
      <c r="K205" s="4152"/>
      <c r="L205" s="2617"/>
      <c r="M205" s="144"/>
      <c r="N205" s="144"/>
      <c r="O205" s="144"/>
      <c r="P205" s="4141"/>
      <c r="Q205" s="3001"/>
      <c r="R205" s="4152"/>
      <c r="S205" s="147"/>
      <c r="X205" s="3005"/>
    </row>
    <row r="206" spans="1:26" ht="82.5" customHeight="1">
      <c r="A206" s="3000"/>
      <c r="B206" s="26"/>
      <c r="D206" s="2923"/>
      <c r="E206" s="2864"/>
      <c r="F206" s="26"/>
      <c r="G206" s="762"/>
      <c r="H206" s="26"/>
      <c r="I206" s="26"/>
      <c r="J206" s="26"/>
      <c r="L206" s="26"/>
      <c r="M206" s="26"/>
      <c r="N206" s="26"/>
      <c r="O206" s="26"/>
      <c r="P206" s="26"/>
      <c r="Q206" s="26"/>
      <c r="R206" s="26"/>
      <c r="S206" s="26"/>
      <c r="T206" s="26"/>
      <c r="U206" s="26"/>
      <c r="V206" s="26"/>
      <c r="W206" s="26"/>
      <c r="X206" s="26"/>
      <c r="Y206" s="26"/>
      <c r="Z206" s="26"/>
    </row>
    <row r="207" spans="1:26" ht="15">
      <c r="A207" s="3000"/>
      <c r="B207" s="2855"/>
      <c r="C207" s="4152"/>
      <c r="D207" s="144"/>
      <c r="E207" s="3052"/>
      <c r="F207" s="4152"/>
      <c r="G207" s="4152"/>
      <c r="H207" s="2617"/>
      <c r="J207" s="3000"/>
      <c r="K207" s="2904"/>
      <c r="P207" s="4141"/>
      <c r="Q207" s="3001"/>
      <c r="S207" s="4152"/>
    </row>
    <row r="208" spans="1:26" ht="15">
      <c r="A208" s="3000"/>
      <c r="B208" s="3053"/>
      <c r="D208" s="144"/>
      <c r="E208" s="3052"/>
      <c r="G208" s="106"/>
      <c r="H208" s="2617"/>
      <c r="J208" s="3000"/>
      <c r="K208" s="2904"/>
      <c r="P208" s="4141"/>
      <c r="Q208" s="3001"/>
    </row>
    <row r="209" spans="1:24" ht="15">
      <c r="A209" s="3000"/>
      <c r="B209" s="3003"/>
      <c r="D209" s="144"/>
      <c r="E209" s="144"/>
      <c r="G209" s="4141"/>
      <c r="H209" s="144"/>
      <c r="J209" s="3000"/>
      <c r="K209" s="4152"/>
      <c r="L209" s="147"/>
      <c r="M209" s="144"/>
      <c r="N209" s="144"/>
      <c r="O209" s="144"/>
      <c r="P209" s="4141"/>
      <c r="Q209" s="3001"/>
      <c r="S209" s="4152"/>
      <c r="X209" s="3005"/>
    </row>
    <row r="210" spans="1:24" ht="15">
      <c r="A210" s="3000"/>
      <c r="B210" s="3003"/>
      <c r="D210" s="144"/>
      <c r="E210" s="144"/>
      <c r="F210" s="4152"/>
      <c r="G210" s="4152"/>
      <c r="H210" s="144"/>
      <c r="J210" s="3000"/>
      <c r="K210" s="4141"/>
      <c r="L210" s="147"/>
      <c r="M210" s="144"/>
      <c r="N210" s="144"/>
      <c r="O210" s="144"/>
      <c r="P210" s="4141"/>
      <c r="Q210" s="3001"/>
      <c r="X210" s="3005"/>
    </row>
    <row r="211" spans="1:24" ht="15">
      <c r="A211" s="3000"/>
      <c r="B211" s="3003"/>
      <c r="D211" s="144"/>
      <c r="E211" s="898"/>
      <c r="F211" s="4152"/>
      <c r="G211" s="4141"/>
      <c r="H211" s="144"/>
      <c r="J211" s="3000"/>
      <c r="K211" s="4152"/>
      <c r="L211" s="147"/>
      <c r="M211" s="144"/>
      <c r="N211" s="144"/>
      <c r="O211" s="144"/>
      <c r="P211" s="4141"/>
      <c r="Q211" s="3001"/>
      <c r="S211" s="4152"/>
      <c r="X211" s="3005"/>
    </row>
    <row r="212" spans="1:24" ht="15">
      <c r="A212" s="4141"/>
      <c r="B212" s="4152"/>
      <c r="D212" s="144"/>
      <c r="E212" s="144"/>
      <c r="F212" s="4152"/>
      <c r="G212" s="4141"/>
      <c r="J212" s="3000"/>
      <c r="K212" s="4152"/>
      <c r="P212" s="4141"/>
      <c r="Q212" s="3001"/>
      <c r="S212" s="4141"/>
    </row>
    <row r="213" spans="1:24" ht="15">
      <c r="A213" s="4141"/>
      <c r="B213" s="4152"/>
      <c r="D213" s="144"/>
      <c r="E213" s="144"/>
      <c r="F213" s="4152"/>
      <c r="G213" s="4141"/>
      <c r="J213" s="3000"/>
      <c r="K213" s="4152"/>
      <c r="P213" s="4141"/>
      <c r="Q213" s="3001"/>
      <c r="S213" s="4141"/>
    </row>
    <row r="214" spans="1:24" ht="15">
      <c r="A214" s="4141"/>
      <c r="D214" s="144"/>
      <c r="E214" s="144"/>
      <c r="F214" s="4152"/>
      <c r="G214" s="4141"/>
      <c r="J214" s="3000"/>
      <c r="K214" s="4152"/>
      <c r="P214" s="4141"/>
      <c r="Q214" s="3001"/>
      <c r="S214" s="4141"/>
    </row>
    <row r="215" spans="1:24" ht="15">
      <c r="A215" s="4141"/>
      <c r="B215" s="4152"/>
      <c r="D215" s="144"/>
      <c r="E215" s="144"/>
      <c r="F215" s="4152"/>
      <c r="G215" s="4141"/>
      <c r="J215" s="3000"/>
      <c r="K215" s="4152"/>
      <c r="P215" s="4141"/>
      <c r="Q215" s="3001"/>
      <c r="S215" s="4141"/>
    </row>
    <row r="216" spans="1:24" ht="15">
      <c r="A216" s="3000"/>
      <c r="B216" s="3003"/>
      <c r="D216" s="144"/>
      <c r="E216" s="144"/>
      <c r="F216" s="4152"/>
      <c r="G216" s="4152"/>
      <c r="H216" s="144"/>
      <c r="J216" s="3000"/>
      <c r="K216" s="4141"/>
      <c r="L216" s="147"/>
      <c r="M216" s="144"/>
      <c r="N216" s="144"/>
      <c r="O216" s="144"/>
      <c r="P216" s="4141"/>
      <c r="Q216" s="3001"/>
      <c r="X216" s="3005"/>
    </row>
    <row r="217" spans="1:24" ht="90.75" customHeight="1">
      <c r="A217" s="3000"/>
      <c r="B217" s="4152"/>
      <c r="D217" s="144"/>
      <c r="E217" s="144"/>
      <c r="G217" s="4152"/>
      <c r="J217" s="3000"/>
      <c r="K217" s="4152"/>
      <c r="P217" s="4152"/>
      <c r="Q217" s="3001"/>
      <c r="S217" s="4141"/>
    </row>
    <row r="218" spans="1:24" ht="90.75" customHeight="1">
      <c r="A218" s="4141"/>
      <c r="D218" s="144"/>
      <c r="E218" s="144"/>
      <c r="F218" s="4152"/>
      <c r="G218" s="4141"/>
      <c r="J218" s="3000"/>
      <c r="K218" s="4152"/>
      <c r="P218" s="4141"/>
      <c r="Q218" s="3001"/>
      <c r="S218" s="4141"/>
    </row>
    <row r="220" spans="1:24" ht="90.75" customHeight="1">
      <c r="A220" s="4141"/>
      <c r="B220" s="4152"/>
      <c r="D220" s="144"/>
      <c r="E220" s="144"/>
      <c r="F220" s="4152"/>
      <c r="G220" s="4141"/>
      <c r="J220" s="4152"/>
      <c r="K220" s="4152"/>
      <c r="P220" s="4141"/>
      <c r="Q220" s="3001"/>
      <c r="S220" s="4141"/>
    </row>
    <row r="221" spans="1:24" ht="90.75" customHeight="1">
      <c r="A221" s="4141"/>
      <c r="D221" s="144"/>
      <c r="E221" s="144"/>
      <c r="F221" s="4152"/>
      <c r="G221" s="4141"/>
      <c r="J221" s="4152"/>
      <c r="K221" s="4152"/>
      <c r="P221" s="4141"/>
      <c r="Q221" s="3001"/>
      <c r="S221" s="4141"/>
    </row>
    <row r="222" spans="1:24" ht="15">
      <c r="A222" s="4141"/>
      <c r="B222" s="4152"/>
      <c r="D222" s="144"/>
      <c r="E222" s="144"/>
      <c r="F222" s="4152"/>
      <c r="G222" s="4141"/>
      <c r="J222" s="4152"/>
      <c r="K222" s="4152"/>
      <c r="P222" s="4141"/>
      <c r="Q222" s="3001"/>
      <c r="S222" s="4141"/>
    </row>
    <row r="223" spans="1:24" ht="15">
      <c r="A223" s="4141"/>
      <c r="B223" s="4152"/>
      <c r="D223" s="144"/>
      <c r="E223" s="144"/>
      <c r="F223" s="4152"/>
      <c r="G223" s="4141"/>
      <c r="J223" s="4152"/>
      <c r="K223" s="4152"/>
      <c r="P223" s="4141"/>
      <c r="Q223" s="3001"/>
      <c r="S223" s="4141"/>
    </row>
    <row r="224" spans="1:24" ht="15">
      <c r="A224" s="4141"/>
      <c r="B224" s="4152"/>
      <c r="D224" s="144"/>
      <c r="E224" s="144"/>
      <c r="F224" s="4152"/>
      <c r="G224" s="4141"/>
      <c r="J224" s="4152"/>
      <c r="K224" s="4152"/>
      <c r="P224" s="4141"/>
      <c r="Q224" s="3001"/>
      <c r="S224" s="4141"/>
    </row>
    <row r="225" spans="1:24" ht="15">
      <c r="A225" s="4141"/>
      <c r="B225" s="4152"/>
      <c r="D225" s="144"/>
      <c r="E225" s="144"/>
      <c r="F225" s="4152"/>
      <c r="G225" s="4141"/>
      <c r="J225" s="4152"/>
      <c r="K225" s="4152"/>
      <c r="P225" s="4141"/>
      <c r="Q225" s="3001"/>
      <c r="S225" s="4141"/>
    </row>
    <row r="226" spans="1:24" ht="15">
      <c r="A226" s="4141"/>
      <c r="D226" s="144"/>
      <c r="E226" s="144"/>
      <c r="F226" s="4152"/>
      <c r="G226" s="4141"/>
      <c r="J226" s="4152"/>
      <c r="K226" s="4152"/>
      <c r="P226" s="4141"/>
      <c r="Q226" s="3001"/>
      <c r="S226" s="4141"/>
    </row>
    <row r="227" spans="1:24" ht="15">
      <c r="A227" s="163"/>
      <c r="D227" s="144"/>
      <c r="E227" s="144"/>
      <c r="F227" s="4152"/>
      <c r="G227" s="4141"/>
      <c r="J227" s="3000"/>
      <c r="K227" s="4152"/>
      <c r="P227" s="4141"/>
      <c r="Q227" s="3001"/>
    </row>
    <row r="228" spans="1:24" ht="15">
      <c r="A228" s="163"/>
      <c r="D228" s="144"/>
      <c r="E228" s="144"/>
      <c r="F228" s="4152"/>
      <c r="G228" s="4141"/>
      <c r="J228" s="3000"/>
      <c r="K228" s="4152"/>
      <c r="P228" s="4141"/>
      <c r="Q228" s="3001"/>
    </row>
    <row r="229" spans="1:24" ht="15">
      <c r="A229" s="3000"/>
      <c r="B229" s="3003"/>
      <c r="D229" s="144"/>
      <c r="E229" s="144"/>
      <c r="G229" s="106"/>
      <c r="H229" s="144"/>
      <c r="J229" s="3000"/>
      <c r="K229" s="4152"/>
      <c r="L229" s="147"/>
      <c r="M229" s="144"/>
      <c r="N229" s="144"/>
      <c r="O229" s="144"/>
      <c r="P229" s="4141"/>
      <c r="Q229" s="3001"/>
      <c r="S229" s="4152"/>
      <c r="X229" s="3005"/>
    </row>
  </sheetData>
  <autoFilter ref="A1:Z175" xr:uid="{474F1CD4-703B-4677-8BB6-53ED2D37E9AF}">
    <filterColumn colId="5">
      <filters>
        <filter val="MATSON"/>
      </filters>
    </filterColumn>
  </autoFilter>
  <conditionalFormatting sqref="B1">
    <cfRule type="duplicateValues" dxfId="142" priority="1"/>
  </conditionalFormatting>
  <hyperlinks>
    <hyperlink ref="B60" r:id="rId1" xr:uid="{752840AE-8E5C-49BE-8177-0DFF8F8A7677}"/>
  </hyperlinks>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5FDFB-50D8-4D7D-A913-2B73FB77C88D}">
  <sheetPr filterMode="1"/>
  <dimension ref="A1:AI178"/>
  <sheetViews>
    <sheetView zoomScale="85" zoomScaleNormal="85" workbookViewId="0">
      <pane xSplit="7" ySplit="1" topLeftCell="H57" activePane="bottomRight" state="frozen"/>
      <selection pane="bottomRight" activeCell="I113" sqref="I113"/>
      <selection pane="bottomLeft" activeCell="A2" sqref="A2"/>
      <selection pane="topRight" activeCell="H1" sqref="H1"/>
    </sheetView>
  </sheetViews>
  <sheetFormatPr defaultColWidth="9.125" defaultRowHeight="15"/>
  <cols>
    <col min="1" max="1" width="21.75" style="3008" customWidth="1"/>
    <col min="2" max="2" width="15.875" style="3008" customWidth="1"/>
    <col min="3" max="3" width="9.125" style="3008"/>
    <col min="4" max="5" width="13.25" style="3038" customWidth="1"/>
    <col min="6" max="6" width="13.25" style="3008" customWidth="1"/>
    <col min="7" max="7" width="23.25" style="3008" customWidth="1"/>
    <col min="8" max="8" width="25.75" style="3008" customWidth="1"/>
    <col min="9" max="9" width="27.75" style="3008" customWidth="1"/>
    <col min="10" max="10" width="18" style="3008" customWidth="1"/>
    <col min="11" max="11" width="30" style="3008" customWidth="1"/>
    <col min="12" max="12" width="24.125" style="3008" customWidth="1"/>
    <col min="13" max="13" width="21.25" style="3039" bestFit="1" customWidth="1"/>
    <col min="14" max="15" width="18.75" style="3008" customWidth="1"/>
    <col min="16" max="16" width="78.125" style="3008" customWidth="1"/>
    <col min="17" max="17" width="9.125" style="3008"/>
    <col min="18" max="18" width="16" style="3040" customWidth="1"/>
    <col min="19" max="19" width="17.125" style="3008" customWidth="1"/>
    <col min="20" max="20" width="10.75" style="3008" bestFit="1" customWidth="1"/>
    <col min="21" max="21" width="9.125" style="3008" bestFit="1" customWidth="1"/>
    <col min="22" max="23" width="9.125" style="3008"/>
    <col min="24" max="24" width="9.125" style="3041"/>
    <col min="25" max="16384" width="9.125" style="3008"/>
  </cols>
  <sheetData>
    <row r="1" spans="1:35">
      <c r="A1" s="5743" t="s">
        <v>0</v>
      </c>
      <c r="B1" s="5743" t="s">
        <v>1</v>
      </c>
      <c r="C1" s="5743" t="s">
        <v>2</v>
      </c>
      <c r="D1" s="5744" t="s">
        <v>3</v>
      </c>
      <c r="E1" s="5745" t="s">
        <v>4</v>
      </c>
      <c r="F1" s="5743" t="s">
        <v>5</v>
      </c>
      <c r="G1" s="5746" t="s">
        <v>6</v>
      </c>
      <c r="H1" s="5746" t="s">
        <v>7</v>
      </c>
      <c r="I1" s="5746" t="s">
        <v>8</v>
      </c>
      <c r="J1" s="5746" t="s">
        <v>9</v>
      </c>
      <c r="K1" s="5747" t="s">
        <v>10</v>
      </c>
      <c r="L1" s="5747" t="s">
        <v>11</v>
      </c>
      <c r="M1" s="5748" t="s">
        <v>12</v>
      </c>
      <c r="N1" s="5743" t="s">
        <v>13</v>
      </c>
      <c r="O1" s="5743" t="s">
        <v>14</v>
      </c>
      <c r="P1" s="5749" t="s">
        <v>15</v>
      </c>
      <c r="Q1" s="5750" t="s">
        <v>16</v>
      </c>
      <c r="R1" s="5751" t="s">
        <v>17</v>
      </c>
      <c r="S1" s="5749" t="s">
        <v>18</v>
      </c>
      <c r="T1" s="5752" t="s">
        <v>19</v>
      </c>
      <c r="U1" s="5750" t="s">
        <v>20</v>
      </c>
      <c r="V1" s="5750" t="s">
        <v>21</v>
      </c>
      <c r="W1" s="5750" t="s">
        <v>22</v>
      </c>
      <c r="X1" s="5753" t="s">
        <v>23</v>
      </c>
      <c r="Y1" s="5753" t="s">
        <v>24</v>
      </c>
      <c r="Z1" s="5753" t="s">
        <v>25</v>
      </c>
      <c r="AA1" s="4148"/>
      <c r="AB1" s="4148"/>
      <c r="AC1" s="4148"/>
      <c r="AD1" s="4148"/>
      <c r="AE1" s="4148"/>
      <c r="AF1" s="4148"/>
      <c r="AG1" s="4148"/>
      <c r="AH1" s="4148"/>
      <c r="AI1" s="4148"/>
    </row>
    <row r="2" spans="1:35" s="106" customFormat="1" hidden="1">
      <c r="A2" s="4874" t="s">
        <v>10861</v>
      </c>
      <c r="B2" s="5754" t="s">
        <v>10862</v>
      </c>
      <c r="C2" s="4874" t="s">
        <v>28</v>
      </c>
      <c r="D2" s="5755">
        <v>45519</v>
      </c>
      <c r="E2" s="5756">
        <v>45534</v>
      </c>
      <c r="F2" s="4874" t="s">
        <v>260</v>
      </c>
      <c r="G2" s="4874" t="s">
        <v>46</v>
      </c>
      <c r="H2" s="4874"/>
      <c r="I2" s="4874"/>
      <c r="J2" s="4874" t="s">
        <v>32</v>
      </c>
      <c r="K2" s="5283" t="s">
        <v>10688</v>
      </c>
      <c r="L2" s="4874">
        <v>475637</v>
      </c>
      <c r="M2" s="5602">
        <v>45536</v>
      </c>
      <c r="N2" s="5602">
        <v>45539</v>
      </c>
      <c r="O2" s="5602">
        <v>45544</v>
      </c>
      <c r="P2" s="4874" t="s">
        <v>10863</v>
      </c>
      <c r="Q2" s="4874" t="s">
        <v>7584</v>
      </c>
      <c r="R2" s="4874">
        <v>154739</v>
      </c>
      <c r="S2" s="4874"/>
      <c r="T2" s="4874"/>
      <c r="U2" s="4874"/>
      <c r="V2" s="4874"/>
      <c r="W2" s="4874"/>
      <c r="X2" s="4874"/>
      <c r="Y2" s="4874"/>
      <c r="Z2" s="4874"/>
    </row>
    <row r="3" spans="1:35" s="106" customFormat="1" hidden="1">
      <c r="A3" s="5326" t="s">
        <v>9692</v>
      </c>
      <c r="B3" s="4861" t="s">
        <v>10864</v>
      </c>
      <c r="C3" s="4861" t="s">
        <v>28</v>
      </c>
      <c r="D3" s="5179">
        <v>45515</v>
      </c>
      <c r="E3" s="5219">
        <v>45536</v>
      </c>
      <c r="F3" s="4861" t="s">
        <v>29</v>
      </c>
      <c r="G3" s="4861" t="s">
        <v>10735</v>
      </c>
      <c r="H3" s="4863">
        <v>45539</v>
      </c>
      <c r="I3" s="4861"/>
      <c r="J3" s="4861" t="s">
        <v>9695</v>
      </c>
      <c r="K3" s="4890" t="s">
        <v>8824</v>
      </c>
      <c r="L3" s="4864">
        <v>6433217</v>
      </c>
      <c r="M3" s="4863">
        <v>45539</v>
      </c>
      <c r="N3" s="4863">
        <v>45539</v>
      </c>
      <c r="O3" s="4863">
        <v>45539</v>
      </c>
      <c r="P3" s="4861" t="s">
        <v>10865</v>
      </c>
      <c r="Q3" s="4861" t="s">
        <v>9226</v>
      </c>
      <c r="R3" s="4861" t="s">
        <v>10866</v>
      </c>
      <c r="S3" s="4890" t="s">
        <v>10279</v>
      </c>
      <c r="T3" s="5577">
        <v>1190</v>
      </c>
      <c r="U3" s="4861">
        <v>810</v>
      </c>
      <c r="V3" s="4861">
        <v>1</v>
      </c>
      <c r="W3" s="4861"/>
      <c r="X3" s="4861"/>
      <c r="Y3" s="4861"/>
      <c r="Z3" s="4861"/>
    </row>
    <row r="4" spans="1:35" s="117" customFormat="1" hidden="1">
      <c r="A4" s="5326" t="s">
        <v>9692</v>
      </c>
      <c r="B4" s="4861" t="s">
        <v>10867</v>
      </c>
      <c r="C4" s="4861" t="s">
        <v>28</v>
      </c>
      <c r="D4" s="5179">
        <v>45515</v>
      </c>
      <c r="E4" s="5219">
        <v>45536</v>
      </c>
      <c r="F4" s="4861" t="s">
        <v>29</v>
      </c>
      <c r="G4" s="4861" t="s">
        <v>10735</v>
      </c>
      <c r="H4" s="4863">
        <v>45539</v>
      </c>
      <c r="I4" s="4861"/>
      <c r="J4" s="4861" t="s">
        <v>9695</v>
      </c>
      <c r="K4" s="4864" t="s">
        <v>8824</v>
      </c>
      <c r="L4" s="4861">
        <v>6433215</v>
      </c>
      <c r="M4" s="4863">
        <v>45539</v>
      </c>
      <c r="N4" s="4863">
        <v>45539</v>
      </c>
      <c r="O4" s="4863">
        <v>45539</v>
      </c>
      <c r="P4" s="4861" t="s">
        <v>10865</v>
      </c>
      <c r="Q4" s="4861" t="s">
        <v>9226</v>
      </c>
      <c r="R4" s="4861" t="s">
        <v>10868</v>
      </c>
      <c r="S4" s="4890" t="s">
        <v>10279</v>
      </c>
      <c r="T4" s="5577">
        <v>1190</v>
      </c>
      <c r="U4" s="4861">
        <v>810</v>
      </c>
      <c r="V4" s="4861">
        <v>1</v>
      </c>
      <c r="W4" s="4861"/>
      <c r="X4" s="4861"/>
      <c r="Y4" s="4861"/>
      <c r="Z4" s="4861"/>
    </row>
    <row r="5" spans="1:35" s="36" customFormat="1" ht="45" hidden="1">
      <c r="A5" s="5251" t="s">
        <v>788</v>
      </c>
      <c r="B5" s="4970" t="s">
        <v>10869</v>
      </c>
      <c r="C5" s="4921" t="s">
        <v>28</v>
      </c>
      <c r="D5" s="5207">
        <v>45536</v>
      </c>
      <c r="E5" s="5208">
        <v>45536</v>
      </c>
      <c r="F5" s="4970" t="s">
        <v>8546</v>
      </c>
      <c r="G5" s="4829" t="s">
        <v>10870</v>
      </c>
      <c r="H5" s="5210">
        <v>45540</v>
      </c>
      <c r="I5" s="5210" t="s">
        <v>10871</v>
      </c>
      <c r="J5" s="5515" t="s">
        <v>10872</v>
      </c>
      <c r="K5" s="4970" t="s">
        <v>10873</v>
      </c>
      <c r="L5" s="5138" t="s">
        <v>162</v>
      </c>
      <c r="M5" s="5210">
        <v>45541</v>
      </c>
      <c r="N5" s="5210">
        <v>45539</v>
      </c>
      <c r="O5" s="5207">
        <v>45540</v>
      </c>
      <c r="P5" s="4829" t="s">
        <v>10874</v>
      </c>
      <c r="Q5" s="5515" t="s">
        <v>75</v>
      </c>
      <c r="R5" s="4970" t="s">
        <v>10875</v>
      </c>
      <c r="S5" s="4829" t="s">
        <v>67</v>
      </c>
      <c r="T5" s="4921">
        <v>965</v>
      </c>
      <c r="U5" s="4921">
        <v>535</v>
      </c>
      <c r="V5" s="4921">
        <v>1</v>
      </c>
      <c r="W5" s="4921">
        <f t="shared" ref="W5:W12" si="0">T5-U5</f>
        <v>430</v>
      </c>
      <c r="X5" s="5213">
        <f t="shared" ref="X5:X12" si="1">W5/U5</f>
        <v>0.80373831775700932</v>
      </c>
      <c r="Y5" s="4921"/>
      <c r="Z5" s="4921"/>
      <c r="AA5" s="52"/>
      <c r="AB5" s="52"/>
      <c r="AC5" s="52"/>
      <c r="AD5" s="52"/>
      <c r="AE5" s="52"/>
      <c r="AF5" s="52"/>
      <c r="AG5" s="52"/>
      <c r="AH5" s="52"/>
      <c r="AI5" s="52"/>
    </row>
    <row r="6" spans="1:35" s="36" customFormat="1" ht="45" hidden="1">
      <c r="A6" s="5251" t="s">
        <v>788</v>
      </c>
      <c r="B6" s="5757" t="s">
        <v>10876</v>
      </c>
      <c r="C6" s="4921" t="s">
        <v>28</v>
      </c>
      <c r="D6" s="5207">
        <v>45536</v>
      </c>
      <c r="E6" s="5208">
        <v>45536</v>
      </c>
      <c r="F6" s="4970" t="s">
        <v>8546</v>
      </c>
      <c r="G6" s="4829" t="s">
        <v>10870</v>
      </c>
      <c r="H6" s="5208">
        <v>45541</v>
      </c>
      <c r="I6" s="5208" t="s">
        <v>10871</v>
      </c>
      <c r="J6" s="5515" t="s">
        <v>10872</v>
      </c>
      <c r="K6" s="4970" t="s">
        <v>10873</v>
      </c>
      <c r="L6" s="5138" t="s">
        <v>10877</v>
      </c>
      <c r="M6" s="5210">
        <v>45541</v>
      </c>
      <c r="N6" s="5210">
        <v>45540</v>
      </c>
      <c r="O6" s="5207">
        <v>45541</v>
      </c>
      <c r="P6" s="4829" t="s">
        <v>10874</v>
      </c>
      <c r="Q6" s="5515" t="s">
        <v>75</v>
      </c>
      <c r="R6" s="4970" t="s">
        <v>10878</v>
      </c>
      <c r="S6" s="4829" t="s">
        <v>67</v>
      </c>
      <c r="T6" s="4921">
        <v>930</v>
      </c>
      <c r="U6" s="4921">
        <v>535</v>
      </c>
      <c r="V6" s="4921">
        <v>1</v>
      </c>
      <c r="W6" s="4921">
        <f t="shared" si="0"/>
        <v>395</v>
      </c>
      <c r="X6" s="5213">
        <f t="shared" si="1"/>
        <v>0.73831775700934577</v>
      </c>
      <c r="Y6" s="4921"/>
      <c r="Z6" s="4921"/>
      <c r="AA6"/>
      <c r="AB6"/>
      <c r="AC6"/>
      <c r="AD6"/>
      <c r="AE6"/>
      <c r="AF6"/>
      <c r="AG6"/>
      <c r="AH6"/>
      <c r="AI6"/>
    </row>
    <row r="7" spans="1:35" s="36" customFormat="1" ht="45" hidden="1">
      <c r="A7" s="5251" t="s">
        <v>788</v>
      </c>
      <c r="B7" s="5757" t="s">
        <v>10879</v>
      </c>
      <c r="C7" s="4921" t="s">
        <v>28</v>
      </c>
      <c r="D7" s="5207">
        <v>45536</v>
      </c>
      <c r="E7" s="5208">
        <v>45536</v>
      </c>
      <c r="F7" s="4970" t="s">
        <v>8546</v>
      </c>
      <c r="G7" s="4829" t="s">
        <v>10870</v>
      </c>
      <c r="H7" s="5210">
        <v>45540</v>
      </c>
      <c r="I7" s="5210" t="s">
        <v>10871</v>
      </c>
      <c r="J7" s="5515" t="s">
        <v>10872</v>
      </c>
      <c r="K7" s="4970" t="s">
        <v>10873</v>
      </c>
      <c r="L7" s="5138" t="s">
        <v>162</v>
      </c>
      <c r="M7" s="5210">
        <v>45541</v>
      </c>
      <c r="N7" s="5210">
        <v>45539</v>
      </c>
      <c r="O7" s="5207">
        <v>45541</v>
      </c>
      <c r="P7" s="4829" t="s">
        <v>10880</v>
      </c>
      <c r="Q7" s="5515" t="s">
        <v>75</v>
      </c>
      <c r="R7" s="4970" t="s">
        <v>10881</v>
      </c>
      <c r="S7" s="4829" t="s">
        <v>67</v>
      </c>
      <c r="T7" s="4921">
        <v>970</v>
      </c>
      <c r="U7" s="4921">
        <v>535</v>
      </c>
      <c r="V7" s="4921">
        <v>1</v>
      </c>
      <c r="W7" s="4921">
        <f t="shared" si="0"/>
        <v>435</v>
      </c>
      <c r="X7" s="5213">
        <f t="shared" si="1"/>
        <v>0.81308411214953269</v>
      </c>
      <c r="Y7" s="4921"/>
      <c r="Z7" s="4921"/>
    </row>
    <row r="8" spans="1:35" s="745" customFormat="1" ht="45" hidden="1">
      <c r="A8" s="5251" t="s">
        <v>788</v>
      </c>
      <c r="B8" s="5757" t="s">
        <v>10882</v>
      </c>
      <c r="C8" s="4921" t="s">
        <v>28</v>
      </c>
      <c r="D8" s="5207">
        <v>45536</v>
      </c>
      <c r="E8" s="5208">
        <v>45536</v>
      </c>
      <c r="F8" s="4970" t="s">
        <v>8546</v>
      </c>
      <c r="G8" s="4829" t="s">
        <v>10870</v>
      </c>
      <c r="H8" s="5210">
        <v>45540</v>
      </c>
      <c r="I8" s="5210" t="s">
        <v>10871</v>
      </c>
      <c r="J8" s="5515" t="s">
        <v>10872</v>
      </c>
      <c r="K8" s="4970" t="s">
        <v>10873</v>
      </c>
      <c r="L8" s="5138" t="s">
        <v>162</v>
      </c>
      <c r="M8" s="5210">
        <v>45541</v>
      </c>
      <c r="N8" s="5210">
        <v>45539</v>
      </c>
      <c r="O8" s="5207">
        <v>45540</v>
      </c>
      <c r="P8" s="4829" t="s">
        <v>10874</v>
      </c>
      <c r="Q8" s="5515" t="s">
        <v>75</v>
      </c>
      <c r="R8" s="4970" t="s">
        <v>10883</v>
      </c>
      <c r="S8" s="4829" t="s">
        <v>67</v>
      </c>
      <c r="T8" s="4921">
        <v>930</v>
      </c>
      <c r="U8" s="4921">
        <v>535</v>
      </c>
      <c r="V8" s="4921">
        <v>1</v>
      </c>
      <c r="W8" s="4921">
        <f t="shared" si="0"/>
        <v>395</v>
      </c>
      <c r="X8" s="5213">
        <f t="shared" si="1"/>
        <v>0.73831775700934577</v>
      </c>
      <c r="Y8" s="4921"/>
      <c r="Z8" s="4921"/>
      <c r="AA8" s="36"/>
      <c r="AB8" s="36"/>
      <c r="AC8" s="36"/>
      <c r="AD8" s="36"/>
      <c r="AE8" s="36"/>
      <c r="AF8" s="36"/>
      <c r="AG8" s="36"/>
      <c r="AH8" s="36"/>
      <c r="AI8" s="36"/>
    </row>
    <row r="9" spans="1:35" s="745" customFormat="1" ht="45" hidden="1">
      <c r="A9" s="5251" t="s">
        <v>788</v>
      </c>
      <c r="B9" s="5757" t="s">
        <v>10884</v>
      </c>
      <c r="C9" s="4921" t="s">
        <v>28</v>
      </c>
      <c r="D9" s="5207">
        <v>45536</v>
      </c>
      <c r="E9" s="5208">
        <v>45536</v>
      </c>
      <c r="F9" s="4970" t="s">
        <v>8546</v>
      </c>
      <c r="G9" s="4829" t="s">
        <v>10870</v>
      </c>
      <c r="H9" s="5208">
        <v>45541</v>
      </c>
      <c r="I9" s="5208" t="s">
        <v>10885</v>
      </c>
      <c r="J9" s="5515" t="s">
        <v>10872</v>
      </c>
      <c r="K9" s="4970" t="s">
        <v>10873</v>
      </c>
      <c r="L9" s="5758" t="s">
        <v>10877</v>
      </c>
      <c r="M9" s="5208">
        <v>45541</v>
      </c>
      <c r="N9" s="5208">
        <v>45540</v>
      </c>
      <c r="O9" s="5207">
        <v>45541</v>
      </c>
      <c r="P9" s="4829" t="s">
        <v>10874</v>
      </c>
      <c r="Q9" s="5515" t="s">
        <v>75</v>
      </c>
      <c r="R9" s="4970" t="s">
        <v>10886</v>
      </c>
      <c r="S9" s="4829" t="s">
        <v>67</v>
      </c>
      <c r="T9" s="4921">
        <v>930</v>
      </c>
      <c r="U9" s="4921">
        <v>535</v>
      </c>
      <c r="V9" s="4921">
        <v>1</v>
      </c>
      <c r="W9" s="4921">
        <f t="shared" si="0"/>
        <v>395</v>
      </c>
      <c r="X9" s="5213">
        <f t="shared" si="1"/>
        <v>0.73831775700934577</v>
      </c>
      <c r="Y9" s="4921"/>
      <c r="Z9" s="4921"/>
      <c r="AA9" s="36"/>
      <c r="AB9" s="36"/>
      <c r="AC9" s="36"/>
      <c r="AD9" s="36"/>
      <c r="AE9" s="36"/>
      <c r="AF9" s="36"/>
      <c r="AG9" s="36"/>
      <c r="AH9" s="36"/>
      <c r="AI9" s="36"/>
    </row>
    <row r="10" spans="1:35" s="52" customFormat="1" ht="45" hidden="1">
      <c r="A10" s="5627" t="s">
        <v>1945</v>
      </c>
      <c r="B10" s="5757" t="s">
        <v>10887</v>
      </c>
      <c r="C10" s="4921" t="s">
        <v>28</v>
      </c>
      <c r="D10" s="5207">
        <v>45523</v>
      </c>
      <c r="E10" s="5208">
        <v>45536</v>
      </c>
      <c r="F10" s="4970" t="s">
        <v>93</v>
      </c>
      <c r="G10" s="4970" t="s">
        <v>302</v>
      </c>
      <c r="H10" s="5211">
        <v>45540</v>
      </c>
      <c r="I10" s="5138" t="s">
        <v>445</v>
      </c>
      <c r="J10" s="5627" t="s">
        <v>32</v>
      </c>
      <c r="K10" s="4970" t="s">
        <v>10700</v>
      </c>
      <c r="L10" s="5138" t="s">
        <v>10888</v>
      </c>
      <c r="M10" s="5654">
        <v>45540</v>
      </c>
      <c r="N10" s="5207">
        <v>45539</v>
      </c>
      <c r="O10" s="5207">
        <v>45540</v>
      </c>
      <c r="P10" s="4829" t="s">
        <v>10889</v>
      </c>
      <c r="Q10" s="5515" t="s">
        <v>75</v>
      </c>
      <c r="R10" s="4970" t="s">
        <v>10890</v>
      </c>
      <c r="S10" s="4921" t="s">
        <v>67</v>
      </c>
      <c r="T10" s="5174">
        <v>1512.5</v>
      </c>
      <c r="U10" s="4921">
        <f>850+90</f>
        <v>940</v>
      </c>
      <c r="V10" s="4921">
        <v>1</v>
      </c>
      <c r="W10" s="5174">
        <f t="shared" si="0"/>
        <v>572.5</v>
      </c>
      <c r="X10" s="5213">
        <f t="shared" si="1"/>
        <v>0.60904255319148937</v>
      </c>
      <c r="Y10" s="4921"/>
      <c r="Z10" s="4921"/>
      <c r="AA10" s="745"/>
      <c r="AB10" s="745"/>
      <c r="AC10" s="745"/>
      <c r="AD10" s="745"/>
      <c r="AE10" s="745"/>
      <c r="AF10" s="745"/>
      <c r="AG10" s="745"/>
      <c r="AH10" s="745"/>
      <c r="AI10" s="745"/>
    </row>
    <row r="11" spans="1:35" s="52" customFormat="1" hidden="1">
      <c r="A11" s="5627" t="s">
        <v>165</v>
      </c>
      <c r="B11" s="5757" t="s">
        <v>10891</v>
      </c>
      <c r="C11" s="4970" t="s">
        <v>200</v>
      </c>
      <c r="D11" s="5207">
        <v>45520</v>
      </c>
      <c r="E11" s="5208">
        <v>45537</v>
      </c>
      <c r="F11" s="5207" t="s">
        <v>167</v>
      </c>
      <c r="G11" s="4970" t="s">
        <v>302</v>
      </c>
      <c r="H11" s="5208">
        <v>45540</v>
      </c>
      <c r="I11" s="4970" t="s">
        <v>672</v>
      </c>
      <c r="J11" s="5627" t="s">
        <v>32</v>
      </c>
      <c r="K11" s="4921" t="s">
        <v>2013</v>
      </c>
      <c r="L11" s="4829" t="s">
        <v>10892</v>
      </c>
      <c r="M11" s="5210">
        <v>45540</v>
      </c>
      <c r="N11" s="5210">
        <v>45540</v>
      </c>
      <c r="O11" s="5210">
        <v>45540</v>
      </c>
      <c r="P11" s="4829" t="s">
        <v>10779</v>
      </c>
      <c r="Q11" s="5515" t="s">
        <v>75</v>
      </c>
      <c r="R11" s="4970" t="s">
        <v>10893</v>
      </c>
      <c r="S11" s="4970" t="s">
        <v>10279</v>
      </c>
      <c r="T11" s="5759">
        <v>1070</v>
      </c>
      <c r="U11" s="4921">
        <v>870</v>
      </c>
      <c r="V11" s="4921">
        <v>1</v>
      </c>
      <c r="W11" s="5212">
        <f t="shared" si="0"/>
        <v>200</v>
      </c>
      <c r="X11" s="5213">
        <f t="shared" si="1"/>
        <v>0.22988505747126436</v>
      </c>
      <c r="Y11" s="4921"/>
      <c r="Z11" s="4921"/>
      <c r="AA11" s="745"/>
      <c r="AB11" s="745"/>
      <c r="AC11" s="745"/>
      <c r="AD11" s="745"/>
      <c r="AE11" s="745"/>
      <c r="AF11" s="745"/>
      <c r="AG11" s="745"/>
      <c r="AH11" s="745"/>
      <c r="AI11" s="745"/>
    </row>
    <row r="12" spans="1:35" s="36" customFormat="1" ht="30" hidden="1">
      <c r="A12" s="5627" t="s">
        <v>1945</v>
      </c>
      <c r="B12" s="5757" t="s">
        <v>10894</v>
      </c>
      <c r="C12" s="4921" t="s">
        <v>28</v>
      </c>
      <c r="D12" s="5207">
        <v>45516</v>
      </c>
      <c r="E12" s="5208">
        <v>45537</v>
      </c>
      <c r="F12" s="4970" t="s">
        <v>167</v>
      </c>
      <c r="G12" s="4970" t="s">
        <v>4771</v>
      </c>
      <c r="H12" s="5654">
        <v>45541</v>
      </c>
      <c r="I12" s="4970" t="s">
        <v>618</v>
      </c>
      <c r="J12" s="5760" t="s">
        <v>10290</v>
      </c>
      <c r="K12" s="4970" t="s">
        <v>9155</v>
      </c>
      <c r="L12" s="5138" t="s">
        <v>10895</v>
      </c>
      <c r="M12" s="5207">
        <v>45540</v>
      </c>
      <c r="N12" s="5207">
        <v>45540</v>
      </c>
      <c r="O12" s="5207">
        <v>45541</v>
      </c>
      <c r="P12" s="4829" t="s">
        <v>10896</v>
      </c>
      <c r="Q12" s="5515" t="s">
        <v>75</v>
      </c>
      <c r="R12" s="4970" t="s">
        <v>10897</v>
      </c>
      <c r="S12" s="4921" t="s">
        <v>67</v>
      </c>
      <c r="T12" s="5174">
        <v>1315</v>
      </c>
      <c r="U12" s="4921">
        <f>574.8+90</f>
        <v>664.8</v>
      </c>
      <c r="V12" s="4921">
        <v>1</v>
      </c>
      <c r="W12" s="5174">
        <f t="shared" si="0"/>
        <v>650.20000000000005</v>
      </c>
      <c r="X12" s="5213">
        <f t="shared" si="1"/>
        <v>0.97803850782190149</v>
      </c>
      <c r="Y12" s="4921"/>
      <c r="Z12" s="4921"/>
      <c r="AA12" s="3"/>
      <c r="AB12" s="3"/>
      <c r="AC12" s="3"/>
      <c r="AD12" s="3"/>
      <c r="AE12" s="3"/>
      <c r="AF12" s="3"/>
      <c r="AG12" s="3"/>
      <c r="AH12" s="3"/>
      <c r="AI12" s="3"/>
    </row>
    <row r="13" spans="1:35" s="117" customFormat="1" hidden="1">
      <c r="A13" s="5326" t="s">
        <v>9692</v>
      </c>
      <c r="B13" s="4861" t="s">
        <v>10898</v>
      </c>
      <c r="C13" s="4861" t="s">
        <v>28</v>
      </c>
      <c r="D13" s="5179">
        <v>45515</v>
      </c>
      <c r="E13" s="5196">
        <v>45538</v>
      </c>
      <c r="F13" s="4861" t="s">
        <v>29</v>
      </c>
      <c r="G13" s="4861" t="s">
        <v>10735</v>
      </c>
      <c r="H13" s="4863">
        <v>45540</v>
      </c>
      <c r="I13" s="5675">
        <v>0.41666666666666669</v>
      </c>
      <c r="J13" s="4861" t="s">
        <v>9695</v>
      </c>
      <c r="K13" s="4864" t="s">
        <v>8824</v>
      </c>
      <c r="L13" s="4861">
        <v>6433202</v>
      </c>
      <c r="M13" s="4863">
        <v>45540</v>
      </c>
      <c r="N13" s="4863">
        <v>45540</v>
      </c>
      <c r="O13" s="4863">
        <v>45540</v>
      </c>
      <c r="P13" s="4861" t="s">
        <v>10865</v>
      </c>
      <c r="Q13" s="4861" t="s">
        <v>9226</v>
      </c>
      <c r="R13" s="4861" t="s">
        <v>10899</v>
      </c>
      <c r="S13" s="4890" t="s">
        <v>10279</v>
      </c>
      <c r="T13" s="5577">
        <v>1190</v>
      </c>
      <c r="U13" s="4861">
        <v>810</v>
      </c>
      <c r="V13" s="4861">
        <v>1</v>
      </c>
      <c r="W13" s="4861"/>
      <c r="X13" s="4861"/>
      <c r="Y13" s="4861"/>
      <c r="Z13" s="4861"/>
      <c r="AA13" s="3"/>
      <c r="AB13" s="3"/>
      <c r="AC13" s="3"/>
      <c r="AD13" s="3"/>
      <c r="AE13" s="3"/>
      <c r="AF13" s="3"/>
      <c r="AG13" s="3"/>
      <c r="AH13" s="3"/>
      <c r="AI13" s="3"/>
    </row>
    <row r="14" spans="1:35" s="650" customFormat="1" ht="60" hidden="1">
      <c r="A14" s="5622" t="s">
        <v>165</v>
      </c>
      <c r="B14" s="5761" t="s">
        <v>10900</v>
      </c>
      <c r="C14" s="5277" t="s">
        <v>28</v>
      </c>
      <c r="D14" s="4859">
        <v>45538</v>
      </c>
      <c r="E14" s="4867">
        <v>45538</v>
      </c>
      <c r="F14" s="5404" t="s">
        <v>260</v>
      </c>
      <c r="G14" s="5405" t="s">
        <v>10901</v>
      </c>
      <c r="H14" s="5406">
        <v>45545</v>
      </c>
      <c r="I14" s="5696">
        <v>0.64583333333333337</v>
      </c>
      <c r="J14" s="5678" t="s">
        <v>10902</v>
      </c>
      <c r="K14" s="5402" t="s">
        <v>7828</v>
      </c>
      <c r="L14" s="4864"/>
      <c r="M14" s="4867">
        <v>45544</v>
      </c>
      <c r="N14" s="5406">
        <v>45544</v>
      </c>
      <c r="O14" s="5406">
        <v>45546</v>
      </c>
      <c r="P14" s="5405" t="s">
        <v>10903</v>
      </c>
      <c r="Q14" s="5539" t="s">
        <v>9226</v>
      </c>
      <c r="R14" s="5118" t="s">
        <v>10904</v>
      </c>
      <c r="S14" s="5404" t="s">
        <v>10279</v>
      </c>
      <c r="T14" s="5623">
        <v>1500</v>
      </c>
      <c r="U14" s="5277">
        <v>1355</v>
      </c>
      <c r="V14" s="5277">
        <v>1</v>
      </c>
      <c r="W14" s="5623">
        <f>T14-U14</f>
        <v>145</v>
      </c>
      <c r="X14" s="5409">
        <f>W14/U14</f>
        <v>0.1070110701107011</v>
      </c>
      <c r="Y14" s="5277"/>
      <c r="Z14" s="5277"/>
      <c r="AA14" s="709"/>
      <c r="AB14" s="709"/>
      <c r="AC14" s="709"/>
      <c r="AD14" s="709"/>
      <c r="AE14" s="709"/>
      <c r="AF14" s="709"/>
      <c r="AG14" s="709"/>
      <c r="AH14" s="709"/>
      <c r="AI14" s="709"/>
    </row>
    <row r="15" spans="1:35" s="52" customFormat="1" ht="45" hidden="1">
      <c r="A15" s="5405" t="s">
        <v>10905</v>
      </c>
      <c r="B15" s="5404" t="s">
        <v>10906</v>
      </c>
      <c r="C15" s="5277" t="s">
        <v>28</v>
      </c>
      <c r="D15" s="4859">
        <v>45523</v>
      </c>
      <c r="E15" s="4867">
        <v>45538</v>
      </c>
      <c r="F15" s="5404" t="s">
        <v>167</v>
      </c>
      <c r="G15" s="5405" t="s">
        <v>302</v>
      </c>
      <c r="H15" s="4953">
        <v>45541</v>
      </c>
      <c r="I15" s="4886" t="s">
        <v>926</v>
      </c>
      <c r="J15" s="5404" t="s">
        <v>32</v>
      </c>
      <c r="K15" s="5404" t="s">
        <v>10907</v>
      </c>
      <c r="L15" s="5405" t="s">
        <v>10908</v>
      </c>
      <c r="M15" s="5538">
        <v>45542</v>
      </c>
      <c r="N15" s="5406">
        <v>45541</v>
      </c>
      <c r="O15" s="5406">
        <v>45541</v>
      </c>
      <c r="P15" s="5405" t="s">
        <v>10909</v>
      </c>
      <c r="Q15" s="5539" t="s">
        <v>9226</v>
      </c>
      <c r="R15" s="5277" t="s">
        <v>10910</v>
      </c>
      <c r="S15" s="5405" t="s">
        <v>10279</v>
      </c>
      <c r="T15" s="5277">
        <v>610</v>
      </c>
      <c r="U15" s="5277">
        <v>530</v>
      </c>
      <c r="V15" s="5277">
        <v>1</v>
      </c>
      <c r="W15" s="5277"/>
      <c r="X15" s="5409"/>
      <c r="Y15" s="5277"/>
      <c r="Z15" s="5277"/>
      <c r="AA15" s="106"/>
      <c r="AB15" s="106"/>
      <c r="AC15" s="106"/>
      <c r="AD15" s="106"/>
      <c r="AE15" s="106"/>
      <c r="AF15" s="106"/>
      <c r="AG15" s="106"/>
      <c r="AH15" s="106"/>
      <c r="AI15" s="106"/>
    </row>
    <row r="16" spans="1:35" s="117" customFormat="1" ht="63.75" hidden="1">
      <c r="A16" s="5622" t="s">
        <v>3866</v>
      </c>
      <c r="B16" s="5761" t="s">
        <v>10911</v>
      </c>
      <c r="C16" s="5277" t="s">
        <v>28</v>
      </c>
      <c r="D16" s="4859">
        <v>45538</v>
      </c>
      <c r="E16" s="4859">
        <v>45538</v>
      </c>
      <c r="F16" s="5277" t="s">
        <v>245</v>
      </c>
      <c r="G16" s="5405" t="s">
        <v>10912</v>
      </c>
      <c r="H16" s="5762" t="s">
        <v>10913</v>
      </c>
      <c r="I16" s="5696">
        <v>0.41666666666666669</v>
      </c>
      <c r="J16" s="5622" t="s">
        <v>1163</v>
      </c>
      <c r="K16" s="5763" t="s">
        <v>10914</v>
      </c>
      <c r="L16" s="5118"/>
      <c r="M16" s="5406">
        <v>45543</v>
      </c>
      <c r="N16" s="5406">
        <v>45540</v>
      </c>
      <c r="O16" s="5406">
        <v>45544</v>
      </c>
      <c r="P16" s="5405" t="s">
        <v>10915</v>
      </c>
      <c r="Q16" s="5539" t="s">
        <v>9226</v>
      </c>
      <c r="R16" s="5277" t="s">
        <v>10916</v>
      </c>
      <c r="S16" s="5404" t="s">
        <v>10279</v>
      </c>
      <c r="T16" s="5623">
        <v>1785</v>
      </c>
      <c r="U16" s="5277">
        <v>1252.1500000000001</v>
      </c>
      <c r="V16" s="5277">
        <v>1</v>
      </c>
      <c r="W16" s="5277"/>
      <c r="X16" s="5409"/>
      <c r="Y16" s="5277"/>
      <c r="Z16" s="5277"/>
      <c r="AA16" s="1350"/>
      <c r="AB16" s="1350"/>
      <c r="AC16" s="1350"/>
      <c r="AD16" s="1350"/>
      <c r="AE16" s="1350"/>
      <c r="AF16" s="1350"/>
      <c r="AG16" s="1350"/>
      <c r="AH16" s="1350"/>
      <c r="AI16" s="1350"/>
    </row>
    <row r="17" spans="1:35" s="106" customFormat="1" ht="30" hidden="1">
      <c r="A17" s="5627" t="s">
        <v>409</v>
      </c>
      <c r="B17" s="5764" t="s">
        <v>10917</v>
      </c>
      <c r="C17" s="4970" t="s">
        <v>28</v>
      </c>
      <c r="D17" s="5207">
        <v>45526</v>
      </c>
      <c r="E17" s="5208">
        <v>45538</v>
      </c>
      <c r="F17" s="4970" t="s">
        <v>167</v>
      </c>
      <c r="G17" s="4970" t="s">
        <v>302</v>
      </c>
      <c r="H17" s="5208">
        <v>45540</v>
      </c>
      <c r="I17" s="5147" t="s">
        <v>899</v>
      </c>
      <c r="J17" s="5627" t="s">
        <v>32</v>
      </c>
      <c r="K17" s="5531" t="s">
        <v>8497</v>
      </c>
      <c r="L17" s="5654" t="s">
        <v>10918</v>
      </c>
      <c r="M17" s="5625">
        <v>45542</v>
      </c>
      <c r="N17" s="5207">
        <v>45540</v>
      </c>
      <c r="O17" s="5207">
        <v>45540</v>
      </c>
      <c r="P17" s="4829" t="s">
        <v>10919</v>
      </c>
      <c r="Q17" s="5515" t="s">
        <v>75</v>
      </c>
      <c r="R17" s="4970" t="s">
        <v>10920</v>
      </c>
      <c r="S17" s="4921" t="s">
        <v>10279</v>
      </c>
      <c r="T17" s="4921">
        <v>1085</v>
      </c>
      <c r="U17" s="4921">
        <v>730</v>
      </c>
      <c r="V17" s="4921">
        <v>1</v>
      </c>
      <c r="W17" s="4921">
        <f>T17-U17</f>
        <v>355</v>
      </c>
      <c r="X17" s="5213">
        <f>W17/U17</f>
        <v>0.4863013698630137</v>
      </c>
      <c r="Y17" s="4921"/>
      <c r="Z17" s="4921"/>
      <c r="AA17" s="36"/>
      <c r="AB17" s="36"/>
      <c r="AC17" s="36"/>
      <c r="AD17" s="36"/>
      <c r="AE17" s="36"/>
      <c r="AF17" s="36"/>
      <c r="AG17" s="36"/>
      <c r="AH17" s="36"/>
      <c r="AI17" s="36"/>
    </row>
    <row r="18" spans="1:35" s="650" customFormat="1" ht="30" hidden="1">
      <c r="A18" s="5627" t="s">
        <v>409</v>
      </c>
      <c r="B18" s="5764" t="s">
        <v>10921</v>
      </c>
      <c r="C18" s="4970" t="s">
        <v>28</v>
      </c>
      <c r="D18" s="5207">
        <v>45526</v>
      </c>
      <c r="E18" s="5208">
        <v>45538</v>
      </c>
      <c r="F18" s="4970" t="s">
        <v>167</v>
      </c>
      <c r="G18" s="4970" t="s">
        <v>302</v>
      </c>
      <c r="H18" s="5208">
        <v>45540</v>
      </c>
      <c r="I18" s="5147" t="s">
        <v>899</v>
      </c>
      <c r="J18" s="5627" t="s">
        <v>32</v>
      </c>
      <c r="K18" s="5531" t="s">
        <v>8497</v>
      </c>
      <c r="L18" s="4970" t="s">
        <v>10922</v>
      </c>
      <c r="M18" s="5625">
        <v>45542</v>
      </c>
      <c r="N18" s="5729">
        <v>45540</v>
      </c>
      <c r="O18" s="5765">
        <v>45542</v>
      </c>
      <c r="P18" s="4829" t="s">
        <v>10923</v>
      </c>
      <c r="Q18" s="5515" t="s">
        <v>75</v>
      </c>
      <c r="R18" s="4970" t="s">
        <v>10924</v>
      </c>
      <c r="S18" s="4921" t="s">
        <v>10279</v>
      </c>
      <c r="T18" s="4921">
        <v>1125</v>
      </c>
      <c r="U18" s="4921">
        <v>920</v>
      </c>
      <c r="V18" s="4921">
        <v>1</v>
      </c>
      <c r="W18" s="4921">
        <f>T18-U18</f>
        <v>205</v>
      </c>
      <c r="X18" s="5213">
        <f>W18/U18</f>
        <v>0.22282608695652173</v>
      </c>
      <c r="Y18" s="4921"/>
      <c r="Z18" s="4921"/>
      <c r="AA18" s="36"/>
      <c r="AB18" s="36"/>
      <c r="AC18" s="36"/>
      <c r="AD18" s="36"/>
      <c r="AE18" s="36"/>
      <c r="AF18" s="36"/>
      <c r="AG18" s="36"/>
      <c r="AH18" s="36"/>
      <c r="AI18" s="36"/>
    </row>
    <row r="19" spans="1:35" s="650" customFormat="1" hidden="1">
      <c r="A19" s="5326" t="s">
        <v>165</v>
      </c>
      <c r="B19" s="5766" t="s">
        <v>10925</v>
      </c>
      <c r="C19" s="4861" t="s">
        <v>28</v>
      </c>
      <c r="D19" s="4859">
        <v>45516</v>
      </c>
      <c r="E19" s="4867">
        <v>45539</v>
      </c>
      <c r="F19" s="4861" t="s">
        <v>3794</v>
      </c>
      <c r="G19" s="4861" t="s">
        <v>57</v>
      </c>
      <c r="H19" s="5053">
        <v>45542</v>
      </c>
      <c r="I19" s="5675">
        <v>0.29166666666666669</v>
      </c>
      <c r="J19" s="5326" t="s">
        <v>32</v>
      </c>
      <c r="K19" s="4861" t="s">
        <v>2013</v>
      </c>
      <c r="L19" s="4864">
        <v>5275229</v>
      </c>
      <c r="M19" s="5538">
        <v>45542</v>
      </c>
      <c r="N19" s="4953">
        <v>45542</v>
      </c>
      <c r="O19" s="4953">
        <v>45542</v>
      </c>
      <c r="P19" s="4890" t="s">
        <v>10926</v>
      </c>
      <c r="Q19" s="5539" t="s">
        <v>9226</v>
      </c>
      <c r="R19" s="4861" t="s">
        <v>10927</v>
      </c>
      <c r="S19" s="4886" t="s">
        <v>10279</v>
      </c>
      <c r="T19" s="5577">
        <v>1150</v>
      </c>
      <c r="U19" s="4861">
        <v>870</v>
      </c>
      <c r="V19" s="4861">
        <v>1</v>
      </c>
      <c r="W19" s="4861"/>
      <c r="X19" s="5378"/>
      <c r="Y19" s="4861"/>
      <c r="Z19" s="4861"/>
      <c r="AA19" s="117"/>
      <c r="AB19" s="117"/>
      <c r="AC19" s="117"/>
      <c r="AD19" s="117"/>
      <c r="AE19" s="117"/>
      <c r="AF19" s="117"/>
      <c r="AG19" s="117"/>
      <c r="AH19" s="117"/>
      <c r="AI19" s="117"/>
    </row>
    <row r="20" spans="1:35" s="106" customFormat="1" ht="30" hidden="1">
      <c r="A20" s="5627" t="s">
        <v>409</v>
      </c>
      <c r="B20" s="5764" t="s">
        <v>10928</v>
      </c>
      <c r="C20" s="4921" t="s">
        <v>28</v>
      </c>
      <c r="D20" s="5654">
        <v>45520</v>
      </c>
      <c r="E20" s="5208">
        <v>45539</v>
      </c>
      <c r="F20" s="4970" t="s">
        <v>167</v>
      </c>
      <c r="G20" s="4970" t="s">
        <v>302</v>
      </c>
      <c r="H20" s="5208">
        <v>45544</v>
      </c>
      <c r="I20" s="5147" t="s">
        <v>899</v>
      </c>
      <c r="J20" s="5627" t="s">
        <v>32</v>
      </c>
      <c r="K20" s="5531" t="s">
        <v>8497</v>
      </c>
      <c r="L20" s="5207" t="s">
        <v>10929</v>
      </c>
      <c r="M20" s="5147">
        <v>45545</v>
      </c>
      <c r="N20" s="5207">
        <v>45543</v>
      </c>
      <c r="O20" s="5108">
        <v>45546</v>
      </c>
      <c r="P20" s="4829" t="s">
        <v>10930</v>
      </c>
      <c r="Q20" s="5515" t="s">
        <v>75</v>
      </c>
      <c r="R20" s="4970" t="s">
        <v>10931</v>
      </c>
      <c r="S20" s="4921" t="s">
        <v>10279</v>
      </c>
      <c r="T20" s="5174">
        <v>1365</v>
      </c>
      <c r="U20" s="5174">
        <v>1080</v>
      </c>
      <c r="V20" s="4921">
        <v>1</v>
      </c>
      <c r="W20" s="4921">
        <f>T20-U20</f>
        <v>285</v>
      </c>
      <c r="X20" s="5213">
        <f>W20/U20</f>
        <v>0.2638888888888889</v>
      </c>
      <c r="Y20" s="4921"/>
      <c r="Z20" s="4921"/>
      <c r="AA20" s="1350"/>
      <c r="AB20" s="1350"/>
      <c r="AC20" s="1350"/>
      <c r="AD20" s="1350"/>
      <c r="AE20" s="1350"/>
      <c r="AF20" s="1350"/>
      <c r="AG20" s="1350"/>
      <c r="AH20" s="1350"/>
      <c r="AI20" s="1350"/>
    </row>
    <row r="21" spans="1:35" s="36" customFormat="1" hidden="1">
      <c r="A21" s="5277" t="s">
        <v>263</v>
      </c>
      <c r="B21" s="4913" t="s">
        <v>10932</v>
      </c>
      <c r="C21" s="5404" t="s">
        <v>28</v>
      </c>
      <c r="D21" s="5767">
        <v>45539</v>
      </c>
      <c r="E21" s="5767">
        <v>45539</v>
      </c>
      <c r="F21" s="5277" t="s">
        <v>135</v>
      </c>
      <c r="G21" s="5277" t="s">
        <v>10388</v>
      </c>
      <c r="H21" s="5669">
        <v>45541</v>
      </c>
      <c r="I21" s="5277" t="s">
        <v>445</v>
      </c>
      <c r="J21" s="5277" t="s">
        <v>377</v>
      </c>
      <c r="K21" s="5277" t="s">
        <v>6997</v>
      </c>
      <c r="L21" s="5404" t="s">
        <v>10933</v>
      </c>
      <c r="M21" s="5669">
        <v>45545</v>
      </c>
      <c r="N21" s="5669">
        <v>45540</v>
      </c>
      <c r="O21" s="5669">
        <v>45544</v>
      </c>
      <c r="P21" s="5277">
        <v>90400119796</v>
      </c>
      <c r="Q21" s="5539" t="s">
        <v>75</v>
      </c>
      <c r="R21" s="5404" t="s">
        <v>10934</v>
      </c>
      <c r="S21" s="5118" t="s">
        <v>67</v>
      </c>
      <c r="T21" s="5277">
        <v>4446.41</v>
      </c>
      <c r="U21" s="5277">
        <f>3264+170.16</f>
        <v>3434.16</v>
      </c>
      <c r="V21" s="5277"/>
      <c r="W21" s="5277">
        <f>T21-U21</f>
        <v>1012.25</v>
      </c>
      <c r="X21" s="5409">
        <f>W21/U21</f>
        <v>0.29475912595802178</v>
      </c>
      <c r="Y21" s="5277"/>
      <c r="Z21" s="5277"/>
      <c r="AA21" s="52"/>
      <c r="AB21" s="52"/>
      <c r="AC21" s="52"/>
      <c r="AD21" s="52"/>
      <c r="AE21" s="52"/>
      <c r="AF21" s="52"/>
      <c r="AG21" s="52"/>
      <c r="AH21" s="52"/>
      <c r="AI21" s="52"/>
    </row>
    <row r="22" spans="1:35" s="52" customFormat="1" hidden="1">
      <c r="A22" s="5277" t="s">
        <v>263</v>
      </c>
      <c r="B22" s="5277" t="s">
        <v>10935</v>
      </c>
      <c r="C22" s="5404" t="s">
        <v>28</v>
      </c>
      <c r="D22" s="5767">
        <v>45539</v>
      </c>
      <c r="E22" s="5767">
        <v>45539</v>
      </c>
      <c r="F22" s="5277" t="s">
        <v>135</v>
      </c>
      <c r="G22" s="5277" t="s">
        <v>10388</v>
      </c>
      <c r="H22" s="5669">
        <v>45546</v>
      </c>
      <c r="I22" s="5768">
        <v>0.41666666666666669</v>
      </c>
      <c r="J22" s="5277" t="s">
        <v>377</v>
      </c>
      <c r="K22" s="5404" t="s">
        <v>10389</v>
      </c>
      <c r="L22" s="5404" t="s">
        <v>10936</v>
      </c>
      <c r="M22" s="5669">
        <v>45545</v>
      </c>
      <c r="N22" s="5669">
        <v>45545</v>
      </c>
      <c r="O22" s="5669">
        <v>45547</v>
      </c>
      <c r="P22" s="5277">
        <v>90400156683</v>
      </c>
      <c r="Q22" s="5539" t="s">
        <v>75</v>
      </c>
      <c r="R22" s="5404" t="s">
        <v>10937</v>
      </c>
      <c r="S22" s="5118" t="s">
        <v>67</v>
      </c>
      <c r="T22" s="5277">
        <v>1727.53</v>
      </c>
      <c r="U22" s="5277">
        <f>1240+160.03</f>
        <v>1400.03</v>
      </c>
      <c r="V22" s="5277"/>
      <c r="W22" s="5277">
        <f>T22-U22</f>
        <v>327.5</v>
      </c>
      <c r="X22" s="5409">
        <f>W22/U22</f>
        <v>0.23392355878088328</v>
      </c>
      <c r="Y22" s="5277"/>
      <c r="Z22" s="5277"/>
      <c r="AA22" s="1350"/>
      <c r="AB22" s="1350"/>
      <c r="AC22" s="1350"/>
      <c r="AD22" s="1350"/>
      <c r="AE22" s="1350"/>
      <c r="AF22" s="1350"/>
      <c r="AG22" s="1350"/>
      <c r="AH22" s="1350"/>
      <c r="AI22" s="1350"/>
    </row>
    <row r="23" spans="1:35" s="709" customFormat="1" ht="30" hidden="1">
      <c r="A23" s="5326" t="s">
        <v>9692</v>
      </c>
      <c r="B23" s="709" t="s">
        <v>10938</v>
      </c>
      <c r="C23" s="4861" t="s">
        <v>28</v>
      </c>
      <c r="D23" s="4957">
        <v>45512</v>
      </c>
      <c r="E23" s="5152">
        <v>45540</v>
      </c>
      <c r="F23" s="4861" t="s">
        <v>29</v>
      </c>
      <c r="G23" s="4861" t="s">
        <v>10735</v>
      </c>
      <c r="H23" s="5550">
        <v>45540</v>
      </c>
      <c r="I23" s="5675">
        <v>0.58333333333333337</v>
      </c>
      <c r="J23" s="5326" t="s">
        <v>9695</v>
      </c>
      <c r="K23" s="4861" t="s">
        <v>8824</v>
      </c>
      <c r="L23" s="4861">
        <v>5179558</v>
      </c>
      <c r="M23" s="4953">
        <v>45541</v>
      </c>
      <c r="N23" s="4953">
        <v>45540</v>
      </c>
      <c r="O23" s="4953">
        <v>45541</v>
      </c>
      <c r="P23" s="4864" t="s">
        <v>10740</v>
      </c>
      <c r="Q23" s="5576" t="s">
        <v>9226</v>
      </c>
      <c r="R23" s="4861" t="s">
        <v>10939</v>
      </c>
      <c r="S23" s="4890" t="s">
        <v>10279</v>
      </c>
      <c r="T23" s="5577">
        <v>1190</v>
      </c>
      <c r="U23" s="4861">
        <v>810</v>
      </c>
      <c r="V23" s="4861">
        <v>1</v>
      </c>
      <c r="W23" s="4861"/>
      <c r="X23" s="5378"/>
      <c r="Y23" s="4861"/>
      <c r="Z23" s="4861"/>
    </row>
    <row r="24" spans="1:35" s="709" customFormat="1" hidden="1">
      <c r="A24" s="5118" t="s">
        <v>10660</v>
      </c>
      <c r="B24" s="5277" t="s">
        <v>10940</v>
      </c>
      <c r="C24" s="5277" t="s">
        <v>451</v>
      </c>
      <c r="D24" s="4957">
        <v>45540</v>
      </c>
      <c r="E24" s="4957">
        <v>45540</v>
      </c>
      <c r="F24" s="5277" t="s">
        <v>151</v>
      </c>
      <c r="G24" s="5118" t="s">
        <v>582</v>
      </c>
      <c r="H24" s="5277"/>
      <c r="I24" s="5277"/>
      <c r="J24" s="5277"/>
      <c r="K24" s="5277"/>
      <c r="L24" s="5277" t="s">
        <v>9917</v>
      </c>
      <c r="M24" s="5403">
        <v>45546</v>
      </c>
      <c r="N24" s="5403">
        <v>45542</v>
      </c>
      <c r="O24" s="5403">
        <v>45544</v>
      </c>
      <c r="P24" s="5277" t="s">
        <v>10941</v>
      </c>
      <c r="Q24" s="5277" t="s">
        <v>9226</v>
      </c>
      <c r="R24" s="5277" t="s">
        <v>10942</v>
      </c>
      <c r="S24" s="5277" t="s">
        <v>1320</v>
      </c>
      <c r="T24" s="5277"/>
      <c r="U24" s="5277"/>
      <c r="V24" s="5277"/>
      <c r="W24" s="5277"/>
      <c r="X24" s="5277"/>
      <c r="Y24" s="5277"/>
      <c r="Z24" s="5277"/>
    </row>
    <row r="25" spans="1:35" s="1350" customFormat="1" hidden="1">
      <c r="A25" s="5627" t="s">
        <v>68</v>
      </c>
      <c r="B25" s="5757" t="s">
        <v>10943</v>
      </c>
      <c r="C25" s="4921" t="s">
        <v>28</v>
      </c>
      <c r="D25" s="5207">
        <v>45521</v>
      </c>
      <c r="E25" s="5208">
        <v>45540</v>
      </c>
      <c r="F25" s="4921" t="s">
        <v>45</v>
      </c>
      <c r="G25" s="4970" t="s">
        <v>919</v>
      </c>
      <c r="H25" s="5208">
        <v>45541</v>
      </c>
      <c r="I25" s="4970" t="s">
        <v>926</v>
      </c>
      <c r="J25" s="5627" t="s">
        <v>490</v>
      </c>
      <c r="K25" s="4970" t="s">
        <v>2671</v>
      </c>
      <c r="L25" s="5138" t="s">
        <v>10944</v>
      </c>
      <c r="M25" s="5210">
        <v>45542</v>
      </c>
      <c r="N25" s="5207">
        <v>45541</v>
      </c>
      <c r="O25" s="5207">
        <v>45541</v>
      </c>
      <c r="P25" s="4829" t="s">
        <v>10786</v>
      </c>
      <c r="Q25" s="5515" t="s">
        <v>75</v>
      </c>
      <c r="R25" s="4829" t="s">
        <v>10945</v>
      </c>
      <c r="S25" s="4829" t="s">
        <v>67</v>
      </c>
      <c r="T25" s="4921">
        <v>540</v>
      </c>
      <c r="U25" s="4921">
        <v>397.5</v>
      </c>
      <c r="V25" s="4921">
        <v>1</v>
      </c>
      <c r="W25" s="4921">
        <f>T25-U25</f>
        <v>142.5</v>
      </c>
      <c r="X25" s="5213">
        <f>W25/U25</f>
        <v>0.35849056603773582</v>
      </c>
      <c r="Y25" s="4921"/>
      <c r="Z25" s="4921"/>
      <c r="AA25" s="36"/>
      <c r="AB25" s="36"/>
      <c r="AC25" s="36"/>
      <c r="AD25" s="36"/>
      <c r="AE25" s="36"/>
      <c r="AF25" s="36"/>
      <c r="AG25" s="36"/>
      <c r="AH25" s="36"/>
      <c r="AI25" s="36"/>
    </row>
    <row r="26" spans="1:35" s="52" customFormat="1" ht="45" hidden="1">
      <c r="A26" s="5627" t="s">
        <v>68</v>
      </c>
      <c r="B26" s="5757" t="s">
        <v>10946</v>
      </c>
      <c r="C26" s="4921" t="s">
        <v>28</v>
      </c>
      <c r="D26" s="5207">
        <v>45528</v>
      </c>
      <c r="E26" s="5208">
        <v>45540</v>
      </c>
      <c r="F26" s="4921" t="s">
        <v>45</v>
      </c>
      <c r="G26" s="4970" t="s">
        <v>919</v>
      </c>
      <c r="H26" s="5208">
        <v>45541</v>
      </c>
      <c r="I26" s="4921"/>
      <c r="J26" s="5627" t="s">
        <v>490</v>
      </c>
      <c r="K26" s="4970" t="s">
        <v>2671</v>
      </c>
      <c r="L26" s="5138" t="s">
        <v>10947</v>
      </c>
      <c r="M26" s="5210">
        <v>45542</v>
      </c>
      <c r="N26" s="5207">
        <v>45541</v>
      </c>
      <c r="O26" s="5207">
        <v>45541</v>
      </c>
      <c r="P26" s="4829" t="s">
        <v>10948</v>
      </c>
      <c r="Q26" s="5515" t="s">
        <v>75</v>
      </c>
      <c r="R26" s="5769" t="s">
        <v>10949</v>
      </c>
      <c r="S26" s="4829" t="s">
        <v>67</v>
      </c>
      <c r="T26" s="4921">
        <v>660</v>
      </c>
      <c r="U26" s="4921">
        <v>397.5</v>
      </c>
      <c r="V26" s="4921">
        <v>1</v>
      </c>
      <c r="W26" s="4921">
        <f>T26-U26</f>
        <v>262.5</v>
      </c>
      <c r="X26" s="5213">
        <f>W26/U26</f>
        <v>0.660377358490566</v>
      </c>
      <c r="Y26" s="4921"/>
      <c r="Z26" s="4921"/>
    </row>
    <row r="27" spans="1:35" s="106" customFormat="1" hidden="1">
      <c r="A27" s="5678" t="s">
        <v>10307</v>
      </c>
      <c r="B27" s="5277" t="s">
        <v>10950</v>
      </c>
      <c r="C27" s="5277" t="s">
        <v>28</v>
      </c>
      <c r="D27" s="4859">
        <v>45539</v>
      </c>
      <c r="E27" s="4859">
        <v>45541</v>
      </c>
      <c r="F27" s="5277" t="s">
        <v>173</v>
      </c>
      <c r="G27" s="5118" t="s">
        <v>10951</v>
      </c>
      <c r="H27" s="5277" t="s">
        <v>162</v>
      </c>
      <c r="I27" s="5277" t="s">
        <v>162</v>
      </c>
      <c r="J27" s="5277" t="s">
        <v>162</v>
      </c>
      <c r="K27" s="5277" t="s">
        <v>162</v>
      </c>
      <c r="L27" s="5642" t="s">
        <v>9917</v>
      </c>
      <c r="M27" s="5406">
        <v>45546</v>
      </c>
      <c r="N27" s="5406">
        <v>45545</v>
      </c>
      <c r="O27" s="5406">
        <v>45546</v>
      </c>
      <c r="P27" s="5118" t="s">
        <v>10952</v>
      </c>
      <c r="Q27" s="5539" t="s">
        <v>9226</v>
      </c>
      <c r="R27" s="5539" t="s">
        <v>10953</v>
      </c>
      <c r="S27" s="5277" t="s">
        <v>1320</v>
      </c>
      <c r="T27" s="5277"/>
      <c r="U27" s="5277"/>
      <c r="V27" s="5277"/>
      <c r="W27" s="5277"/>
      <c r="X27" s="5409"/>
      <c r="Y27" s="5277"/>
      <c r="Z27" s="5277"/>
    </row>
    <row r="28" spans="1:35" s="709" customFormat="1" hidden="1">
      <c r="A28" s="5678" t="s">
        <v>10307</v>
      </c>
      <c r="B28" s="5277" t="s">
        <v>10954</v>
      </c>
      <c r="C28" s="5277" t="s">
        <v>28</v>
      </c>
      <c r="D28" s="4859">
        <v>45539</v>
      </c>
      <c r="E28" s="4859">
        <v>45541</v>
      </c>
      <c r="F28" s="5277" t="s">
        <v>173</v>
      </c>
      <c r="G28" s="5118" t="s">
        <v>10951</v>
      </c>
      <c r="H28" s="5277" t="s">
        <v>162</v>
      </c>
      <c r="I28" s="5277" t="s">
        <v>162</v>
      </c>
      <c r="J28" s="5277" t="s">
        <v>162</v>
      </c>
      <c r="K28" s="5277" t="s">
        <v>162</v>
      </c>
      <c r="L28" s="5642" t="s">
        <v>9917</v>
      </c>
      <c r="M28" s="5406">
        <v>45546</v>
      </c>
      <c r="N28" s="5406">
        <v>45546</v>
      </c>
      <c r="O28" s="5406">
        <v>45547</v>
      </c>
      <c r="P28" s="5118" t="s">
        <v>10952</v>
      </c>
      <c r="Q28" s="5539" t="s">
        <v>9226</v>
      </c>
      <c r="R28" s="5539" t="s">
        <v>10953</v>
      </c>
      <c r="S28" s="5277" t="s">
        <v>1320</v>
      </c>
      <c r="T28" s="5277"/>
      <c r="U28" s="5277"/>
      <c r="V28" s="5277"/>
      <c r="W28" s="5277"/>
      <c r="X28" s="5409"/>
      <c r="Y28" s="5277"/>
      <c r="Z28" s="5277"/>
      <c r="AA28" s="106"/>
      <c r="AB28" s="106"/>
      <c r="AC28" s="106"/>
      <c r="AD28" s="106"/>
      <c r="AE28" s="106"/>
      <c r="AF28" s="106"/>
      <c r="AG28" s="106"/>
      <c r="AH28" s="106"/>
      <c r="AI28" s="106"/>
    </row>
    <row r="29" spans="1:35" s="106" customFormat="1" hidden="1">
      <c r="A29" s="5678" t="s">
        <v>10307</v>
      </c>
      <c r="B29" s="5277" t="s">
        <v>10955</v>
      </c>
      <c r="C29" s="5277" t="s">
        <v>28</v>
      </c>
      <c r="D29" s="4859">
        <v>45539</v>
      </c>
      <c r="E29" s="4859">
        <v>45541</v>
      </c>
      <c r="F29" s="5277" t="s">
        <v>173</v>
      </c>
      <c r="G29" s="5118" t="s">
        <v>10951</v>
      </c>
      <c r="H29" s="5277" t="s">
        <v>162</v>
      </c>
      <c r="I29" s="5277" t="s">
        <v>162</v>
      </c>
      <c r="J29" s="5277" t="s">
        <v>162</v>
      </c>
      <c r="K29" s="5277" t="s">
        <v>162</v>
      </c>
      <c r="L29" s="5642" t="s">
        <v>9917</v>
      </c>
      <c r="M29" s="5406">
        <v>45546</v>
      </c>
      <c r="N29" s="5406">
        <v>45546</v>
      </c>
      <c r="O29" s="5406">
        <v>45547</v>
      </c>
      <c r="P29" s="5118" t="s">
        <v>10952</v>
      </c>
      <c r="Q29" s="5539" t="s">
        <v>9226</v>
      </c>
      <c r="R29" s="5539" t="s">
        <v>10953</v>
      </c>
      <c r="S29" s="5277" t="s">
        <v>1320</v>
      </c>
      <c r="T29" s="5277"/>
      <c r="U29" s="5277"/>
      <c r="V29" s="5277"/>
      <c r="W29" s="5277"/>
      <c r="X29" s="5409"/>
      <c r="Y29" s="5277"/>
      <c r="Z29" s="5277"/>
      <c r="AA29" s="709"/>
      <c r="AB29" s="709"/>
      <c r="AC29" s="709"/>
      <c r="AD29" s="709"/>
      <c r="AE29" s="709"/>
      <c r="AF29" s="709"/>
      <c r="AG29" s="709"/>
      <c r="AH29" s="709"/>
      <c r="AI29" s="709"/>
    </row>
    <row r="30" spans="1:35" s="106" customFormat="1" hidden="1">
      <c r="A30" s="5678" t="s">
        <v>10307</v>
      </c>
      <c r="B30" s="5277" t="s">
        <v>10956</v>
      </c>
      <c r="C30" s="5277" t="s">
        <v>28</v>
      </c>
      <c r="D30" s="4859">
        <v>45539</v>
      </c>
      <c r="E30" s="4859">
        <v>45541</v>
      </c>
      <c r="F30" s="5277" t="s">
        <v>173</v>
      </c>
      <c r="G30" s="5118" t="s">
        <v>10951</v>
      </c>
      <c r="H30" s="5277" t="s">
        <v>162</v>
      </c>
      <c r="I30" s="5277" t="s">
        <v>162</v>
      </c>
      <c r="J30" s="5277" t="s">
        <v>162</v>
      </c>
      <c r="K30" s="5277" t="s">
        <v>162</v>
      </c>
      <c r="L30" s="5642" t="s">
        <v>9917</v>
      </c>
      <c r="M30" s="5406">
        <v>45546</v>
      </c>
      <c r="N30" s="5406">
        <v>45546</v>
      </c>
      <c r="O30" s="5406">
        <v>45548</v>
      </c>
      <c r="P30" s="5118" t="s">
        <v>10952</v>
      </c>
      <c r="Q30" s="5539" t="s">
        <v>9226</v>
      </c>
      <c r="R30" s="5539" t="s">
        <v>10953</v>
      </c>
      <c r="S30" s="5277" t="s">
        <v>1320</v>
      </c>
      <c r="T30" s="5277"/>
      <c r="U30" s="5277"/>
      <c r="V30" s="5277"/>
      <c r="W30" s="5277"/>
      <c r="X30" s="5409"/>
      <c r="Y30" s="5277"/>
      <c r="Z30" s="5277"/>
      <c r="AA30" s="709"/>
      <c r="AB30" s="709"/>
      <c r="AC30" s="709"/>
      <c r="AD30" s="709"/>
      <c r="AE30" s="709"/>
      <c r="AF30" s="709"/>
      <c r="AG30" s="709"/>
      <c r="AH30" s="709"/>
      <c r="AI30" s="709"/>
    </row>
    <row r="31" spans="1:35" s="106" customFormat="1" hidden="1">
      <c r="A31" s="5678" t="s">
        <v>10307</v>
      </c>
      <c r="B31" s="5277" t="s">
        <v>10957</v>
      </c>
      <c r="C31" s="5277" t="s">
        <v>28</v>
      </c>
      <c r="D31" s="4859">
        <v>45539</v>
      </c>
      <c r="E31" s="4859">
        <v>45541</v>
      </c>
      <c r="F31" s="5277" t="s">
        <v>173</v>
      </c>
      <c r="G31" s="5118" t="s">
        <v>10951</v>
      </c>
      <c r="H31" s="5277" t="s">
        <v>162</v>
      </c>
      <c r="I31" s="5277" t="s">
        <v>162</v>
      </c>
      <c r="J31" s="5277" t="s">
        <v>162</v>
      </c>
      <c r="K31" s="5277" t="s">
        <v>162</v>
      </c>
      <c r="L31" s="5642" t="s">
        <v>9917</v>
      </c>
      <c r="M31" s="5406">
        <v>45546</v>
      </c>
      <c r="N31" s="5406">
        <v>45545</v>
      </c>
      <c r="O31" s="5406">
        <v>45546</v>
      </c>
      <c r="P31" s="5118" t="s">
        <v>10952</v>
      </c>
      <c r="Q31" s="5539" t="s">
        <v>9226</v>
      </c>
      <c r="R31" s="5539" t="s">
        <v>10953</v>
      </c>
      <c r="S31" s="5277" t="s">
        <v>1320</v>
      </c>
      <c r="T31" s="5277"/>
      <c r="U31" s="5277"/>
      <c r="V31" s="5277"/>
      <c r="W31" s="5277"/>
      <c r="X31" s="5409"/>
      <c r="Y31" s="5277"/>
      <c r="Z31" s="5277"/>
      <c r="AA31" s="1350"/>
      <c r="AB31" s="1350"/>
      <c r="AC31" s="1350"/>
      <c r="AD31" s="1350"/>
      <c r="AE31" s="1350"/>
      <c r="AF31" s="1350"/>
      <c r="AG31" s="1350"/>
      <c r="AH31" s="1350"/>
      <c r="AI31" s="1350"/>
    </row>
    <row r="32" spans="1:35" s="106" customFormat="1" hidden="1">
      <c r="A32" s="4861" t="s">
        <v>2966</v>
      </c>
      <c r="B32" s="4861" t="s">
        <v>10958</v>
      </c>
      <c r="C32" s="4861" t="s">
        <v>200</v>
      </c>
      <c r="D32" s="5179">
        <v>45533</v>
      </c>
      <c r="E32" s="5219">
        <v>45541</v>
      </c>
      <c r="F32" s="4861" t="s">
        <v>45</v>
      </c>
      <c r="G32" s="4861" t="s">
        <v>46</v>
      </c>
      <c r="H32" s="4861"/>
      <c r="I32" s="4861"/>
      <c r="J32" s="4861"/>
      <c r="K32" s="4861"/>
      <c r="L32" s="4861" t="s">
        <v>10959</v>
      </c>
      <c r="M32" s="4863">
        <v>45545</v>
      </c>
      <c r="N32" s="4863">
        <v>45545</v>
      </c>
      <c r="O32" s="4863">
        <v>45545</v>
      </c>
      <c r="P32" s="4861" t="s">
        <v>10960</v>
      </c>
      <c r="Q32" s="4861" t="s">
        <v>9226</v>
      </c>
      <c r="R32" s="4861" t="s">
        <v>10961</v>
      </c>
      <c r="S32" s="4861" t="s">
        <v>2373</v>
      </c>
      <c r="T32" s="4861"/>
      <c r="U32" s="4861"/>
      <c r="V32" s="4861"/>
      <c r="W32" s="4861"/>
      <c r="X32" s="4861"/>
      <c r="Y32" s="4861"/>
      <c r="Z32" s="4861"/>
      <c r="AA32" s="1350"/>
      <c r="AB32" s="1350"/>
      <c r="AC32" s="1350"/>
      <c r="AD32" s="1350"/>
      <c r="AE32" s="1350"/>
      <c r="AF32" s="1350"/>
      <c r="AG32" s="1350"/>
      <c r="AH32" s="1350"/>
      <c r="AI32" s="1350"/>
    </row>
    <row r="33" spans="1:35" s="709" customFormat="1" ht="45" hidden="1">
      <c r="A33" s="5405" t="s">
        <v>10905</v>
      </c>
      <c r="B33" s="5404" t="s">
        <v>10962</v>
      </c>
      <c r="C33" s="5277" t="s">
        <v>28</v>
      </c>
      <c r="D33" s="4859">
        <v>45523</v>
      </c>
      <c r="E33" s="4867">
        <v>45541</v>
      </c>
      <c r="F33" s="5404" t="s">
        <v>167</v>
      </c>
      <c r="G33" s="5405" t="s">
        <v>302</v>
      </c>
      <c r="H33" s="5406">
        <v>45544</v>
      </c>
      <c r="I33" s="5277" t="s">
        <v>1196</v>
      </c>
      <c r="J33" s="5404" t="s">
        <v>32</v>
      </c>
      <c r="K33" s="5404" t="s">
        <v>10907</v>
      </c>
      <c r="L33" s="5405" t="s">
        <v>10963</v>
      </c>
      <c r="M33" s="5382">
        <v>45542</v>
      </c>
      <c r="N33" s="5406">
        <v>45542</v>
      </c>
      <c r="O33" s="5406">
        <v>45544</v>
      </c>
      <c r="P33" s="5405" t="s">
        <v>10964</v>
      </c>
      <c r="Q33" s="5539" t="s">
        <v>9226</v>
      </c>
      <c r="R33" s="5277" t="s">
        <v>10965</v>
      </c>
      <c r="S33" s="5405" t="s">
        <v>10279</v>
      </c>
      <c r="T33" s="5277">
        <v>880</v>
      </c>
      <c r="U33" s="5277">
        <v>725</v>
      </c>
      <c r="V33" s="5277">
        <v>1</v>
      </c>
      <c r="W33" s="5277"/>
      <c r="X33" s="5409"/>
      <c r="Y33" s="5277"/>
      <c r="Z33" s="5277"/>
    </row>
    <row r="34" spans="1:35" s="709" customFormat="1" ht="45" hidden="1">
      <c r="A34" s="5405" t="s">
        <v>10905</v>
      </c>
      <c r="B34" s="5404" t="s">
        <v>10966</v>
      </c>
      <c r="C34" s="5277" t="s">
        <v>28</v>
      </c>
      <c r="D34" s="4859">
        <v>45523</v>
      </c>
      <c r="E34" s="4867">
        <v>45541</v>
      </c>
      <c r="F34" s="5404" t="s">
        <v>167</v>
      </c>
      <c r="G34" s="5405" t="s">
        <v>302</v>
      </c>
      <c r="H34" s="5406">
        <v>45544</v>
      </c>
      <c r="I34" s="5696">
        <v>0.54166666666666663</v>
      </c>
      <c r="J34" s="5404" t="s">
        <v>32</v>
      </c>
      <c r="K34" s="5404" t="s">
        <v>10907</v>
      </c>
      <c r="L34" s="5405" t="s">
        <v>10967</v>
      </c>
      <c r="M34" s="5382">
        <v>45543</v>
      </c>
      <c r="N34" s="5406">
        <v>45543</v>
      </c>
      <c r="O34" s="5406">
        <v>45544</v>
      </c>
      <c r="P34" s="5405" t="s">
        <v>10909</v>
      </c>
      <c r="Q34" s="5539" t="s">
        <v>9226</v>
      </c>
      <c r="R34" s="5277" t="s">
        <v>10968</v>
      </c>
      <c r="S34" s="5405" t="s">
        <v>10279</v>
      </c>
      <c r="T34" s="5277" t="s">
        <v>10969</v>
      </c>
      <c r="U34" s="5277">
        <v>650</v>
      </c>
      <c r="V34" s="5277">
        <v>1</v>
      </c>
      <c r="W34" s="5277"/>
      <c r="X34" s="5409"/>
      <c r="Y34" s="5277"/>
      <c r="Z34" s="5277"/>
    </row>
    <row r="35" spans="1:35" s="650" customFormat="1" hidden="1">
      <c r="A35" s="4874" t="s">
        <v>409</v>
      </c>
      <c r="B35" s="5754" t="s">
        <v>10970</v>
      </c>
      <c r="C35" s="4874" t="s">
        <v>28</v>
      </c>
      <c r="D35" s="5755">
        <v>45528</v>
      </c>
      <c r="E35" s="5756">
        <v>45541</v>
      </c>
      <c r="F35" s="4874" t="s">
        <v>151</v>
      </c>
      <c r="G35" s="4874" t="s">
        <v>46</v>
      </c>
      <c r="H35" s="4874"/>
      <c r="I35" s="4874"/>
      <c r="J35" s="4874" t="s">
        <v>32</v>
      </c>
      <c r="K35" s="5283" t="s">
        <v>10688</v>
      </c>
      <c r="L35" s="5283" t="s">
        <v>10971</v>
      </c>
      <c r="M35" s="5602">
        <v>45540</v>
      </c>
      <c r="N35" s="5602">
        <v>45539</v>
      </c>
      <c r="O35" s="5602">
        <v>45542</v>
      </c>
      <c r="P35" s="4874" t="s">
        <v>10972</v>
      </c>
      <c r="Q35" s="4874" t="s">
        <v>6852</v>
      </c>
      <c r="R35" s="4874" t="s">
        <v>10973</v>
      </c>
      <c r="S35" s="4874"/>
      <c r="T35" s="4874"/>
      <c r="U35" s="4874"/>
      <c r="V35" s="4874"/>
      <c r="W35" s="4874"/>
      <c r="X35" s="4874"/>
      <c r="Y35" s="4874"/>
      <c r="Z35" s="4874"/>
      <c r="AA35" s="709"/>
      <c r="AB35" s="709"/>
      <c r="AC35" s="709"/>
      <c r="AD35" s="709"/>
      <c r="AE35" s="709"/>
      <c r="AF35" s="709"/>
      <c r="AG35" s="709"/>
      <c r="AH35" s="709"/>
      <c r="AI35" s="709"/>
    </row>
    <row r="36" spans="1:35" s="650" customFormat="1" hidden="1">
      <c r="A36" s="5277" t="s">
        <v>263</v>
      </c>
      <c r="B36" s="5277" t="s">
        <v>10974</v>
      </c>
      <c r="C36" s="5404" t="s">
        <v>28</v>
      </c>
      <c r="D36" s="5767">
        <v>45542</v>
      </c>
      <c r="E36" s="5767">
        <v>45542</v>
      </c>
      <c r="F36" s="5277" t="s">
        <v>63</v>
      </c>
      <c r="G36" s="5277" t="s">
        <v>10388</v>
      </c>
      <c r="H36" s="5669">
        <v>45548</v>
      </c>
      <c r="I36" s="5696">
        <v>0.5</v>
      </c>
      <c r="J36" s="5277" t="s">
        <v>377</v>
      </c>
      <c r="K36" s="5277" t="s">
        <v>10389</v>
      </c>
      <c r="L36" s="5404" t="s">
        <v>10975</v>
      </c>
      <c r="M36" s="5669">
        <v>45548</v>
      </c>
      <c r="N36" s="5669">
        <v>45547</v>
      </c>
      <c r="O36" s="5669">
        <v>45551</v>
      </c>
      <c r="P36" s="4913" t="s">
        <v>10976</v>
      </c>
      <c r="Q36" s="5539" t="s">
        <v>75</v>
      </c>
      <c r="R36" s="5277" t="s">
        <v>10977</v>
      </c>
      <c r="S36" s="5118" t="s">
        <v>67</v>
      </c>
      <c r="T36" s="5277">
        <v>1917.66</v>
      </c>
      <c r="U36" s="5277">
        <f>1365</f>
        <v>1365</v>
      </c>
      <c r="V36" s="5277"/>
      <c r="W36" s="5277">
        <f>T36-U36</f>
        <v>552.66000000000008</v>
      </c>
      <c r="X36" s="5409">
        <f>W36/U36</f>
        <v>0.40487912087912092</v>
      </c>
      <c r="Y36" s="5277"/>
      <c r="Z36" s="5277"/>
      <c r="AA36" s="1350"/>
      <c r="AB36" s="1350"/>
      <c r="AC36" s="1350"/>
      <c r="AD36" s="1350"/>
      <c r="AE36" s="1350"/>
      <c r="AF36" s="1350"/>
      <c r="AG36" s="1350"/>
      <c r="AH36" s="1350"/>
      <c r="AI36" s="1350"/>
    </row>
    <row r="37" spans="1:35" s="709" customFormat="1" ht="30" hidden="1">
      <c r="A37" s="5118" t="s">
        <v>26</v>
      </c>
      <c r="B37" s="5277" t="s">
        <v>10978</v>
      </c>
      <c r="C37" s="4861" t="s">
        <v>28</v>
      </c>
      <c r="D37" s="4957">
        <v>45528</v>
      </c>
      <c r="E37" s="5071">
        <v>45543</v>
      </c>
      <c r="F37" s="4861" t="s">
        <v>245</v>
      </c>
      <c r="G37" s="5118" t="s">
        <v>10423</v>
      </c>
      <c r="H37" s="5403">
        <v>45545</v>
      </c>
      <c r="I37" s="5696">
        <v>0.45833333333333331</v>
      </c>
      <c r="J37" s="5622" t="s">
        <v>4896</v>
      </c>
      <c r="K37" s="5277" t="s">
        <v>9588</v>
      </c>
      <c r="L37" s="5277">
        <v>560844</v>
      </c>
      <c r="M37" s="5403">
        <v>45545</v>
      </c>
      <c r="N37" s="5403">
        <v>45545</v>
      </c>
      <c r="O37" s="5403">
        <v>45545</v>
      </c>
      <c r="P37" s="5277" t="s">
        <v>10979</v>
      </c>
      <c r="Q37" s="4839" t="s">
        <v>9226</v>
      </c>
      <c r="R37" s="5277" t="s">
        <v>10980</v>
      </c>
      <c r="S37" s="5405" t="s">
        <v>10279</v>
      </c>
      <c r="T37" s="5277"/>
      <c r="U37" s="5277"/>
      <c r="V37" s="5277"/>
      <c r="W37" s="5277"/>
      <c r="X37" s="5277"/>
      <c r="Y37" s="5277"/>
      <c r="Z37" s="5277"/>
      <c r="AA37" s="52"/>
      <c r="AB37" s="52"/>
      <c r="AC37" s="52"/>
      <c r="AD37" s="52"/>
      <c r="AE37" s="52"/>
      <c r="AF37" s="52"/>
      <c r="AG37" s="52"/>
      <c r="AH37" s="52"/>
      <c r="AI37" s="52"/>
    </row>
    <row r="38" spans="1:35" s="709" customFormat="1" hidden="1">
      <c r="A38" s="5624" t="s">
        <v>2489</v>
      </c>
      <c r="B38" s="5404" t="s">
        <v>10981</v>
      </c>
      <c r="C38" s="5277" t="s">
        <v>28</v>
      </c>
      <c r="D38" s="4859">
        <v>45528</v>
      </c>
      <c r="E38" s="4867">
        <v>45543</v>
      </c>
      <c r="F38" s="5404" t="s">
        <v>93</v>
      </c>
      <c r="G38" s="5404" t="s">
        <v>8231</v>
      </c>
      <c r="H38" s="5403">
        <v>45545</v>
      </c>
      <c r="I38" s="5696">
        <v>0.41666666666666669</v>
      </c>
      <c r="J38" s="5653" t="s">
        <v>363</v>
      </c>
      <c r="K38" s="5404" t="s">
        <v>1105</v>
      </c>
      <c r="L38" s="4864">
        <v>1371</v>
      </c>
      <c r="M38" s="4953">
        <v>45545</v>
      </c>
      <c r="N38" s="5406">
        <v>45545</v>
      </c>
      <c r="O38" s="5406">
        <v>45545</v>
      </c>
      <c r="P38" s="4420" t="s">
        <v>10982</v>
      </c>
      <c r="Q38" s="5539" t="s">
        <v>9226</v>
      </c>
      <c r="R38" s="5277" t="s">
        <v>10983</v>
      </c>
      <c r="S38" s="5405" t="s">
        <v>10279</v>
      </c>
      <c r="T38" s="5277">
        <v>665</v>
      </c>
      <c r="U38" s="5277">
        <v>515.5</v>
      </c>
      <c r="V38" s="5277">
        <v>1</v>
      </c>
      <c r="W38" s="5277"/>
      <c r="X38" s="5409"/>
      <c r="Y38" s="5277"/>
      <c r="Z38" s="5277"/>
      <c r="AA38" s="1350"/>
      <c r="AB38" s="1350"/>
      <c r="AC38" s="1350"/>
      <c r="AD38" s="1350"/>
      <c r="AE38" s="1350"/>
      <c r="AF38" s="1350"/>
      <c r="AG38" s="1350"/>
      <c r="AH38" s="1350"/>
      <c r="AI38" s="1350"/>
    </row>
    <row r="39" spans="1:35" s="1350" customFormat="1" ht="30" hidden="1">
      <c r="A39" s="5624" t="s">
        <v>2489</v>
      </c>
      <c r="B39" s="5770" t="s">
        <v>10984</v>
      </c>
      <c r="C39" s="5277" t="s">
        <v>28</v>
      </c>
      <c r="D39" s="4859">
        <v>45522</v>
      </c>
      <c r="E39" s="4867">
        <v>45544</v>
      </c>
      <c r="F39" s="5404" t="s">
        <v>93</v>
      </c>
      <c r="G39" s="5404" t="s">
        <v>8231</v>
      </c>
      <c r="H39" s="5403">
        <v>45546</v>
      </c>
      <c r="I39" s="5696">
        <v>0.41666666666666669</v>
      </c>
      <c r="J39" s="5653" t="s">
        <v>363</v>
      </c>
      <c r="K39" s="5404" t="s">
        <v>1105</v>
      </c>
      <c r="L39" s="4864">
        <v>2929</v>
      </c>
      <c r="M39" s="4957">
        <v>45546</v>
      </c>
      <c r="N39" s="5403">
        <v>45546</v>
      </c>
      <c r="O39" s="5403">
        <v>45546</v>
      </c>
      <c r="P39" s="5405" t="s">
        <v>10985</v>
      </c>
      <c r="Q39" s="5539" t="s">
        <v>9226</v>
      </c>
      <c r="R39" s="5277" t="s">
        <v>10986</v>
      </c>
      <c r="S39" s="5405" t="s">
        <v>10279</v>
      </c>
      <c r="T39" s="5277">
        <v>865</v>
      </c>
      <c r="U39" s="5277">
        <v>515.5</v>
      </c>
      <c r="V39" s="5277">
        <v>1</v>
      </c>
      <c r="W39" s="5277"/>
      <c r="X39" s="5277"/>
      <c r="Y39" s="5277"/>
      <c r="Z39" s="5277"/>
    </row>
    <row r="40" spans="1:35" customFormat="1" hidden="1">
      <c r="A40" s="4874" t="s">
        <v>409</v>
      </c>
      <c r="B40" s="5754" t="s">
        <v>10987</v>
      </c>
      <c r="C40" s="4874" t="s">
        <v>28</v>
      </c>
      <c r="D40" s="5755">
        <v>45528</v>
      </c>
      <c r="E40" s="5756">
        <v>45544</v>
      </c>
      <c r="F40" s="4874" t="s">
        <v>151</v>
      </c>
      <c r="G40" s="4874" t="s">
        <v>46</v>
      </c>
      <c r="H40" s="4874"/>
      <c r="I40" s="4874"/>
      <c r="J40" s="4874" t="s">
        <v>32</v>
      </c>
      <c r="K40" s="5283" t="s">
        <v>10688</v>
      </c>
      <c r="L40" s="4874" t="s">
        <v>10988</v>
      </c>
      <c r="M40" s="5602">
        <v>45545</v>
      </c>
      <c r="N40" s="5602">
        <v>45544</v>
      </c>
      <c r="O40" s="5602">
        <v>45546</v>
      </c>
      <c r="P40" s="4874" t="s">
        <v>10989</v>
      </c>
      <c r="Q40" s="4874" t="s">
        <v>6852</v>
      </c>
      <c r="R40" s="4874" t="s">
        <v>10990</v>
      </c>
      <c r="S40" s="4874"/>
      <c r="T40" s="4874"/>
      <c r="U40" s="4874"/>
      <c r="V40" s="4874"/>
      <c r="W40" s="4874"/>
      <c r="X40" s="4874"/>
      <c r="Y40" s="4874"/>
      <c r="Z40" s="4874"/>
      <c r="AA40" s="106"/>
      <c r="AB40" s="106"/>
      <c r="AC40" s="106"/>
      <c r="AD40" s="106"/>
      <c r="AE40" s="106"/>
      <c r="AF40" s="106"/>
      <c r="AG40" s="106"/>
      <c r="AH40" s="106"/>
      <c r="AI40" s="106"/>
    </row>
    <row r="41" spans="1:35" s="709" customFormat="1" ht="15.75" hidden="1">
      <c r="A41" s="4874" t="s">
        <v>409</v>
      </c>
      <c r="B41" s="5754" t="s">
        <v>10991</v>
      </c>
      <c r="C41" s="5283" t="s">
        <v>28</v>
      </c>
      <c r="D41" s="5771">
        <v>45533</v>
      </c>
      <c r="E41" s="5756">
        <v>45544</v>
      </c>
      <c r="F41" s="4874" t="s">
        <v>151</v>
      </c>
      <c r="G41" s="4874" t="s">
        <v>46</v>
      </c>
      <c r="H41" s="4874"/>
      <c r="I41" s="4874"/>
      <c r="J41" s="4874" t="s">
        <v>32</v>
      </c>
      <c r="K41" s="5283" t="s">
        <v>10688</v>
      </c>
      <c r="L41" s="5772" t="s">
        <v>10992</v>
      </c>
      <c r="M41" s="5602">
        <v>45545</v>
      </c>
      <c r="N41" s="5602">
        <v>45543</v>
      </c>
      <c r="O41" s="5602">
        <v>45545</v>
      </c>
      <c r="P41" s="4874" t="s">
        <v>10993</v>
      </c>
      <c r="Q41" s="4874" t="s">
        <v>6852</v>
      </c>
      <c r="R41" s="4874" t="s">
        <v>10994</v>
      </c>
      <c r="S41" s="4874"/>
      <c r="T41" s="4874"/>
      <c r="U41" s="4874"/>
      <c r="V41" s="4874"/>
      <c r="W41" s="4874"/>
      <c r="X41" s="4874"/>
      <c r="Y41" s="4874"/>
      <c r="Z41" s="4874"/>
      <c r="AA41" s="1350"/>
      <c r="AB41" s="1350"/>
      <c r="AC41" s="1350"/>
      <c r="AD41" s="1350"/>
      <c r="AE41" s="1350"/>
      <c r="AF41" s="1350"/>
      <c r="AG41" s="1350"/>
      <c r="AH41" s="1350"/>
      <c r="AI41" s="1350"/>
    </row>
    <row r="42" spans="1:35" s="106" customFormat="1" hidden="1">
      <c r="A42" s="4874" t="s">
        <v>409</v>
      </c>
      <c r="B42" s="5754" t="s">
        <v>10995</v>
      </c>
      <c r="C42" s="5283" t="s">
        <v>28</v>
      </c>
      <c r="D42" s="5771">
        <v>45533</v>
      </c>
      <c r="E42" s="5756">
        <v>45544</v>
      </c>
      <c r="F42" s="4874" t="s">
        <v>45</v>
      </c>
      <c r="G42" s="4874" t="s">
        <v>46</v>
      </c>
      <c r="H42" s="4874"/>
      <c r="I42" s="4874"/>
      <c r="J42" s="4874" t="s">
        <v>32</v>
      </c>
      <c r="K42" s="5283" t="s">
        <v>10688</v>
      </c>
      <c r="L42" s="4874" t="s">
        <v>10996</v>
      </c>
      <c r="M42" s="5602">
        <v>45544</v>
      </c>
      <c r="N42" s="5602">
        <v>45542</v>
      </c>
      <c r="O42" s="5602">
        <v>45544</v>
      </c>
      <c r="P42" s="4874" t="s">
        <v>10997</v>
      </c>
      <c r="Q42" s="4874" t="s">
        <v>6852</v>
      </c>
      <c r="R42" s="4874" t="s">
        <v>10998</v>
      </c>
      <c r="S42" s="4874"/>
      <c r="T42" s="4874"/>
      <c r="U42" s="4874"/>
      <c r="V42" s="4874"/>
      <c r="W42" s="4874"/>
      <c r="X42" s="4874"/>
      <c r="Y42" s="4874"/>
      <c r="Z42" s="4874"/>
      <c r="AA42" s="1350"/>
      <c r="AB42" s="1350"/>
      <c r="AC42" s="1350"/>
      <c r="AD42" s="1350"/>
      <c r="AE42" s="1350"/>
      <c r="AF42" s="1350"/>
      <c r="AG42" s="1350"/>
      <c r="AH42" s="1350"/>
      <c r="AI42" s="1350"/>
    </row>
    <row r="43" spans="1:35" s="52" customFormat="1" ht="60.75" hidden="1" customHeight="1">
      <c r="A43" s="5622" t="s">
        <v>409</v>
      </c>
      <c r="B43" s="5773" t="s">
        <v>10999</v>
      </c>
      <c r="C43" s="5277" t="s">
        <v>28</v>
      </c>
      <c r="D43" s="5406">
        <v>45530</v>
      </c>
      <c r="E43" s="5538">
        <v>45544</v>
      </c>
      <c r="F43" s="5277" t="s">
        <v>167</v>
      </c>
      <c r="G43" s="5404" t="s">
        <v>302</v>
      </c>
      <c r="H43" s="5774">
        <v>45548</v>
      </c>
      <c r="I43" s="5775" t="s">
        <v>899</v>
      </c>
      <c r="J43" s="5622" t="s">
        <v>32</v>
      </c>
      <c r="K43" s="5642" t="s">
        <v>11000</v>
      </c>
      <c r="L43" s="5277" t="s">
        <v>11001</v>
      </c>
      <c r="M43" s="5774">
        <v>45548</v>
      </c>
      <c r="N43" s="5774">
        <v>45548</v>
      </c>
      <c r="O43" s="5681">
        <v>45550</v>
      </c>
      <c r="P43" s="5405" t="s">
        <v>11002</v>
      </c>
      <c r="Q43" s="5539" t="s">
        <v>75</v>
      </c>
      <c r="R43" s="5277" t="s">
        <v>11003</v>
      </c>
      <c r="S43" s="5277" t="s">
        <v>10279</v>
      </c>
      <c r="T43" s="5277">
        <v>1125</v>
      </c>
      <c r="U43" s="5277">
        <f>920</f>
        <v>920</v>
      </c>
      <c r="V43" s="5277"/>
      <c r="W43" s="5277">
        <f>T43-U43</f>
        <v>205</v>
      </c>
      <c r="X43" s="5776">
        <f>W43/U43</f>
        <v>0.22282608695652173</v>
      </c>
      <c r="Y43" s="5277"/>
      <c r="Z43" s="5277"/>
    </row>
    <row r="44" spans="1:35" s="52" customFormat="1" ht="45" hidden="1">
      <c r="A44" s="4861" t="s">
        <v>2966</v>
      </c>
      <c r="B44" s="4861" t="s">
        <v>11004</v>
      </c>
      <c r="C44" s="4861" t="s">
        <v>28</v>
      </c>
      <c r="D44" s="4897">
        <v>45532</v>
      </c>
      <c r="E44" s="5504">
        <v>45545</v>
      </c>
      <c r="F44" s="4861" t="s">
        <v>151</v>
      </c>
      <c r="G44" s="4861" t="s">
        <v>46</v>
      </c>
      <c r="H44" s="4861"/>
      <c r="I44" s="4861"/>
      <c r="J44" s="4861"/>
      <c r="K44" s="4861"/>
      <c r="L44" s="4861" t="s">
        <v>11005</v>
      </c>
      <c r="M44" s="4861"/>
      <c r="N44" s="4863">
        <v>45545</v>
      </c>
      <c r="O44" s="4863">
        <v>45545</v>
      </c>
      <c r="P44" s="4861" t="s">
        <v>11006</v>
      </c>
      <c r="Q44" s="4861" t="s">
        <v>9226</v>
      </c>
      <c r="R44" s="4864" t="s">
        <v>11007</v>
      </c>
      <c r="S44" s="4861" t="s">
        <v>1320</v>
      </c>
      <c r="T44" s="4861"/>
      <c r="U44" s="4861"/>
      <c r="V44" s="4861"/>
      <c r="W44" s="4861"/>
      <c r="X44" s="4861"/>
      <c r="Y44" s="4861"/>
      <c r="Z44" s="4861"/>
      <c r="AA44" s="1350"/>
      <c r="AB44" s="1350"/>
      <c r="AC44" s="1350"/>
      <c r="AD44" s="1350"/>
      <c r="AE44" s="1350"/>
      <c r="AF44" s="1350"/>
      <c r="AG44" s="1350"/>
      <c r="AH44" s="1350"/>
      <c r="AI44" s="1350"/>
    </row>
    <row r="45" spans="1:35" s="1350" customFormat="1" ht="45" hidden="1">
      <c r="A45" s="5118" t="s">
        <v>3866</v>
      </c>
      <c r="B45" s="5405" t="s">
        <v>11008</v>
      </c>
      <c r="C45" s="5118" t="s">
        <v>28</v>
      </c>
      <c r="D45" s="5167">
        <v>45542</v>
      </c>
      <c r="E45" s="5167">
        <v>45546</v>
      </c>
      <c r="F45" s="5118" t="s">
        <v>1357</v>
      </c>
      <c r="G45" s="5405" t="s">
        <v>11009</v>
      </c>
      <c r="H45" s="5777" t="s">
        <v>11010</v>
      </c>
      <c r="I45" s="5778">
        <v>0.41666666666666669</v>
      </c>
      <c r="J45" s="5118" t="s">
        <v>1163</v>
      </c>
      <c r="K45" s="5118" t="s">
        <v>11011</v>
      </c>
      <c r="L45" s="5118">
        <v>6509</v>
      </c>
      <c r="M45" s="5681">
        <v>45548</v>
      </c>
      <c r="N45" s="5681">
        <v>45548</v>
      </c>
      <c r="O45" s="5681">
        <v>45565</v>
      </c>
      <c r="P45" s="5405" t="s">
        <v>11012</v>
      </c>
      <c r="Q45" s="5118" t="s">
        <v>9226</v>
      </c>
      <c r="R45" s="5118" t="s">
        <v>11013</v>
      </c>
      <c r="S45" s="4861" t="s">
        <v>10279</v>
      </c>
      <c r="T45" s="5118">
        <v>610</v>
      </c>
      <c r="U45" s="5118">
        <v>470.2</v>
      </c>
      <c r="V45" s="5118">
        <v>1</v>
      </c>
      <c r="W45" s="5118"/>
      <c r="X45" s="5118"/>
      <c r="Y45" s="5118"/>
      <c r="Z45" s="5118"/>
      <c r="AA45" s="52"/>
      <c r="AB45" s="52"/>
      <c r="AC45" s="52"/>
      <c r="AD45" s="52"/>
      <c r="AE45" s="52"/>
      <c r="AF45" s="52"/>
      <c r="AG45" s="52"/>
      <c r="AH45" s="52"/>
      <c r="AI45" s="52"/>
    </row>
    <row r="46" spans="1:35" s="1350" customFormat="1" ht="45" hidden="1">
      <c r="A46" s="4861" t="s">
        <v>9716</v>
      </c>
      <c r="B46" s="4861" t="s">
        <v>11014</v>
      </c>
      <c r="C46" s="4861" t="s">
        <v>85</v>
      </c>
      <c r="D46" s="5179">
        <v>45547</v>
      </c>
      <c r="E46" s="5179">
        <v>45547</v>
      </c>
      <c r="F46" s="4861" t="s">
        <v>173</v>
      </c>
      <c r="G46" s="4861" t="s">
        <v>582</v>
      </c>
      <c r="H46" s="5164" t="s">
        <v>11015</v>
      </c>
      <c r="I46" s="5675">
        <v>0.41666666666666669</v>
      </c>
      <c r="J46" s="4861" t="s">
        <v>9740</v>
      </c>
      <c r="K46" s="4861" t="s">
        <v>11016</v>
      </c>
      <c r="L46" s="4861"/>
      <c r="M46" s="4864"/>
      <c r="N46" s="4863">
        <v>45555</v>
      </c>
      <c r="O46" s="4863">
        <v>45561</v>
      </c>
      <c r="P46" s="4861" t="s">
        <v>11017</v>
      </c>
      <c r="Q46" s="4861" t="s">
        <v>9226</v>
      </c>
      <c r="R46" s="4861" t="s">
        <v>11018</v>
      </c>
      <c r="S46" s="4861" t="s">
        <v>10279</v>
      </c>
      <c r="T46" s="5577">
        <v>1860</v>
      </c>
      <c r="U46" s="5577">
        <v>1741.19</v>
      </c>
      <c r="V46" s="4861">
        <v>1</v>
      </c>
      <c r="W46" s="4861"/>
      <c r="X46" s="5378"/>
      <c r="Y46" s="4861"/>
      <c r="Z46" s="4861"/>
      <c r="AA46" s="709"/>
      <c r="AB46" s="709"/>
      <c r="AC46" s="709"/>
      <c r="AD46" s="709"/>
      <c r="AE46" s="709"/>
      <c r="AF46" s="709"/>
      <c r="AG46" s="709"/>
      <c r="AH46" s="709"/>
      <c r="AI46" s="709"/>
    </row>
    <row r="47" spans="1:35" s="1350" customFormat="1" hidden="1">
      <c r="A47" s="5622" t="s">
        <v>10421</v>
      </c>
      <c r="B47" s="5277" t="s">
        <v>11019</v>
      </c>
      <c r="C47" s="5277" t="s">
        <v>28</v>
      </c>
      <c r="D47" s="4897">
        <v>45541</v>
      </c>
      <c r="E47" s="5504">
        <v>45548</v>
      </c>
      <c r="F47" s="4861" t="s">
        <v>245</v>
      </c>
      <c r="G47" s="5277" t="s">
        <v>57</v>
      </c>
      <c r="H47" s="4863">
        <v>45551</v>
      </c>
      <c r="I47" s="5675">
        <v>0.41666666666666669</v>
      </c>
      <c r="J47" s="5622" t="s">
        <v>4896</v>
      </c>
      <c r="K47" s="4861" t="s">
        <v>9588</v>
      </c>
      <c r="L47" s="4861">
        <v>6439719</v>
      </c>
      <c r="M47" s="4863">
        <v>45551</v>
      </c>
      <c r="N47" s="4863">
        <v>45550</v>
      </c>
      <c r="O47" s="4863">
        <v>45551</v>
      </c>
      <c r="P47" s="4861" t="s">
        <v>11020</v>
      </c>
      <c r="Q47" s="5539" t="s">
        <v>9226</v>
      </c>
      <c r="R47" s="4861" t="s">
        <v>11021</v>
      </c>
      <c r="S47" s="5118" t="s">
        <v>10279</v>
      </c>
      <c r="T47" s="5577">
        <v>1593.5</v>
      </c>
      <c r="U47" s="5577">
        <v>1300</v>
      </c>
      <c r="V47" s="4861">
        <v>1</v>
      </c>
      <c r="W47" s="4861"/>
      <c r="X47" s="4861"/>
      <c r="Y47" s="4861"/>
      <c r="Z47" s="4861"/>
      <c r="AA47" s="709"/>
      <c r="AB47" s="709"/>
      <c r="AC47" s="709"/>
      <c r="AD47" s="709"/>
      <c r="AE47" s="709"/>
      <c r="AF47" s="709"/>
      <c r="AG47" s="709"/>
      <c r="AH47" s="709"/>
      <c r="AI47" s="709"/>
    </row>
    <row r="48" spans="1:35" s="1350" customFormat="1" ht="90.75" hidden="1" customHeight="1">
      <c r="A48" s="5326" t="s">
        <v>9692</v>
      </c>
      <c r="B48" s="4861" t="s">
        <v>11022</v>
      </c>
      <c r="C48" s="4861" t="s">
        <v>28</v>
      </c>
      <c r="D48" s="4957">
        <v>45518</v>
      </c>
      <c r="E48" s="5071">
        <v>45548</v>
      </c>
      <c r="F48" s="4861" t="s">
        <v>29</v>
      </c>
      <c r="G48" s="4861" t="s">
        <v>10735</v>
      </c>
      <c r="H48" s="4863">
        <v>45549</v>
      </c>
      <c r="I48" s="5675">
        <v>0.375</v>
      </c>
      <c r="J48" s="5326" t="s">
        <v>9695</v>
      </c>
      <c r="K48" s="4864" t="s">
        <v>8824</v>
      </c>
      <c r="L48" s="4861">
        <v>6453292</v>
      </c>
      <c r="M48" s="4863">
        <v>45550</v>
      </c>
      <c r="N48" s="4863">
        <v>45549</v>
      </c>
      <c r="O48" s="4863">
        <v>45549</v>
      </c>
      <c r="P48" s="4861" t="s">
        <v>11023</v>
      </c>
      <c r="Q48" s="4861" t="s">
        <v>9226</v>
      </c>
      <c r="R48" s="4861" t="s">
        <v>11024</v>
      </c>
      <c r="S48" s="4890" t="s">
        <v>10279</v>
      </c>
      <c r="T48" s="4861">
        <v>830</v>
      </c>
      <c r="U48" s="4861">
        <v>710</v>
      </c>
      <c r="V48" s="4861">
        <v>1</v>
      </c>
      <c r="W48" s="4861"/>
      <c r="X48" s="4861"/>
      <c r="Y48" s="4861"/>
      <c r="Z48" s="4861"/>
      <c r="AA48" s="106"/>
      <c r="AB48" s="106"/>
      <c r="AC48" s="106"/>
      <c r="AD48" s="106"/>
      <c r="AE48" s="106"/>
      <c r="AF48" s="106"/>
      <c r="AG48" s="106"/>
      <c r="AH48" s="106"/>
      <c r="AI48" s="106"/>
    </row>
    <row r="49" spans="1:35" s="1350" customFormat="1" ht="90.75" hidden="1" customHeight="1">
      <c r="A49" s="4874" t="s">
        <v>10764</v>
      </c>
      <c r="B49" s="5754" t="s">
        <v>11025</v>
      </c>
      <c r="C49" s="5283" t="s">
        <v>28</v>
      </c>
      <c r="D49" s="5755">
        <v>45528</v>
      </c>
      <c r="E49" s="5756">
        <v>45548</v>
      </c>
      <c r="F49" s="4874" t="s">
        <v>151</v>
      </c>
      <c r="G49" s="4874" t="s">
        <v>46</v>
      </c>
      <c r="H49" s="4874"/>
      <c r="I49" s="4874"/>
      <c r="J49" s="4874"/>
      <c r="K49" s="5283" t="s">
        <v>10688</v>
      </c>
      <c r="L49" s="5496" t="s">
        <v>11026</v>
      </c>
      <c r="M49" s="5602">
        <v>45550</v>
      </c>
      <c r="N49" s="5602">
        <v>45548</v>
      </c>
      <c r="O49" s="5602">
        <v>45552</v>
      </c>
      <c r="P49" s="4874" t="s">
        <v>11027</v>
      </c>
      <c r="Q49" s="4874" t="s">
        <v>6852</v>
      </c>
      <c r="R49" s="4874" t="s">
        <v>11028</v>
      </c>
      <c r="S49" s="4874"/>
      <c r="T49" s="4874"/>
      <c r="U49" s="4874"/>
      <c r="V49" s="4874"/>
      <c r="W49" s="4874"/>
      <c r="X49" s="4874"/>
      <c r="Y49" s="4874"/>
      <c r="Z49" s="4874"/>
      <c r="AA49" s="709"/>
      <c r="AB49" s="709"/>
      <c r="AC49" s="709"/>
      <c r="AD49" s="709"/>
      <c r="AE49" s="709"/>
      <c r="AF49" s="709"/>
      <c r="AG49" s="709"/>
      <c r="AH49" s="709"/>
      <c r="AI49" s="709"/>
    </row>
    <row r="50" spans="1:35" s="1350" customFormat="1" hidden="1">
      <c r="A50" s="4874" t="s">
        <v>409</v>
      </c>
      <c r="B50" s="5754" t="s">
        <v>11029</v>
      </c>
      <c r="C50" s="5283" t="s">
        <v>28</v>
      </c>
      <c r="D50" s="5755">
        <v>45528</v>
      </c>
      <c r="E50" s="5756">
        <v>45548</v>
      </c>
      <c r="F50" s="4874" t="s">
        <v>151</v>
      </c>
      <c r="G50" s="4874" t="s">
        <v>46</v>
      </c>
      <c r="H50" s="4874"/>
      <c r="I50" s="4874"/>
      <c r="J50" s="4874" t="s">
        <v>32</v>
      </c>
      <c r="K50" s="5283" t="s">
        <v>10688</v>
      </c>
      <c r="L50" s="4874" t="s">
        <v>11030</v>
      </c>
      <c r="M50" s="5602">
        <v>45548</v>
      </c>
      <c r="N50" s="5602">
        <v>45547</v>
      </c>
      <c r="O50" s="5602">
        <v>45548</v>
      </c>
      <c r="P50" s="4874" t="s">
        <v>11031</v>
      </c>
      <c r="Q50" s="4874" t="s">
        <v>6852</v>
      </c>
      <c r="R50" s="4874" t="s">
        <v>11032</v>
      </c>
      <c r="S50" s="4874"/>
      <c r="T50" s="4874"/>
      <c r="U50" s="4874"/>
      <c r="V50" s="4874"/>
      <c r="W50" s="4874"/>
      <c r="X50" s="4874"/>
      <c r="Y50" s="4874"/>
      <c r="Z50" s="4874"/>
    </row>
    <row r="51" spans="1:35" s="52" customFormat="1" hidden="1">
      <c r="A51" s="4874" t="s">
        <v>409</v>
      </c>
      <c r="B51" s="5754" t="s">
        <v>11033</v>
      </c>
      <c r="C51" s="5283" t="s">
        <v>28</v>
      </c>
      <c r="D51" s="5755">
        <v>45534</v>
      </c>
      <c r="E51" s="5756">
        <v>45548</v>
      </c>
      <c r="F51" s="4874" t="s">
        <v>151</v>
      </c>
      <c r="G51" s="4874" t="s">
        <v>46</v>
      </c>
      <c r="H51" s="4874"/>
      <c r="I51" s="4874"/>
      <c r="J51" s="4874" t="s">
        <v>32</v>
      </c>
      <c r="K51" s="5283" t="s">
        <v>10688</v>
      </c>
      <c r="L51" s="5779" t="s">
        <v>11034</v>
      </c>
      <c r="M51" s="5602">
        <v>45550</v>
      </c>
      <c r="N51" s="5602">
        <v>45548</v>
      </c>
      <c r="O51" s="5602">
        <v>45550</v>
      </c>
      <c r="P51" s="4874" t="s">
        <v>11035</v>
      </c>
      <c r="Q51" s="4874" t="s">
        <v>6852</v>
      </c>
      <c r="R51" s="4874" t="s">
        <v>11036</v>
      </c>
      <c r="S51" s="4874"/>
      <c r="T51" s="4874"/>
      <c r="U51" s="4874"/>
      <c r="V51" s="4874"/>
      <c r="W51" s="4874"/>
      <c r="X51" s="4874"/>
      <c r="Y51" s="4874"/>
      <c r="Z51" s="4874"/>
      <c r="AA51" s="1350"/>
      <c r="AB51" s="1350"/>
      <c r="AC51" s="1350"/>
      <c r="AD51" s="1350"/>
      <c r="AE51" s="1350"/>
      <c r="AF51" s="1350"/>
      <c r="AG51" s="1350"/>
      <c r="AH51" s="1350"/>
      <c r="AI51" s="1350"/>
    </row>
    <row r="52" spans="1:35" s="52" customFormat="1" hidden="1">
      <c r="A52" s="4874" t="s">
        <v>3866</v>
      </c>
      <c r="B52" s="5754" t="s">
        <v>11037</v>
      </c>
      <c r="C52" s="5283" t="s">
        <v>28</v>
      </c>
      <c r="D52" s="5755">
        <v>45538</v>
      </c>
      <c r="E52" s="5756">
        <v>45548</v>
      </c>
      <c r="F52" s="4874" t="s">
        <v>45</v>
      </c>
      <c r="G52" s="4874" t="s">
        <v>46</v>
      </c>
      <c r="H52" s="4874"/>
      <c r="I52" s="4874"/>
      <c r="J52" s="4874" t="s">
        <v>32</v>
      </c>
      <c r="K52" s="4874" t="s">
        <v>10688</v>
      </c>
      <c r="L52" s="5779" t="s">
        <v>11038</v>
      </c>
      <c r="M52" s="5602">
        <v>45550</v>
      </c>
      <c r="N52" s="5602">
        <v>45548</v>
      </c>
      <c r="O52" s="5602">
        <v>45551</v>
      </c>
      <c r="P52" s="4874" t="s">
        <v>11039</v>
      </c>
      <c r="Q52" s="4874" t="s">
        <v>6852</v>
      </c>
      <c r="R52" s="4874" t="s">
        <v>11040</v>
      </c>
      <c r="S52" s="4874"/>
      <c r="T52" s="4874"/>
      <c r="U52" s="4874"/>
      <c r="V52" s="4874"/>
      <c r="W52" s="4874"/>
      <c r="X52" s="4874"/>
      <c r="Y52" s="4874"/>
      <c r="Z52" s="4874"/>
      <c r="AA52" s="106"/>
      <c r="AB52" s="106"/>
      <c r="AC52" s="106"/>
      <c r="AD52" s="106"/>
      <c r="AE52" s="106"/>
      <c r="AF52" s="106"/>
      <c r="AG52" s="106"/>
      <c r="AH52" s="106"/>
      <c r="AI52" s="106"/>
    </row>
    <row r="53" spans="1:35" s="52" customFormat="1" hidden="1">
      <c r="A53" s="5326" t="s">
        <v>9692</v>
      </c>
      <c r="B53" s="4861" t="s">
        <v>11041</v>
      </c>
      <c r="C53" s="4861" t="s">
        <v>28</v>
      </c>
      <c r="D53" s="4957">
        <v>45518</v>
      </c>
      <c r="E53" s="5071">
        <v>45549</v>
      </c>
      <c r="F53" s="4861" t="s">
        <v>29</v>
      </c>
      <c r="G53" s="4861" t="s">
        <v>10735</v>
      </c>
      <c r="H53" s="4863">
        <v>45551</v>
      </c>
      <c r="I53" s="4861"/>
      <c r="J53" s="5326" t="s">
        <v>9695</v>
      </c>
      <c r="K53" s="4864" t="s">
        <v>8824</v>
      </c>
      <c r="L53" s="4861">
        <v>6453289</v>
      </c>
      <c r="M53" s="4861"/>
      <c r="N53" s="4863">
        <v>45550</v>
      </c>
      <c r="O53" s="4863">
        <v>45551</v>
      </c>
      <c r="P53" s="4861" t="s">
        <v>11042</v>
      </c>
      <c r="Q53" s="4861" t="s">
        <v>9226</v>
      </c>
      <c r="R53" s="4861" t="s">
        <v>11043</v>
      </c>
      <c r="S53" s="4890" t="s">
        <v>10279</v>
      </c>
      <c r="T53" s="5780">
        <v>1030</v>
      </c>
      <c r="U53" s="4861">
        <v>810</v>
      </c>
      <c r="V53" s="4861">
        <v>1</v>
      </c>
      <c r="W53" s="4861"/>
      <c r="X53" s="4861"/>
      <c r="Y53" s="4861"/>
      <c r="Z53" s="4861"/>
      <c r="AA53" s="709"/>
      <c r="AB53" s="709"/>
      <c r="AC53" s="709"/>
      <c r="AD53" s="709"/>
      <c r="AE53" s="709"/>
      <c r="AF53" s="709"/>
      <c r="AG53" s="709"/>
      <c r="AH53" s="709"/>
      <c r="AI53" s="709"/>
    </row>
    <row r="54" spans="1:35" s="1350" customFormat="1" hidden="1">
      <c r="A54" s="5326" t="s">
        <v>9692</v>
      </c>
      <c r="B54" s="4861" t="s">
        <v>11044</v>
      </c>
      <c r="C54" s="4861" t="s">
        <v>28</v>
      </c>
      <c r="D54" s="4957">
        <v>45518</v>
      </c>
      <c r="E54" s="5071">
        <v>45549</v>
      </c>
      <c r="F54" s="4861" t="s">
        <v>29</v>
      </c>
      <c r="G54" s="4861" t="s">
        <v>10735</v>
      </c>
      <c r="H54" s="4863">
        <v>45551</v>
      </c>
      <c r="I54" s="4861"/>
      <c r="J54" s="5326" t="s">
        <v>9695</v>
      </c>
      <c r="K54" s="4864" t="s">
        <v>8824</v>
      </c>
      <c r="L54" s="4861">
        <v>6453304</v>
      </c>
      <c r="M54" s="4863">
        <v>45550</v>
      </c>
      <c r="N54" s="4863">
        <v>45549</v>
      </c>
      <c r="O54" s="4863">
        <v>45551</v>
      </c>
      <c r="P54" s="4861" t="s">
        <v>11042</v>
      </c>
      <c r="Q54" s="4861" t="s">
        <v>9226</v>
      </c>
      <c r="R54" s="4861" t="s">
        <v>11045</v>
      </c>
      <c r="S54" s="4890" t="s">
        <v>10279</v>
      </c>
      <c r="T54" s="5780">
        <v>1120</v>
      </c>
      <c r="U54" s="4861">
        <v>880</v>
      </c>
      <c r="V54" s="4861">
        <v>1</v>
      </c>
      <c r="W54" s="4861"/>
      <c r="X54" s="4861"/>
      <c r="Y54" s="4861"/>
      <c r="Z54" s="4861"/>
      <c r="AA54" s="52"/>
      <c r="AB54" s="52"/>
      <c r="AC54" s="52"/>
      <c r="AD54" s="52"/>
      <c r="AE54" s="52"/>
      <c r="AF54" s="52"/>
      <c r="AG54" s="52"/>
      <c r="AH54" s="52"/>
      <c r="AI54" s="52"/>
    </row>
    <row r="55" spans="1:35" s="1350" customFormat="1" hidden="1">
      <c r="A55" s="5622" t="s">
        <v>10660</v>
      </c>
      <c r="B55" s="5277" t="s">
        <v>11046</v>
      </c>
      <c r="C55" s="5277" t="s">
        <v>451</v>
      </c>
      <c r="D55" s="4957">
        <v>45549</v>
      </c>
      <c r="E55" s="4957">
        <v>45549</v>
      </c>
      <c r="F55" s="5277" t="s">
        <v>151</v>
      </c>
      <c r="G55" s="5118" t="s">
        <v>582</v>
      </c>
      <c r="H55" s="5277"/>
      <c r="I55" s="5277"/>
      <c r="J55" s="5277"/>
      <c r="K55" s="5277"/>
      <c r="L55" s="5277" t="s">
        <v>9917</v>
      </c>
      <c r="M55" s="5403">
        <v>45555</v>
      </c>
      <c r="N55" s="5403">
        <v>45551</v>
      </c>
      <c r="O55" s="5403">
        <v>45552</v>
      </c>
      <c r="P55" s="5277" t="s">
        <v>11047</v>
      </c>
      <c r="Q55" s="5277" t="s">
        <v>9226</v>
      </c>
      <c r="R55" s="5277" t="s">
        <v>11048</v>
      </c>
      <c r="S55" s="5277" t="s">
        <v>1320</v>
      </c>
      <c r="T55" s="5277"/>
      <c r="U55" s="5277"/>
      <c r="V55" s="5277"/>
      <c r="W55" s="5277"/>
      <c r="X55" s="5277"/>
      <c r="Y55" s="5277"/>
      <c r="Z55" s="5277"/>
      <c r="AA55" s="52"/>
      <c r="AB55" s="52"/>
      <c r="AC55" s="52"/>
      <c r="AD55" s="52"/>
      <c r="AE55" s="52"/>
      <c r="AF55" s="52"/>
      <c r="AG55" s="52"/>
      <c r="AH55" s="52"/>
      <c r="AI55" s="52"/>
    </row>
    <row r="56" spans="1:35" s="1350" customFormat="1" ht="60" hidden="1">
      <c r="A56" s="4864" t="s">
        <v>3866</v>
      </c>
      <c r="B56" s="4864" t="s">
        <v>11049</v>
      </c>
      <c r="C56" s="4864" t="s">
        <v>28</v>
      </c>
      <c r="D56" s="5167">
        <v>45530</v>
      </c>
      <c r="E56" s="5781">
        <v>45549</v>
      </c>
      <c r="F56" s="4864" t="s">
        <v>167</v>
      </c>
      <c r="G56" s="4864" t="s">
        <v>11050</v>
      </c>
      <c r="H56" s="4864" t="s">
        <v>11051</v>
      </c>
      <c r="I56" s="5782" t="s">
        <v>11052</v>
      </c>
      <c r="J56" s="4864" t="s">
        <v>1163</v>
      </c>
      <c r="K56" s="4864" t="s">
        <v>11053</v>
      </c>
      <c r="L56" s="4864" t="s">
        <v>11054</v>
      </c>
      <c r="M56" s="5164">
        <v>45553</v>
      </c>
      <c r="N56" s="5164">
        <v>45553</v>
      </c>
      <c r="O56" s="5164">
        <v>45559</v>
      </c>
      <c r="P56" s="4864" t="s">
        <v>11055</v>
      </c>
      <c r="Q56" s="4864" t="s">
        <v>9226</v>
      </c>
      <c r="R56" s="4864" t="s">
        <v>11056</v>
      </c>
      <c r="S56" s="4864" t="s">
        <v>10279</v>
      </c>
      <c r="T56" s="4864">
        <v>925</v>
      </c>
      <c r="U56" s="4864">
        <v>565.4</v>
      </c>
      <c r="V56" s="4864"/>
      <c r="W56" s="4864"/>
      <c r="X56" s="4864"/>
      <c r="Y56" s="4864"/>
      <c r="Z56" s="4864"/>
      <c r="AA56" s="709"/>
      <c r="AB56" s="709"/>
      <c r="AC56" s="709"/>
      <c r="AD56" s="709"/>
      <c r="AE56" s="709"/>
      <c r="AF56" s="709"/>
      <c r="AG56" s="709"/>
      <c r="AH56" s="709"/>
      <c r="AI56" s="709"/>
    </row>
    <row r="57" spans="1:35" s="1350" customFormat="1" ht="30">
      <c r="A57" s="5622" t="s">
        <v>409</v>
      </c>
      <c r="B57" s="5761" t="s">
        <v>11057</v>
      </c>
      <c r="C57" s="5277" t="s">
        <v>28</v>
      </c>
      <c r="D57" s="5406">
        <v>45539</v>
      </c>
      <c r="E57" s="5538">
        <v>45549</v>
      </c>
      <c r="F57" s="5404" t="s">
        <v>2604</v>
      </c>
      <c r="G57" s="5404" t="s">
        <v>57</v>
      </c>
      <c r="H57" s="5520">
        <v>45551</v>
      </c>
      <c r="I57" s="5405" t="s">
        <v>11058</v>
      </c>
      <c r="J57" s="5622" t="s">
        <v>32</v>
      </c>
      <c r="K57" s="5405" t="s">
        <v>11059</v>
      </c>
      <c r="L57" s="5783">
        <v>8057760</v>
      </c>
      <c r="M57" s="5406">
        <v>45552</v>
      </c>
      <c r="N57" s="5406">
        <v>45551</v>
      </c>
      <c r="O57" s="5681">
        <v>45552</v>
      </c>
      <c r="P57" s="5405" t="s">
        <v>11060</v>
      </c>
      <c r="Q57" s="5539" t="s">
        <v>75</v>
      </c>
      <c r="R57" s="5277" t="s">
        <v>11061</v>
      </c>
      <c r="S57" s="5277" t="s">
        <v>10279</v>
      </c>
      <c r="T57" s="5784">
        <v>1205</v>
      </c>
      <c r="U57" s="5277">
        <v>735</v>
      </c>
      <c r="V57" s="5277"/>
      <c r="W57" s="5784">
        <f>T57-U57</f>
        <v>470</v>
      </c>
      <c r="X57" s="5409">
        <f>W57/U57</f>
        <v>0.63945578231292521</v>
      </c>
      <c r="Y57" s="5277"/>
      <c r="Z57" s="5277"/>
    </row>
    <row r="58" spans="1:35" s="106" customFormat="1" hidden="1">
      <c r="A58" s="4861" t="s">
        <v>2618</v>
      </c>
      <c r="B58" s="4861" t="s">
        <v>11062</v>
      </c>
      <c r="C58" s="4861" t="s">
        <v>451</v>
      </c>
      <c r="D58" s="5179">
        <v>45550</v>
      </c>
      <c r="E58" s="5179">
        <v>45550</v>
      </c>
      <c r="F58" s="4861" t="s">
        <v>260</v>
      </c>
      <c r="G58" s="4861" t="s">
        <v>11063</v>
      </c>
      <c r="H58" s="4861"/>
      <c r="I58" s="4861"/>
      <c r="J58" s="4861"/>
      <c r="K58" s="4861"/>
      <c r="L58" s="4861" t="s">
        <v>9917</v>
      </c>
      <c r="M58" s="4861"/>
      <c r="N58" s="4863">
        <v>45552</v>
      </c>
      <c r="O58" s="4863">
        <v>45555</v>
      </c>
      <c r="P58" s="4861" t="s">
        <v>11064</v>
      </c>
      <c r="Q58" s="4861" t="s">
        <v>9226</v>
      </c>
      <c r="R58" s="4861" t="s">
        <v>11065</v>
      </c>
      <c r="S58" s="4861" t="s">
        <v>2373</v>
      </c>
      <c r="T58" s="4861"/>
      <c r="U58" s="4861"/>
      <c r="V58" s="4861"/>
      <c r="W58" s="4861"/>
      <c r="X58" s="4861"/>
      <c r="Y58" s="4861"/>
      <c r="Z58" s="4861"/>
      <c r="AA58" s="52"/>
      <c r="AB58" s="52"/>
      <c r="AC58" s="52"/>
      <c r="AD58" s="52"/>
      <c r="AE58" s="52"/>
      <c r="AF58" s="52"/>
      <c r="AG58" s="52"/>
      <c r="AH58" s="52"/>
      <c r="AI58" s="52"/>
    </row>
    <row r="59" spans="1:35" s="709" customFormat="1" ht="30" hidden="1">
      <c r="A59" s="5785" t="s">
        <v>11066</v>
      </c>
      <c r="B59" s="5277" t="s">
        <v>11067</v>
      </c>
      <c r="C59" s="5404" t="s">
        <v>200</v>
      </c>
      <c r="D59" s="4859">
        <v>45524</v>
      </c>
      <c r="E59" s="4867">
        <v>45550</v>
      </c>
      <c r="F59" s="5277" t="s">
        <v>93</v>
      </c>
      <c r="G59" s="5404" t="s">
        <v>11068</v>
      </c>
      <c r="H59" s="5403">
        <v>45553</v>
      </c>
      <c r="I59" s="5696">
        <v>0.41666666666666669</v>
      </c>
      <c r="J59" s="5622" t="s">
        <v>2306</v>
      </c>
      <c r="K59" s="5404" t="s">
        <v>11069</v>
      </c>
      <c r="L59" s="5118" t="s">
        <v>11070</v>
      </c>
      <c r="M59" s="5406">
        <v>45553</v>
      </c>
      <c r="N59" s="5406">
        <v>45553</v>
      </c>
      <c r="O59" s="5653">
        <v>45553</v>
      </c>
      <c r="P59" s="5405" t="s">
        <v>11071</v>
      </c>
      <c r="Q59" s="5539" t="s">
        <v>9226</v>
      </c>
      <c r="R59" s="1365" t="s">
        <v>11072</v>
      </c>
      <c r="S59" s="5404" t="s">
        <v>10279</v>
      </c>
      <c r="T59" s="5623">
        <v>1712</v>
      </c>
      <c r="U59" s="5623">
        <v>1094.5999999999999</v>
      </c>
      <c r="V59" s="5277">
        <v>1</v>
      </c>
      <c r="W59" s="5623"/>
      <c r="X59" s="5786"/>
      <c r="Y59" s="5277"/>
      <c r="Z59" s="5277"/>
      <c r="AA59" s="52"/>
      <c r="AB59" s="52"/>
      <c r="AC59" s="52"/>
      <c r="AD59" s="52"/>
      <c r="AE59" s="52"/>
      <c r="AF59" s="52"/>
      <c r="AG59" s="52"/>
      <c r="AH59" s="52"/>
      <c r="AI59" s="52"/>
    </row>
    <row r="60" spans="1:35" s="106" customFormat="1" hidden="1">
      <c r="A60" s="4874" t="s">
        <v>10764</v>
      </c>
      <c r="B60" s="5754" t="s">
        <v>11073</v>
      </c>
      <c r="C60" s="5283" t="s">
        <v>28</v>
      </c>
      <c r="D60" s="5755">
        <v>45541</v>
      </c>
      <c r="E60" s="5756">
        <v>45550</v>
      </c>
      <c r="F60" s="4874" t="s">
        <v>151</v>
      </c>
      <c r="G60" s="4874" t="s">
        <v>46</v>
      </c>
      <c r="H60" s="4874"/>
      <c r="I60" s="4874"/>
      <c r="J60" s="4874" t="s">
        <v>32</v>
      </c>
      <c r="K60" s="5283" t="s">
        <v>10688</v>
      </c>
      <c r="L60" s="5787" t="s">
        <v>11074</v>
      </c>
      <c r="M60" s="5600">
        <v>45552</v>
      </c>
      <c r="N60" s="5602">
        <v>45552</v>
      </c>
      <c r="O60" s="5602">
        <v>45553</v>
      </c>
      <c r="P60" s="4874" t="s">
        <v>11075</v>
      </c>
      <c r="Q60" s="4874" t="s">
        <v>6852</v>
      </c>
      <c r="R60" s="4874" t="s">
        <v>11076</v>
      </c>
      <c r="S60" s="4874"/>
      <c r="T60" s="4874"/>
      <c r="U60" s="4874"/>
      <c r="V60" s="4874"/>
      <c r="W60" s="4874"/>
      <c r="X60" s="4874"/>
      <c r="Y60" s="4874"/>
      <c r="Z60" s="4874"/>
      <c r="AA60" s="52"/>
      <c r="AB60" s="52"/>
      <c r="AC60" s="52"/>
      <c r="AD60" s="52"/>
      <c r="AE60" s="52"/>
      <c r="AF60" s="52"/>
      <c r="AG60" s="52"/>
      <c r="AH60" s="52"/>
      <c r="AI60" s="52"/>
    </row>
    <row r="61" spans="1:35" s="52" customFormat="1">
      <c r="A61" s="4861" t="s">
        <v>409</v>
      </c>
      <c r="B61" s="4861" t="s">
        <v>11077</v>
      </c>
      <c r="C61" s="4861" t="s">
        <v>28</v>
      </c>
      <c r="D61" s="5179">
        <v>45539</v>
      </c>
      <c r="E61" s="5219">
        <v>45550</v>
      </c>
      <c r="F61" s="4861" t="s">
        <v>98</v>
      </c>
      <c r="G61" s="4861" t="s">
        <v>57</v>
      </c>
      <c r="H61" s="4861"/>
      <c r="I61" s="4861"/>
      <c r="J61" s="4861" t="s">
        <v>32</v>
      </c>
      <c r="K61" s="5277" t="s">
        <v>10688</v>
      </c>
      <c r="L61" s="4861">
        <v>8071369</v>
      </c>
      <c r="M61" s="4863">
        <v>45552</v>
      </c>
      <c r="N61" s="4863">
        <v>45551</v>
      </c>
      <c r="O61" s="4863">
        <v>45553</v>
      </c>
      <c r="P61" s="4861" t="s">
        <v>11078</v>
      </c>
      <c r="Q61" s="4861" t="s">
        <v>6852</v>
      </c>
      <c r="R61" s="5788" t="s">
        <v>11079</v>
      </c>
      <c r="S61" s="4861"/>
      <c r="T61" s="4861"/>
      <c r="U61" s="4861"/>
      <c r="V61" s="4861"/>
      <c r="W61" s="4861"/>
      <c r="X61" s="4861"/>
      <c r="Y61" s="4861"/>
      <c r="Z61" s="4861"/>
      <c r="AA61" s="709"/>
      <c r="AB61" s="709"/>
      <c r="AC61" s="709"/>
      <c r="AD61" s="709"/>
      <c r="AE61" s="709"/>
      <c r="AF61" s="709"/>
      <c r="AG61" s="709"/>
      <c r="AH61" s="709"/>
      <c r="AI61" s="709"/>
    </row>
    <row r="62" spans="1:35" s="709" customFormat="1" hidden="1">
      <c r="A62" s="4874" t="s">
        <v>10857</v>
      </c>
      <c r="B62" s="5754" t="s">
        <v>11080</v>
      </c>
      <c r="C62" s="5283" t="s">
        <v>28</v>
      </c>
      <c r="D62" s="5755">
        <v>45531</v>
      </c>
      <c r="E62" s="5756">
        <v>45551</v>
      </c>
      <c r="F62" s="4874" t="s">
        <v>260</v>
      </c>
      <c r="G62" s="4874" t="s">
        <v>46</v>
      </c>
      <c r="H62" s="4874"/>
      <c r="I62" s="4874"/>
      <c r="J62" s="4874" t="s">
        <v>32</v>
      </c>
      <c r="K62" s="5283" t="s">
        <v>10688</v>
      </c>
      <c r="L62" s="4874" t="s">
        <v>11081</v>
      </c>
      <c r="M62" s="5602">
        <v>45553</v>
      </c>
      <c r="N62" s="5602">
        <v>45553</v>
      </c>
      <c r="O62" s="5602">
        <v>45554</v>
      </c>
      <c r="P62" s="4874" t="s">
        <v>11082</v>
      </c>
      <c r="Q62" s="4874" t="s">
        <v>6852</v>
      </c>
      <c r="R62" s="4874" t="s">
        <v>11083</v>
      </c>
      <c r="S62" s="4874"/>
      <c r="T62" s="4874"/>
      <c r="U62" s="4874"/>
      <c r="V62" s="4874"/>
      <c r="W62" s="4874"/>
      <c r="X62" s="4874"/>
      <c r="Y62" s="4874"/>
      <c r="Z62" s="4874"/>
      <c r="AA62" s="650"/>
      <c r="AB62" s="650"/>
      <c r="AC62" s="650"/>
      <c r="AD62" s="650"/>
      <c r="AE62" s="650"/>
      <c r="AF62" s="650"/>
      <c r="AG62" s="650"/>
      <c r="AH62" s="650"/>
      <c r="AI62" s="650"/>
    </row>
    <row r="63" spans="1:35" s="709" customFormat="1" hidden="1">
      <c r="A63" s="4874" t="s">
        <v>409</v>
      </c>
      <c r="B63" s="5559" t="s">
        <v>11084</v>
      </c>
      <c r="C63" s="5283" t="s">
        <v>28</v>
      </c>
      <c r="D63" s="5755">
        <v>45531</v>
      </c>
      <c r="E63" s="5756">
        <v>45551</v>
      </c>
      <c r="F63" s="4874" t="s">
        <v>260</v>
      </c>
      <c r="G63" s="4874" t="s">
        <v>46</v>
      </c>
      <c r="H63" s="4874"/>
      <c r="I63" s="4874"/>
      <c r="J63" s="4874" t="s">
        <v>32</v>
      </c>
      <c r="K63" s="5283" t="s">
        <v>10688</v>
      </c>
      <c r="L63" s="4874" t="s">
        <v>11085</v>
      </c>
      <c r="M63" s="5602">
        <v>45550</v>
      </c>
      <c r="N63" s="5602">
        <v>45547</v>
      </c>
      <c r="O63" s="5602">
        <v>45548</v>
      </c>
      <c r="P63" s="4874" t="s">
        <v>11086</v>
      </c>
      <c r="Q63" s="4874" t="s">
        <v>6852</v>
      </c>
      <c r="R63" s="4874" t="s">
        <v>11087</v>
      </c>
      <c r="S63" s="4874"/>
      <c r="T63" s="4874"/>
      <c r="U63" s="4874"/>
      <c r="V63" s="4874"/>
      <c r="W63" s="4874"/>
      <c r="X63" s="4874"/>
      <c r="Y63" s="4874"/>
      <c r="Z63" s="4874"/>
      <c r="AA63" s="650"/>
      <c r="AB63" s="650"/>
      <c r="AC63" s="650"/>
      <c r="AD63" s="650"/>
      <c r="AE63" s="650"/>
      <c r="AF63" s="650"/>
      <c r="AG63" s="650"/>
      <c r="AH63" s="650"/>
      <c r="AI63" s="650"/>
    </row>
    <row r="64" spans="1:35" s="106" customFormat="1" hidden="1">
      <c r="A64" s="4874" t="s">
        <v>409</v>
      </c>
      <c r="B64" s="5559" t="s">
        <v>11088</v>
      </c>
      <c r="C64" s="5283" t="s">
        <v>28</v>
      </c>
      <c r="D64" s="5755">
        <v>45534</v>
      </c>
      <c r="E64" s="5756">
        <v>45551</v>
      </c>
      <c r="F64" s="4874" t="s">
        <v>151</v>
      </c>
      <c r="G64" s="4874" t="s">
        <v>46</v>
      </c>
      <c r="H64" s="4874"/>
      <c r="I64" s="4874"/>
      <c r="J64" s="4874" t="s">
        <v>32</v>
      </c>
      <c r="K64" s="5283" t="s">
        <v>10688</v>
      </c>
      <c r="L64" s="4874" t="s">
        <v>11089</v>
      </c>
      <c r="M64" s="5602">
        <v>45552</v>
      </c>
      <c r="N64" s="5602">
        <v>45550</v>
      </c>
      <c r="O64" s="5602">
        <v>45552</v>
      </c>
      <c r="P64" s="4874" t="s">
        <v>11090</v>
      </c>
      <c r="Q64" s="4874" t="s">
        <v>6852</v>
      </c>
      <c r="R64" s="4874" t="s">
        <v>11091</v>
      </c>
      <c r="S64" s="4874"/>
      <c r="T64" s="4874"/>
      <c r="U64" s="4874"/>
      <c r="V64" s="4874"/>
      <c r="W64" s="4874"/>
      <c r="X64" s="4874"/>
      <c r="Y64" s="4874"/>
      <c r="Z64" s="4874"/>
    </row>
    <row r="65" spans="1:35" s="709" customFormat="1" ht="16.5" hidden="1">
      <c r="A65" s="4861" t="s">
        <v>409</v>
      </c>
      <c r="B65" s="4861" t="s">
        <v>11092</v>
      </c>
      <c r="C65" s="5277" t="s">
        <v>28</v>
      </c>
      <c r="D65" s="5179">
        <v>45534</v>
      </c>
      <c r="E65" s="5219">
        <v>45551</v>
      </c>
      <c r="F65" s="4861" t="s">
        <v>151</v>
      </c>
      <c r="G65" s="4861" t="s">
        <v>46</v>
      </c>
      <c r="H65" s="4861"/>
      <c r="I65" s="4861"/>
      <c r="J65" s="4861" t="s">
        <v>32</v>
      </c>
      <c r="K65" s="5277" t="s">
        <v>10688</v>
      </c>
      <c r="L65" s="5789" t="s">
        <v>11093</v>
      </c>
      <c r="M65" s="4863">
        <v>45553</v>
      </c>
      <c r="N65" s="4863">
        <v>45551</v>
      </c>
      <c r="O65" s="4863">
        <v>45552</v>
      </c>
      <c r="P65" s="4861" t="s">
        <v>11094</v>
      </c>
      <c r="Q65" s="4861" t="s">
        <v>6852</v>
      </c>
      <c r="R65" s="4861" t="s">
        <v>11095</v>
      </c>
      <c r="S65" s="4861"/>
      <c r="T65" s="4861"/>
      <c r="U65" s="4861"/>
      <c r="V65" s="4861"/>
      <c r="W65" s="4861"/>
      <c r="X65" s="4861"/>
      <c r="Y65" s="4861"/>
      <c r="Z65" s="4861"/>
      <c r="AA65" s="1350"/>
      <c r="AB65" s="1350"/>
      <c r="AC65" s="1350"/>
      <c r="AD65" s="1350"/>
      <c r="AE65" s="1350"/>
      <c r="AF65" s="1350"/>
      <c r="AG65" s="1350"/>
      <c r="AH65" s="1350"/>
      <c r="AI65" s="1350"/>
    </row>
    <row r="66" spans="1:35" s="52" customFormat="1" ht="16.5" hidden="1">
      <c r="A66" s="4874" t="s">
        <v>3866</v>
      </c>
      <c r="B66" s="5569" t="s">
        <v>11096</v>
      </c>
      <c r="C66" s="5283" t="s">
        <v>28</v>
      </c>
      <c r="D66" s="5755">
        <v>45534</v>
      </c>
      <c r="E66" s="5756">
        <v>45551</v>
      </c>
      <c r="F66" s="4874" t="s">
        <v>45</v>
      </c>
      <c r="G66" s="4874" t="s">
        <v>46</v>
      </c>
      <c r="H66" s="4874"/>
      <c r="I66" s="4874"/>
      <c r="J66" s="4874" t="s">
        <v>32</v>
      </c>
      <c r="K66" s="5283" t="s">
        <v>10688</v>
      </c>
      <c r="L66" s="5790" t="s">
        <v>11097</v>
      </c>
      <c r="M66" s="5602">
        <v>45553</v>
      </c>
      <c r="N66" s="5602">
        <v>45552</v>
      </c>
      <c r="O66" s="5602">
        <v>45553</v>
      </c>
      <c r="P66" s="4874" t="s">
        <v>11098</v>
      </c>
      <c r="Q66" s="4874" t="s">
        <v>6852</v>
      </c>
      <c r="R66" s="4874" t="s">
        <v>11099</v>
      </c>
      <c r="S66" s="4874"/>
      <c r="T66" s="4874"/>
      <c r="U66" s="4874"/>
      <c r="V66" s="4874"/>
      <c r="W66" s="4874"/>
      <c r="X66" s="4874"/>
      <c r="Y66" s="4874"/>
      <c r="Z66" s="4874"/>
    </row>
    <row r="67" spans="1:35" s="52" customFormat="1" ht="30" hidden="1">
      <c r="A67" s="4861" t="s">
        <v>10421</v>
      </c>
      <c r="B67" s="4861" t="s">
        <v>11100</v>
      </c>
      <c r="C67" s="4913" t="s">
        <v>28</v>
      </c>
      <c r="D67" s="5179">
        <v>45541</v>
      </c>
      <c r="E67" s="5219">
        <v>45552</v>
      </c>
      <c r="F67" s="4861" t="s">
        <v>45</v>
      </c>
      <c r="G67" s="4861" t="s">
        <v>46</v>
      </c>
      <c r="H67" s="4861"/>
      <c r="I67" s="4861"/>
      <c r="J67" s="5622" t="s">
        <v>4896</v>
      </c>
      <c r="K67" s="4864" t="s">
        <v>11101</v>
      </c>
      <c r="L67" s="4861" t="s">
        <v>11102</v>
      </c>
      <c r="M67" s="4863">
        <v>45554</v>
      </c>
      <c r="N67" s="4863">
        <v>45554</v>
      </c>
      <c r="O67" s="4863">
        <v>45555</v>
      </c>
      <c r="P67" s="4861" t="s">
        <v>11103</v>
      </c>
      <c r="Q67" s="4861" t="s">
        <v>9226</v>
      </c>
      <c r="R67" s="4861" t="s">
        <v>11104</v>
      </c>
      <c r="S67" s="4864" t="s">
        <v>10279</v>
      </c>
      <c r="T67" s="5577">
        <v>2040</v>
      </c>
      <c r="U67" s="4861">
        <v>530</v>
      </c>
      <c r="V67" s="4861">
        <v>1</v>
      </c>
      <c r="W67" s="4861"/>
      <c r="X67" s="4861"/>
      <c r="Y67" s="4861"/>
      <c r="Z67" s="4861"/>
      <c r="AA67" s="106"/>
      <c r="AB67" s="106"/>
      <c r="AC67" s="106"/>
      <c r="AD67" s="106"/>
      <c r="AE67" s="106"/>
      <c r="AF67" s="106"/>
      <c r="AG67" s="106"/>
      <c r="AH67" s="106"/>
      <c r="AI67" s="106"/>
    </row>
    <row r="68" spans="1:35" s="106" customFormat="1" hidden="1">
      <c r="A68" s="4861" t="s">
        <v>10421</v>
      </c>
      <c r="B68" s="4861" t="s">
        <v>11105</v>
      </c>
      <c r="C68" s="4913" t="s">
        <v>28</v>
      </c>
      <c r="D68" s="5179">
        <v>45541</v>
      </c>
      <c r="E68" s="5219">
        <v>45552</v>
      </c>
      <c r="F68" s="4861" t="s">
        <v>45</v>
      </c>
      <c r="G68" s="4861" t="s">
        <v>46</v>
      </c>
      <c r="H68" s="4863">
        <v>45554</v>
      </c>
      <c r="I68" s="5675">
        <v>0.45833333333333331</v>
      </c>
      <c r="J68" s="5622" t="s">
        <v>4896</v>
      </c>
      <c r="K68" s="4861" t="s">
        <v>9588</v>
      </c>
      <c r="L68" s="4861" t="s">
        <v>11106</v>
      </c>
      <c r="M68" s="4863">
        <v>45554</v>
      </c>
      <c r="N68" s="4863">
        <v>45554</v>
      </c>
      <c r="O68" s="4863">
        <v>45555</v>
      </c>
      <c r="P68" s="4861" t="s">
        <v>11107</v>
      </c>
      <c r="Q68" s="4861" t="s">
        <v>9226</v>
      </c>
      <c r="R68" s="4861" t="s">
        <v>11108</v>
      </c>
      <c r="S68" s="4864" t="s">
        <v>10279</v>
      </c>
      <c r="T68" s="5577">
        <v>1551</v>
      </c>
      <c r="U68" s="5577">
        <v>1405</v>
      </c>
      <c r="V68" s="4861">
        <v>1</v>
      </c>
      <c r="W68" s="4861"/>
      <c r="X68" s="4861"/>
      <c r="Y68" s="4861"/>
      <c r="Z68" s="4861"/>
      <c r="AA68" s="52"/>
      <c r="AB68" s="52"/>
      <c r="AC68" s="52"/>
      <c r="AD68" s="52"/>
      <c r="AE68" s="52"/>
      <c r="AF68" s="52"/>
      <c r="AG68" s="52"/>
      <c r="AH68" s="52"/>
      <c r="AI68" s="52"/>
    </row>
    <row r="69" spans="1:35" s="709" customFormat="1" hidden="1">
      <c r="A69" s="5118" t="s">
        <v>2618</v>
      </c>
      <c r="B69" s="5277" t="s">
        <v>11109</v>
      </c>
      <c r="C69" s="5277" t="s">
        <v>451</v>
      </c>
      <c r="D69" s="4957">
        <v>45552</v>
      </c>
      <c r="E69" s="4957">
        <v>45552</v>
      </c>
      <c r="F69" s="5277" t="s">
        <v>151</v>
      </c>
      <c r="G69" s="5118" t="s">
        <v>582</v>
      </c>
      <c r="H69" s="5277"/>
      <c r="I69" s="5277"/>
      <c r="J69" s="5277"/>
      <c r="K69" s="5277"/>
      <c r="L69" s="5277" t="s">
        <v>9917</v>
      </c>
      <c r="M69" s="5403">
        <v>45555</v>
      </c>
      <c r="N69" s="5403">
        <v>45552</v>
      </c>
      <c r="O69" s="5403">
        <v>45554</v>
      </c>
      <c r="P69" s="5277" t="s">
        <v>11110</v>
      </c>
      <c r="Q69" s="5277" t="s">
        <v>9226</v>
      </c>
      <c r="R69" s="5277" t="s">
        <v>11111</v>
      </c>
      <c r="S69" s="5277" t="s">
        <v>1320</v>
      </c>
      <c r="T69" s="5277"/>
      <c r="U69" s="5277"/>
      <c r="V69" s="5277"/>
      <c r="W69" s="5277"/>
      <c r="X69" s="5277"/>
      <c r="Y69" s="5277"/>
      <c r="Z69" s="5277"/>
      <c r="AA69" s="1350"/>
      <c r="AB69" s="1350"/>
      <c r="AC69" s="1350"/>
      <c r="AD69" s="1350"/>
      <c r="AE69" s="1350"/>
      <c r="AF69" s="1350"/>
      <c r="AG69" s="1350"/>
      <c r="AH69" s="1350"/>
      <c r="AI69" s="1350"/>
    </row>
    <row r="70" spans="1:35" s="1350" customFormat="1" ht="75" hidden="1">
      <c r="A70" s="5622" t="s">
        <v>788</v>
      </c>
      <c r="B70" s="5404" t="s">
        <v>11112</v>
      </c>
      <c r="C70" s="5277" t="s">
        <v>28</v>
      </c>
      <c r="D70" s="5406">
        <v>45552</v>
      </c>
      <c r="E70" s="5538">
        <v>45552</v>
      </c>
      <c r="F70" s="5277" t="s">
        <v>8546</v>
      </c>
      <c r="G70" s="5405" t="s">
        <v>10870</v>
      </c>
      <c r="H70" s="5538">
        <v>45560</v>
      </c>
      <c r="I70" s="5644" t="s">
        <v>618</v>
      </c>
      <c r="J70" s="5539" t="s">
        <v>10872</v>
      </c>
      <c r="K70" s="5277" t="s">
        <v>11113</v>
      </c>
      <c r="L70" s="5405" t="s">
        <v>11114</v>
      </c>
      <c r="M70" s="5791">
        <v>45561</v>
      </c>
      <c r="N70" s="5403">
        <v>45559</v>
      </c>
      <c r="O70" s="5403">
        <v>45560</v>
      </c>
      <c r="P70" s="5405" t="s">
        <v>11115</v>
      </c>
      <c r="Q70" s="5539" t="s">
        <v>75</v>
      </c>
      <c r="R70" s="5277" t="s">
        <v>11116</v>
      </c>
      <c r="S70" s="5277" t="s">
        <v>67</v>
      </c>
      <c r="T70" s="5277">
        <v>965</v>
      </c>
      <c r="U70" s="5277">
        <f>490+40</f>
        <v>530</v>
      </c>
      <c r="V70" s="5277">
        <v>1</v>
      </c>
      <c r="W70" s="5277">
        <f>T70-U70</f>
        <v>435</v>
      </c>
      <c r="X70" s="5409">
        <f>W70/U70</f>
        <v>0.82075471698113212</v>
      </c>
      <c r="Y70" s="5277"/>
      <c r="Z70" s="5277"/>
    </row>
    <row r="71" spans="1:35" s="1350" customFormat="1" ht="75" hidden="1">
      <c r="A71" s="5622" t="s">
        <v>788</v>
      </c>
      <c r="B71" s="5404" t="s">
        <v>11117</v>
      </c>
      <c r="C71" s="5277" t="s">
        <v>28</v>
      </c>
      <c r="D71" s="5406">
        <v>45552</v>
      </c>
      <c r="E71" s="5538">
        <v>45552</v>
      </c>
      <c r="F71" s="5277" t="s">
        <v>8546</v>
      </c>
      <c r="G71" s="5405" t="s">
        <v>10870</v>
      </c>
      <c r="H71" s="5538">
        <v>45559</v>
      </c>
      <c r="I71" s="5404" t="s">
        <v>618</v>
      </c>
      <c r="J71" s="5539" t="s">
        <v>10872</v>
      </c>
      <c r="K71" s="5277" t="s">
        <v>11113</v>
      </c>
      <c r="L71" s="5118" t="s">
        <v>11114</v>
      </c>
      <c r="M71" s="5791">
        <v>45561</v>
      </c>
      <c r="N71" s="5791">
        <v>45558</v>
      </c>
      <c r="O71" s="5403">
        <v>45559</v>
      </c>
      <c r="P71" s="5405" t="s">
        <v>11118</v>
      </c>
      <c r="Q71" s="5539" t="s">
        <v>75</v>
      </c>
      <c r="R71" s="5277" t="s">
        <v>11119</v>
      </c>
      <c r="S71" s="5277" t="s">
        <v>67</v>
      </c>
      <c r="T71" s="5277">
        <v>930</v>
      </c>
      <c r="U71" s="5277">
        <f>535+40</f>
        <v>575</v>
      </c>
      <c r="V71" s="5277"/>
      <c r="W71" s="5277">
        <f>T71-U71</f>
        <v>355</v>
      </c>
      <c r="X71" s="5701">
        <f>W71/U71</f>
        <v>0.61739130434782608</v>
      </c>
      <c r="Y71" s="5277"/>
      <c r="Z71" s="5277"/>
    </row>
    <row r="72" spans="1:35" s="709" customFormat="1" hidden="1">
      <c r="A72" s="4874" t="s">
        <v>3866</v>
      </c>
      <c r="B72" s="5569" t="s">
        <v>11120</v>
      </c>
      <c r="C72" s="5283" t="s">
        <v>28</v>
      </c>
      <c r="D72" s="5755">
        <v>45534</v>
      </c>
      <c r="E72" s="5756">
        <v>45553</v>
      </c>
      <c r="F72" s="4874" t="s">
        <v>45</v>
      </c>
      <c r="G72" s="4874" t="s">
        <v>46</v>
      </c>
      <c r="H72" s="4874"/>
      <c r="I72" s="4874"/>
      <c r="J72" s="4874" t="s">
        <v>32</v>
      </c>
      <c r="K72" s="5283" t="s">
        <v>10688</v>
      </c>
      <c r="L72" s="4874" t="s">
        <v>11121</v>
      </c>
      <c r="M72" s="5602">
        <v>45555</v>
      </c>
      <c r="N72" s="5602">
        <v>45553</v>
      </c>
      <c r="O72" s="5602">
        <v>45554</v>
      </c>
      <c r="P72" s="4874" t="s">
        <v>11122</v>
      </c>
      <c r="Q72" s="4874" t="s">
        <v>6852</v>
      </c>
      <c r="R72" s="4874" t="s">
        <v>11123</v>
      </c>
      <c r="S72" s="4874"/>
      <c r="T72" s="4874"/>
      <c r="U72" s="4874"/>
      <c r="V72" s="4874"/>
      <c r="W72" s="4874"/>
      <c r="X72" s="4874"/>
      <c r="Y72" s="4874"/>
      <c r="Z72" s="4874"/>
      <c r="AA72" s="1350"/>
      <c r="AB72" s="1350"/>
      <c r="AC72" s="1350"/>
      <c r="AD72" s="1350"/>
      <c r="AE72" s="1350"/>
      <c r="AF72" s="1350"/>
      <c r="AG72" s="1350"/>
      <c r="AH72" s="1350"/>
      <c r="AI72" s="1350"/>
    </row>
    <row r="73" spans="1:35" s="709" customFormat="1" hidden="1">
      <c r="A73" s="4874" t="s">
        <v>3866</v>
      </c>
      <c r="B73" s="5569" t="s">
        <v>11124</v>
      </c>
      <c r="C73" s="5283" t="s">
        <v>28</v>
      </c>
      <c r="D73" s="5755">
        <v>45538</v>
      </c>
      <c r="E73" s="5756">
        <v>45553</v>
      </c>
      <c r="F73" s="4874" t="s">
        <v>45</v>
      </c>
      <c r="G73" s="4874" t="s">
        <v>46</v>
      </c>
      <c r="H73" s="4874"/>
      <c r="I73" s="4874"/>
      <c r="J73" s="4874" t="s">
        <v>32</v>
      </c>
      <c r="K73" s="5283" t="s">
        <v>10688</v>
      </c>
      <c r="L73" s="4874" t="s">
        <v>11125</v>
      </c>
      <c r="M73" s="5602">
        <v>45554</v>
      </c>
      <c r="N73" s="5602">
        <v>45553</v>
      </c>
      <c r="O73" s="5602">
        <v>45554</v>
      </c>
      <c r="P73" s="4874" t="s">
        <v>11126</v>
      </c>
      <c r="Q73" s="4874" t="s">
        <v>6852</v>
      </c>
      <c r="R73" s="4874" t="s">
        <v>11127</v>
      </c>
      <c r="S73" s="4874"/>
      <c r="T73" s="4874"/>
      <c r="U73" s="4874"/>
      <c r="V73" s="4874"/>
      <c r="W73" s="4874"/>
      <c r="X73" s="4874"/>
      <c r="Y73" s="4874"/>
      <c r="Z73" s="4874"/>
      <c r="AA73" s="1350"/>
      <c r="AB73" s="1350"/>
      <c r="AC73" s="1350"/>
      <c r="AD73" s="1350"/>
      <c r="AE73" s="1350"/>
      <c r="AF73" s="1350"/>
      <c r="AG73" s="1350"/>
      <c r="AH73" s="1350"/>
      <c r="AI73" s="1350"/>
    </row>
    <row r="74" spans="1:35" s="52" customFormat="1" ht="90" hidden="1">
      <c r="A74" s="5760" t="s">
        <v>11128</v>
      </c>
      <c r="B74" s="5130" t="s">
        <v>11129</v>
      </c>
      <c r="C74" s="4970" t="s">
        <v>200</v>
      </c>
      <c r="D74" s="5207">
        <v>45553</v>
      </c>
      <c r="E74" s="1387">
        <v>45553</v>
      </c>
      <c r="F74" s="4970" t="s">
        <v>245</v>
      </c>
      <c r="G74" s="4970" t="s">
        <v>11130</v>
      </c>
      <c r="H74" s="5792">
        <v>45559</v>
      </c>
      <c r="I74" s="4921"/>
      <c r="J74" s="5627" t="s">
        <v>859</v>
      </c>
      <c r="K74" s="4970" t="s">
        <v>11131</v>
      </c>
      <c r="L74" s="5138" t="s">
        <v>162</v>
      </c>
      <c r="M74" s="5792">
        <v>45560</v>
      </c>
      <c r="N74" s="5390">
        <v>45558</v>
      </c>
      <c r="O74" s="5390">
        <v>45559</v>
      </c>
      <c r="P74" s="4421" t="s">
        <v>11132</v>
      </c>
      <c r="Q74" s="2910" t="s">
        <v>75</v>
      </c>
      <c r="R74" s="4421" t="s">
        <v>11133</v>
      </c>
      <c r="S74" s="1393" t="s">
        <v>67</v>
      </c>
      <c r="T74" s="2908">
        <v>1147.71</v>
      </c>
      <c r="U74" s="2908"/>
      <c r="V74" s="2908"/>
      <c r="W74" s="2908"/>
      <c r="X74" s="3043"/>
      <c r="Y74" s="2908"/>
      <c r="Z74" s="2908"/>
    </row>
    <row r="75" spans="1:35" s="1350" customFormat="1" hidden="1">
      <c r="A75" s="5277" t="s">
        <v>263</v>
      </c>
      <c r="B75" s="5277" t="s">
        <v>11134</v>
      </c>
      <c r="C75" s="5277" t="s">
        <v>28</v>
      </c>
      <c r="D75" s="5406">
        <v>45553</v>
      </c>
      <c r="E75" s="5406">
        <v>45553</v>
      </c>
      <c r="F75" s="5277" t="s">
        <v>151</v>
      </c>
      <c r="G75" s="5277" t="s">
        <v>6295</v>
      </c>
      <c r="H75" s="5403">
        <v>45560</v>
      </c>
      <c r="I75" s="5277" t="s">
        <v>618</v>
      </c>
      <c r="J75" s="5277" t="s">
        <v>8987</v>
      </c>
      <c r="K75" s="5277" t="s">
        <v>9364</v>
      </c>
      <c r="L75" s="5404" t="s">
        <v>11135</v>
      </c>
      <c r="M75" s="5791">
        <v>45560</v>
      </c>
      <c r="N75" s="5791">
        <v>45558</v>
      </c>
      <c r="O75" s="5791">
        <v>45561</v>
      </c>
      <c r="P75" s="5277" t="s">
        <v>11136</v>
      </c>
      <c r="Q75" s="5539" t="s">
        <v>75</v>
      </c>
      <c r="R75" s="5404" t="s">
        <v>11137</v>
      </c>
      <c r="S75" s="5118" t="s">
        <v>67</v>
      </c>
      <c r="T75" s="5277">
        <v>1891.12</v>
      </c>
      <c r="U75" s="5277">
        <f>1346.5+41.2+67</f>
        <v>1454.7</v>
      </c>
      <c r="V75" s="5277">
        <v>1</v>
      </c>
      <c r="W75" s="5277">
        <f>T75-U75</f>
        <v>436.41999999999985</v>
      </c>
      <c r="X75" s="5409">
        <f>W75/U75</f>
        <v>0.30000687426960876</v>
      </c>
      <c r="Y75" s="5277"/>
      <c r="Z75" s="5277"/>
    </row>
    <row r="76" spans="1:35" s="52" customFormat="1" ht="29.25" hidden="1" customHeight="1">
      <c r="A76" s="4422" t="s">
        <v>263</v>
      </c>
      <c r="B76" s="4422" t="s">
        <v>11138</v>
      </c>
      <c r="C76" s="4422" t="s">
        <v>28</v>
      </c>
      <c r="D76" s="4423">
        <v>45553</v>
      </c>
      <c r="E76" s="4423">
        <v>45553</v>
      </c>
      <c r="F76" s="4422" t="s">
        <v>135</v>
      </c>
      <c r="G76" s="4422" t="s">
        <v>10388</v>
      </c>
      <c r="H76" s="4424">
        <v>45560</v>
      </c>
      <c r="I76" s="4422" t="s">
        <v>445</v>
      </c>
      <c r="J76" s="4422" t="s">
        <v>377</v>
      </c>
      <c r="K76" s="4422" t="s">
        <v>10389</v>
      </c>
      <c r="L76" s="5404" t="s">
        <v>11139</v>
      </c>
      <c r="M76" s="5793">
        <v>45560</v>
      </c>
      <c r="N76" s="5793">
        <v>45559</v>
      </c>
      <c r="O76" s="5793">
        <v>45565</v>
      </c>
      <c r="P76" s="5794" t="s">
        <v>11140</v>
      </c>
      <c r="Q76" s="5303" t="s">
        <v>75</v>
      </c>
      <c r="R76" s="5404" t="s">
        <v>11141</v>
      </c>
      <c r="S76" s="5405" t="s">
        <v>67</v>
      </c>
      <c r="T76" s="5404">
        <v>2036.28</v>
      </c>
      <c r="U76" s="5404">
        <f>1760+70.3</f>
        <v>1830.3</v>
      </c>
      <c r="V76" s="5404">
        <v>1</v>
      </c>
      <c r="W76" s="5277">
        <f>T76-U76</f>
        <v>205.98000000000002</v>
      </c>
      <c r="X76" s="5409">
        <f>W76/U76</f>
        <v>0.11253892804458286</v>
      </c>
      <c r="Y76" s="5404"/>
      <c r="Z76" s="5404"/>
      <c r="AA76" s="1350"/>
      <c r="AB76" s="1350"/>
      <c r="AC76" s="1350"/>
      <c r="AD76" s="1350"/>
      <c r="AE76" s="1350"/>
      <c r="AF76" s="1350"/>
      <c r="AG76" s="1350"/>
      <c r="AH76" s="1350"/>
      <c r="AI76" s="1350"/>
    </row>
    <row r="77" spans="1:35" s="650" customFormat="1" hidden="1">
      <c r="A77" s="4893" t="s">
        <v>11142</v>
      </c>
      <c r="B77" s="5265" t="s">
        <v>11143</v>
      </c>
      <c r="C77" s="5277" t="s">
        <v>28</v>
      </c>
      <c r="D77" s="4859">
        <v>45534</v>
      </c>
      <c r="E77" s="4867">
        <v>45554</v>
      </c>
      <c r="F77" s="5404" t="s">
        <v>167</v>
      </c>
      <c r="G77" s="4893" t="s">
        <v>302</v>
      </c>
      <c r="H77" s="4914">
        <v>45556</v>
      </c>
      <c r="I77" s="5795">
        <v>0.41666666666666669</v>
      </c>
      <c r="J77" s="5622" t="s">
        <v>32</v>
      </c>
      <c r="K77" s="5265" t="s">
        <v>1829</v>
      </c>
      <c r="L77" s="4913" t="s">
        <v>11144</v>
      </c>
      <c r="M77" s="4870"/>
      <c r="N77" s="4914">
        <v>45556</v>
      </c>
      <c r="O77" s="4914">
        <v>45556</v>
      </c>
      <c r="P77" s="4893" t="s">
        <v>11145</v>
      </c>
      <c r="Q77" s="5539" t="s">
        <v>9226</v>
      </c>
      <c r="R77" s="4913" t="s">
        <v>11146</v>
      </c>
      <c r="S77" s="5404" t="s">
        <v>10279</v>
      </c>
      <c r="T77" s="4913"/>
      <c r="U77" s="4913"/>
      <c r="V77" s="4913"/>
      <c r="W77" s="4913"/>
      <c r="X77" s="4913"/>
      <c r="Y77" s="4913"/>
      <c r="Z77" s="4913"/>
      <c r="AA77" s="106"/>
      <c r="AB77" s="106"/>
      <c r="AC77" s="106"/>
      <c r="AD77" s="106"/>
      <c r="AE77" s="106"/>
      <c r="AF77" s="106"/>
      <c r="AG77" s="106"/>
      <c r="AH77" s="106"/>
      <c r="AI77" s="106"/>
    </row>
    <row r="78" spans="1:35" s="3007" customFormat="1" hidden="1">
      <c r="A78" s="4861" t="s">
        <v>1134</v>
      </c>
      <c r="B78" s="4861" t="s">
        <v>11147</v>
      </c>
      <c r="C78" s="5277" t="s">
        <v>28</v>
      </c>
      <c r="D78" s="5179">
        <v>45536</v>
      </c>
      <c r="E78" s="5179">
        <v>45554</v>
      </c>
      <c r="F78" s="5277" t="s">
        <v>1357</v>
      </c>
      <c r="G78" s="4861" t="s">
        <v>46</v>
      </c>
      <c r="H78" s="4861"/>
      <c r="I78" s="4861"/>
      <c r="J78" s="4861" t="s">
        <v>32</v>
      </c>
      <c r="K78" s="4861" t="s">
        <v>11148</v>
      </c>
      <c r="L78" s="4861"/>
      <c r="M78" s="4864"/>
      <c r="N78" s="4861"/>
      <c r="O78" s="4863">
        <v>45559</v>
      </c>
      <c r="P78" s="4861" t="s">
        <v>11149</v>
      </c>
      <c r="Q78" s="4861" t="s">
        <v>9226</v>
      </c>
      <c r="R78" s="4861"/>
      <c r="S78" s="4861" t="s">
        <v>10279</v>
      </c>
      <c r="T78" s="4861"/>
      <c r="U78" s="4861"/>
      <c r="V78" s="4861"/>
      <c r="W78" s="4861"/>
      <c r="X78" s="5378"/>
      <c r="Y78" s="4861"/>
      <c r="Z78" s="4861"/>
      <c r="AA78" s="106"/>
      <c r="AB78" s="106"/>
      <c r="AC78" s="106"/>
      <c r="AD78" s="106"/>
      <c r="AE78" s="106"/>
      <c r="AF78" s="106"/>
      <c r="AG78" s="106"/>
      <c r="AH78" s="106"/>
      <c r="AI78" s="106"/>
    </row>
    <row r="79" spans="1:35" s="650" customFormat="1" hidden="1">
      <c r="A79" s="4861" t="s">
        <v>821</v>
      </c>
      <c r="B79" s="4861" t="s">
        <v>11150</v>
      </c>
      <c r="C79" s="4861" t="s">
        <v>28</v>
      </c>
      <c r="D79" s="5179">
        <v>45540</v>
      </c>
      <c r="E79" s="5219">
        <v>45554</v>
      </c>
      <c r="F79" s="4861" t="s">
        <v>45</v>
      </c>
      <c r="G79" s="4861" t="s">
        <v>46</v>
      </c>
      <c r="H79" s="4863">
        <v>45555</v>
      </c>
      <c r="I79" s="5675">
        <v>0.375</v>
      </c>
      <c r="J79" s="5622" t="s">
        <v>4896</v>
      </c>
      <c r="K79" s="4861" t="s">
        <v>11151</v>
      </c>
      <c r="L79" s="4861" t="s">
        <v>11152</v>
      </c>
      <c r="M79" s="4863">
        <v>45556</v>
      </c>
      <c r="N79" s="4863">
        <v>45555</v>
      </c>
      <c r="O79" s="4863">
        <v>45555</v>
      </c>
      <c r="P79" s="4861" t="s">
        <v>11153</v>
      </c>
      <c r="Q79" s="4861" t="s">
        <v>9226</v>
      </c>
      <c r="R79" s="4861" t="s">
        <v>11154</v>
      </c>
      <c r="S79" s="4864" t="s">
        <v>10279</v>
      </c>
      <c r="T79" s="5577">
        <v>1222.5</v>
      </c>
      <c r="U79" s="4861">
        <v>880</v>
      </c>
      <c r="V79" s="4861">
        <v>1</v>
      </c>
      <c r="W79" s="4861"/>
      <c r="X79" s="4861"/>
      <c r="Y79" s="4861"/>
      <c r="Z79" s="4861"/>
      <c r="AA79" s="52"/>
      <c r="AB79" s="52"/>
      <c r="AC79" s="52"/>
      <c r="AD79" s="52"/>
      <c r="AE79" s="52"/>
      <c r="AF79" s="52"/>
      <c r="AG79" s="52"/>
      <c r="AH79" s="52"/>
      <c r="AI79" s="52"/>
    </row>
    <row r="80" spans="1:35" s="52" customFormat="1" ht="48" hidden="1" customHeight="1">
      <c r="A80" s="4874" t="s">
        <v>409</v>
      </c>
      <c r="B80" s="5796" t="s">
        <v>11155</v>
      </c>
      <c r="C80" s="4874" t="s">
        <v>28</v>
      </c>
      <c r="D80" s="5755">
        <v>45540</v>
      </c>
      <c r="E80" s="5756">
        <v>45554</v>
      </c>
      <c r="F80" s="4874" t="s">
        <v>151</v>
      </c>
      <c r="G80" s="4874" t="s">
        <v>46</v>
      </c>
      <c r="H80" s="4874"/>
      <c r="I80" s="4874"/>
      <c r="J80" s="4874" t="s">
        <v>32</v>
      </c>
      <c r="K80" s="5283" t="s">
        <v>10688</v>
      </c>
      <c r="L80" s="4874" t="s">
        <v>11156</v>
      </c>
      <c r="M80" s="5602">
        <v>45555</v>
      </c>
      <c r="N80" s="5602">
        <v>45554</v>
      </c>
      <c r="O80" s="5602">
        <v>45555</v>
      </c>
      <c r="P80" s="228" t="s">
        <v>11157</v>
      </c>
      <c r="Q80" s="228" t="s">
        <v>6852</v>
      </c>
      <c r="R80" s="228" t="s">
        <v>11158</v>
      </c>
      <c r="S80" s="228"/>
      <c r="T80" s="228"/>
      <c r="U80" s="228"/>
      <c r="V80" s="228"/>
      <c r="W80" s="228"/>
      <c r="X80" s="228"/>
      <c r="Y80" s="228"/>
      <c r="Z80" s="228"/>
      <c r="AA80" s="4152"/>
      <c r="AB80" s="4152"/>
      <c r="AC80" s="4152"/>
      <c r="AD80" s="4152"/>
      <c r="AE80" s="4152"/>
      <c r="AF80" s="4152"/>
      <c r="AG80" s="4152"/>
      <c r="AH80" s="4152"/>
      <c r="AI80" s="4152"/>
    </row>
    <row r="81" spans="1:35" s="52" customFormat="1" ht="45" hidden="1">
      <c r="A81" s="5622" t="s">
        <v>1945</v>
      </c>
      <c r="B81" s="5627" t="s">
        <v>11159</v>
      </c>
      <c r="C81" s="5277" t="s">
        <v>28</v>
      </c>
      <c r="D81" s="5406">
        <v>45545</v>
      </c>
      <c r="E81" s="5538">
        <v>45554</v>
      </c>
      <c r="F81" s="5404" t="s">
        <v>167</v>
      </c>
      <c r="G81" s="5404" t="s">
        <v>11160</v>
      </c>
      <c r="H81" s="5406">
        <v>45558</v>
      </c>
      <c r="I81" s="5404" t="s">
        <v>926</v>
      </c>
      <c r="J81" s="5622" t="s">
        <v>297</v>
      </c>
      <c r="K81" s="5405" t="s">
        <v>11161</v>
      </c>
      <c r="L81" s="5793" t="s">
        <v>11162</v>
      </c>
      <c r="M81" s="5791">
        <v>45557</v>
      </c>
      <c r="N81" s="5791">
        <v>45555</v>
      </c>
      <c r="O81" s="5406">
        <v>45558</v>
      </c>
      <c r="P81" s="5405" t="s">
        <v>11163</v>
      </c>
      <c r="Q81" s="5539" t="s">
        <v>75</v>
      </c>
      <c r="R81" s="4893" t="s">
        <v>11164</v>
      </c>
      <c r="S81" s="5277" t="s">
        <v>67</v>
      </c>
      <c r="T81" s="5277">
        <v>2376.25</v>
      </c>
      <c r="U81" s="5277">
        <f>1418.25+1363.59-1273.59</f>
        <v>1508.2500000000002</v>
      </c>
      <c r="V81" s="5277"/>
      <c r="W81" s="5277">
        <f>T81-U81</f>
        <v>867.99999999999977</v>
      </c>
      <c r="X81" s="5409">
        <f>W81/U81</f>
        <v>0.57550140891761947</v>
      </c>
      <c r="Y81" s="5277"/>
      <c r="Z81" s="5277"/>
    </row>
    <row r="82" spans="1:35" s="52" customFormat="1" ht="30" hidden="1">
      <c r="A82" s="5622" t="s">
        <v>409</v>
      </c>
      <c r="B82" s="5797" t="s">
        <v>11165</v>
      </c>
      <c r="C82" s="5404" t="s">
        <v>28</v>
      </c>
      <c r="D82" s="5406">
        <v>45530</v>
      </c>
      <c r="E82" s="5538">
        <v>45554</v>
      </c>
      <c r="F82" s="5404" t="s">
        <v>167</v>
      </c>
      <c r="G82" s="5404" t="s">
        <v>302</v>
      </c>
      <c r="H82" s="5793">
        <v>45559</v>
      </c>
      <c r="I82" s="5793" t="s">
        <v>899</v>
      </c>
      <c r="J82" s="5622" t="s">
        <v>32</v>
      </c>
      <c r="K82" s="5642" t="s">
        <v>11000</v>
      </c>
      <c r="L82" s="5277" t="s">
        <v>11166</v>
      </c>
      <c r="M82" s="5791">
        <v>45558</v>
      </c>
      <c r="N82" s="5791">
        <v>45558</v>
      </c>
      <c r="O82" s="5210">
        <v>45561</v>
      </c>
      <c r="P82" s="5405" t="s">
        <v>11167</v>
      </c>
      <c r="Q82" s="5539" t="s">
        <v>75</v>
      </c>
      <c r="R82" s="5404" t="s">
        <v>11168</v>
      </c>
      <c r="S82" s="5277" t="s">
        <v>10279</v>
      </c>
      <c r="T82" s="5277">
        <f>1205</f>
        <v>1205</v>
      </c>
      <c r="U82" s="5277">
        <v>920</v>
      </c>
      <c r="V82" s="5277"/>
      <c r="W82" s="5277">
        <f>T82-U82</f>
        <v>285</v>
      </c>
      <c r="X82" s="5277">
        <f>W82/U82</f>
        <v>0.30978260869565216</v>
      </c>
      <c r="Y82" s="5277"/>
      <c r="Z82" s="5277"/>
      <c r="AA82" s="1350"/>
      <c r="AB82" s="1350"/>
      <c r="AC82" s="1350"/>
      <c r="AD82" s="1350"/>
      <c r="AE82" s="1350"/>
      <c r="AF82" s="1350"/>
      <c r="AG82" s="1350"/>
      <c r="AH82" s="1350"/>
      <c r="AI82" s="1350"/>
    </row>
    <row r="83" spans="1:35" s="1350" customFormat="1" hidden="1">
      <c r="A83" s="4874" t="s">
        <v>11169</v>
      </c>
      <c r="B83" s="5754" t="s">
        <v>11170</v>
      </c>
      <c r="C83" s="5283" t="s">
        <v>28</v>
      </c>
      <c r="D83" s="5755">
        <v>45544</v>
      </c>
      <c r="E83" s="5756">
        <v>45555</v>
      </c>
      <c r="F83" s="4874" t="s">
        <v>260</v>
      </c>
      <c r="G83" s="4874" t="s">
        <v>46</v>
      </c>
      <c r="H83" s="4874"/>
      <c r="I83" s="4874"/>
      <c r="J83" s="4874" t="s">
        <v>32</v>
      </c>
      <c r="K83" s="5283" t="s">
        <v>10688</v>
      </c>
      <c r="L83" s="4874" t="s">
        <v>11171</v>
      </c>
      <c r="M83" s="5434">
        <v>45557</v>
      </c>
      <c r="N83" s="5602">
        <v>45527</v>
      </c>
      <c r="O83" s="5602">
        <v>45560</v>
      </c>
      <c r="P83" s="4874" t="s">
        <v>11172</v>
      </c>
      <c r="Q83" s="4874" t="s">
        <v>6852</v>
      </c>
      <c r="R83" s="4874"/>
      <c r="S83" s="4874"/>
      <c r="T83" s="4874"/>
      <c r="U83" s="4874"/>
      <c r="V83" s="4874"/>
      <c r="W83" s="4874"/>
      <c r="X83" s="5184"/>
      <c r="Y83" s="4874"/>
      <c r="Z83" s="4874"/>
      <c r="AA83" s="709"/>
      <c r="AB83" s="709"/>
      <c r="AC83" s="709"/>
      <c r="AD83" s="709"/>
      <c r="AE83" s="709"/>
      <c r="AF83" s="709"/>
      <c r="AG83" s="709"/>
      <c r="AH83" s="709"/>
      <c r="AI83" s="709"/>
    </row>
    <row r="84" spans="1:35" s="1350" customFormat="1" ht="30" hidden="1">
      <c r="A84" s="5622" t="s">
        <v>1945</v>
      </c>
      <c r="B84" s="5761" t="s">
        <v>11173</v>
      </c>
      <c r="C84" s="5277" t="s">
        <v>28</v>
      </c>
      <c r="D84" s="5406">
        <v>45534</v>
      </c>
      <c r="E84" s="5538">
        <v>45556</v>
      </c>
      <c r="F84" s="5404" t="s">
        <v>29</v>
      </c>
      <c r="G84" s="5404" t="s">
        <v>3080</v>
      </c>
      <c r="H84" s="5406">
        <v>45558</v>
      </c>
      <c r="I84" s="5277" t="s">
        <v>926</v>
      </c>
      <c r="J84" s="5622" t="s">
        <v>11174</v>
      </c>
      <c r="K84" s="5405" t="s">
        <v>11175</v>
      </c>
      <c r="L84" s="5783">
        <v>7343625</v>
      </c>
      <c r="M84" s="5791">
        <v>45560</v>
      </c>
      <c r="N84" s="5791">
        <v>45558</v>
      </c>
      <c r="O84" s="5791">
        <v>45558</v>
      </c>
      <c r="P84" s="5405" t="s">
        <v>11176</v>
      </c>
      <c r="Q84" s="5539" t="s">
        <v>75</v>
      </c>
      <c r="R84" s="5404" t="s">
        <v>11177</v>
      </c>
      <c r="S84" s="5277" t="s">
        <v>67</v>
      </c>
      <c r="T84" s="5277">
        <v>1507</v>
      </c>
      <c r="U84" s="5277">
        <f>318+1066.85</f>
        <v>1384.85</v>
      </c>
      <c r="V84" s="5277"/>
      <c r="W84" s="5277">
        <f>T84-U84</f>
        <v>122.15000000000009</v>
      </c>
      <c r="X84" s="5409">
        <f>W84/U84</f>
        <v>8.8204498682167815E-2</v>
      </c>
      <c r="Y84" s="5277"/>
      <c r="Z84" s="5277"/>
    </row>
    <row r="85" spans="1:35" s="1350" customFormat="1" ht="46.5" hidden="1" customHeight="1">
      <c r="A85" s="3023" t="s">
        <v>68</v>
      </c>
      <c r="B85" s="4422" t="s">
        <v>11178</v>
      </c>
      <c r="C85" s="2269" t="s">
        <v>28</v>
      </c>
      <c r="D85" s="3025">
        <v>45548</v>
      </c>
      <c r="E85" s="3026">
        <v>45556</v>
      </c>
      <c r="F85" s="2269" t="s">
        <v>45</v>
      </c>
      <c r="G85" s="4422" t="s">
        <v>919</v>
      </c>
      <c r="H85" s="3027">
        <v>45561</v>
      </c>
      <c r="I85" s="2269" t="s">
        <v>790</v>
      </c>
      <c r="J85" s="3023" t="s">
        <v>490</v>
      </c>
      <c r="K85" s="4422" t="s">
        <v>2671</v>
      </c>
      <c r="L85" s="5783" t="s">
        <v>11179</v>
      </c>
      <c r="M85" s="5791">
        <v>45558</v>
      </c>
      <c r="N85" s="5791">
        <v>45559</v>
      </c>
      <c r="O85" s="5791">
        <v>45562</v>
      </c>
      <c r="P85" s="5405" t="s">
        <v>11180</v>
      </c>
      <c r="Q85" s="5539" t="s">
        <v>75</v>
      </c>
      <c r="R85" s="5405" t="s">
        <v>11181</v>
      </c>
      <c r="S85" s="5405" t="s">
        <v>67</v>
      </c>
      <c r="T85" s="5277">
        <v>1195</v>
      </c>
      <c r="U85" s="5277">
        <f>817.5+90</f>
        <v>907.5</v>
      </c>
      <c r="V85" s="5277">
        <v>1</v>
      </c>
      <c r="W85" s="5277">
        <f>T85-U85</f>
        <v>287.5</v>
      </c>
      <c r="X85" s="5409">
        <f>W85/U85</f>
        <v>0.3168044077134986</v>
      </c>
      <c r="Y85" s="5277"/>
      <c r="Z85" s="5277"/>
    </row>
    <row r="86" spans="1:35" s="36" customFormat="1" ht="30" hidden="1">
      <c r="A86" s="3021" t="s">
        <v>1945</v>
      </c>
      <c r="B86" s="3022" t="s">
        <v>11182</v>
      </c>
      <c r="C86" s="1138" t="s">
        <v>28</v>
      </c>
      <c r="D86" s="1220">
        <v>45556</v>
      </c>
      <c r="E86" s="1221">
        <v>45556</v>
      </c>
      <c r="F86" s="4091" t="s">
        <v>260</v>
      </c>
      <c r="G86" s="4091" t="s">
        <v>11183</v>
      </c>
      <c r="H86" s="1220">
        <v>45562</v>
      </c>
      <c r="I86" s="1138" t="s">
        <v>11184</v>
      </c>
      <c r="J86" s="3021" t="s">
        <v>11185</v>
      </c>
      <c r="K86" s="4091" t="s">
        <v>11186</v>
      </c>
      <c r="L86" s="5138" t="s">
        <v>11187</v>
      </c>
      <c r="M86" s="5210">
        <v>45561</v>
      </c>
      <c r="N86" s="5210">
        <v>45561</v>
      </c>
      <c r="O86" s="5207">
        <v>45562</v>
      </c>
      <c r="P86" s="4829" t="s">
        <v>11188</v>
      </c>
      <c r="Q86" s="5515" t="s">
        <v>75</v>
      </c>
      <c r="R86" s="4921" t="s">
        <v>11189</v>
      </c>
      <c r="S86" s="4921" t="s">
        <v>67</v>
      </c>
      <c r="T86" s="4921">
        <v>1115</v>
      </c>
      <c r="U86" s="4921">
        <f>705+90</f>
        <v>795</v>
      </c>
      <c r="V86" s="4921">
        <v>1</v>
      </c>
      <c r="W86" s="4921">
        <f>T86-U86</f>
        <v>320</v>
      </c>
      <c r="X86" s="5213">
        <f>W86/U86</f>
        <v>0.40251572327044027</v>
      </c>
      <c r="Y86" s="4921"/>
      <c r="Z86" s="4921"/>
    </row>
    <row r="87" spans="1:35" s="52" customFormat="1" ht="41.25" hidden="1" customHeight="1">
      <c r="A87" s="4861" t="s">
        <v>2966</v>
      </c>
      <c r="B87" s="4861" t="s">
        <v>11190</v>
      </c>
      <c r="C87" s="4861" t="s">
        <v>200</v>
      </c>
      <c r="D87" s="5179">
        <v>45546</v>
      </c>
      <c r="E87" s="5219">
        <v>45557</v>
      </c>
      <c r="F87" s="4861" t="s">
        <v>151</v>
      </c>
      <c r="G87" s="4861" t="s">
        <v>46</v>
      </c>
      <c r="H87" s="4861"/>
      <c r="I87" s="4861"/>
      <c r="J87" s="4861"/>
      <c r="K87" s="4861"/>
      <c r="L87" s="4861" t="s">
        <v>11191</v>
      </c>
      <c r="M87" s="4863">
        <v>45558</v>
      </c>
      <c r="N87" s="4863">
        <v>45558</v>
      </c>
      <c r="O87" s="4863">
        <v>45560</v>
      </c>
      <c r="P87" s="4861" t="s">
        <v>11192</v>
      </c>
      <c r="Q87" s="4861" t="s">
        <v>9226</v>
      </c>
      <c r="R87" s="4861" t="s">
        <v>11193</v>
      </c>
      <c r="S87" s="4861" t="s">
        <v>1320</v>
      </c>
      <c r="T87" s="4861"/>
      <c r="U87" s="4861"/>
      <c r="V87" s="4861"/>
      <c r="W87" s="4861"/>
      <c r="X87" s="4861"/>
      <c r="Y87" s="4861"/>
      <c r="Z87" s="4861"/>
      <c r="AA87" s="106"/>
      <c r="AB87" s="106"/>
      <c r="AC87" s="106"/>
      <c r="AD87" s="106"/>
      <c r="AE87" s="106"/>
      <c r="AF87" s="106"/>
      <c r="AG87" s="106"/>
      <c r="AH87" s="106"/>
      <c r="AI87" s="106"/>
    </row>
    <row r="88" spans="1:35" s="709" customFormat="1" hidden="1">
      <c r="A88" s="4886" t="s">
        <v>10660</v>
      </c>
      <c r="B88" s="4886" t="s">
        <v>11194</v>
      </c>
      <c r="C88" s="4886" t="s">
        <v>451</v>
      </c>
      <c r="D88" s="5798">
        <v>45557</v>
      </c>
      <c r="E88" s="5798">
        <v>45557</v>
      </c>
      <c r="F88" s="4886" t="s">
        <v>93</v>
      </c>
      <c r="G88" s="4886" t="s">
        <v>582</v>
      </c>
      <c r="H88" s="4886"/>
      <c r="I88" s="4886"/>
      <c r="J88" s="4886"/>
      <c r="K88" s="4886"/>
      <c r="L88" s="4886" t="s">
        <v>9917</v>
      </c>
      <c r="M88" s="5457">
        <v>45561</v>
      </c>
      <c r="N88" s="5457">
        <v>45562</v>
      </c>
      <c r="O88" s="5457">
        <v>45570</v>
      </c>
      <c r="P88" s="4886" t="s">
        <v>11195</v>
      </c>
      <c r="Q88" s="4886" t="s">
        <v>9226</v>
      </c>
      <c r="R88" s="4886" t="s">
        <v>11196</v>
      </c>
      <c r="S88" s="4886" t="s">
        <v>11197</v>
      </c>
      <c r="T88" s="4886"/>
      <c r="U88" s="4886"/>
      <c r="V88" s="4886"/>
      <c r="W88" s="4886"/>
      <c r="X88" s="4886"/>
      <c r="Y88" s="4886"/>
      <c r="Z88" s="4886"/>
    </row>
    <row r="89" spans="1:35" s="52" customFormat="1" ht="60" hidden="1">
      <c r="A89" s="5173" t="s">
        <v>165</v>
      </c>
      <c r="B89" s="5761" t="s">
        <v>11198</v>
      </c>
      <c r="C89" s="5277" t="s">
        <v>28</v>
      </c>
      <c r="D89" s="4859">
        <v>45534</v>
      </c>
      <c r="E89" s="4859">
        <v>45558</v>
      </c>
      <c r="F89" s="5277" t="s">
        <v>167</v>
      </c>
      <c r="G89" s="5405" t="s">
        <v>11199</v>
      </c>
      <c r="H89" s="5406">
        <v>45560</v>
      </c>
      <c r="I89" s="5696">
        <v>0.54166666666666663</v>
      </c>
      <c r="J89" s="5622" t="s">
        <v>363</v>
      </c>
      <c r="K89" s="5404" t="s">
        <v>8965</v>
      </c>
      <c r="L89" s="4864" t="s">
        <v>11200</v>
      </c>
      <c r="M89" s="4953">
        <v>45559</v>
      </c>
      <c r="N89" s="5406">
        <v>45559</v>
      </c>
      <c r="O89" s="5406">
        <v>45561</v>
      </c>
      <c r="P89" s="5481" t="s">
        <v>11201</v>
      </c>
      <c r="Q89" s="5482" t="s">
        <v>9226</v>
      </c>
      <c r="R89" s="5404" t="s">
        <v>11202</v>
      </c>
      <c r="S89" s="5483" t="s">
        <v>10279</v>
      </c>
      <c r="T89" s="5799">
        <v>1600</v>
      </c>
      <c r="U89" s="5283">
        <v>1194.45</v>
      </c>
      <c r="V89" s="5283">
        <v>1</v>
      </c>
      <c r="W89" s="5283"/>
      <c r="X89" s="5420"/>
      <c r="Y89" s="5283"/>
      <c r="Z89" s="5283"/>
      <c r="AA89" s="106"/>
      <c r="AB89" s="106"/>
      <c r="AC89" s="106"/>
      <c r="AD89" s="106"/>
      <c r="AE89" s="106"/>
      <c r="AF89" s="106"/>
      <c r="AG89" s="106"/>
      <c r="AH89" s="106"/>
      <c r="AI89" s="106"/>
    </row>
    <row r="90" spans="1:35" s="52" customFormat="1" ht="15.75" hidden="1">
      <c r="A90" s="4874" t="s">
        <v>10764</v>
      </c>
      <c r="B90" s="2860" t="s">
        <v>11203</v>
      </c>
      <c r="C90" s="5283" t="s">
        <v>28</v>
      </c>
      <c r="D90" s="5755">
        <v>45535</v>
      </c>
      <c r="E90" s="5756">
        <v>45558</v>
      </c>
      <c r="F90" s="4874" t="s">
        <v>135</v>
      </c>
      <c r="G90" s="4874" t="s">
        <v>46</v>
      </c>
      <c r="H90" s="4874"/>
      <c r="I90" s="4874"/>
      <c r="J90" s="4874" t="s">
        <v>32</v>
      </c>
      <c r="K90" s="5283" t="s">
        <v>10688</v>
      </c>
      <c r="L90" s="5800" t="s">
        <v>11204</v>
      </c>
      <c r="M90" s="5602">
        <v>45559</v>
      </c>
      <c r="N90" s="5602">
        <v>45558</v>
      </c>
      <c r="O90" s="5602">
        <v>45559</v>
      </c>
      <c r="P90" s="4874" t="s">
        <v>11205</v>
      </c>
      <c r="Q90" s="4874" t="s">
        <v>6852</v>
      </c>
      <c r="R90" s="4874" t="s">
        <v>11206</v>
      </c>
      <c r="S90" s="4874"/>
      <c r="T90" s="4874"/>
      <c r="U90" s="4874"/>
      <c r="V90" s="4874"/>
      <c r="W90" s="4874"/>
      <c r="X90" s="4874"/>
      <c r="Y90" s="4874"/>
      <c r="Z90" s="4874"/>
    </row>
    <row r="91" spans="1:35" s="1350" customFormat="1" hidden="1">
      <c r="A91" s="4874" t="s">
        <v>10857</v>
      </c>
      <c r="B91" s="5754" t="s">
        <v>11207</v>
      </c>
      <c r="C91" s="4874" t="s">
        <v>28</v>
      </c>
      <c r="D91" s="5755">
        <v>45538</v>
      </c>
      <c r="E91" s="5756">
        <v>45558</v>
      </c>
      <c r="F91" s="4874" t="s">
        <v>260</v>
      </c>
      <c r="G91" s="4874" t="s">
        <v>46</v>
      </c>
      <c r="H91" s="4874"/>
      <c r="I91" s="4874"/>
      <c r="J91" s="4874" t="s">
        <v>32</v>
      </c>
      <c r="K91" s="5283" t="s">
        <v>10688</v>
      </c>
      <c r="L91" s="4874" t="s">
        <v>11208</v>
      </c>
      <c r="M91" s="5602">
        <v>45559</v>
      </c>
      <c r="N91" s="5602">
        <v>45559</v>
      </c>
      <c r="O91" s="5602">
        <v>45561</v>
      </c>
      <c r="P91" s="4874" t="s">
        <v>11209</v>
      </c>
      <c r="Q91" s="4874" t="s">
        <v>6852</v>
      </c>
      <c r="R91" s="4874" t="s">
        <v>11210</v>
      </c>
      <c r="S91" s="4874"/>
      <c r="T91" s="4874"/>
      <c r="U91" s="4874"/>
      <c r="V91" s="4874"/>
      <c r="W91" s="4874"/>
      <c r="X91" s="4874"/>
      <c r="Y91" s="4874"/>
      <c r="Z91" s="4874"/>
      <c r="AA91" s="709"/>
      <c r="AB91" s="709"/>
      <c r="AC91" s="709"/>
      <c r="AD91" s="709"/>
      <c r="AE91" s="709"/>
      <c r="AF91" s="709"/>
      <c r="AG91" s="709"/>
      <c r="AH91" s="709"/>
      <c r="AI91" s="709"/>
    </row>
    <row r="92" spans="1:35" s="52" customFormat="1" hidden="1">
      <c r="A92" s="4874" t="s">
        <v>409</v>
      </c>
      <c r="B92" s="5754" t="s">
        <v>11211</v>
      </c>
      <c r="C92" s="5283" t="s">
        <v>28</v>
      </c>
      <c r="D92" s="5771">
        <v>45538</v>
      </c>
      <c r="E92" s="5756">
        <v>45558</v>
      </c>
      <c r="F92" s="4874" t="s">
        <v>260</v>
      </c>
      <c r="G92" s="4874" t="s">
        <v>46</v>
      </c>
      <c r="H92" s="4874"/>
      <c r="I92" s="4874"/>
      <c r="J92" s="4874" t="s">
        <v>32</v>
      </c>
      <c r="K92" s="5283" t="s">
        <v>10688</v>
      </c>
      <c r="L92" s="4874" t="s">
        <v>11212</v>
      </c>
      <c r="M92" s="5602">
        <v>45557</v>
      </c>
      <c r="N92" s="5602">
        <v>45555</v>
      </c>
      <c r="O92" s="5602">
        <v>45558</v>
      </c>
      <c r="P92" s="4874" t="s">
        <v>11213</v>
      </c>
      <c r="Q92" s="4874" t="s">
        <v>6852</v>
      </c>
      <c r="R92" s="4874" t="s">
        <v>11214</v>
      </c>
      <c r="S92" s="4874"/>
      <c r="T92" s="4874"/>
      <c r="U92" s="4874"/>
      <c r="V92" s="4874"/>
      <c r="W92" s="4874"/>
      <c r="X92" s="4874"/>
      <c r="Y92" s="4874"/>
      <c r="Z92" s="4874"/>
    </row>
    <row r="93" spans="1:35" s="106" customFormat="1" hidden="1">
      <c r="A93" s="4874" t="s">
        <v>409</v>
      </c>
      <c r="B93" s="5754" t="s">
        <v>11215</v>
      </c>
      <c r="C93" s="5283" t="s">
        <v>28</v>
      </c>
      <c r="D93" s="5755">
        <v>45540</v>
      </c>
      <c r="E93" s="5756">
        <v>45558</v>
      </c>
      <c r="F93" s="4874" t="s">
        <v>45</v>
      </c>
      <c r="G93" s="4874" t="s">
        <v>46</v>
      </c>
      <c r="H93" s="4874"/>
      <c r="I93" s="4874"/>
      <c r="J93" s="4874" t="s">
        <v>32</v>
      </c>
      <c r="K93" s="5283" t="s">
        <v>10688</v>
      </c>
      <c r="L93" s="4874" t="s">
        <v>11216</v>
      </c>
      <c r="M93" s="5602">
        <v>45559</v>
      </c>
      <c r="N93" s="5602">
        <v>45557</v>
      </c>
      <c r="O93" s="5602">
        <v>45558</v>
      </c>
      <c r="P93" s="4874" t="s">
        <v>11217</v>
      </c>
      <c r="Q93" s="4874" t="s">
        <v>6852</v>
      </c>
      <c r="R93" s="4874" t="s">
        <v>11218</v>
      </c>
      <c r="S93" s="4874"/>
      <c r="T93" s="4874"/>
      <c r="U93" s="4874"/>
      <c r="V93" s="4874"/>
      <c r="W93" s="4874"/>
      <c r="X93" s="4874"/>
      <c r="Y93" s="4874"/>
      <c r="Z93" s="4874"/>
      <c r="AA93" s="52"/>
      <c r="AB93" s="52"/>
      <c r="AC93" s="52"/>
      <c r="AD93" s="52"/>
      <c r="AE93" s="52"/>
      <c r="AF93" s="52"/>
      <c r="AG93" s="52"/>
      <c r="AH93" s="52"/>
      <c r="AI93" s="52"/>
    </row>
    <row r="94" spans="1:35" s="709" customFormat="1" hidden="1">
      <c r="A94" s="4861" t="s">
        <v>409</v>
      </c>
      <c r="B94" s="4861" t="s">
        <v>11219</v>
      </c>
      <c r="C94" s="5277" t="s">
        <v>28</v>
      </c>
      <c r="D94" s="5179">
        <v>45542</v>
      </c>
      <c r="E94" s="5219">
        <v>45558</v>
      </c>
      <c r="F94" s="4861" t="s">
        <v>151</v>
      </c>
      <c r="G94" s="4861" t="s">
        <v>46</v>
      </c>
      <c r="H94" s="4861"/>
      <c r="I94" s="4861"/>
      <c r="J94" s="4861" t="s">
        <v>32</v>
      </c>
      <c r="K94" s="5277" t="s">
        <v>10688</v>
      </c>
      <c r="L94" s="4861" t="s">
        <v>11220</v>
      </c>
      <c r="M94" s="4863">
        <v>45557</v>
      </c>
      <c r="N94" s="4863">
        <v>45555</v>
      </c>
      <c r="O94" s="4863">
        <v>45558</v>
      </c>
      <c r="P94" s="4861" t="s">
        <v>11221</v>
      </c>
      <c r="Q94" s="4861" t="s">
        <v>6852</v>
      </c>
      <c r="R94" s="4861" t="s">
        <v>51</v>
      </c>
      <c r="S94" s="4861"/>
      <c r="T94" s="4861"/>
      <c r="U94" s="4861"/>
      <c r="V94" s="4861"/>
      <c r="W94" s="4861"/>
      <c r="X94" s="4861"/>
      <c r="Y94" s="4861"/>
      <c r="Z94" s="4861"/>
      <c r="AA94" s="1350"/>
      <c r="AB94" s="1350"/>
      <c r="AC94" s="1350"/>
      <c r="AD94" s="1350"/>
      <c r="AE94" s="1350"/>
      <c r="AF94" s="1350"/>
      <c r="AG94" s="1350"/>
      <c r="AH94" s="1350"/>
      <c r="AI94" s="1350"/>
    </row>
    <row r="95" spans="1:35" s="106" customFormat="1" hidden="1">
      <c r="A95" s="4874" t="s">
        <v>409</v>
      </c>
      <c r="B95" s="5754" t="s">
        <v>11222</v>
      </c>
      <c r="C95" s="5283" t="s">
        <v>28</v>
      </c>
      <c r="D95" s="5755">
        <v>45542</v>
      </c>
      <c r="E95" s="5756">
        <v>45558</v>
      </c>
      <c r="F95" s="4874" t="s">
        <v>151</v>
      </c>
      <c r="G95" s="4874" t="s">
        <v>46</v>
      </c>
      <c r="H95" s="4874"/>
      <c r="I95" s="4874"/>
      <c r="J95" s="4874" t="s">
        <v>32</v>
      </c>
      <c r="K95" s="5283" t="s">
        <v>10688</v>
      </c>
      <c r="L95" s="4874" t="s">
        <v>11223</v>
      </c>
      <c r="M95" s="5602">
        <v>45556</v>
      </c>
      <c r="N95" s="5602">
        <v>45555</v>
      </c>
      <c r="O95" s="5602">
        <v>45556</v>
      </c>
      <c r="P95" s="4874" t="s">
        <v>11224</v>
      </c>
      <c r="Q95" s="4874" t="s">
        <v>6852</v>
      </c>
      <c r="R95" s="4874" t="s">
        <v>11225</v>
      </c>
      <c r="S95" s="4874"/>
      <c r="T95" s="4874"/>
      <c r="U95" s="4874"/>
      <c r="V95" s="4874"/>
      <c r="W95" s="4874"/>
      <c r="X95" s="4874"/>
      <c r="Y95" s="4874"/>
      <c r="Z95" s="4874"/>
      <c r="AA95" s="52"/>
      <c r="AB95" s="52"/>
      <c r="AC95" s="52"/>
      <c r="AD95" s="52"/>
      <c r="AE95" s="52"/>
      <c r="AF95" s="52"/>
      <c r="AG95" s="52"/>
      <c r="AH95" s="52"/>
      <c r="AI95" s="52"/>
    </row>
    <row r="96" spans="1:35" s="106" customFormat="1" hidden="1">
      <c r="A96" s="4874" t="s">
        <v>409</v>
      </c>
      <c r="B96" s="5754" t="s">
        <v>11226</v>
      </c>
      <c r="C96" s="4874" t="s">
        <v>28</v>
      </c>
      <c r="D96" s="5755">
        <v>45548</v>
      </c>
      <c r="E96" s="5756">
        <v>45558</v>
      </c>
      <c r="F96" s="4892" t="s">
        <v>45</v>
      </c>
      <c r="G96" s="4874" t="s">
        <v>46</v>
      </c>
      <c r="H96" s="4874"/>
      <c r="I96" s="4874"/>
      <c r="J96" s="4874" t="s">
        <v>32</v>
      </c>
      <c r="K96" s="5283" t="s">
        <v>10688</v>
      </c>
      <c r="L96" s="4874" t="s">
        <v>11227</v>
      </c>
      <c r="M96" s="5602">
        <v>45558</v>
      </c>
      <c r="N96" s="5602">
        <v>45558</v>
      </c>
      <c r="O96" s="5602">
        <v>45560</v>
      </c>
      <c r="P96" s="228" t="s">
        <v>11228</v>
      </c>
      <c r="Q96" s="228" t="s">
        <v>6852</v>
      </c>
      <c r="R96" s="228" t="s">
        <v>11229</v>
      </c>
      <c r="S96" s="228"/>
      <c r="T96" s="228"/>
      <c r="U96" s="228"/>
      <c r="V96" s="228"/>
      <c r="W96" s="228"/>
      <c r="X96" s="228"/>
      <c r="Y96" s="228"/>
      <c r="Z96" s="228"/>
    </row>
    <row r="97" spans="1:35" s="106" customFormat="1" ht="17.25" hidden="1">
      <c r="A97" s="4874" t="s">
        <v>3866</v>
      </c>
      <c r="B97" s="5801" t="s">
        <v>11230</v>
      </c>
      <c r="C97" s="5283" t="s">
        <v>28</v>
      </c>
      <c r="D97" s="5755">
        <v>45540</v>
      </c>
      <c r="E97" s="5756">
        <v>45558</v>
      </c>
      <c r="F97" s="4874" t="s">
        <v>45</v>
      </c>
      <c r="G97" s="4874" t="s">
        <v>46</v>
      </c>
      <c r="H97" s="4874"/>
      <c r="I97" s="4874"/>
      <c r="J97" s="4874" t="s">
        <v>32</v>
      </c>
      <c r="K97" s="5283" t="s">
        <v>10688</v>
      </c>
      <c r="L97" s="5802" t="s">
        <v>11231</v>
      </c>
      <c r="M97" s="5602">
        <v>45558</v>
      </c>
      <c r="N97" s="5602">
        <v>45558</v>
      </c>
      <c r="O97" s="5602">
        <v>45560</v>
      </c>
      <c r="P97" s="4874" t="s">
        <v>11232</v>
      </c>
      <c r="Q97" s="4874" t="s">
        <v>6852</v>
      </c>
      <c r="R97" s="4874"/>
      <c r="S97" s="4874"/>
      <c r="T97" s="4874"/>
      <c r="U97" s="4874"/>
      <c r="V97" s="4874"/>
      <c r="W97" s="4874"/>
      <c r="X97" s="4874"/>
      <c r="Y97" s="4874"/>
      <c r="Z97" s="4874"/>
    </row>
    <row r="98" spans="1:35" s="3006" customFormat="1" hidden="1">
      <c r="A98" s="4874" t="s">
        <v>10857</v>
      </c>
      <c r="B98" s="5754" t="s">
        <v>11233</v>
      </c>
      <c r="C98" s="5283" t="s">
        <v>28</v>
      </c>
      <c r="D98" s="5755">
        <v>45546</v>
      </c>
      <c r="E98" s="5756">
        <v>45558</v>
      </c>
      <c r="F98" s="4874" t="s">
        <v>260</v>
      </c>
      <c r="G98" s="4874" t="s">
        <v>46</v>
      </c>
      <c r="H98" s="4874"/>
      <c r="I98" s="4874"/>
      <c r="J98" s="4874" t="s">
        <v>32</v>
      </c>
      <c r="K98" s="5283" t="s">
        <v>10688</v>
      </c>
      <c r="L98" s="4874" t="s">
        <v>11234</v>
      </c>
      <c r="M98" s="5434">
        <v>45560</v>
      </c>
      <c r="N98" s="5602">
        <v>45559</v>
      </c>
      <c r="O98" s="5602">
        <v>45561</v>
      </c>
      <c r="P98" s="4874" t="s">
        <v>11235</v>
      </c>
      <c r="Q98" s="4874" t="s">
        <v>6852</v>
      </c>
      <c r="R98" s="4874" t="s">
        <v>11236</v>
      </c>
      <c r="S98" s="4874"/>
      <c r="T98" s="4874"/>
      <c r="U98" s="4874"/>
      <c r="V98" s="4874"/>
      <c r="W98" s="4874"/>
      <c r="X98" s="5184"/>
      <c r="Y98" s="4874"/>
      <c r="Z98" s="4874"/>
      <c r="AA98" s="4152"/>
      <c r="AB98" s="4152"/>
      <c r="AC98" s="4152"/>
      <c r="AD98" s="4152"/>
      <c r="AE98" s="4152"/>
      <c r="AF98" s="4152"/>
      <c r="AG98" s="4152"/>
      <c r="AH98" s="4152"/>
      <c r="AI98" s="4152"/>
    </row>
    <row r="99" spans="1:35" s="3029" customFormat="1" ht="60" hidden="1">
      <c r="A99" s="3023" t="s">
        <v>622</v>
      </c>
      <c r="B99" s="4422" t="s">
        <v>11237</v>
      </c>
      <c r="C99" s="4422" t="s">
        <v>28</v>
      </c>
      <c r="D99" s="3025">
        <v>45541</v>
      </c>
      <c r="E99" s="3026">
        <v>45558</v>
      </c>
      <c r="F99" s="4422" t="s">
        <v>1828</v>
      </c>
      <c r="G99" s="4422" t="s">
        <v>302</v>
      </c>
      <c r="H99" s="3028">
        <v>45562</v>
      </c>
      <c r="I99" s="2269"/>
      <c r="J99" s="3023" t="s">
        <v>32</v>
      </c>
      <c r="K99" s="3024" t="s">
        <v>1445</v>
      </c>
      <c r="L99" s="5793" t="s">
        <v>11238</v>
      </c>
      <c r="M99" s="5793">
        <v>45562</v>
      </c>
      <c r="N99" s="5793">
        <v>45562</v>
      </c>
      <c r="O99" s="5406">
        <v>45562</v>
      </c>
      <c r="P99" s="5405" t="s">
        <v>11239</v>
      </c>
      <c r="Q99" s="5539" t="s">
        <v>75</v>
      </c>
      <c r="R99" s="5803" t="s">
        <v>11240</v>
      </c>
      <c r="S99" s="5118" t="s">
        <v>67</v>
      </c>
      <c r="T99" s="5277">
        <v>8475</v>
      </c>
      <c r="U99" s="5277">
        <f>7395+710+90-137.5</f>
        <v>8057.5</v>
      </c>
      <c r="V99" s="5277">
        <v>1</v>
      </c>
      <c r="W99" s="5277">
        <f>T99-U99</f>
        <v>417.5</v>
      </c>
      <c r="X99" s="5409">
        <f>W99/U99</f>
        <v>5.1815079118833388E-2</v>
      </c>
      <c r="Y99" s="5277"/>
      <c r="Z99" s="5277"/>
      <c r="AA99" s="4222"/>
      <c r="AB99" s="4222"/>
      <c r="AC99" s="4222"/>
      <c r="AD99" s="4222"/>
      <c r="AE99" s="4222"/>
      <c r="AF99" s="4222"/>
      <c r="AG99" s="4222"/>
      <c r="AH99" s="4222"/>
      <c r="AI99" s="4222"/>
    </row>
    <row r="100" spans="1:35" s="1350" customFormat="1" ht="30" hidden="1">
      <c r="A100" s="3023" t="s">
        <v>1945</v>
      </c>
      <c r="B100" s="3042" t="s">
        <v>11241</v>
      </c>
      <c r="C100" s="2269" t="s">
        <v>28</v>
      </c>
      <c r="D100" s="3025">
        <v>45546</v>
      </c>
      <c r="E100" s="3026">
        <v>45559</v>
      </c>
      <c r="F100" s="4422" t="s">
        <v>167</v>
      </c>
      <c r="G100" s="4422" t="s">
        <v>11242</v>
      </c>
      <c r="H100" s="3025">
        <v>45561</v>
      </c>
      <c r="I100" s="4422"/>
      <c r="J100" s="3023" t="s">
        <v>11243</v>
      </c>
      <c r="K100" s="4425" t="s">
        <v>11244</v>
      </c>
      <c r="L100" s="5793" t="s">
        <v>11245</v>
      </c>
      <c r="M100" s="5124">
        <v>45561</v>
      </c>
      <c r="N100" s="5791">
        <v>45560</v>
      </c>
      <c r="O100" s="5210">
        <v>45561</v>
      </c>
      <c r="P100" s="5405" t="s">
        <v>11246</v>
      </c>
      <c r="Q100" s="5539" t="s">
        <v>75</v>
      </c>
      <c r="R100" s="5118" t="s">
        <v>11247</v>
      </c>
      <c r="S100" s="5277" t="s">
        <v>67</v>
      </c>
      <c r="T100" s="5277">
        <f>225</f>
        <v>225</v>
      </c>
      <c r="U100" s="5277">
        <f>300.7-210.7</f>
        <v>90</v>
      </c>
      <c r="V100" s="5277"/>
      <c r="W100" s="5277">
        <f>T100-U100</f>
        <v>135</v>
      </c>
      <c r="X100" s="5409">
        <f>W100/U100</f>
        <v>1.5</v>
      </c>
      <c r="Y100" s="5277"/>
      <c r="Z100" s="5277"/>
      <c r="AA100" s="52"/>
      <c r="AB100" s="52"/>
      <c r="AC100" s="52"/>
      <c r="AD100" s="52"/>
      <c r="AE100" s="52"/>
      <c r="AF100" s="52"/>
      <c r="AG100" s="52"/>
      <c r="AH100" s="52"/>
      <c r="AI100" s="52"/>
    </row>
    <row r="101" spans="1:35" s="36" customFormat="1" ht="30" hidden="1">
      <c r="A101" s="4970" t="s">
        <v>263</v>
      </c>
      <c r="B101" s="4970" t="s">
        <v>11248</v>
      </c>
      <c r="C101" s="4970" t="s">
        <v>28</v>
      </c>
      <c r="D101" s="5804">
        <v>45564</v>
      </c>
      <c r="E101" s="5805">
        <v>45559</v>
      </c>
      <c r="F101" s="4970" t="s">
        <v>151</v>
      </c>
      <c r="G101" s="4970" t="s">
        <v>6295</v>
      </c>
      <c r="H101" s="3044">
        <v>45566</v>
      </c>
      <c r="I101" s="4970" t="s">
        <v>618</v>
      </c>
      <c r="J101" s="4970" t="s">
        <v>8987</v>
      </c>
      <c r="K101" s="4970" t="s">
        <v>9364</v>
      </c>
      <c r="L101" s="4970" t="s">
        <v>11249</v>
      </c>
      <c r="M101" s="5115">
        <v>45566</v>
      </c>
      <c r="N101" s="5115">
        <v>45561</v>
      </c>
      <c r="O101" s="5115">
        <v>45570</v>
      </c>
      <c r="P101" s="4829" t="s">
        <v>11250</v>
      </c>
      <c r="Q101" s="5806" t="s">
        <v>75</v>
      </c>
      <c r="R101" s="4829" t="s">
        <v>11251</v>
      </c>
      <c r="S101" s="4829" t="s">
        <v>67</v>
      </c>
      <c r="T101" s="5807">
        <v>2228.12</v>
      </c>
      <c r="U101" s="4970">
        <f>131.12+1721.5+67</f>
        <v>1919.62</v>
      </c>
      <c r="V101" s="4970">
        <v>1</v>
      </c>
      <c r="W101" s="5807">
        <f>T101-U101</f>
        <v>308.5</v>
      </c>
      <c r="X101" s="5213">
        <f>W101/U101</f>
        <v>0.16070889030120544</v>
      </c>
      <c r="Y101" s="4970"/>
      <c r="Z101" s="4970"/>
    </row>
    <row r="102" spans="1:35" s="36" customFormat="1" ht="30" hidden="1">
      <c r="A102" s="4091" t="s">
        <v>263</v>
      </c>
      <c r="B102" s="4091" t="s">
        <v>11252</v>
      </c>
      <c r="C102" s="4091" t="s">
        <v>28</v>
      </c>
      <c r="D102" s="4426">
        <v>45564</v>
      </c>
      <c r="E102" s="5805">
        <v>45559</v>
      </c>
      <c r="F102" s="4091" t="s">
        <v>151</v>
      </c>
      <c r="G102" s="4091" t="s">
        <v>6295</v>
      </c>
      <c r="H102" s="1221">
        <v>45565</v>
      </c>
      <c r="I102" s="4091" t="s">
        <v>618</v>
      </c>
      <c r="J102" s="4091" t="s">
        <v>8987</v>
      </c>
      <c r="K102" s="4091" t="s">
        <v>9364</v>
      </c>
      <c r="L102" s="4970" t="s">
        <v>11253</v>
      </c>
      <c r="M102" s="1317">
        <v>45566</v>
      </c>
      <c r="N102" s="1317">
        <v>45562</v>
      </c>
      <c r="O102" s="1317">
        <v>45570</v>
      </c>
      <c r="P102" s="4829" t="s">
        <v>11254</v>
      </c>
      <c r="Q102" s="5806" t="s">
        <v>75</v>
      </c>
      <c r="R102" s="4829" t="s">
        <v>11255</v>
      </c>
      <c r="S102" s="4829" t="s">
        <v>67</v>
      </c>
      <c r="T102" s="5807">
        <v>2283.12</v>
      </c>
      <c r="U102" s="4970">
        <f>1975.36+67+131.12</f>
        <v>2173.48</v>
      </c>
      <c r="V102" s="4970">
        <v>1</v>
      </c>
      <c r="W102" s="5807">
        <f>T102-U102</f>
        <v>109.63999999999987</v>
      </c>
      <c r="X102" s="5213">
        <f>W102/U102</f>
        <v>5.0444448534147944E-2</v>
      </c>
      <c r="Y102" s="4970"/>
      <c r="Z102" s="4970"/>
      <c r="AA102" s="3"/>
      <c r="AB102" s="3"/>
      <c r="AC102" s="3"/>
      <c r="AD102" s="3"/>
      <c r="AE102" s="3"/>
      <c r="AF102" s="3"/>
      <c r="AG102" s="3"/>
      <c r="AH102" s="3"/>
      <c r="AI102" s="3"/>
    </row>
    <row r="103" spans="1:35" s="106" customFormat="1" hidden="1">
      <c r="A103" s="4874" t="s">
        <v>409</v>
      </c>
      <c r="B103" s="5808" t="s">
        <v>11256</v>
      </c>
      <c r="C103" s="5283" t="s">
        <v>28</v>
      </c>
      <c r="D103" s="5755">
        <v>45545</v>
      </c>
      <c r="E103" s="5756">
        <v>45560</v>
      </c>
      <c r="F103" s="4874" t="s">
        <v>260</v>
      </c>
      <c r="G103" s="5516" t="s">
        <v>46</v>
      </c>
      <c r="H103" s="4874"/>
      <c r="I103" s="4874"/>
      <c r="J103" s="4874" t="s">
        <v>32</v>
      </c>
      <c r="K103" s="5283" t="s">
        <v>10688</v>
      </c>
      <c r="L103" s="4874" t="s">
        <v>11257</v>
      </c>
      <c r="M103" s="5602">
        <v>45563</v>
      </c>
      <c r="N103" s="5602">
        <v>45561</v>
      </c>
      <c r="O103" s="5602">
        <v>45562</v>
      </c>
      <c r="P103" s="4874" t="s">
        <v>11258</v>
      </c>
      <c r="Q103" s="4874" t="s">
        <v>6852</v>
      </c>
      <c r="R103" s="4874" t="s">
        <v>11259</v>
      </c>
      <c r="S103" s="4874"/>
      <c r="T103" s="4874"/>
      <c r="U103" s="4874"/>
      <c r="V103" s="4874"/>
      <c r="W103" s="4874"/>
      <c r="X103" s="4874"/>
      <c r="Y103" s="4874"/>
      <c r="Z103" s="4874"/>
      <c r="AA103" s="826"/>
      <c r="AB103" s="826"/>
      <c r="AC103" s="826"/>
      <c r="AD103" s="826"/>
      <c r="AE103" s="826"/>
      <c r="AF103" s="826"/>
      <c r="AG103" s="826"/>
      <c r="AH103" s="826"/>
      <c r="AI103" s="826"/>
    </row>
    <row r="104" spans="1:35" s="52" customFormat="1" hidden="1">
      <c r="A104" s="4874" t="s">
        <v>10857</v>
      </c>
      <c r="B104" s="5754" t="s">
        <v>11260</v>
      </c>
      <c r="C104" s="5283" t="s">
        <v>28</v>
      </c>
      <c r="D104" s="5755">
        <v>45546</v>
      </c>
      <c r="E104" s="3054">
        <v>45560</v>
      </c>
      <c r="F104" s="4874" t="s">
        <v>260</v>
      </c>
      <c r="G104" s="4874" t="s">
        <v>46</v>
      </c>
      <c r="H104" s="106"/>
      <c r="I104" s="4874"/>
      <c r="J104" s="4874" t="s">
        <v>32</v>
      </c>
      <c r="K104" s="5283" t="s">
        <v>10688</v>
      </c>
      <c r="L104" s="4874" t="s">
        <v>11261</v>
      </c>
      <c r="M104" s="1625">
        <v>45560</v>
      </c>
      <c r="N104" s="3002">
        <v>45559</v>
      </c>
      <c r="O104" s="3002">
        <v>45561</v>
      </c>
      <c r="P104" s="4874" t="s">
        <v>11262</v>
      </c>
      <c r="Q104" s="4874" t="s">
        <v>6852</v>
      </c>
      <c r="R104" s="4874" t="s">
        <v>11263</v>
      </c>
      <c r="S104" s="4874"/>
      <c r="T104" s="4874"/>
      <c r="U104" s="4874"/>
      <c r="V104" s="4874"/>
      <c r="W104" s="4874"/>
      <c r="X104" s="5184"/>
      <c r="Y104" s="4874"/>
      <c r="Z104" s="4874"/>
      <c r="AA104" s="106"/>
      <c r="AB104" s="106"/>
      <c r="AC104" s="106"/>
      <c r="AD104" s="106"/>
      <c r="AE104" s="106"/>
      <c r="AF104" s="106"/>
      <c r="AG104" s="106"/>
      <c r="AH104" s="106"/>
      <c r="AI104" s="106"/>
    </row>
    <row r="105" spans="1:35" s="52" customFormat="1" ht="44.25" hidden="1" customHeight="1">
      <c r="A105" s="4874" t="s">
        <v>10857</v>
      </c>
      <c r="B105" s="5796" t="s">
        <v>11264</v>
      </c>
      <c r="C105" s="5283" t="s">
        <v>28</v>
      </c>
      <c r="D105" s="5755">
        <v>45546</v>
      </c>
      <c r="E105" s="3054">
        <v>45560</v>
      </c>
      <c r="F105" s="4874" t="s">
        <v>260</v>
      </c>
      <c r="G105" s="4874" t="s">
        <v>46</v>
      </c>
      <c r="H105" s="4874"/>
      <c r="I105" s="4874"/>
      <c r="J105" s="4874" t="s">
        <v>32</v>
      </c>
      <c r="K105" s="5283" t="s">
        <v>10688</v>
      </c>
      <c r="L105" s="4873">
        <v>330821</v>
      </c>
      <c r="M105" s="1625">
        <v>45563</v>
      </c>
      <c r="N105" s="3002">
        <v>45562</v>
      </c>
      <c r="O105" s="3002">
        <v>45565</v>
      </c>
      <c r="P105" s="4874" t="s">
        <v>11265</v>
      </c>
      <c r="Q105" s="4874" t="s">
        <v>6852</v>
      </c>
      <c r="R105" s="4874" t="s">
        <v>11266</v>
      </c>
      <c r="S105" s="4874"/>
      <c r="T105" s="4874"/>
      <c r="U105" s="4874"/>
      <c r="V105" s="4874"/>
      <c r="W105" s="4874"/>
      <c r="X105" s="5184"/>
      <c r="Y105" s="4874"/>
      <c r="Z105" s="4874"/>
      <c r="AA105" s="106"/>
      <c r="AB105" s="106"/>
      <c r="AC105" s="106"/>
      <c r="AD105" s="106"/>
      <c r="AE105" s="106"/>
      <c r="AF105" s="106"/>
      <c r="AG105" s="106"/>
      <c r="AH105" s="106"/>
      <c r="AI105" s="106"/>
    </row>
    <row r="106" spans="1:35" s="106" customFormat="1" ht="30" hidden="1">
      <c r="A106" s="5483" t="s">
        <v>1134</v>
      </c>
      <c r="B106" s="5130" t="s">
        <v>11267</v>
      </c>
      <c r="C106" s="5483" t="s">
        <v>28</v>
      </c>
      <c r="D106" s="5809">
        <v>45560</v>
      </c>
      <c r="E106" s="5810">
        <v>45560</v>
      </c>
      <c r="F106" s="5483" t="s">
        <v>245</v>
      </c>
      <c r="G106" s="5483" t="s">
        <v>10870</v>
      </c>
      <c r="H106" s="5811">
        <v>45568</v>
      </c>
      <c r="I106" s="5483"/>
      <c r="J106" s="5483" t="s">
        <v>11268</v>
      </c>
      <c r="K106" s="5481" t="s">
        <v>11269</v>
      </c>
      <c r="L106" s="4970"/>
      <c r="M106" s="5812">
        <v>45566</v>
      </c>
      <c r="N106" s="5812">
        <v>45565</v>
      </c>
      <c r="O106" s="5812">
        <v>45567</v>
      </c>
      <c r="P106" s="5483" t="s">
        <v>11270</v>
      </c>
      <c r="Q106" s="5813" t="s">
        <v>75</v>
      </c>
      <c r="R106" s="4874" t="s">
        <v>11271</v>
      </c>
      <c r="S106" s="5483" t="s">
        <v>3350</v>
      </c>
      <c r="T106" s="5483"/>
      <c r="U106" s="5483"/>
      <c r="V106" s="5483">
        <v>1</v>
      </c>
      <c r="W106" s="5283">
        <f>T106-U106</f>
        <v>0</v>
      </c>
      <c r="X106" s="5420" t="e">
        <f>W106/U106</f>
        <v>#DIV/0!</v>
      </c>
      <c r="Y106" s="5483"/>
      <c r="Z106" s="5483"/>
      <c r="AA106" s="52"/>
      <c r="AB106" s="52"/>
      <c r="AC106" s="52"/>
      <c r="AD106" s="52"/>
      <c r="AE106" s="52"/>
      <c r="AF106" s="52"/>
      <c r="AG106" s="52"/>
      <c r="AH106" s="52"/>
      <c r="AI106" s="52"/>
    </row>
    <row r="107" spans="1:35" s="117" customFormat="1" ht="45" hidden="1">
      <c r="A107" s="5806" t="s">
        <v>11128</v>
      </c>
      <c r="B107" s="4970" t="s">
        <v>11272</v>
      </c>
      <c r="C107" s="4970" t="s">
        <v>28</v>
      </c>
      <c r="D107" s="5814">
        <v>45560</v>
      </c>
      <c r="E107" s="5156">
        <v>45560</v>
      </c>
      <c r="F107" s="4970" t="s">
        <v>245</v>
      </c>
      <c r="G107" s="4970" t="s">
        <v>11273</v>
      </c>
      <c r="H107" s="5210">
        <v>45566</v>
      </c>
      <c r="I107" s="5138" t="s">
        <v>672</v>
      </c>
      <c r="J107" s="5251" t="s">
        <v>859</v>
      </c>
      <c r="K107" s="4970" t="s">
        <v>11274</v>
      </c>
      <c r="L107" s="1226" t="s">
        <v>11275</v>
      </c>
      <c r="M107" s="5210">
        <v>45565</v>
      </c>
      <c r="N107" s="5210">
        <v>45565</v>
      </c>
      <c r="O107" s="5654">
        <v>45567</v>
      </c>
      <c r="P107" s="4829" t="s">
        <v>11276</v>
      </c>
      <c r="Q107" s="5806" t="s">
        <v>75</v>
      </c>
      <c r="R107" s="4829" t="s">
        <v>11277</v>
      </c>
      <c r="S107" s="4829" t="s">
        <v>67</v>
      </c>
      <c r="T107" s="5807">
        <v>1340.42</v>
      </c>
      <c r="U107" s="4970">
        <f>900+90+75.42+20</f>
        <v>1085.42</v>
      </c>
      <c r="V107" s="4970">
        <v>1</v>
      </c>
      <c r="W107" s="5807">
        <f>T107-U107</f>
        <v>255</v>
      </c>
      <c r="X107" s="5815">
        <f>W107/U107</f>
        <v>0.23493210001658343</v>
      </c>
      <c r="Y107" s="4970"/>
      <c r="Z107" s="4970"/>
      <c r="AA107" s="4098"/>
      <c r="AB107" s="4098"/>
      <c r="AC107" s="4098"/>
      <c r="AD107" s="4098"/>
      <c r="AE107" s="4098"/>
      <c r="AF107" s="4098"/>
      <c r="AG107" s="4098"/>
      <c r="AH107" s="4098"/>
      <c r="AI107" s="4098"/>
    </row>
    <row r="108" spans="1:35" hidden="1">
      <c r="A108" s="5173" t="s">
        <v>409</v>
      </c>
      <c r="B108" s="5816" t="s">
        <v>11278</v>
      </c>
      <c r="C108" s="5283" t="s">
        <v>28</v>
      </c>
      <c r="D108" s="5684">
        <v>45524</v>
      </c>
      <c r="E108" s="5685">
        <v>45561</v>
      </c>
      <c r="F108" s="4873" t="s">
        <v>260</v>
      </c>
      <c r="G108" s="5283" t="s">
        <v>46</v>
      </c>
      <c r="H108" s="4892"/>
      <c r="I108" s="4892"/>
      <c r="J108" s="4892" t="s">
        <v>32</v>
      </c>
      <c r="K108" s="5283" t="s">
        <v>10688</v>
      </c>
      <c r="L108" s="4872" t="s">
        <v>11279</v>
      </c>
      <c r="M108" s="5602">
        <v>45562</v>
      </c>
      <c r="N108" s="5602">
        <v>45560</v>
      </c>
      <c r="O108" s="5602">
        <v>45562</v>
      </c>
      <c r="P108" s="4892" t="s">
        <v>11280</v>
      </c>
      <c r="Q108" s="4872" t="s">
        <v>6852</v>
      </c>
      <c r="R108" s="4892" t="s">
        <v>11281</v>
      </c>
      <c r="S108" s="4892"/>
      <c r="T108" s="4892"/>
      <c r="U108" s="4892"/>
      <c r="V108" s="4892"/>
      <c r="W108" s="4892"/>
      <c r="X108" s="4892"/>
      <c r="Y108" s="4892"/>
      <c r="Z108" s="4892"/>
      <c r="AA108" s="4152"/>
      <c r="AB108" s="4152"/>
      <c r="AC108" s="4152"/>
      <c r="AD108" s="4152"/>
      <c r="AE108" s="4152"/>
      <c r="AF108" s="4152"/>
      <c r="AG108" s="4152"/>
      <c r="AH108" s="4152"/>
      <c r="AI108" s="4152"/>
    </row>
    <row r="109" spans="1:35" s="3029" customFormat="1" ht="30" hidden="1">
      <c r="A109" s="4886" t="s">
        <v>2489</v>
      </c>
      <c r="B109" s="4886" t="s">
        <v>11282</v>
      </c>
      <c r="C109" s="4886" t="s">
        <v>28</v>
      </c>
      <c r="D109" s="5798">
        <v>45538</v>
      </c>
      <c r="E109" s="5071">
        <v>45562</v>
      </c>
      <c r="F109" s="4886" t="s">
        <v>93</v>
      </c>
      <c r="G109" s="5395" t="s">
        <v>8231</v>
      </c>
      <c r="H109" s="5457">
        <v>45565</v>
      </c>
      <c r="I109" s="5817">
        <v>0.41666666666666669</v>
      </c>
      <c r="J109" s="4886" t="s">
        <v>363</v>
      </c>
      <c r="K109" s="4890" t="s">
        <v>11283</v>
      </c>
      <c r="L109" s="4886">
        <v>4559</v>
      </c>
      <c r="M109" s="5818">
        <v>45566</v>
      </c>
      <c r="N109" s="5457">
        <v>45565</v>
      </c>
      <c r="O109" s="5457">
        <v>45566</v>
      </c>
      <c r="P109" s="4886" t="s">
        <v>11284</v>
      </c>
      <c r="Q109" s="4886" t="s">
        <v>9226</v>
      </c>
      <c r="R109" s="4886" t="s">
        <v>11285</v>
      </c>
      <c r="S109" s="5405" t="s">
        <v>10279</v>
      </c>
      <c r="T109" s="4886">
        <v>900</v>
      </c>
      <c r="U109" s="4886">
        <v>640.5</v>
      </c>
      <c r="V109" s="4886">
        <v>1</v>
      </c>
      <c r="W109" s="4886"/>
      <c r="X109" s="5819"/>
      <c r="Y109" s="4886"/>
      <c r="Z109" s="4886"/>
      <c r="AA109" s="1350"/>
      <c r="AB109" s="1350"/>
      <c r="AC109" s="1350"/>
      <c r="AD109" s="1350"/>
      <c r="AE109" s="1350"/>
      <c r="AF109" s="1350"/>
      <c r="AG109" s="1350"/>
      <c r="AH109" s="1350"/>
      <c r="AI109" s="1350"/>
    </row>
    <row r="110" spans="1:35" s="106" customFormat="1" hidden="1">
      <c r="A110" s="4874" t="s">
        <v>409</v>
      </c>
      <c r="B110" s="5820" t="s">
        <v>11286</v>
      </c>
      <c r="C110" s="4874" t="s">
        <v>28</v>
      </c>
      <c r="D110" s="5755">
        <v>45528</v>
      </c>
      <c r="E110" s="5756">
        <v>45562</v>
      </c>
      <c r="F110" s="4874" t="s">
        <v>151</v>
      </c>
      <c r="G110" s="4874" t="s">
        <v>46</v>
      </c>
      <c r="H110" s="4874"/>
      <c r="I110" s="4874"/>
      <c r="J110" s="4874" t="s">
        <v>32</v>
      </c>
      <c r="K110" s="5283" t="s">
        <v>10688</v>
      </c>
      <c r="L110" s="4874" t="s">
        <v>11287</v>
      </c>
      <c r="M110" s="5602">
        <v>45562</v>
      </c>
      <c r="N110" s="5602">
        <v>45560</v>
      </c>
      <c r="O110" s="5602">
        <v>45561</v>
      </c>
      <c r="P110" s="4874" t="s">
        <v>11288</v>
      </c>
      <c r="Q110" s="4874" t="s">
        <v>6852</v>
      </c>
      <c r="R110" s="106" t="s">
        <v>11289</v>
      </c>
      <c r="S110" s="4874"/>
      <c r="T110" s="4874"/>
      <c r="U110" s="4874"/>
      <c r="V110" s="4874"/>
      <c r="W110" s="4874"/>
      <c r="X110" s="4874"/>
      <c r="Y110" s="4874"/>
      <c r="Z110" s="4874"/>
      <c r="AA110" s="4148"/>
      <c r="AB110" s="4148"/>
      <c r="AC110" s="4148"/>
      <c r="AD110" s="4148"/>
      <c r="AE110" s="4148"/>
      <c r="AF110" s="4148"/>
      <c r="AG110" s="4148"/>
      <c r="AH110" s="4148"/>
      <c r="AI110" s="4148"/>
    </row>
    <row r="111" spans="1:35" hidden="1">
      <c r="A111" s="4874" t="s">
        <v>409</v>
      </c>
      <c r="B111" s="5820" t="s">
        <v>11290</v>
      </c>
      <c r="C111" s="4874" t="s">
        <v>28</v>
      </c>
      <c r="D111" s="5755">
        <v>45548</v>
      </c>
      <c r="E111" s="5756">
        <v>45562</v>
      </c>
      <c r="F111" s="4874" t="s">
        <v>151</v>
      </c>
      <c r="G111" s="4874" t="s">
        <v>46</v>
      </c>
      <c r="H111" s="4874"/>
      <c r="I111" s="4874"/>
      <c r="J111" s="4874" t="s">
        <v>32</v>
      </c>
      <c r="K111" s="5283" t="s">
        <v>10688</v>
      </c>
      <c r="L111" s="4874" t="s">
        <v>11291</v>
      </c>
      <c r="M111" s="5602">
        <v>45563</v>
      </c>
      <c r="N111" s="5602">
        <v>45562</v>
      </c>
      <c r="O111" s="5602">
        <v>45568</v>
      </c>
      <c r="P111" s="4874" t="s">
        <v>11292</v>
      </c>
      <c r="Q111" s="4874" t="s">
        <v>6852</v>
      </c>
      <c r="R111" s="4874" t="s">
        <v>11293</v>
      </c>
      <c r="S111" s="4874"/>
      <c r="T111" s="4874"/>
      <c r="U111" s="4874"/>
      <c r="V111" s="4874"/>
      <c r="W111" s="4874"/>
      <c r="X111" s="4874"/>
      <c r="Y111" s="4874"/>
      <c r="Z111" s="4874"/>
      <c r="AA111" s="4148"/>
      <c r="AB111" s="4148"/>
      <c r="AC111" s="4148"/>
      <c r="AD111" s="4148"/>
      <c r="AE111" s="4148"/>
      <c r="AF111" s="4148"/>
      <c r="AG111" s="4148"/>
      <c r="AH111" s="4148"/>
      <c r="AI111" s="4148"/>
    </row>
    <row r="112" spans="1:35" s="1350" customFormat="1" hidden="1">
      <c r="A112" s="4886" t="s">
        <v>2618</v>
      </c>
      <c r="B112" s="4886" t="s">
        <v>11294</v>
      </c>
      <c r="C112" s="4886" t="s">
        <v>28</v>
      </c>
      <c r="D112" s="5798">
        <v>45562</v>
      </c>
      <c r="E112" s="5798">
        <v>45563</v>
      </c>
      <c r="F112" s="4886" t="s">
        <v>10309</v>
      </c>
      <c r="G112" s="5405" t="s">
        <v>10951</v>
      </c>
      <c r="H112" s="4886"/>
      <c r="I112" s="4886"/>
      <c r="J112" s="4886"/>
      <c r="K112" s="4886"/>
      <c r="L112" s="4886" t="s">
        <v>9917</v>
      </c>
      <c r="M112" s="4886"/>
      <c r="N112" s="5457">
        <v>45565</v>
      </c>
      <c r="O112" s="5457">
        <v>45569</v>
      </c>
      <c r="P112" s="4886" t="s">
        <v>11295</v>
      </c>
      <c r="Q112" s="4886" t="s">
        <v>9226</v>
      </c>
      <c r="R112" s="4886" t="s">
        <v>11296</v>
      </c>
      <c r="S112" s="4886" t="s">
        <v>2373</v>
      </c>
      <c r="T112" s="4886"/>
      <c r="U112" s="4886"/>
      <c r="V112" s="4886"/>
      <c r="W112" s="4886"/>
      <c r="X112" s="4886"/>
      <c r="Y112" s="4886"/>
      <c r="Z112" s="4886"/>
    </row>
    <row r="113" spans="1:35" ht="30">
      <c r="A113" s="5624" t="s">
        <v>1945</v>
      </c>
      <c r="B113" s="5404" t="s">
        <v>11297</v>
      </c>
      <c r="C113" s="5404" t="s">
        <v>28</v>
      </c>
      <c r="D113" s="5520">
        <v>45558</v>
      </c>
      <c r="E113" s="5538">
        <v>45563</v>
      </c>
      <c r="F113" s="5404" t="s">
        <v>98</v>
      </c>
      <c r="G113" s="5404" t="s">
        <v>11242</v>
      </c>
      <c r="H113" s="5520" t="s">
        <v>11298</v>
      </c>
      <c r="I113" s="5404" t="s">
        <v>11243</v>
      </c>
      <c r="J113" s="5624" t="s">
        <v>11243</v>
      </c>
      <c r="K113" s="5405" t="s">
        <v>11299</v>
      </c>
      <c r="L113" s="5783" t="s">
        <v>11300</v>
      </c>
      <c r="M113" s="5791">
        <v>45566</v>
      </c>
      <c r="N113" s="5791">
        <v>45565</v>
      </c>
      <c r="O113" s="5791">
        <v>45565</v>
      </c>
      <c r="P113" s="5405" t="s">
        <v>11301</v>
      </c>
      <c r="Q113" s="5303" t="s">
        <v>75</v>
      </c>
      <c r="R113" s="5404" t="s">
        <v>11302</v>
      </c>
      <c r="S113" s="5404" t="s">
        <v>67</v>
      </c>
      <c r="T113" s="5404">
        <v>225</v>
      </c>
      <c r="U113" s="5404">
        <f>235.36-145.36</f>
        <v>90</v>
      </c>
      <c r="V113" s="5404"/>
      <c r="W113" s="5404">
        <f>T113-U113</f>
        <v>135</v>
      </c>
      <c r="X113" s="5821">
        <f>W113/U113</f>
        <v>1.5</v>
      </c>
      <c r="Y113" s="5404"/>
      <c r="Z113" s="5404"/>
      <c r="AA113"/>
      <c r="AB113"/>
      <c r="AC113"/>
      <c r="AD113"/>
      <c r="AE113"/>
      <c r="AF113"/>
      <c r="AG113"/>
      <c r="AH113"/>
      <c r="AI113"/>
    </row>
    <row r="114" spans="1:35" s="1350" customFormat="1" ht="30" hidden="1">
      <c r="A114" s="5404" t="s">
        <v>409</v>
      </c>
      <c r="B114" s="5797" t="s">
        <v>11303</v>
      </c>
      <c r="C114" s="5404" t="s">
        <v>28</v>
      </c>
      <c r="D114" s="5520">
        <v>45548</v>
      </c>
      <c r="E114" s="5538">
        <v>45563</v>
      </c>
      <c r="F114" s="5404" t="s">
        <v>167</v>
      </c>
      <c r="G114" s="5404" t="s">
        <v>302</v>
      </c>
      <c r="H114" s="5775">
        <v>45567</v>
      </c>
      <c r="I114" s="5775" t="s">
        <v>899</v>
      </c>
      <c r="J114" s="5624" t="s">
        <v>32</v>
      </c>
      <c r="K114" s="5624" t="s">
        <v>11000</v>
      </c>
      <c r="L114" s="5404" t="s">
        <v>11304</v>
      </c>
      <c r="M114" s="5775">
        <v>45566</v>
      </c>
      <c r="N114" s="5775">
        <v>45566</v>
      </c>
      <c r="O114" s="5822">
        <v>45569</v>
      </c>
      <c r="P114" s="5405" t="s">
        <v>11305</v>
      </c>
      <c r="Q114" s="5303" t="s">
        <v>75</v>
      </c>
      <c r="R114" s="5404" t="s">
        <v>11306</v>
      </c>
      <c r="S114" s="5404" t="s">
        <v>10279</v>
      </c>
      <c r="T114" s="5404">
        <v>1365</v>
      </c>
      <c r="U114" s="5404">
        <v>1080</v>
      </c>
      <c r="V114" s="5404"/>
      <c r="W114" s="5404"/>
      <c r="X114" s="5404"/>
      <c r="Y114" s="5404"/>
      <c r="Z114" s="5404"/>
    </row>
    <row r="115" spans="1:35" s="1350" customFormat="1" ht="30" hidden="1">
      <c r="A115" s="5405" t="s">
        <v>2618</v>
      </c>
      <c r="B115" s="5404" t="s">
        <v>11307</v>
      </c>
      <c r="C115" s="5404" t="s">
        <v>451</v>
      </c>
      <c r="D115" s="5380">
        <v>45563</v>
      </c>
      <c r="E115" s="4427">
        <v>45564</v>
      </c>
      <c r="F115" s="5404" t="s">
        <v>260</v>
      </c>
      <c r="G115" s="5405" t="s">
        <v>11308</v>
      </c>
      <c r="H115" s="5404"/>
      <c r="I115" s="5404"/>
      <c r="J115" s="5404"/>
      <c r="K115" s="5404"/>
      <c r="L115" s="5404" t="s">
        <v>9917</v>
      </c>
      <c r="M115" s="5404"/>
      <c r="N115" s="5822">
        <v>45565</v>
      </c>
      <c r="O115" s="5822">
        <v>45576</v>
      </c>
      <c r="P115" s="5404" t="s">
        <v>11309</v>
      </c>
      <c r="Q115" s="5404" t="s">
        <v>9226</v>
      </c>
      <c r="R115" s="5404" t="s">
        <v>11310</v>
      </c>
      <c r="S115" s="5404" t="s">
        <v>1320</v>
      </c>
      <c r="T115" s="5404"/>
      <c r="U115" s="5404"/>
      <c r="V115" s="5404"/>
      <c r="W115" s="5404"/>
      <c r="X115" s="5404"/>
      <c r="Y115" s="5404"/>
      <c r="Z115" s="5404"/>
    </row>
    <row r="116" spans="1:35" s="1350" customFormat="1" ht="30" hidden="1">
      <c r="A116" s="5405" t="s">
        <v>2618</v>
      </c>
      <c r="B116" s="5404" t="s">
        <v>11311</v>
      </c>
      <c r="C116" s="5404" t="s">
        <v>451</v>
      </c>
      <c r="D116" s="5380">
        <v>45563</v>
      </c>
      <c r="E116" s="5380">
        <v>45564</v>
      </c>
      <c r="F116" s="5404" t="s">
        <v>260</v>
      </c>
      <c r="G116" s="5405" t="s">
        <v>11308</v>
      </c>
      <c r="H116" s="5404"/>
      <c r="I116" s="5404"/>
      <c r="J116" s="5404"/>
      <c r="K116" s="5404"/>
      <c r="L116" s="5404" t="s">
        <v>9917</v>
      </c>
      <c r="M116" s="5822">
        <v>45575</v>
      </c>
      <c r="N116" s="5822">
        <v>45573</v>
      </c>
      <c r="O116" s="5822">
        <v>45576</v>
      </c>
      <c r="P116" s="5404" t="s">
        <v>11312</v>
      </c>
      <c r="Q116" s="5404" t="s">
        <v>9226</v>
      </c>
      <c r="R116" s="5404" t="s">
        <v>11313</v>
      </c>
      <c r="S116" s="5404" t="s">
        <v>1320</v>
      </c>
      <c r="T116" s="5404"/>
      <c r="U116" s="5404"/>
      <c r="V116" s="5404"/>
      <c r="W116" s="5404"/>
      <c r="X116" s="5404"/>
      <c r="Y116" s="5404"/>
      <c r="Z116" s="5404"/>
      <c r="AA116" s="650"/>
      <c r="AB116" s="650"/>
      <c r="AC116" s="650"/>
      <c r="AD116" s="650"/>
      <c r="AE116" s="650"/>
      <c r="AF116" s="650"/>
      <c r="AG116" s="650"/>
      <c r="AH116" s="650"/>
      <c r="AI116" s="650"/>
    </row>
    <row r="117" spans="1:35" s="3007" customFormat="1" ht="30" hidden="1">
      <c r="A117" s="5624" t="s">
        <v>165</v>
      </c>
      <c r="B117" s="5624" t="s">
        <v>11314</v>
      </c>
      <c r="C117" s="5404" t="s">
        <v>28</v>
      </c>
      <c r="D117" s="5823">
        <v>45564</v>
      </c>
      <c r="E117" s="5823">
        <v>45564</v>
      </c>
      <c r="F117" s="5404" t="s">
        <v>1357</v>
      </c>
      <c r="G117" s="5405" t="s">
        <v>11315</v>
      </c>
      <c r="H117" s="5520">
        <v>45574</v>
      </c>
      <c r="I117" s="5824">
        <v>0.33333333333333331</v>
      </c>
      <c r="J117" s="5624" t="s">
        <v>1673</v>
      </c>
      <c r="K117" s="5404" t="s">
        <v>9451</v>
      </c>
      <c r="L117" s="4890"/>
      <c r="M117" s="5053">
        <v>45572</v>
      </c>
      <c r="N117" s="5520">
        <v>45569</v>
      </c>
      <c r="O117" s="5520">
        <v>45574</v>
      </c>
      <c r="P117" s="5405" t="s">
        <v>11316</v>
      </c>
      <c r="Q117" s="5303" t="s">
        <v>9226</v>
      </c>
      <c r="R117" s="5404" t="s">
        <v>11317</v>
      </c>
      <c r="S117" s="5404" t="s">
        <v>10279</v>
      </c>
      <c r="T117" s="5404"/>
      <c r="U117" s="5404"/>
      <c r="V117" s="5404"/>
      <c r="W117" s="5404"/>
      <c r="X117" s="5786"/>
      <c r="Y117" s="5404"/>
      <c r="Z117" s="5404"/>
      <c r="AA117" s="4177"/>
      <c r="AB117" s="4177"/>
      <c r="AC117" s="4177"/>
      <c r="AD117" s="4177"/>
      <c r="AE117" s="4177"/>
      <c r="AF117" s="4177"/>
      <c r="AG117" s="4177"/>
      <c r="AH117" s="4177"/>
      <c r="AI117" s="4177"/>
    </row>
    <row r="118" spans="1:35" s="3007" customFormat="1" hidden="1">
      <c r="A118" s="4886" t="s">
        <v>10660</v>
      </c>
      <c r="B118" s="4886" t="s">
        <v>11318</v>
      </c>
      <c r="C118" s="4886" t="s">
        <v>451</v>
      </c>
      <c r="D118" s="5798">
        <v>45564</v>
      </c>
      <c r="E118" s="5798">
        <v>45564</v>
      </c>
      <c r="F118" s="4886" t="s">
        <v>151</v>
      </c>
      <c r="G118" s="5405" t="s">
        <v>11319</v>
      </c>
      <c r="H118" s="4886"/>
      <c r="I118" s="4886"/>
      <c r="J118" s="4886"/>
      <c r="K118" s="4886"/>
      <c r="L118" s="4886" t="s">
        <v>9917</v>
      </c>
      <c r="M118" s="5457">
        <v>45568</v>
      </c>
      <c r="N118" s="5457">
        <v>45565</v>
      </c>
      <c r="O118" s="5457">
        <v>45572</v>
      </c>
      <c r="P118" s="4886" t="s">
        <v>11320</v>
      </c>
      <c r="Q118" s="4886" t="s">
        <v>9226</v>
      </c>
      <c r="R118" s="4886" t="s">
        <v>11321</v>
      </c>
      <c r="S118" s="4886" t="s">
        <v>11197</v>
      </c>
      <c r="T118" s="4886"/>
      <c r="U118" s="4886"/>
      <c r="V118" s="4886"/>
      <c r="W118" s="4886"/>
      <c r="X118" s="4886"/>
      <c r="Y118" s="4886"/>
      <c r="Z118" s="4886"/>
      <c r="AA118" s="4122"/>
      <c r="AB118" s="4122"/>
      <c r="AC118" s="4122"/>
      <c r="AD118" s="4122"/>
      <c r="AE118" s="4122"/>
      <c r="AF118" s="4122"/>
      <c r="AG118" s="4122"/>
      <c r="AH118" s="4122"/>
      <c r="AI118" s="4122"/>
    </row>
    <row r="119" spans="1:35" s="3007" customFormat="1" hidden="1">
      <c r="A119" s="4886" t="s">
        <v>10660</v>
      </c>
      <c r="B119" s="4886" t="s">
        <v>11322</v>
      </c>
      <c r="C119" s="4886" t="s">
        <v>451</v>
      </c>
      <c r="D119" s="5798">
        <v>45564</v>
      </c>
      <c r="E119" s="5798">
        <v>45564</v>
      </c>
      <c r="F119" s="4886" t="s">
        <v>151</v>
      </c>
      <c r="G119" s="5405" t="s">
        <v>11319</v>
      </c>
      <c r="H119" s="4886"/>
      <c r="I119" s="4886"/>
      <c r="J119" s="4886"/>
      <c r="K119" s="4886"/>
      <c r="L119" s="4886" t="s">
        <v>9917</v>
      </c>
      <c r="M119" s="5457">
        <v>45568</v>
      </c>
      <c r="N119" s="5457">
        <v>45565</v>
      </c>
      <c r="O119" s="5457">
        <v>45572</v>
      </c>
      <c r="P119" s="4886" t="s">
        <v>11320</v>
      </c>
      <c r="Q119" s="4886" t="s">
        <v>9226</v>
      </c>
      <c r="R119" s="4886" t="s">
        <v>11321</v>
      </c>
      <c r="S119" s="4886" t="s">
        <v>11197</v>
      </c>
      <c r="T119" s="4886"/>
      <c r="U119" s="4886"/>
      <c r="V119" s="4886"/>
      <c r="W119" s="4886"/>
      <c r="X119" s="4886"/>
      <c r="Y119" s="4886"/>
      <c r="Z119" s="4886"/>
      <c r="AA119" s="4177"/>
      <c r="AB119" s="4177"/>
      <c r="AC119" s="4177"/>
      <c r="AD119" s="4177"/>
      <c r="AE119" s="4177"/>
      <c r="AF119" s="4177"/>
      <c r="AG119" s="4177"/>
      <c r="AH119" s="4177"/>
      <c r="AI119" s="4177"/>
    </row>
    <row r="120" spans="1:35" s="3007" customFormat="1" ht="44.25" hidden="1" customHeight="1">
      <c r="A120" s="4886" t="s">
        <v>10660</v>
      </c>
      <c r="B120" s="4886" t="s">
        <v>11323</v>
      </c>
      <c r="C120" s="4886" t="s">
        <v>451</v>
      </c>
      <c r="D120" s="5798">
        <v>45564</v>
      </c>
      <c r="E120" s="5798">
        <v>45564</v>
      </c>
      <c r="F120" s="4886" t="s">
        <v>151</v>
      </c>
      <c r="G120" s="5405" t="s">
        <v>11319</v>
      </c>
      <c r="H120" s="4886"/>
      <c r="I120" s="4886"/>
      <c r="J120" s="4886"/>
      <c r="K120" s="4886"/>
      <c r="L120" s="4886" t="s">
        <v>9917</v>
      </c>
      <c r="M120" s="5457">
        <v>45568</v>
      </c>
      <c r="N120" s="5457">
        <v>45565</v>
      </c>
      <c r="O120" s="5457">
        <v>45572</v>
      </c>
      <c r="P120" s="4886" t="s">
        <v>11320</v>
      </c>
      <c r="Q120" s="4886" t="s">
        <v>9226</v>
      </c>
      <c r="R120" s="4886" t="s">
        <v>11321</v>
      </c>
      <c r="S120" s="4886" t="s">
        <v>11197</v>
      </c>
      <c r="T120" s="4886"/>
      <c r="U120" s="4886"/>
      <c r="V120" s="4886"/>
      <c r="W120" s="4886"/>
      <c r="X120" s="4886"/>
      <c r="Y120" s="4886"/>
      <c r="Z120" s="4886"/>
      <c r="AA120" s="4177"/>
      <c r="AB120" s="4177"/>
      <c r="AC120" s="4177"/>
      <c r="AD120" s="4177"/>
      <c r="AE120" s="4177"/>
      <c r="AF120" s="4177"/>
      <c r="AG120" s="4177"/>
      <c r="AH120" s="4177"/>
      <c r="AI120" s="4177"/>
    </row>
    <row r="121" spans="1:35" s="106" customFormat="1" hidden="1">
      <c r="A121" s="4874" t="s">
        <v>409</v>
      </c>
      <c r="B121" s="5754" t="s">
        <v>11324</v>
      </c>
      <c r="C121" s="4874" t="s">
        <v>28</v>
      </c>
      <c r="D121" s="5755">
        <v>45548</v>
      </c>
      <c r="E121" s="5756">
        <v>45565</v>
      </c>
      <c r="F121" s="4874" t="s">
        <v>151</v>
      </c>
      <c r="G121" s="4874" t="s">
        <v>46</v>
      </c>
      <c r="H121" s="4874"/>
      <c r="I121" s="4874"/>
      <c r="J121" s="4874" t="s">
        <v>32</v>
      </c>
      <c r="K121" s="5283" t="s">
        <v>10688</v>
      </c>
      <c r="L121" s="106" t="s">
        <v>11325</v>
      </c>
      <c r="M121" s="5602">
        <v>45566</v>
      </c>
      <c r="N121" s="5602">
        <v>45564</v>
      </c>
      <c r="O121" s="5602">
        <v>45567</v>
      </c>
      <c r="P121" s="4874" t="s">
        <v>11326</v>
      </c>
      <c r="Q121" s="4874" t="s">
        <v>6852</v>
      </c>
      <c r="R121" s="4874" t="s">
        <v>11327</v>
      </c>
      <c r="S121" s="4874"/>
      <c r="T121" s="4874"/>
      <c r="U121" s="4874"/>
      <c r="V121" s="4874"/>
      <c r="W121" s="4874"/>
      <c r="X121" s="4874"/>
      <c r="Y121" s="4874"/>
      <c r="Z121" s="4874"/>
    </row>
    <row r="122" spans="1:35" s="106" customFormat="1" hidden="1">
      <c r="A122" s="4874" t="s">
        <v>409</v>
      </c>
      <c r="B122" s="5754" t="s">
        <v>11328</v>
      </c>
      <c r="C122" s="4874" t="s">
        <v>28</v>
      </c>
      <c r="D122" s="5755">
        <v>45548</v>
      </c>
      <c r="E122" s="5756">
        <v>45565</v>
      </c>
      <c r="F122" s="4874" t="s">
        <v>151</v>
      </c>
      <c r="G122" s="4874" t="s">
        <v>46</v>
      </c>
      <c r="H122" s="4874"/>
      <c r="I122" s="4874"/>
      <c r="J122" s="4874" t="s">
        <v>32</v>
      </c>
      <c r="K122" s="5283" t="s">
        <v>10688</v>
      </c>
      <c r="L122" s="4874" t="s">
        <v>11329</v>
      </c>
      <c r="M122" s="5602">
        <v>45563</v>
      </c>
      <c r="N122" s="5602">
        <v>45562</v>
      </c>
      <c r="O122" s="5602">
        <v>45565</v>
      </c>
      <c r="P122" s="4874" t="s">
        <v>11330</v>
      </c>
      <c r="Q122" s="4874" t="s">
        <v>6852</v>
      </c>
      <c r="R122" s="4874" t="s">
        <v>11331</v>
      </c>
      <c r="S122" s="4874"/>
      <c r="T122" s="4874"/>
      <c r="U122" s="4874"/>
      <c r="V122" s="4874"/>
      <c r="W122" s="4874"/>
      <c r="X122" s="4874"/>
      <c r="Y122" s="4874"/>
      <c r="Z122" s="4874"/>
      <c r="AA122"/>
      <c r="AB122"/>
      <c r="AC122"/>
      <c r="AD122"/>
      <c r="AE122"/>
      <c r="AF122"/>
      <c r="AG122"/>
      <c r="AH122"/>
      <c r="AI122"/>
    </row>
    <row r="123" spans="1:35" s="3006" customFormat="1" hidden="1">
      <c r="A123" s="4874" t="s">
        <v>3866</v>
      </c>
      <c r="B123" s="5754" t="s">
        <v>11332</v>
      </c>
      <c r="C123" s="4874" t="s">
        <v>28</v>
      </c>
      <c r="D123" s="5755">
        <v>45548</v>
      </c>
      <c r="E123" s="5756">
        <v>45565</v>
      </c>
      <c r="F123" s="4874" t="s">
        <v>45</v>
      </c>
      <c r="G123" s="4874" t="s">
        <v>46</v>
      </c>
      <c r="H123" s="4874"/>
      <c r="I123" s="4874"/>
      <c r="J123" s="4874" t="s">
        <v>32</v>
      </c>
      <c r="K123" s="5283" t="s">
        <v>10688</v>
      </c>
      <c r="L123" s="4874" t="s">
        <v>11333</v>
      </c>
      <c r="M123" s="5602">
        <v>45563</v>
      </c>
      <c r="N123" s="5602">
        <v>45562</v>
      </c>
      <c r="O123" s="5602">
        <v>45565</v>
      </c>
      <c r="P123" s="4874" t="s">
        <v>11334</v>
      </c>
      <c r="Q123" s="4874" t="s">
        <v>6852</v>
      </c>
      <c r="R123" s="4874" t="s">
        <v>11335</v>
      </c>
      <c r="S123" s="4874"/>
      <c r="T123" s="4874"/>
      <c r="U123" s="4874"/>
      <c r="V123" s="4874"/>
      <c r="W123" s="4874"/>
      <c r="X123" s="4874"/>
      <c r="Y123" s="4874"/>
      <c r="Z123" s="4874"/>
      <c r="AA123" s="4428"/>
      <c r="AB123" s="4428"/>
      <c r="AC123" s="4428"/>
      <c r="AD123" s="4428"/>
      <c r="AE123" s="4428"/>
      <c r="AF123" s="4428"/>
      <c r="AG123" s="4428"/>
      <c r="AH123" s="4428"/>
      <c r="AI123" s="4428"/>
    </row>
    <row r="124" spans="1:35" s="3006" customFormat="1" hidden="1">
      <c r="A124" s="228" t="s">
        <v>556</v>
      </c>
      <c r="B124" s="3018" t="s">
        <v>11336</v>
      </c>
      <c r="C124" s="228" t="s">
        <v>4010</v>
      </c>
      <c r="D124" s="2514"/>
      <c r="E124" s="2514">
        <v>45565</v>
      </c>
      <c r="F124" s="1495"/>
      <c r="G124" s="1495"/>
      <c r="H124" s="228"/>
      <c r="I124" s="228"/>
      <c r="J124" s="228" t="s">
        <v>4010</v>
      </c>
      <c r="K124" s="2908" t="s">
        <v>10688</v>
      </c>
      <c r="L124" s="228"/>
      <c r="M124" s="2912"/>
      <c r="N124" s="3019">
        <v>45565</v>
      </c>
      <c r="O124" s="3019">
        <v>45565</v>
      </c>
      <c r="P124" s="228" t="s">
        <v>11337</v>
      </c>
      <c r="Q124" s="228" t="s">
        <v>6852</v>
      </c>
      <c r="R124" s="228"/>
      <c r="S124" s="228"/>
      <c r="T124" s="228"/>
      <c r="U124" s="228"/>
      <c r="V124" s="228"/>
      <c r="W124" s="228"/>
      <c r="X124" s="2913"/>
      <c r="Y124" s="228"/>
      <c r="Z124" s="228"/>
      <c r="AA124" s="4152"/>
      <c r="AB124" s="4152"/>
      <c r="AC124" s="4152"/>
      <c r="AD124" s="4152"/>
      <c r="AE124" s="4152"/>
      <c r="AF124" s="4152"/>
      <c r="AG124" s="4152"/>
      <c r="AH124" s="4152"/>
      <c r="AI124" s="4152"/>
    </row>
    <row r="125" spans="1:35" s="3006" customFormat="1" hidden="1">
      <c r="A125" s="4874" t="s">
        <v>409</v>
      </c>
      <c r="B125" s="5754" t="s">
        <v>11338</v>
      </c>
      <c r="C125" s="4874" t="s">
        <v>28</v>
      </c>
      <c r="D125" s="5755">
        <v>45548</v>
      </c>
      <c r="E125" s="5756">
        <v>45566</v>
      </c>
      <c r="F125" s="4874" t="s">
        <v>151</v>
      </c>
      <c r="G125" s="4874" t="s">
        <v>46</v>
      </c>
      <c r="H125" s="4874"/>
      <c r="I125" s="4874"/>
      <c r="J125" s="4874" t="s">
        <v>32</v>
      </c>
      <c r="K125" s="5283" t="s">
        <v>10688</v>
      </c>
      <c r="L125" s="4874" t="s">
        <v>11339</v>
      </c>
      <c r="M125" s="5602">
        <v>45565</v>
      </c>
      <c r="N125" s="5602">
        <v>45565</v>
      </c>
      <c r="O125" s="5602">
        <v>45567</v>
      </c>
      <c r="P125" s="4874" t="s">
        <v>11340</v>
      </c>
      <c r="Q125" s="4874" t="s">
        <v>6852</v>
      </c>
      <c r="R125" s="4874" t="s">
        <v>11341</v>
      </c>
      <c r="S125" s="4874"/>
      <c r="T125" s="4874"/>
      <c r="U125" s="4874"/>
      <c r="V125" s="4874"/>
      <c r="W125" s="4874"/>
      <c r="X125" s="4874"/>
      <c r="Y125" s="4874"/>
      <c r="Z125" s="4874"/>
      <c r="AA125" s="4152"/>
      <c r="AB125" s="4152"/>
      <c r="AC125" s="4152"/>
      <c r="AD125" s="4152"/>
      <c r="AE125" s="4152"/>
      <c r="AF125" s="4152"/>
      <c r="AG125" s="4152"/>
      <c r="AH125" s="4152"/>
      <c r="AI125" s="4152"/>
    </row>
    <row r="126" spans="1:35" s="3006" customFormat="1" hidden="1">
      <c r="A126" s="4874" t="s">
        <v>409</v>
      </c>
      <c r="B126" s="5754" t="s">
        <v>11342</v>
      </c>
      <c r="C126" s="4874" t="s">
        <v>28</v>
      </c>
      <c r="D126" s="5755">
        <v>45548</v>
      </c>
      <c r="E126" s="5756">
        <v>45566</v>
      </c>
      <c r="F126" s="4874" t="s">
        <v>151</v>
      </c>
      <c r="G126" s="4874" t="s">
        <v>46</v>
      </c>
      <c r="H126" s="4874"/>
      <c r="I126" s="4874"/>
      <c r="J126" s="4874" t="s">
        <v>32</v>
      </c>
      <c r="K126" s="5283" t="s">
        <v>10688</v>
      </c>
      <c r="L126" s="4874" t="s">
        <v>11343</v>
      </c>
      <c r="M126" s="5602">
        <v>45565</v>
      </c>
      <c r="N126" s="5602">
        <v>45565</v>
      </c>
      <c r="O126" s="5602">
        <v>45567</v>
      </c>
      <c r="P126" s="4874" t="s">
        <v>11344</v>
      </c>
      <c r="Q126" s="4874" t="s">
        <v>6852</v>
      </c>
      <c r="R126" s="4874" t="s">
        <v>11345</v>
      </c>
      <c r="S126" s="4874"/>
      <c r="T126" s="4874"/>
      <c r="U126" s="4874"/>
      <c r="V126" s="4874"/>
      <c r="W126" s="4874"/>
      <c r="X126" s="4874"/>
      <c r="Y126" s="4874"/>
      <c r="Z126" s="4874"/>
      <c r="AA126" s="4152"/>
      <c r="AB126" s="4152"/>
      <c r="AC126" s="4152"/>
      <c r="AD126" s="4152"/>
      <c r="AE126" s="4152"/>
      <c r="AF126" s="4152"/>
      <c r="AG126" s="4152"/>
      <c r="AH126" s="4152"/>
      <c r="AI126" s="4152"/>
    </row>
    <row r="127" spans="1:35" s="3006" customFormat="1" hidden="1">
      <c r="A127" s="4874" t="s">
        <v>3866</v>
      </c>
      <c r="B127" s="5754" t="s">
        <v>11346</v>
      </c>
      <c r="C127" s="5283" t="s">
        <v>28</v>
      </c>
      <c r="D127" s="5755">
        <v>45548</v>
      </c>
      <c r="E127" s="5756">
        <v>45567</v>
      </c>
      <c r="F127" s="4874" t="s">
        <v>45</v>
      </c>
      <c r="G127" s="4874" t="s">
        <v>46</v>
      </c>
      <c r="H127" s="4874"/>
      <c r="I127" s="4874"/>
      <c r="J127" s="4874" t="s">
        <v>32</v>
      </c>
      <c r="K127" s="5283" t="s">
        <v>10688</v>
      </c>
      <c r="L127" s="4874" t="s">
        <v>11347</v>
      </c>
      <c r="M127" s="5602">
        <v>45566</v>
      </c>
      <c r="N127" s="5602">
        <v>45565</v>
      </c>
      <c r="O127" s="5602">
        <v>45567</v>
      </c>
      <c r="P127" s="4874" t="s">
        <v>11348</v>
      </c>
      <c r="Q127" s="4874" t="s">
        <v>6852</v>
      </c>
      <c r="R127" s="106" t="s">
        <v>11349</v>
      </c>
      <c r="S127" s="4874"/>
      <c r="T127" s="4874"/>
      <c r="U127" s="4874"/>
      <c r="V127" s="4874"/>
      <c r="W127" s="4874"/>
      <c r="X127" s="4874"/>
      <c r="Y127" s="4874"/>
      <c r="Z127" s="4874"/>
      <c r="AA127" s="4152"/>
      <c r="AB127" s="4152"/>
      <c r="AC127" s="4152"/>
      <c r="AD127" s="4152"/>
      <c r="AE127" s="4152"/>
      <c r="AF127" s="4152"/>
      <c r="AG127" s="4152"/>
      <c r="AH127" s="4152"/>
      <c r="AI127" s="4152"/>
    </row>
    <row r="128" spans="1:35" s="3006" customFormat="1" hidden="1">
      <c r="A128" s="4874" t="s">
        <v>10857</v>
      </c>
      <c r="B128" s="5754" t="s">
        <v>11350</v>
      </c>
      <c r="C128" s="5283" t="s">
        <v>28</v>
      </c>
      <c r="D128" s="5755">
        <v>45552</v>
      </c>
      <c r="E128" s="5825">
        <v>45569</v>
      </c>
      <c r="F128" s="4874" t="s">
        <v>260</v>
      </c>
      <c r="G128" s="4874" t="s">
        <v>46</v>
      </c>
      <c r="H128" s="4874"/>
      <c r="I128" s="4874"/>
      <c r="J128" s="4874" t="s">
        <v>32</v>
      </c>
      <c r="K128" s="5283" t="s">
        <v>10688</v>
      </c>
      <c r="L128" s="4874" t="s">
        <v>11351</v>
      </c>
      <c r="M128" s="5434">
        <v>45568</v>
      </c>
      <c r="N128" s="5602">
        <v>45566</v>
      </c>
      <c r="O128" s="5602">
        <v>45568</v>
      </c>
      <c r="P128" s="4874" t="s">
        <v>11352</v>
      </c>
      <c r="Q128" s="4874" t="s">
        <v>6852</v>
      </c>
      <c r="R128" s="4874"/>
      <c r="S128" s="4874"/>
      <c r="T128" s="4874"/>
      <c r="U128" s="4874"/>
      <c r="V128" s="4874"/>
      <c r="W128" s="4874"/>
      <c r="X128" s="5184"/>
      <c r="Y128" s="4874"/>
      <c r="Z128" s="4874"/>
      <c r="AA128" s="4152"/>
      <c r="AB128" s="4152"/>
      <c r="AC128" s="4152"/>
      <c r="AD128" s="4152"/>
      <c r="AE128" s="4152"/>
      <c r="AF128" s="4152"/>
      <c r="AG128" s="4152"/>
      <c r="AH128" s="4152"/>
      <c r="AI128" s="4152"/>
    </row>
    <row r="129" spans="1:35" s="106" customFormat="1">
      <c r="A129" s="4874"/>
      <c r="B129" s="4874"/>
      <c r="C129" s="5283"/>
      <c r="D129" s="5755"/>
      <c r="E129" s="5756"/>
      <c r="F129" s="5283"/>
      <c r="G129" s="4874"/>
      <c r="H129" s="4874"/>
      <c r="I129" s="4874"/>
      <c r="J129" s="4874"/>
      <c r="K129" s="5283"/>
      <c r="L129" s="4874"/>
      <c r="M129" s="5434"/>
      <c r="N129" s="4874"/>
      <c r="O129" s="4874"/>
      <c r="P129" s="4874"/>
      <c r="Q129" s="4874"/>
      <c r="R129" s="4874"/>
      <c r="S129" s="4874"/>
      <c r="T129" s="4874"/>
      <c r="U129" s="4874"/>
      <c r="V129" s="4874"/>
      <c r="W129" s="4874"/>
      <c r="X129" s="5184"/>
      <c r="Y129" s="4874"/>
      <c r="Z129" s="4874"/>
    </row>
    <row r="130" spans="1:35" s="106" customFormat="1">
      <c r="A130" s="4874"/>
      <c r="B130" s="4892"/>
      <c r="C130" s="5283"/>
      <c r="D130" s="5485"/>
      <c r="E130" s="5826"/>
      <c r="F130" s="5283"/>
      <c r="G130" s="5283"/>
      <c r="H130" s="4874"/>
      <c r="I130" s="4874"/>
      <c r="J130" s="4874"/>
      <c r="K130" s="5283"/>
      <c r="L130" s="5827"/>
      <c r="M130" s="4874"/>
      <c r="N130" s="4874"/>
      <c r="O130" s="4874"/>
      <c r="P130" s="4874"/>
      <c r="Q130" s="4874"/>
      <c r="R130" s="4874"/>
      <c r="S130" s="4874"/>
      <c r="T130" s="4874"/>
      <c r="U130" s="4874"/>
      <c r="V130" s="4874"/>
      <c r="W130" s="4874"/>
      <c r="X130" s="4874"/>
      <c r="Y130" s="4874"/>
      <c r="Z130" s="4874"/>
    </row>
    <row r="131" spans="1:35" s="106" customFormat="1">
      <c r="A131" s="4874"/>
      <c r="B131" s="4874"/>
      <c r="C131" s="5283"/>
      <c r="D131" s="5755"/>
      <c r="E131" s="5756"/>
      <c r="F131" s="4874"/>
      <c r="G131" s="4874"/>
      <c r="H131" s="4874"/>
      <c r="I131" s="4874"/>
      <c r="J131" s="4874"/>
      <c r="K131" s="5283"/>
      <c r="L131" s="4874"/>
      <c r="M131" s="5120"/>
      <c r="N131" s="4874"/>
      <c r="O131" s="4874"/>
      <c r="P131" s="4874"/>
      <c r="Q131" s="4874"/>
      <c r="R131" s="4874"/>
      <c r="S131" s="4874"/>
      <c r="T131" s="4874"/>
      <c r="U131" s="4874"/>
      <c r="V131" s="4874"/>
      <c r="W131" s="4874"/>
      <c r="X131" s="5184"/>
      <c r="Y131" s="4874"/>
      <c r="Z131" s="4874"/>
    </row>
    <row r="132" spans="1:35" s="3006" customFormat="1" ht="15.75">
      <c r="A132" s="4874"/>
      <c r="B132" s="4892"/>
      <c r="C132" s="5283"/>
      <c r="D132" s="5485"/>
      <c r="E132" s="5826"/>
      <c r="F132" s="5283"/>
      <c r="G132" s="5283"/>
      <c r="H132" s="4874"/>
      <c r="I132" s="4874"/>
      <c r="J132" s="4874"/>
      <c r="K132" s="5283"/>
      <c r="L132" s="5800"/>
      <c r="M132" s="4874"/>
      <c r="N132" s="4874"/>
      <c r="O132" s="4874"/>
      <c r="P132" s="4874"/>
      <c r="Q132" s="4874"/>
      <c r="R132" s="4874"/>
      <c r="S132" s="4874"/>
      <c r="T132" s="4874"/>
      <c r="U132" s="4874"/>
      <c r="V132" s="4874"/>
      <c r="W132" s="4874"/>
      <c r="X132" s="4874"/>
      <c r="Y132" s="4874"/>
      <c r="Z132" s="4874"/>
      <c r="AA132" s="4152"/>
      <c r="AB132" s="4152"/>
      <c r="AC132" s="4152"/>
      <c r="AD132" s="4152"/>
      <c r="AE132" s="4152"/>
      <c r="AF132" s="4152"/>
      <c r="AG132" s="4152"/>
      <c r="AH132" s="4152"/>
      <c r="AI132" s="4152"/>
    </row>
    <row r="133" spans="1:35" s="3006" customFormat="1">
      <c r="A133" s="4874"/>
      <c r="B133" s="4874"/>
      <c r="C133" s="4874"/>
      <c r="D133" s="5755"/>
      <c r="E133" s="5756"/>
      <c r="F133" s="4874"/>
      <c r="G133" s="4874"/>
      <c r="H133" s="4874"/>
      <c r="I133" s="4874"/>
      <c r="J133" s="4874"/>
      <c r="K133" s="5283"/>
      <c r="L133" s="4874"/>
      <c r="M133" s="4874"/>
      <c r="N133" s="4874"/>
      <c r="O133" s="4874"/>
      <c r="P133" s="4874"/>
      <c r="Q133" s="4874"/>
      <c r="R133" s="4874"/>
      <c r="S133" s="4874"/>
      <c r="T133" s="4874"/>
      <c r="U133" s="4874"/>
      <c r="V133" s="4874"/>
      <c r="W133" s="4874"/>
      <c r="X133" s="4874"/>
      <c r="Y133" s="4874"/>
      <c r="Z133" s="4874"/>
      <c r="AA133" s="4152"/>
      <c r="AB133" s="4152"/>
      <c r="AC133" s="4152"/>
      <c r="AD133" s="4152"/>
      <c r="AE133" s="4152"/>
      <c r="AF133" s="4152"/>
      <c r="AG133" s="4152"/>
      <c r="AH133" s="4152"/>
      <c r="AI133" s="4152"/>
    </row>
    <row r="134" spans="1:35" s="106" customFormat="1">
      <c r="A134" s="4874"/>
      <c r="B134" s="4874"/>
      <c r="C134" s="4874"/>
      <c r="D134" s="5755"/>
      <c r="E134" s="5828"/>
      <c r="F134" s="5283"/>
      <c r="G134" s="5283"/>
      <c r="H134" s="4874"/>
      <c r="I134" s="4874"/>
      <c r="J134" s="4874"/>
      <c r="K134" s="5283"/>
      <c r="M134" s="5120"/>
      <c r="N134" s="4874"/>
      <c r="O134" s="4874"/>
      <c r="P134" s="4874"/>
      <c r="Q134" s="4874"/>
      <c r="R134" s="4874"/>
      <c r="S134" s="4874"/>
      <c r="T134" s="4874"/>
      <c r="U134" s="4874"/>
      <c r="V134" s="4874"/>
      <c r="W134" s="4874"/>
      <c r="X134" s="4874"/>
      <c r="Y134" s="4874"/>
      <c r="Z134" s="4874"/>
    </row>
    <row r="135" spans="1:35" s="106" customFormat="1">
      <c r="A135" s="5173"/>
      <c r="B135" s="4892"/>
      <c r="C135" s="5283"/>
      <c r="D135" s="5485"/>
      <c r="E135" s="5499"/>
      <c r="F135" s="4874"/>
      <c r="G135" s="5283"/>
      <c r="H135" s="4874"/>
      <c r="I135" s="4874"/>
      <c r="J135" s="4874"/>
      <c r="K135" s="5283"/>
      <c r="L135" s="4874"/>
      <c r="M135" s="4874"/>
      <c r="N135" s="4874"/>
      <c r="O135" s="4874"/>
      <c r="P135" s="4874"/>
      <c r="Q135" s="4874"/>
      <c r="R135" s="4874"/>
      <c r="S135" s="4874"/>
      <c r="T135" s="4874"/>
      <c r="U135" s="4874"/>
      <c r="V135" s="4874"/>
      <c r="W135" s="4874"/>
      <c r="X135" s="4874"/>
      <c r="Y135" s="4874"/>
      <c r="Z135" s="4874"/>
    </row>
    <row r="136" spans="1:35" s="3006" customFormat="1">
      <c r="A136" s="4971"/>
      <c r="B136" s="4971"/>
      <c r="C136" s="4971"/>
      <c r="D136" s="5771"/>
      <c r="E136" s="5771"/>
      <c r="F136" s="4971"/>
      <c r="G136" s="5481"/>
      <c r="H136" s="4971"/>
      <c r="I136" s="4971"/>
      <c r="J136" s="4971"/>
      <c r="K136" s="4971"/>
      <c r="L136" s="4971" t="s">
        <v>11353</v>
      </c>
      <c r="M136" s="4971"/>
      <c r="N136" s="4971"/>
      <c r="O136" s="4971"/>
      <c r="P136" s="4971"/>
      <c r="Q136" s="4971"/>
      <c r="R136" s="4971"/>
      <c r="S136" s="4971"/>
      <c r="T136" s="4971"/>
      <c r="U136" s="4971"/>
      <c r="V136" s="4971"/>
      <c r="W136" s="4971"/>
      <c r="X136" s="4971"/>
      <c r="Y136" s="4971"/>
      <c r="Z136" s="4971"/>
      <c r="AA136" s="4152"/>
      <c r="AB136" s="4152"/>
      <c r="AC136" s="4152"/>
      <c r="AD136" s="4152"/>
      <c r="AE136" s="4152"/>
      <c r="AF136" s="4152"/>
      <c r="AG136" s="4152"/>
      <c r="AH136" s="4152"/>
      <c r="AI136" s="4152"/>
    </row>
    <row r="137" spans="1:35" s="52" customFormat="1">
      <c r="A137" s="5813"/>
      <c r="B137" s="5483"/>
      <c r="C137" s="5483"/>
      <c r="D137" s="5829"/>
      <c r="E137" s="5829"/>
      <c r="F137" s="5483"/>
      <c r="G137" s="5483"/>
      <c r="H137" s="5483"/>
      <c r="I137" s="5830"/>
      <c r="J137" s="5831"/>
      <c r="K137" s="5483"/>
      <c r="L137" s="5830"/>
      <c r="M137" s="5522"/>
      <c r="N137" s="5522"/>
      <c r="O137" s="5522"/>
      <c r="P137" s="5481"/>
      <c r="Q137" s="5813"/>
      <c r="R137" s="5832"/>
      <c r="S137" s="5481"/>
      <c r="T137" s="5483"/>
      <c r="U137" s="5483"/>
      <c r="V137" s="5483"/>
      <c r="W137" s="5483"/>
      <c r="X137" s="5833"/>
      <c r="Y137" s="5483"/>
      <c r="Z137" s="5483"/>
    </row>
    <row r="138" spans="1:35" s="52" customFormat="1">
      <c r="A138" s="5834"/>
      <c r="B138" s="5834"/>
      <c r="C138" s="5483"/>
      <c r="D138" s="5522"/>
      <c r="E138" s="5533"/>
      <c r="F138" s="5483"/>
      <c r="G138" s="5483"/>
      <c r="H138" s="5522"/>
      <c r="I138" s="5483"/>
      <c r="J138" s="5834"/>
      <c r="K138" s="5481"/>
      <c r="L138" s="5835"/>
      <c r="M138" s="5836"/>
      <c r="N138" s="5522"/>
      <c r="O138" s="5522"/>
      <c r="P138" s="5481"/>
      <c r="Q138" s="5813"/>
      <c r="R138" s="5832"/>
      <c r="S138" s="5483"/>
      <c r="T138" s="5483"/>
      <c r="U138" s="5483"/>
      <c r="V138" s="5483"/>
      <c r="W138" s="5483"/>
      <c r="X138" s="5833"/>
      <c r="Y138" s="5483"/>
      <c r="Z138" s="5483"/>
    </row>
    <row r="139" spans="1:35">
      <c r="A139" s="5483"/>
      <c r="B139" s="5483"/>
      <c r="C139" s="5483"/>
      <c r="D139" s="5483"/>
      <c r="E139" s="5809"/>
      <c r="F139" s="5483"/>
      <c r="G139" s="5483"/>
      <c r="H139" s="5483"/>
      <c r="I139" s="5483"/>
      <c r="J139" s="5483"/>
      <c r="K139" s="5483"/>
      <c r="L139" s="5483"/>
      <c r="M139" s="5481"/>
      <c r="N139" s="5483"/>
      <c r="O139" s="5483"/>
      <c r="P139" s="4148"/>
      <c r="Q139" s="5813"/>
      <c r="R139" s="5832"/>
      <c r="S139" s="5481"/>
      <c r="T139" s="5483"/>
      <c r="U139" s="5483"/>
      <c r="V139" s="5483"/>
      <c r="W139" s="5483"/>
      <c r="X139" s="5833"/>
      <c r="Y139" s="5483"/>
      <c r="Z139" s="5483"/>
      <c r="AA139" s="4148"/>
      <c r="AB139" s="4148"/>
      <c r="AC139" s="4148"/>
      <c r="AD139" s="4148"/>
      <c r="AE139" s="4148"/>
      <c r="AF139" s="4148"/>
      <c r="AG139" s="4148"/>
      <c r="AH139" s="4148"/>
      <c r="AI139" s="4148"/>
    </row>
    <row r="140" spans="1:35">
      <c r="A140" s="5483"/>
      <c r="B140" s="5483"/>
      <c r="C140" s="5483"/>
      <c r="D140" s="5809"/>
      <c r="E140" s="5809"/>
      <c r="F140" s="5483"/>
      <c r="G140" s="5483"/>
      <c r="H140" s="5483"/>
      <c r="I140" s="5483"/>
      <c r="J140" s="5483"/>
      <c r="K140" s="5483"/>
      <c r="L140" s="5483"/>
      <c r="M140" s="5481"/>
      <c r="N140" s="5483"/>
      <c r="O140" s="5483"/>
      <c r="P140" s="5483"/>
      <c r="Q140" s="5813"/>
      <c r="R140" s="5832"/>
      <c r="S140" s="5481"/>
      <c r="T140" s="5483"/>
      <c r="U140" s="5483"/>
      <c r="V140" s="5483"/>
      <c r="W140" s="5483"/>
      <c r="X140" s="5833"/>
      <c r="Y140" s="5483"/>
      <c r="Z140" s="5483"/>
      <c r="AA140" s="4148"/>
      <c r="AB140" s="4148"/>
      <c r="AC140" s="4148"/>
      <c r="AD140" s="4148"/>
      <c r="AE140" s="4148"/>
      <c r="AF140" s="4148"/>
      <c r="AG140" s="4148"/>
      <c r="AH140" s="4148"/>
      <c r="AI140" s="4148"/>
    </row>
    <row r="141" spans="1:35">
      <c r="A141" s="5834"/>
      <c r="B141" s="5834"/>
      <c r="C141" s="5483"/>
      <c r="D141" s="5522"/>
      <c r="E141" s="5533"/>
      <c r="F141" s="5483"/>
      <c r="G141" s="5483"/>
      <c r="H141" s="5483"/>
      <c r="I141" s="5483"/>
      <c r="J141" s="5834"/>
      <c r="K141" s="5481"/>
      <c r="L141" s="5810"/>
      <c r="M141" s="5522"/>
      <c r="N141" s="5522"/>
      <c r="O141" s="5522"/>
      <c r="P141" s="5481"/>
      <c r="Q141" s="5813"/>
      <c r="R141" s="5832"/>
      <c r="S141" s="5483"/>
      <c r="T141" s="5483"/>
      <c r="U141" s="5483"/>
      <c r="V141" s="5483"/>
      <c r="W141" s="5483"/>
      <c r="X141" s="5837"/>
      <c r="Y141" s="5483"/>
      <c r="Z141" s="5483"/>
      <c r="AA141" s="4148"/>
      <c r="AB141" s="4148"/>
      <c r="AC141" s="4148"/>
      <c r="AD141" s="4148"/>
      <c r="AE141" s="4148"/>
      <c r="AF141" s="4148"/>
      <c r="AG141" s="4148"/>
      <c r="AH141" s="4148"/>
      <c r="AI141" s="4148"/>
    </row>
    <row r="142" spans="1:35">
      <c r="A142" s="5483"/>
      <c r="B142" s="5838"/>
      <c r="C142" s="5483"/>
      <c r="D142" s="5522"/>
      <c r="E142" s="5533"/>
      <c r="F142" s="5483"/>
      <c r="G142" s="5483"/>
      <c r="H142" s="5810"/>
      <c r="I142" s="5810"/>
      <c r="J142" s="5834"/>
      <c r="K142" s="5834"/>
      <c r="L142" s="5483"/>
      <c r="M142" s="5483"/>
      <c r="N142" s="5483"/>
      <c r="O142" s="5483"/>
      <c r="P142" s="5483"/>
      <c r="Q142" s="5813"/>
      <c r="R142" s="5832"/>
      <c r="S142" s="5483"/>
      <c r="T142" s="5483"/>
      <c r="U142" s="5483"/>
      <c r="V142" s="5483"/>
      <c r="W142" s="5483"/>
      <c r="X142" s="5483"/>
      <c r="Y142" s="5483"/>
      <c r="Z142" s="5483"/>
      <c r="AA142" s="4148"/>
      <c r="AB142" s="4148"/>
      <c r="AC142" s="4148"/>
      <c r="AD142" s="4148"/>
      <c r="AE142" s="4148"/>
      <c r="AF142" s="4148"/>
      <c r="AG142" s="4148"/>
      <c r="AH142" s="4148"/>
      <c r="AI142" s="4148"/>
    </row>
    <row r="143" spans="1:35">
      <c r="A143" s="5834"/>
      <c r="B143" s="5834"/>
      <c r="C143" s="5483"/>
      <c r="D143" s="5522"/>
      <c r="E143" s="5533"/>
      <c r="F143" s="5483"/>
      <c r="G143" s="5839"/>
      <c r="H143" s="5483"/>
      <c r="I143" s="5483"/>
      <c r="J143" s="5834"/>
      <c r="K143" s="5481"/>
      <c r="L143" s="5830"/>
      <c r="M143" s="5522"/>
      <c r="N143" s="5522"/>
      <c r="O143" s="5522"/>
      <c r="P143" s="5481"/>
      <c r="Q143" s="5813"/>
      <c r="R143" s="5832"/>
      <c r="S143" s="5483"/>
      <c r="T143" s="5483"/>
      <c r="U143" s="5483"/>
      <c r="V143" s="5483"/>
      <c r="W143" s="5483"/>
      <c r="X143" s="5833"/>
      <c r="Y143" s="5483"/>
      <c r="Z143" s="5483"/>
      <c r="AA143" s="4148"/>
      <c r="AB143" s="4148"/>
      <c r="AC143" s="4148"/>
      <c r="AD143" s="4148"/>
      <c r="AE143" s="4148"/>
      <c r="AF143" s="4148"/>
      <c r="AG143" s="4148"/>
      <c r="AH143" s="4148"/>
      <c r="AI143" s="4148"/>
    </row>
    <row r="144" spans="1:35">
      <c r="A144" s="5834"/>
      <c r="B144" s="5840"/>
      <c r="C144" s="5483"/>
      <c r="D144" s="5522"/>
      <c r="E144" s="5533"/>
      <c r="F144" s="5483"/>
      <c r="G144" s="5483"/>
      <c r="H144" s="5483"/>
      <c r="I144" s="5483"/>
      <c r="J144" s="5834"/>
      <c r="K144" s="5834"/>
      <c r="L144" s="5839"/>
      <c r="M144" s="5481"/>
      <c r="N144" s="5483"/>
      <c r="O144" s="5483"/>
      <c r="P144" s="5481"/>
      <c r="Q144" s="5813"/>
      <c r="R144" s="5832"/>
      <c r="S144" s="5481"/>
      <c r="T144" s="5483"/>
      <c r="U144" s="5483"/>
      <c r="V144" s="5483"/>
      <c r="W144" s="5483"/>
      <c r="X144" s="5483"/>
      <c r="Y144" s="5483"/>
      <c r="Z144" s="5483"/>
      <c r="AA144" s="4148"/>
      <c r="AB144" s="4148"/>
      <c r="AC144" s="4148"/>
      <c r="AD144" s="4148"/>
      <c r="AE144" s="4148"/>
      <c r="AF144" s="4148"/>
      <c r="AG144" s="4148"/>
      <c r="AH144" s="4148"/>
      <c r="AI144" s="4148"/>
    </row>
    <row r="145" spans="1:35">
      <c r="A145" s="5813"/>
      <c r="B145" s="5483"/>
      <c r="C145" s="5483"/>
      <c r="D145" s="5522"/>
      <c r="E145" s="5522"/>
      <c r="F145" s="5483"/>
      <c r="G145" s="5483"/>
      <c r="H145" s="5830"/>
      <c r="I145" s="5830"/>
      <c r="J145" s="5834"/>
      <c r="K145" s="5483"/>
      <c r="L145" s="5830"/>
      <c r="M145" s="5836"/>
      <c r="N145" s="5522"/>
      <c r="O145" s="4148"/>
      <c r="P145" s="5481"/>
      <c r="Q145" s="5813"/>
      <c r="R145" s="5832"/>
      <c r="S145" s="5481"/>
      <c r="T145" s="5483"/>
      <c r="U145" s="5483"/>
      <c r="V145" s="5483"/>
      <c r="W145" s="5483"/>
      <c r="X145" s="5833"/>
      <c r="Y145" s="5483"/>
      <c r="Z145" s="5483"/>
      <c r="AA145" s="4148"/>
      <c r="AB145" s="4148"/>
      <c r="AC145" s="4148"/>
      <c r="AD145" s="4148"/>
      <c r="AE145" s="4148"/>
      <c r="AF145" s="4148"/>
      <c r="AG145" s="4148"/>
      <c r="AH145" s="4148"/>
      <c r="AI145" s="4148"/>
    </row>
    <row r="146" spans="1:35">
      <c r="A146" s="5813"/>
      <c r="B146" s="5834"/>
      <c r="C146" s="5483"/>
      <c r="D146" s="5522"/>
      <c r="E146" s="5522"/>
      <c r="F146" s="5483"/>
      <c r="G146" s="5483"/>
      <c r="H146" s="5830"/>
      <c r="I146" s="5522"/>
      <c r="J146" s="5834"/>
      <c r="K146" s="5483"/>
      <c r="L146" s="5830"/>
      <c r="M146" s="5836"/>
      <c r="N146" s="5522"/>
      <c r="O146" s="5522"/>
      <c r="P146" s="5481"/>
      <c r="Q146" s="5813"/>
      <c r="R146" s="5832"/>
      <c r="S146" s="5481"/>
      <c r="T146" s="5483"/>
      <c r="U146" s="5483"/>
      <c r="V146" s="5483"/>
      <c r="W146" s="5483"/>
      <c r="X146" s="5833"/>
      <c r="Y146" s="5483"/>
      <c r="Z146" s="5483"/>
      <c r="AA146" s="4148"/>
      <c r="AB146" s="4148"/>
      <c r="AC146" s="4148"/>
      <c r="AD146" s="4148"/>
      <c r="AE146" s="4148"/>
      <c r="AF146" s="4148"/>
      <c r="AG146" s="4148"/>
      <c r="AH146" s="4148"/>
      <c r="AI146" s="4148"/>
    </row>
    <row r="147" spans="1:35" s="705" customFormat="1">
      <c r="A147" s="4429"/>
      <c r="B147" s="4429"/>
      <c r="C147" s="4430"/>
      <c r="D147" s="4431"/>
      <c r="E147" s="5533"/>
      <c r="F147" s="4430"/>
      <c r="G147" s="4430"/>
      <c r="H147" s="4429"/>
      <c r="I147" s="4429"/>
      <c r="J147" s="3013"/>
      <c r="K147" s="4430"/>
      <c r="L147" s="4429"/>
      <c r="M147" s="4429"/>
      <c r="N147" s="4429"/>
      <c r="O147" s="3030"/>
      <c r="P147" s="4429"/>
      <c r="Q147" s="3017"/>
      <c r="R147" s="4432"/>
      <c r="S147" s="4429"/>
      <c r="T147" s="4429"/>
      <c r="U147" s="4429"/>
      <c r="V147" s="4429"/>
      <c r="W147" s="4429"/>
      <c r="X147" s="4429"/>
      <c r="Y147" s="4429"/>
      <c r="Z147" s="4429"/>
    </row>
    <row r="148" spans="1:35" s="681" customFormat="1">
      <c r="A148" s="4433"/>
      <c r="B148" s="3031"/>
      <c r="C148" s="4433"/>
      <c r="D148" s="4434"/>
      <c r="E148" s="4434"/>
      <c r="F148" s="4433"/>
      <c r="G148" s="4433"/>
      <c r="H148" s="3011"/>
      <c r="I148" s="3011"/>
      <c r="J148" s="3009"/>
      <c r="K148" s="3009"/>
      <c r="L148" s="4433"/>
      <c r="M148" s="4435"/>
      <c r="N148" s="4433"/>
      <c r="O148" s="4433"/>
      <c r="P148" s="4433"/>
      <c r="Q148" s="3015"/>
      <c r="R148" s="4436"/>
      <c r="S148" s="4433"/>
      <c r="T148" s="4433"/>
      <c r="U148" s="4433"/>
      <c r="V148" s="4433"/>
      <c r="W148" s="4433"/>
      <c r="X148" s="4433"/>
      <c r="Y148" s="4433"/>
      <c r="Z148" s="4433"/>
    </row>
    <row r="149" spans="1:35" s="681" customFormat="1">
      <c r="A149" s="4433"/>
      <c r="B149" s="4433"/>
      <c r="C149" s="4433"/>
      <c r="D149" s="4434"/>
      <c r="E149" s="4434"/>
      <c r="F149" s="4433"/>
      <c r="G149" s="4433"/>
      <c r="H149" s="4433"/>
      <c r="I149" s="4433"/>
      <c r="J149" s="3012"/>
      <c r="K149" s="4433"/>
      <c r="L149" s="4433"/>
      <c r="M149" s="4435"/>
      <c r="N149" s="4433"/>
      <c r="O149" s="4433"/>
      <c r="P149" s="4433"/>
      <c r="Q149" s="3015"/>
      <c r="R149" s="4436"/>
      <c r="S149" s="4433"/>
      <c r="T149" s="4433"/>
      <c r="U149" s="4433"/>
      <c r="V149" s="4433"/>
      <c r="W149" s="4433"/>
      <c r="X149" s="4433"/>
      <c r="Y149" s="4433"/>
      <c r="Z149" s="4433"/>
    </row>
    <row r="150" spans="1:35" s="681" customFormat="1">
      <c r="A150" s="4433"/>
      <c r="B150" s="4433"/>
      <c r="C150" s="4433"/>
      <c r="D150" s="4434"/>
      <c r="E150" s="4434"/>
      <c r="F150" s="4433"/>
      <c r="G150" s="4433"/>
      <c r="H150" s="4433"/>
      <c r="I150" s="4433"/>
      <c r="J150" s="3009"/>
      <c r="K150" s="4433"/>
      <c r="M150" s="4433"/>
      <c r="N150" s="4433"/>
      <c r="O150" s="3014"/>
      <c r="P150" s="4433"/>
      <c r="Q150" s="3015"/>
      <c r="R150" s="4436"/>
      <c r="S150" s="4433"/>
      <c r="T150" s="4433"/>
      <c r="U150" s="4433"/>
      <c r="V150" s="4433"/>
      <c r="W150" s="4433"/>
      <c r="X150" s="4433"/>
      <c r="Y150" s="4433"/>
      <c r="Z150" s="4433"/>
    </row>
    <row r="151" spans="1:35" s="705" customFormat="1">
      <c r="A151" s="3010"/>
      <c r="B151" s="4437"/>
      <c r="C151" s="4437"/>
      <c r="D151" s="4438"/>
      <c r="E151" s="3032"/>
      <c r="F151" s="4437"/>
      <c r="G151" s="4437"/>
      <c r="H151" s="4437"/>
      <c r="I151" s="4437"/>
      <c r="J151" s="3010"/>
      <c r="K151" s="3010"/>
      <c r="L151" s="1260"/>
      <c r="M151" s="4439"/>
      <c r="N151" s="4438"/>
      <c r="O151" s="4438"/>
      <c r="P151" s="4145"/>
      <c r="Q151" s="3016"/>
      <c r="R151" s="4440"/>
      <c r="S151" s="4145"/>
      <c r="T151" s="4437"/>
      <c r="U151" s="4437"/>
      <c r="V151" s="4437"/>
      <c r="W151" s="4433"/>
      <c r="X151" s="4441"/>
      <c r="Y151" s="4437"/>
      <c r="Z151" s="4437"/>
    </row>
    <row r="152" spans="1:35" s="3036" customFormat="1">
      <c r="A152" s="3009"/>
      <c r="B152" s="3033"/>
      <c r="C152" s="4433"/>
      <c r="D152" s="4434"/>
      <c r="E152" s="3034"/>
      <c r="F152" s="4433"/>
      <c r="G152" s="4433"/>
      <c r="H152" s="4433"/>
      <c r="I152" s="4433"/>
      <c r="J152" s="3012"/>
      <c r="K152" s="3009"/>
      <c r="L152" s="3035"/>
      <c r="M152" s="4435"/>
      <c r="N152" s="4433"/>
      <c r="O152" s="4433"/>
      <c r="P152" s="4435"/>
      <c r="Q152" s="3015"/>
      <c r="R152" s="4436"/>
      <c r="S152" s="4435"/>
      <c r="T152" s="4433"/>
      <c r="U152" s="4433"/>
      <c r="V152" s="4433"/>
      <c r="W152" s="4433"/>
      <c r="X152" s="4433"/>
      <c r="Y152" s="4433"/>
      <c r="Z152" s="4433"/>
      <c r="AA152" s="4433"/>
      <c r="AB152" s="4433"/>
      <c r="AC152" s="4433"/>
      <c r="AD152" s="4433"/>
      <c r="AE152" s="4433"/>
      <c r="AF152" s="4433"/>
      <c r="AG152" s="4433"/>
      <c r="AH152" s="4433"/>
      <c r="AI152" s="4433"/>
    </row>
    <row r="153" spans="1:35" s="681" customFormat="1">
      <c r="A153" s="3009"/>
      <c r="B153" s="4433"/>
      <c r="C153" s="3009"/>
      <c r="D153" s="4434"/>
      <c r="E153" s="4434"/>
      <c r="F153" s="4433"/>
      <c r="G153" s="4433"/>
      <c r="H153" s="4433"/>
      <c r="I153" s="4433"/>
      <c r="J153" s="3037"/>
      <c r="K153" s="4433"/>
      <c r="L153" s="3014"/>
      <c r="M153" s="4434"/>
      <c r="N153" s="4434"/>
      <c r="O153" s="4434"/>
      <c r="P153" s="3015"/>
      <c r="Q153" s="3015"/>
      <c r="R153" s="4436"/>
      <c r="S153" s="4435"/>
      <c r="T153" s="4433"/>
      <c r="U153" s="4433"/>
      <c r="V153" s="4433"/>
      <c r="W153" s="4433"/>
      <c r="X153" s="4442"/>
      <c r="Y153" s="4433"/>
      <c r="Z153" s="4433"/>
    </row>
    <row r="154" spans="1:35">
      <c r="A154" s="5483"/>
      <c r="B154" s="5483"/>
      <c r="C154" s="5834"/>
      <c r="D154" s="5522"/>
      <c r="E154" s="5841"/>
      <c r="F154" s="5483"/>
      <c r="G154" s="5483"/>
      <c r="H154" s="5483"/>
      <c r="I154" s="5483"/>
      <c r="J154" s="5831"/>
      <c r="K154" s="5834"/>
      <c r="L154" s="5830"/>
      <c r="M154" s="5481"/>
      <c r="N154" s="5483"/>
      <c r="O154" s="5483"/>
      <c r="P154" s="5481"/>
      <c r="Q154" s="5813"/>
      <c r="R154" s="5832"/>
      <c r="S154" s="5481"/>
      <c r="T154" s="5483"/>
      <c r="U154" s="5483"/>
      <c r="V154" s="5483"/>
      <c r="W154" s="5483"/>
      <c r="X154" s="5483"/>
      <c r="Y154" s="5483"/>
      <c r="Z154" s="5483"/>
      <c r="AA154" s="4148"/>
      <c r="AB154" s="4148"/>
      <c r="AC154" s="4148"/>
      <c r="AD154" s="4148"/>
      <c r="AE154" s="4148"/>
      <c r="AF154" s="4148"/>
      <c r="AG154" s="4148"/>
      <c r="AH154" s="4148"/>
      <c r="AI154" s="4148"/>
    </row>
    <row r="155" spans="1:35">
      <c r="A155" s="5483"/>
      <c r="B155" s="5483"/>
      <c r="C155" s="5834"/>
      <c r="D155" s="5522"/>
      <c r="E155" s="5841"/>
      <c r="F155" s="5483"/>
      <c r="G155" s="5483"/>
      <c r="H155" s="5483"/>
      <c r="I155" s="5483"/>
      <c r="J155" s="5831"/>
      <c r="K155" s="5834"/>
      <c r="L155" s="5830"/>
      <c r="M155" s="5481"/>
      <c r="N155" s="5483"/>
      <c r="O155" s="5483"/>
      <c r="P155" s="5481"/>
      <c r="Q155" s="5813"/>
      <c r="R155" s="5832"/>
      <c r="S155" s="5481"/>
      <c r="T155" s="5483"/>
      <c r="U155" s="5483"/>
      <c r="V155" s="5483"/>
      <c r="W155" s="5483"/>
      <c r="X155" s="5483"/>
      <c r="Y155" s="5483"/>
      <c r="Z155" s="5483"/>
      <c r="AA155" s="4148"/>
      <c r="AB155" s="4148"/>
      <c r="AC155" s="4148"/>
      <c r="AD155" s="4148"/>
      <c r="AE155" s="4148"/>
      <c r="AF155" s="4148"/>
      <c r="AG155" s="4148"/>
      <c r="AH155" s="4148"/>
      <c r="AI155" s="4148"/>
    </row>
    <row r="156" spans="1:35">
      <c r="A156" s="5483"/>
      <c r="B156" s="5483"/>
      <c r="C156" s="5834"/>
      <c r="D156" s="5522"/>
      <c r="E156" s="5841"/>
      <c r="F156" s="5483"/>
      <c r="G156" s="5483"/>
      <c r="H156" s="5483"/>
      <c r="I156" s="5483"/>
      <c r="J156" s="5831"/>
      <c r="K156" s="5834"/>
      <c r="L156" s="5830"/>
      <c r="M156" s="5481"/>
      <c r="N156" s="5483"/>
      <c r="O156" s="5483"/>
      <c r="P156" s="5481"/>
      <c r="Q156" s="5813"/>
      <c r="R156" s="5832"/>
      <c r="S156" s="5481"/>
      <c r="T156" s="5483"/>
      <c r="U156" s="5483"/>
      <c r="V156" s="5483"/>
      <c r="W156" s="5483"/>
      <c r="X156" s="5483"/>
      <c r="Y156" s="5483"/>
      <c r="Z156" s="5483"/>
      <c r="AA156" s="4148"/>
      <c r="AB156" s="4148"/>
      <c r="AC156" s="4148"/>
      <c r="AD156" s="4148"/>
      <c r="AE156" s="4148"/>
      <c r="AF156" s="4148"/>
      <c r="AG156" s="4148"/>
      <c r="AH156" s="4148"/>
      <c r="AI156" s="4148"/>
    </row>
    <row r="157" spans="1:35">
      <c r="A157" s="5483"/>
      <c r="B157" s="5483"/>
      <c r="C157" s="5834"/>
      <c r="D157" s="5522"/>
      <c r="E157" s="5841"/>
      <c r="F157" s="5483"/>
      <c r="G157" s="5483"/>
      <c r="H157" s="5483"/>
      <c r="I157" s="5483"/>
      <c r="J157" s="5831"/>
      <c r="K157" s="5834"/>
      <c r="L157" s="5830"/>
      <c r="M157" s="5481"/>
      <c r="N157" s="5483"/>
      <c r="O157" s="5483"/>
      <c r="P157" s="5481"/>
      <c r="Q157" s="5813"/>
      <c r="R157" s="5832"/>
      <c r="S157" s="5481"/>
      <c r="T157" s="5483"/>
      <c r="U157" s="5483"/>
      <c r="V157" s="5483"/>
      <c r="W157" s="5483"/>
      <c r="X157" s="5483"/>
      <c r="Y157" s="5483"/>
      <c r="Z157" s="5483"/>
      <c r="AA157" s="4148"/>
      <c r="AB157" s="4148"/>
      <c r="AC157" s="4148"/>
      <c r="AD157" s="4148"/>
      <c r="AE157" s="4148"/>
      <c r="AF157" s="4148"/>
      <c r="AG157" s="4148"/>
      <c r="AH157" s="4148"/>
      <c r="AI157" s="4148"/>
    </row>
    <row r="158" spans="1:35">
      <c r="A158" s="5483"/>
      <c r="B158" s="5483"/>
      <c r="C158" s="5834"/>
      <c r="D158" s="5522"/>
      <c r="E158" s="5841"/>
      <c r="F158" s="5483"/>
      <c r="G158" s="5483"/>
      <c r="H158" s="5483"/>
      <c r="I158" s="5483"/>
      <c r="J158" s="5831"/>
      <c r="K158" s="5834"/>
      <c r="L158" s="5830"/>
      <c r="M158" s="5481"/>
      <c r="N158" s="5483"/>
      <c r="O158" s="5483"/>
      <c r="P158" s="5481"/>
      <c r="Q158" s="5813"/>
      <c r="R158" s="5832"/>
      <c r="S158" s="5481"/>
      <c r="T158" s="5483"/>
      <c r="U158" s="5483"/>
      <c r="V158" s="5483"/>
      <c r="W158" s="5483"/>
      <c r="X158" s="5483"/>
      <c r="Y158" s="5483"/>
      <c r="Z158" s="5483"/>
      <c r="AA158" s="4148"/>
      <c r="AB158" s="4148"/>
      <c r="AC158" s="4148"/>
      <c r="AD158" s="4148"/>
      <c r="AE158" s="4148"/>
      <c r="AF158" s="4148"/>
      <c r="AG158" s="4148"/>
      <c r="AH158" s="4148"/>
      <c r="AI158" s="4148"/>
    </row>
    <row r="159" spans="1:35">
      <c r="A159" s="4148"/>
      <c r="B159" s="4148"/>
      <c r="C159" s="4148"/>
      <c r="D159" s="4443"/>
      <c r="E159" s="4443"/>
      <c r="F159" s="4148"/>
      <c r="G159" s="4148"/>
      <c r="H159" s="4148"/>
      <c r="I159" s="4148"/>
      <c r="J159" s="4148"/>
      <c r="K159" s="4148"/>
      <c r="L159" s="4148"/>
      <c r="M159" s="4144"/>
      <c r="N159" s="4148"/>
      <c r="O159" s="4148"/>
      <c r="P159" s="4148"/>
      <c r="Q159" s="4148"/>
      <c r="R159" s="4444"/>
      <c r="S159" s="4148"/>
      <c r="T159" s="4148"/>
      <c r="U159" s="4148"/>
      <c r="V159" s="4148"/>
      <c r="W159" s="4148"/>
      <c r="X159" s="4445"/>
      <c r="Y159" s="4148"/>
      <c r="Z159" s="4148"/>
      <c r="AA159" s="4148"/>
      <c r="AB159" s="4148"/>
      <c r="AC159" s="4148"/>
      <c r="AD159" s="4148"/>
      <c r="AE159" s="4148"/>
      <c r="AF159" s="4148"/>
      <c r="AG159" s="4148"/>
      <c r="AH159" s="4148"/>
      <c r="AI159" s="4148"/>
    </row>
    <row r="160" spans="1:35">
      <c r="A160" s="4148"/>
      <c r="B160" s="4148"/>
      <c r="C160" s="4148"/>
      <c r="D160" s="4443"/>
      <c r="E160" s="4443"/>
      <c r="F160" s="4148"/>
      <c r="G160" s="4148"/>
      <c r="H160" s="4148"/>
      <c r="I160" s="4148"/>
      <c r="J160" s="4148"/>
      <c r="K160" s="4148"/>
      <c r="L160" s="4148"/>
      <c r="M160" s="4144"/>
      <c r="N160" s="4148"/>
      <c r="O160" s="4148"/>
      <c r="P160" s="4148"/>
      <c r="Q160" s="4148"/>
      <c r="R160" s="4444"/>
      <c r="S160" s="4148"/>
      <c r="T160" s="4148"/>
      <c r="U160" s="4148"/>
      <c r="V160" s="4148"/>
      <c r="W160" s="4148"/>
      <c r="X160" s="4445"/>
      <c r="Y160" s="4148"/>
      <c r="Z160" s="4148"/>
      <c r="AA160" s="4148"/>
      <c r="AB160" s="4148"/>
      <c r="AC160" s="4148"/>
      <c r="AD160" s="4148"/>
      <c r="AE160" s="4148"/>
      <c r="AF160" s="4148"/>
      <c r="AG160" s="4148"/>
      <c r="AH160" s="4148"/>
      <c r="AI160" s="4148"/>
    </row>
    <row r="161" spans="1:35">
      <c r="A161" s="4148"/>
      <c r="B161" s="4148"/>
      <c r="C161" s="4148"/>
      <c r="D161" s="4443"/>
      <c r="E161" s="4148"/>
      <c r="F161" s="4148"/>
      <c r="G161" s="4148"/>
      <c r="H161" s="4148"/>
      <c r="I161" s="4148"/>
      <c r="J161" s="4148"/>
      <c r="K161" s="4148"/>
      <c r="L161" s="4148"/>
      <c r="M161" s="4144"/>
      <c r="N161" s="4148"/>
      <c r="O161" s="4148"/>
      <c r="P161" s="4148"/>
      <c r="Q161" s="4148"/>
      <c r="R161" s="4444"/>
      <c r="S161" s="4148"/>
      <c r="T161" s="4148"/>
      <c r="U161" s="4148"/>
      <c r="V161" s="4148"/>
      <c r="W161" s="4148"/>
      <c r="X161" s="4445"/>
      <c r="Y161" s="4148"/>
      <c r="Z161" s="4148"/>
      <c r="AA161" s="4148"/>
      <c r="AB161" s="4148"/>
      <c r="AC161" s="4148"/>
      <c r="AD161" s="4148"/>
      <c r="AE161" s="4148"/>
      <c r="AF161" s="4148"/>
      <c r="AG161" s="4148"/>
      <c r="AH161" s="4148"/>
      <c r="AI161" s="4148"/>
    </row>
    <row r="162" spans="1:35">
      <c r="A162" s="4148"/>
      <c r="B162" s="4148"/>
      <c r="C162" s="4148"/>
      <c r="D162" s="4443"/>
      <c r="E162" s="4443"/>
      <c r="F162" s="4148"/>
      <c r="G162" s="4148"/>
      <c r="H162" s="4148"/>
      <c r="I162" s="4148"/>
      <c r="J162" s="4148"/>
      <c r="K162" s="4148"/>
      <c r="L162" s="4148"/>
      <c r="M162" s="4144"/>
      <c r="N162" s="4148"/>
      <c r="O162" s="4148"/>
      <c r="P162" s="4148"/>
      <c r="Q162" s="4148"/>
      <c r="R162" s="4444"/>
      <c r="S162" s="4148"/>
      <c r="T162" s="4148"/>
      <c r="U162" s="4148"/>
      <c r="V162" s="4148"/>
      <c r="W162" s="4148"/>
      <c r="X162" s="4445"/>
      <c r="Y162" s="4148"/>
      <c r="Z162" s="4148"/>
      <c r="AA162" s="4148"/>
      <c r="AB162" s="4148"/>
      <c r="AC162" s="4148"/>
      <c r="AD162" s="4148"/>
      <c r="AE162" s="4148"/>
      <c r="AF162" s="4148"/>
      <c r="AG162" s="4148"/>
      <c r="AH162" s="4148"/>
      <c r="AI162" s="4148"/>
    </row>
    <row r="163" spans="1:35">
      <c r="A163" s="4148"/>
      <c r="B163" s="4148"/>
      <c r="C163" s="4148"/>
      <c r="D163" s="4443"/>
      <c r="E163" s="4443"/>
      <c r="F163" s="4148"/>
      <c r="G163" s="4148"/>
      <c r="H163" s="4148"/>
      <c r="I163" s="4148"/>
      <c r="J163" s="4148"/>
      <c r="K163" s="4148"/>
      <c r="L163" s="4148"/>
      <c r="M163" s="4144"/>
      <c r="N163" s="4148"/>
      <c r="O163" s="4148"/>
      <c r="P163" s="4148"/>
      <c r="Q163" s="4148"/>
      <c r="R163" s="4444"/>
      <c r="S163" s="4148"/>
      <c r="T163" s="4148"/>
      <c r="U163" s="4148"/>
      <c r="V163" s="4148"/>
      <c r="W163" s="4148"/>
      <c r="X163" s="4445"/>
      <c r="Y163" s="4148"/>
      <c r="Z163" s="4148"/>
      <c r="AA163" s="4148"/>
      <c r="AB163" s="4148"/>
      <c r="AC163" s="4148"/>
      <c r="AD163" s="4148"/>
      <c r="AE163" s="4148"/>
      <c r="AF163" s="4148"/>
      <c r="AG163" s="4148"/>
      <c r="AH163" s="4148"/>
      <c r="AI163" s="4148"/>
    </row>
    <row r="167" spans="1:35">
      <c r="A167" s="4148"/>
      <c r="B167" s="4148"/>
      <c r="C167" s="4148"/>
      <c r="D167" s="4443"/>
      <c r="E167" s="4443"/>
      <c r="F167" s="4148"/>
      <c r="G167" s="4148"/>
      <c r="H167" s="4148"/>
      <c r="I167" s="4148"/>
      <c r="J167" s="4148"/>
      <c r="K167" s="4148"/>
      <c r="L167" s="4148"/>
      <c r="M167" s="4144"/>
      <c r="N167" s="4148"/>
      <c r="O167" s="4148"/>
      <c r="P167" s="4148"/>
      <c r="Q167" s="4148"/>
      <c r="R167" s="4446"/>
      <c r="S167" s="4148"/>
      <c r="T167" s="4148"/>
      <c r="U167" s="4148"/>
      <c r="V167" s="4148"/>
      <c r="W167" s="4148"/>
      <c r="X167" s="4445"/>
      <c r="Y167" s="4148"/>
      <c r="Z167" s="4148"/>
      <c r="AA167" s="4148"/>
      <c r="AB167" s="4148"/>
      <c r="AC167" s="4148"/>
      <c r="AD167" s="4148"/>
      <c r="AE167" s="4148"/>
      <c r="AF167" s="4148"/>
      <c r="AG167" s="4148"/>
      <c r="AH167" s="4148"/>
      <c r="AI167" s="4148"/>
    </row>
    <row r="168" spans="1:35">
      <c r="A168" s="4148"/>
      <c r="B168" s="4148"/>
      <c r="C168" s="4148"/>
      <c r="D168" s="4443"/>
      <c r="E168" s="4443"/>
      <c r="F168" s="4148"/>
      <c r="G168" s="4148"/>
      <c r="H168" s="4148"/>
      <c r="I168" s="4148"/>
      <c r="J168" s="4148"/>
      <c r="K168" s="4148"/>
      <c r="L168" s="4148"/>
      <c r="M168" s="4144"/>
      <c r="N168" s="4148"/>
      <c r="O168" s="4148"/>
      <c r="P168" s="4148"/>
      <c r="Q168" s="4148"/>
      <c r="R168" s="4446"/>
      <c r="S168" s="4148"/>
      <c r="T168" s="4148"/>
      <c r="U168" s="4148"/>
      <c r="V168" s="4148"/>
      <c r="W168" s="4148"/>
      <c r="X168" s="4445"/>
      <c r="Y168" s="4148"/>
      <c r="Z168" s="4148"/>
      <c r="AA168" s="4148"/>
      <c r="AB168" s="4148"/>
      <c r="AC168" s="4148"/>
      <c r="AD168" s="4148"/>
      <c r="AE168" s="4148"/>
      <c r="AF168" s="4148"/>
      <c r="AG168" s="4148"/>
      <c r="AH168" s="4148"/>
      <c r="AI168" s="4148"/>
    </row>
    <row r="169" spans="1:35">
      <c r="A169" s="4148"/>
      <c r="B169" s="4148"/>
      <c r="C169" s="4148"/>
      <c r="D169" s="4443"/>
      <c r="E169" s="4443"/>
      <c r="F169" s="4148"/>
      <c r="G169" s="4148"/>
      <c r="H169" s="4148"/>
      <c r="I169" s="4148"/>
      <c r="J169" s="4148"/>
      <c r="K169" s="4148"/>
      <c r="L169" s="4148"/>
      <c r="M169" s="4144"/>
      <c r="N169" s="4148"/>
      <c r="O169" s="4148"/>
      <c r="P169" s="4148"/>
      <c r="Q169" s="4148"/>
      <c r="R169" s="4446"/>
      <c r="S169" s="4148"/>
      <c r="T169" s="4148"/>
      <c r="U169" s="4148"/>
      <c r="V169" s="4148"/>
      <c r="W169" s="4148"/>
      <c r="X169" s="4445"/>
      <c r="Y169" s="4148"/>
      <c r="Z169" s="4148"/>
      <c r="AA169" s="4148"/>
      <c r="AB169" s="4148"/>
      <c r="AC169" s="4148"/>
      <c r="AD169" s="4148"/>
      <c r="AE169" s="4148"/>
      <c r="AF169" s="4148"/>
      <c r="AG169" s="4148"/>
      <c r="AH169" s="4148"/>
      <c r="AI169" s="4148"/>
    </row>
    <row r="170" spans="1:35">
      <c r="A170" s="4148"/>
      <c r="B170" s="4148"/>
      <c r="C170" s="4148"/>
      <c r="D170" s="4443"/>
      <c r="E170" s="4443"/>
      <c r="F170" s="4148"/>
      <c r="G170" s="4148"/>
      <c r="H170" s="4148"/>
      <c r="I170" s="4148"/>
      <c r="J170" s="4148"/>
      <c r="K170" s="4148"/>
      <c r="L170" s="4148"/>
      <c r="M170" s="4144"/>
      <c r="N170" s="4148"/>
      <c r="O170" s="4148"/>
      <c r="P170" s="4148"/>
      <c r="Q170" s="4148"/>
      <c r="R170" s="4446"/>
      <c r="S170" s="4148"/>
      <c r="T170" s="4148"/>
      <c r="U170" s="4148"/>
      <c r="V170" s="4148"/>
      <c r="W170" s="4148"/>
      <c r="X170" s="4445"/>
      <c r="Y170" s="4148"/>
      <c r="Z170" s="4148"/>
      <c r="AA170" s="4148"/>
      <c r="AB170" s="4148"/>
      <c r="AC170" s="4148"/>
      <c r="AD170" s="4148"/>
      <c r="AE170" s="4148"/>
      <c r="AF170" s="4148"/>
      <c r="AG170" s="4148"/>
      <c r="AH170" s="4148"/>
      <c r="AI170" s="4148"/>
    </row>
    <row r="171" spans="1:35">
      <c r="A171" s="4148"/>
      <c r="B171" s="4148"/>
      <c r="C171" s="4148"/>
      <c r="D171" s="4443"/>
      <c r="E171" s="4443"/>
      <c r="F171" s="4148"/>
      <c r="G171" s="4148"/>
      <c r="H171" s="4148"/>
      <c r="I171" s="4148"/>
      <c r="J171" s="4148"/>
      <c r="K171" s="4148"/>
      <c r="L171" s="4148"/>
      <c r="M171" s="4144"/>
      <c r="N171" s="4148"/>
      <c r="O171" s="4148"/>
      <c r="P171" s="4148"/>
      <c r="Q171" s="4148"/>
      <c r="R171" s="4446"/>
      <c r="S171" s="4148"/>
      <c r="T171" s="4148"/>
      <c r="U171" s="4148"/>
      <c r="V171" s="4148"/>
      <c r="W171" s="4148"/>
      <c r="X171" s="4445"/>
      <c r="Y171" s="4148"/>
      <c r="Z171" s="4148"/>
      <c r="AA171" s="4148"/>
      <c r="AB171" s="4148"/>
      <c r="AC171" s="4148"/>
      <c r="AD171" s="4148"/>
      <c r="AE171" s="4148"/>
      <c r="AF171" s="4148"/>
      <c r="AG171" s="4148"/>
      <c r="AH171" s="4148"/>
      <c r="AI171" s="4148"/>
    </row>
    <row r="172" spans="1:35">
      <c r="A172" s="4148"/>
      <c r="B172" s="4148"/>
      <c r="C172" s="4148"/>
      <c r="D172" s="4443"/>
      <c r="E172" s="4443"/>
      <c r="F172" s="4148"/>
      <c r="G172" s="4148"/>
      <c r="H172" s="4148"/>
      <c r="I172" s="4148"/>
      <c r="J172" s="4148"/>
      <c r="K172" s="4148"/>
      <c r="L172" s="4148"/>
      <c r="M172" s="4144"/>
      <c r="N172" s="4148"/>
      <c r="O172" s="4148"/>
      <c r="P172" s="4148"/>
      <c r="Q172" s="4148"/>
      <c r="R172" s="4446"/>
      <c r="S172" s="4148"/>
      <c r="T172" s="4148"/>
      <c r="U172" s="4148"/>
      <c r="V172" s="4148"/>
      <c r="W172" s="4148"/>
      <c r="X172" s="4445"/>
      <c r="Y172" s="4148"/>
      <c r="Z172" s="4148"/>
      <c r="AA172" s="4148"/>
      <c r="AB172" s="4148"/>
      <c r="AC172" s="4148"/>
      <c r="AD172" s="4148"/>
      <c r="AE172" s="4148"/>
      <c r="AF172" s="4148"/>
      <c r="AG172" s="4148"/>
      <c r="AH172" s="4148"/>
      <c r="AI172" s="4148"/>
    </row>
    <row r="173" spans="1:35">
      <c r="A173" s="4148"/>
      <c r="B173" s="4148"/>
      <c r="C173" s="4148"/>
      <c r="D173" s="4443"/>
      <c r="E173" s="4443"/>
      <c r="F173" s="4148"/>
      <c r="G173" s="4148"/>
      <c r="H173" s="4148"/>
      <c r="I173" s="4148"/>
      <c r="J173" s="4148"/>
      <c r="K173" s="4148"/>
      <c r="L173" s="4148"/>
      <c r="M173" s="4144"/>
      <c r="N173" s="4148"/>
      <c r="O173" s="4148"/>
      <c r="P173" s="4148"/>
      <c r="Q173" s="4148"/>
      <c r="R173" s="4446"/>
      <c r="S173" s="4148"/>
      <c r="T173" s="4148"/>
      <c r="U173" s="4148"/>
      <c r="V173" s="4148"/>
      <c r="W173" s="4148"/>
      <c r="X173" s="4445"/>
      <c r="Y173" s="4148"/>
      <c r="Z173" s="4148"/>
      <c r="AA173" s="4148"/>
      <c r="AB173" s="4148"/>
      <c r="AC173" s="4148"/>
      <c r="AD173" s="4148"/>
      <c r="AE173" s="4148"/>
      <c r="AF173" s="4148"/>
      <c r="AG173" s="4148"/>
      <c r="AH173" s="4148"/>
      <c r="AI173" s="4148"/>
    </row>
    <row r="174" spans="1:35">
      <c r="A174" s="4148"/>
      <c r="B174" s="4148"/>
      <c r="C174" s="4148"/>
      <c r="D174" s="4443"/>
      <c r="E174" s="4443"/>
      <c r="F174" s="4148"/>
      <c r="G174" s="4148"/>
      <c r="H174" s="4148"/>
      <c r="I174" s="4148"/>
      <c r="J174" s="4148"/>
      <c r="K174" s="4148"/>
      <c r="L174" s="4148"/>
      <c r="M174" s="4144"/>
      <c r="N174" s="4148"/>
      <c r="O174" s="4148"/>
      <c r="P174" s="4148"/>
      <c r="Q174" s="4148"/>
      <c r="R174" s="4446"/>
      <c r="S174" s="4148"/>
      <c r="T174" s="4148"/>
      <c r="U174" s="4148"/>
      <c r="V174" s="4148"/>
      <c r="W174" s="4148"/>
      <c r="X174" s="4445"/>
      <c r="Y174" s="4148"/>
      <c r="Z174" s="4148"/>
      <c r="AA174" s="4148"/>
      <c r="AB174" s="4148"/>
      <c r="AC174" s="4148"/>
      <c r="AD174" s="4148"/>
      <c r="AE174" s="4148"/>
      <c r="AF174" s="4148"/>
      <c r="AG174" s="4148"/>
      <c r="AH174" s="4148"/>
      <c r="AI174" s="4148"/>
    </row>
    <row r="175" spans="1:35">
      <c r="A175" s="4148"/>
      <c r="B175" s="4148"/>
      <c r="C175" s="4148"/>
      <c r="D175" s="4443"/>
      <c r="E175" s="4443"/>
      <c r="F175" s="4148"/>
      <c r="G175" s="4148"/>
      <c r="H175" s="4148"/>
      <c r="I175" s="4148"/>
      <c r="J175" s="4148"/>
      <c r="K175" s="4148"/>
      <c r="L175" s="4148"/>
      <c r="M175" s="4144"/>
      <c r="N175" s="4148"/>
      <c r="O175" s="4148"/>
      <c r="P175" s="4148"/>
      <c r="Q175" s="4148"/>
      <c r="R175" s="4446"/>
      <c r="S175" s="4148"/>
      <c r="T175" s="4148"/>
      <c r="U175" s="4148"/>
      <c r="V175" s="4148"/>
      <c r="W175" s="4148"/>
      <c r="X175" s="4445"/>
      <c r="Y175" s="4148"/>
      <c r="Z175" s="4148"/>
      <c r="AA175" s="4148"/>
      <c r="AB175" s="4148"/>
      <c r="AC175" s="4148"/>
      <c r="AD175" s="4148"/>
      <c r="AE175" s="4148"/>
      <c r="AF175" s="4148"/>
      <c r="AG175" s="4148"/>
      <c r="AH175" s="4148"/>
      <c r="AI175" s="4148"/>
    </row>
    <row r="176" spans="1:35">
      <c r="A176" s="4148"/>
      <c r="B176" s="4148"/>
      <c r="C176" s="4148"/>
      <c r="D176" s="4443"/>
      <c r="E176" s="4443"/>
      <c r="F176" s="4148"/>
      <c r="G176" s="4148"/>
      <c r="H176" s="4148"/>
      <c r="I176" s="4148"/>
      <c r="J176" s="4148"/>
      <c r="K176" s="4148"/>
      <c r="L176" s="4148"/>
      <c r="M176" s="4144"/>
      <c r="N176" s="4148"/>
      <c r="O176" s="4148"/>
      <c r="P176" s="4148"/>
      <c r="Q176" s="4148"/>
      <c r="R176" s="4446"/>
      <c r="S176" s="4148"/>
      <c r="T176" s="4148"/>
      <c r="U176" s="4148"/>
      <c r="V176" s="4148"/>
      <c r="W176" s="4148"/>
      <c r="X176" s="4445"/>
      <c r="Y176" s="4148"/>
      <c r="Z176" s="4148"/>
      <c r="AA176" s="4148"/>
      <c r="AB176" s="4148"/>
      <c r="AC176" s="4148"/>
      <c r="AD176" s="4148"/>
      <c r="AE176" s="4148"/>
      <c r="AF176" s="4148"/>
      <c r="AG176" s="4148"/>
      <c r="AH176" s="4148"/>
      <c r="AI176" s="4148"/>
    </row>
    <row r="178" spans="1:35">
      <c r="A178" s="4148"/>
      <c r="B178" s="4148"/>
      <c r="C178" s="4148"/>
      <c r="D178" s="4443"/>
      <c r="E178" s="4443"/>
      <c r="F178" s="4148"/>
      <c r="G178" s="4148"/>
      <c r="H178" s="4148"/>
      <c r="I178" s="4148"/>
      <c r="J178" s="4148"/>
      <c r="K178" s="4148"/>
      <c r="L178" s="4148"/>
      <c r="M178" s="4144"/>
      <c r="N178" s="4148"/>
      <c r="O178" s="4148"/>
      <c r="P178" s="4148"/>
      <c r="Q178" s="4148"/>
      <c r="R178" s="4446"/>
      <c r="S178" s="4148"/>
      <c r="T178" s="4148"/>
      <c r="U178" s="4148"/>
      <c r="V178" s="4148"/>
      <c r="W178" s="4148"/>
      <c r="X178" s="4445"/>
      <c r="Y178" s="4148"/>
      <c r="Z178" s="4148"/>
      <c r="AA178" s="4148"/>
      <c r="AB178" s="4148"/>
      <c r="AC178" s="4148"/>
      <c r="AD178" s="4148"/>
      <c r="AE178" s="4148"/>
      <c r="AF178" s="4148"/>
      <c r="AG178" s="4148"/>
      <c r="AH178" s="4148"/>
      <c r="AI178" s="4148"/>
    </row>
  </sheetData>
  <autoFilter ref="A1:Z128" xr:uid="{1D35FDFB-50D8-4D7D-A913-2B73FB77C88D}">
    <filterColumn colId="5">
      <filters>
        <filter val="Matson"/>
      </filters>
    </filterColumn>
  </autoFilter>
  <conditionalFormatting sqref="B1">
    <cfRule type="duplicateValues" dxfId="141" priority="1"/>
  </conditionalFormatting>
  <hyperlinks>
    <hyperlink ref="H45" r:id="rId1" display="https://tas.wydgroup.com?booking_code=Z14JY2" xr:uid="{C242DB71-4C1E-412B-8827-EFF2F2415A71}"/>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3A32A-C62F-48F4-A224-0B3B4A8B052B}">
  <dimension ref="A1"/>
  <sheetViews>
    <sheetView workbookViewId="0"/>
  </sheetViews>
  <sheetFormatPr defaultRowHeight="1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025EF-9A3B-42D8-96CF-A028C6ECB33A}">
  <sheetPr filterMode="1"/>
  <dimension ref="A1:AA154"/>
  <sheetViews>
    <sheetView zoomScale="85" zoomScaleNormal="85" workbookViewId="0">
      <pane xSplit="7" ySplit="1" topLeftCell="H107" activePane="bottomRight" state="frozen"/>
      <selection pane="bottomRight" activeCell="A130" sqref="A130"/>
      <selection pane="bottomLeft"/>
      <selection pane="topRight"/>
    </sheetView>
  </sheetViews>
  <sheetFormatPr defaultColWidth="9.125" defaultRowHeight="15"/>
  <cols>
    <col min="1" max="1" width="25.75" customWidth="1"/>
    <col min="2" max="2" width="18" customWidth="1"/>
    <col min="4" max="5" width="14" customWidth="1"/>
    <col min="6" max="6" width="15.125" customWidth="1"/>
    <col min="7" max="7" width="26.375" customWidth="1"/>
    <col min="8" max="8" width="29.25" customWidth="1"/>
    <col min="9" max="9" width="27" customWidth="1"/>
    <col min="10" max="10" width="15.125" customWidth="1"/>
    <col min="11" max="11" width="33.25" customWidth="1"/>
    <col min="12" max="12" width="22.875" customWidth="1"/>
    <col min="13" max="13" width="14" customWidth="1"/>
    <col min="14" max="14" width="13.625" customWidth="1"/>
    <col min="15" max="15" width="10.875" bestFit="1" customWidth="1"/>
    <col min="16" max="16" width="55.125" customWidth="1"/>
    <col min="18" max="18" width="13.875" customWidth="1"/>
    <col min="19" max="19" width="11.125" customWidth="1"/>
    <col min="20" max="21" width="9.875" bestFit="1" customWidth="1"/>
  </cols>
  <sheetData>
    <row r="1" spans="1:27">
      <c r="A1" s="5090" t="s">
        <v>0</v>
      </c>
      <c r="B1" s="5090" t="s">
        <v>1</v>
      </c>
      <c r="C1" s="5090" t="s">
        <v>2</v>
      </c>
      <c r="D1" s="5090" t="s">
        <v>3</v>
      </c>
      <c r="E1" s="5091" t="s">
        <v>4</v>
      </c>
      <c r="F1" s="5090" t="s">
        <v>5</v>
      </c>
      <c r="G1" s="5842" t="s">
        <v>6</v>
      </c>
      <c r="H1" s="5842" t="s">
        <v>7</v>
      </c>
      <c r="I1" s="5842" t="s">
        <v>8</v>
      </c>
      <c r="J1" s="5842" t="s">
        <v>9</v>
      </c>
      <c r="K1" s="5092" t="s">
        <v>10</v>
      </c>
      <c r="L1" s="5092" t="s">
        <v>11</v>
      </c>
      <c r="M1" s="5091" t="s">
        <v>12</v>
      </c>
      <c r="N1" s="5090" t="s">
        <v>13</v>
      </c>
      <c r="O1" s="5090" t="s">
        <v>14</v>
      </c>
      <c r="P1" s="5477" t="s">
        <v>15</v>
      </c>
      <c r="Q1" s="5095" t="s">
        <v>16</v>
      </c>
      <c r="R1" s="5095" t="s">
        <v>17</v>
      </c>
      <c r="S1" s="5477" t="s">
        <v>18</v>
      </c>
      <c r="T1" s="5096" t="s">
        <v>19</v>
      </c>
      <c r="U1" s="5095" t="s">
        <v>20</v>
      </c>
      <c r="V1" s="5095" t="s">
        <v>21</v>
      </c>
      <c r="W1" s="5095" t="s">
        <v>22</v>
      </c>
      <c r="X1" s="5097" t="s">
        <v>23</v>
      </c>
      <c r="Y1" s="5097" t="s">
        <v>24</v>
      </c>
      <c r="Z1" s="5097" t="s">
        <v>25</v>
      </c>
    </row>
    <row r="2" spans="1:27" ht="60" hidden="1">
      <c r="A2" s="5624" t="s">
        <v>1945</v>
      </c>
      <c r="B2" s="5624" t="s">
        <v>11354</v>
      </c>
      <c r="C2" s="5404" t="s">
        <v>28</v>
      </c>
      <c r="D2" s="5520">
        <v>45549</v>
      </c>
      <c r="E2" s="5538">
        <v>45566</v>
      </c>
      <c r="F2" s="5404" t="s">
        <v>151</v>
      </c>
      <c r="G2" s="5404" t="s">
        <v>11355</v>
      </c>
      <c r="H2" s="5520">
        <v>45569</v>
      </c>
      <c r="I2" s="5404" t="s">
        <v>926</v>
      </c>
      <c r="J2" s="5624" t="s">
        <v>11174</v>
      </c>
      <c r="K2" s="5405" t="s">
        <v>11356</v>
      </c>
      <c r="L2" s="5843" t="s">
        <v>11357</v>
      </c>
      <c r="M2" s="5774">
        <v>45570</v>
      </c>
      <c r="N2" s="5520">
        <v>45569</v>
      </c>
      <c r="O2" s="5406">
        <v>45569</v>
      </c>
      <c r="P2" s="5405" t="s">
        <v>11358</v>
      </c>
      <c r="Q2" s="5303" t="s">
        <v>75</v>
      </c>
      <c r="R2" s="5405" t="s">
        <v>11359</v>
      </c>
      <c r="S2" s="5404" t="s">
        <v>67</v>
      </c>
      <c r="T2" s="5404">
        <v>1645</v>
      </c>
      <c r="U2" s="4759">
        <v>921.89</v>
      </c>
      <c r="V2" s="4422">
        <v>1</v>
      </c>
      <c r="W2" s="4422">
        <f>T2-U2</f>
        <v>723.11</v>
      </c>
      <c r="X2" s="4447">
        <f>W2/U2</f>
        <v>0.78437774571803576</v>
      </c>
      <c r="Y2" s="4422"/>
      <c r="Z2" s="4422"/>
    </row>
    <row r="3" spans="1:27" hidden="1">
      <c r="A3" s="5404" t="s">
        <v>263</v>
      </c>
      <c r="B3" s="5844" t="s">
        <v>11360</v>
      </c>
      <c r="C3" s="5404" t="s">
        <v>28</v>
      </c>
      <c r="D3" s="5520">
        <v>45566</v>
      </c>
      <c r="E3" s="5520">
        <v>45566</v>
      </c>
      <c r="F3" s="5404" t="s">
        <v>135</v>
      </c>
      <c r="G3" s="5404" t="s">
        <v>10388</v>
      </c>
      <c r="H3" s="5793">
        <v>45573</v>
      </c>
      <c r="I3" s="5265" t="s">
        <v>926</v>
      </c>
      <c r="J3" s="5404" t="s">
        <v>377</v>
      </c>
      <c r="K3" s="5404" t="s">
        <v>10389</v>
      </c>
      <c r="L3" s="5404" t="s">
        <v>11361</v>
      </c>
      <c r="M3" s="5774">
        <v>45573</v>
      </c>
      <c r="N3" s="5406">
        <v>45572</v>
      </c>
      <c r="O3" s="5406">
        <v>45574</v>
      </c>
      <c r="P3" s="5404" t="s">
        <v>11362</v>
      </c>
      <c r="Q3" s="5303" t="s">
        <v>75</v>
      </c>
      <c r="R3" s="5277" t="s">
        <v>11363</v>
      </c>
      <c r="S3" s="5405" t="s">
        <v>67</v>
      </c>
      <c r="T3" s="5404">
        <f>1708.91</f>
        <v>1708.91</v>
      </c>
      <c r="U3" s="4759">
        <f>1187.5+155.16</f>
        <v>1342.66</v>
      </c>
      <c r="V3" s="4422"/>
      <c r="W3" s="4422">
        <f>T3-U3</f>
        <v>366.25</v>
      </c>
      <c r="X3" s="4447">
        <f>W3/U3</f>
        <v>0.2727794080407549</v>
      </c>
      <c r="Y3" s="4422"/>
      <c r="Z3" s="4422"/>
    </row>
    <row r="4" spans="1:27" hidden="1">
      <c r="A4" s="5404" t="s">
        <v>263</v>
      </c>
      <c r="B4" s="5404" t="s">
        <v>11364</v>
      </c>
      <c r="C4" s="5404" t="s">
        <v>28</v>
      </c>
      <c r="D4" s="5520">
        <v>45566</v>
      </c>
      <c r="E4" s="5520">
        <v>45566</v>
      </c>
      <c r="F4" s="5404" t="s">
        <v>135</v>
      </c>
      <c r="G4" s="5404" t="s">
        <v>10388</v>
      </c>
      <c r="H4" s="5775">
        <v>45574</v>
      </c>
      <c r="I4" s="5404" t="s">
        <v>445</v>
      </c>
      <c r="J4" s="5404" t="s">
        <v>377</v>
      </c>
      <c r="K4" s="5404" t="s">
        <v>10389</v>
      </c>
      <c r="L4" s="5404" t="s">
        <v>11365</v>
      </c>
      <c r="M4" s="5774">
        <v>45573</v>
      </c>
      <c r="N4" s="5774">
        <v>45573</v>
      </c>
      <c r="O4" s="5822">
        <v>45579</v>
      </c>
      <c r="P4" s="5404" t="s">
        <v>11366</v>
      </c>
      <c r="Q4" s="5303" t="s">
        <v>75</v>
      </c>
      <c r="R4" s="4838" t="s">
        <v>11367</v>
      </c>
      <c r="S4" s="5405" t="s">
        <v>67</v>
      </c>
      <c r="T4" s="5404">
        <f>2020.16</f>
        <v>2020.16</v>
      </c>
      <c r="U4" s="4759">
        <f>1562.5+155.16</f>
        <v>1717.66</v>
      </c>
      <c r="V4" s="4422"/>
      <c r="W4" s="4422">
        <f>T4-U4</f>
        <v>302.5</v>
      </c>
      <c r="X4" s="4447">
        <f>W4/U4</f>
        <v>0.17611168682975675</v>
      </c>
      <c r="Y4" s="4422"/>
      <c r="Z4" s="4422"/>
    </row>
    <row r="5" spans="1:27" ht="75" hidden="1">
      <c r="A5" s="5405" t="s">
        <v>3866</v>
      </c>
      <c r="B5" s="5405" t="s">
        <v>11368</v>
      </c>
      <c r="C5" s="5405" t="s">
        <v>28</v>
      </c>
      <c r="D5" s="5845">
        <v>45507</v>
      </c>
      <c r="E5" s="5538">
        <v>45567</v>
      </c>
      <c r="F5" s="5405" t="s">
        <v>245</v>
      </c>
      <c r="G5" s="5405" t="s">
        <v>11369</v>
      </c>
      <c r="H5" s="5405" t="s">
        <v>11370</v>
      </c>
      <c r="I5" s="5846">
        <v>0.33333333333333331</v>
      </c>
      <c r="J5" s="5405" t="s">
        <v>11371</v>
      </c>
      <c r="K5" s="5405" t="s">
        <v>11053</v>
      </c>
      <c r="L5" s="5405">
        <v>1535</v>
      </c>
      <c r="M5" s="5847">
        <v>45568</v>
      </c>
      <c r="N5" s="5847">
        <v>45568</v>
      </c>
      <c r="O5" s="5847">
        <v>45569</v>
      </c>
      <c r="P5" s="5405" t="s">
        <v>11372</v>
      </c>
      <c r="Q5" s="5405" t="s">
        <v>9226</v>
      </c>
      <c r="R5" s="5405" t="s">
        <v>11373</v>
      </c>
      <c r="S5" s="5405" t="s">
        <v>10279</v>
      </c>
      <c r="T5" s="5405">
        <v>895</v>
      </c>
      <c r="U5" s="5848">
        <v>617.79999999999995</v>
      </c>
      <c r="V5" s="4425">
        <v>1</v>
      </c>
      <c r="W5" s="4425"/>
      <c r="X5" s="4425"/>
      <c r="Y5" s="4425"/>
      <c r="Z5" s="4425"/>
    </row>
    <row r="6" spans="1:27" ht="75" hidden="1">
      <c r="A6" s="5277" t="s">
        <v>263</v>
      </c>
      <c r="B6" s="5277" t="s">
        <v>11374</v>
      </c>
      <c r="C6" s="5277" t="s">
        <v>44</v>
      </c>
      <c r="D6" s="5406">
        <v>45567</v>
      </c>
      <c r="E6" s="5538">
        <v>45567</v>
      </c>
      <c r="F6" s="5404" t="s">
        <v>11375</v>
      </c>
      <c r="G6" s="5405" t="s">
        <v>11376</v>
      </c>
      <c r="H6" s="5775">
        <v>45574</v>
      </c>
      <c r="I6" s="5277" t="s">
        <v>445</v>
      </c>
      <c r="J6" s="5404" t="s">
        <v>859</v>
      </c>
      <c r="K6" s="5404" t="s">
        <v>11377</v>
      </c>
      <c r="L6" s="5277">
        <v>61607</v>
      </c>
      <c r="M6" s="5406">
        <v>45572</v>
      </c>
      <c r="N6" s="5406">
        <v>45572</v>
      </c>
      <c r="O6" s="5403">
        <v>45575</v>
      </c>
      <c r="P6" s="5405" t="s">
        <v>11378</v>
      </c>
      <c r="Q6" s="5277" t="s">
        <v>75</v>
      </c>
      <c r="R6" s="5277" t="s">
        <v>11379</v>
      </c>
      <c r="S6" s="5277" t="s">
        <v>67</v>
      </c>
      <c r="T6" s="5277">
        <f>2104.68</f>
        <v>2104.6799999999998</v>
      </c>
      <c r="U6" s="4758">
        <f>146.76+1347.5</f>
        <v>1494.26</v>
      </c>
      <c r="V6" s="2269"/>
      <c r="W6" s="2269">
        <f>T6-U6</f>
        <v>610.41999999999985</v>
      </c>
      <c r="X6" s="3077">
        <f>W6/U6</f>
        <v>0.40850989787587155</v>
      </c>
      <c r="Y6" s="2269"/>
      <c r="Z6" s="2269"/>
    </row>
    <row r="7" spans="1:27" ht="90" hidden="1">
      <c r="A7" s="4417" t="s">
        <v>11380</v>
      </c>
      <c r="B7" s="4417" t="s">
        <v>11381</v>
      </c>
      <c r="C7" s="4417" t="s">
        <v>28</v>
      </c>
      <c r="D7" s="5849">
        <v>45557</v>
      </c>
      <c r="E7" s="3078">
        <v>45567</v>
      </c>
      <c r="F7" s="4417" t="s">
        <v>173</v>
      </c>
      <c r="G7" s="4324" t="s">
        <v>46</v>
      </c>
      <c r="H7" s="4448">
        <v>45569</v>
      </c>
      <c r="I7" s="4449">
        <v>0.41666666666666669</v>
      </c>
      <c r="J7" s="4417" t="s">
        <v>9695</v>
      </c>
      <c r="K7" s="4324" t="s">
        <v>11382</v>
      </c>
      <c r="L7" s="4417" t="s">
        <v>11383</v>
      </c>
      <c r="M7" s="4448">
        <v>45570</v>
      </c>
      <c r="N7" s="4448">
        <v>45568</v>
      </c>
      <c r="O7" s="4448">
        <v>45569</v>
      </c>
      <c r="P7" s="4324" t="s">
        <v>11384</v>
      </c>
      <c r="Q7" s="4417" t="s">
        <v>9226</v>
      </c>
      <c r="R7" s="4324" t="s">
        <v>11385</v>
      </c>
      <c r="S7" s="4417" t="s">
        <v>67</v>
      </c>
      <c r="T7" s="4450">
        <v>1865</v>
      </c>
      <c r="U7" s="4451">
        <v>1120</v>
      </c>
      <c r="V7" s="4422">
        <v>1</v>
      </c>
      <c r="W7" s="4422"/>
      <c r="X7" s="4422"/>
      <c r="Y7" s="4422"/>
      <c r="Z7" s="4422"/>
    </row>
    <row r="8" spans="1:27" s="28" customFormat="1" ht="105" hidden="1">
      <c r="A8" s="3079" t="s">
        <v>1945</v>
      </c>
      <c r="B8" s="3079" t="s">
        <v>11386</v>
      </c>
      <c r="C8" s="4091" t="s">
        <v>28</v>
      </c>
      <c r="D8" s="4452">
        <v>45543</v>
      </c>
      <c r="E8" s="1221">
        <v>45568</v>
      </c>
      <c r="F8" s="4091" t="s">
        <v>260</v>
      </c>
      <c r="G8" s="1295" t="s">
        <v>302</v>
      </c>
      <c r="H8" s="1264">
        <v>45574</v>
      </c>
      <c r="I8" s="4090" t="s">
        <v>445</v>
      </c>
      <c r="J8" s="3079" t="s">
        <v>322</v>
      </c>
      <c r="K8" s="4090" t="s">
        <v>11387</v>
      </c>
      <c r="L8" s="1222" t="s">
        <v>11388</v>
      </c>
      <c r="M8" s="1264">
        <v>45573</v>
      </c>
      <c r="N8" s="1264">
        <v>45573</v>
      </c>
      <c r="O8" s="4452">
        <v>45574</v>
      </c>
      <c r="P8" s="4090" t="s">
        <v>11389</v>
      </c>
      <c r="Q8" s="3080" t="s">
        <v>75</v>
      </c>
      <c r="R8" s="4090" t="s">
        <v>11390</v>
      </c>
      <c r="S8" s="4091" t="s">
        <v>67</v>
      </c>
      <c r="T8" s="4091">
        <v>2390</v>
      </c>
      <c r="U8" s="4453">
        <f>1263.75+90</f>
        <v>1353.75</v>
      </c>
      <c r="V8" s="4091">
        <v>1</v>
      </c>
      <c r="W8" s="4091">
        <f>T8-U8</f>
        <v>1036.25</v>
      </c>
      <c r="X8" s="4454">
        <f>W8/U8</f>
        <v>0.76546629732225302</v>
      </c>
      <c r="Y8" s="4091"/>
      <c r="Z8" s="4091"/>
      <c r="AA8" s="3081"/>
    </row>
    <row r="9" spans="1:27" ht="45" hidden="1">
      <c r="A9" s="4921" t="s">
        <v>409</v>
      </c>
      <c r="B9" s="5764" t="s">
        <v>11391</v>
      </c>
      <c r="C9" s="4970" t="s">
        <v>28</v>
      </c>
      <c r="D9" s="5654">
        <v>45552</v>
      </c>
      <c r="E9" s="5208">
        <v>45568</v>
      </c>
      <c r="F9" s="4970" t="s">
        <v>29</v>
      </c>
      <c r="G9" s="4970" t="s">
        <v>57</v>
      </c>
      <c r="H9" s="1936">
        <v>45572</v>
      </c>
      <c r="I9" s="1228" t="s">
        <v>899</v>
      </c>
      <c r="J9" s="3082" t="s">
        <v>32</v>
      </c>
      <c r="K9" s="3082" t="s">
        <v>11000</v>
      </c>
      <c r="L9" s="3083">
        <v>8845184</v>
      </c>
      <c r="M9" s="1936">
        <v>45571</v>
      </c>
      <c r="N9" s="1936">
        <v>45571</v>
      </c>
      <c r="O9" s="4455">
        <v>45574</v>
      </c>
      <c r="P9" s="4456" t="s">
        <v>11392</v>
      </c>
      <c r="Q9" s="3084" t="s">
        <v>75</v>
      </c>
      <c r="R9" s="4457" t="s">
        <v>11393</v>
      </c>
      <c r="S9" s="4457" t="s">
        <v>10279</v>
      </c>
      <c r="T9" s="4458">
        <v>1365</v>
      </c>
      <c r="U9" s="4459">
        <v>1080</v>
      </c>
      <c r="V9" s="4091">
        <v>1</v>
      </c>
      <c r="W9" s="4460">
        <f>T9-U9</f>
        <v>285</v>
      </c>
      <c r="X9" s="4454">
        <f>W9/U9</f>
        <v>0.2638888888888889</v>
      </c>
      <c r="Y9" s="4091"/>
      <c r="Z9" s="4091"/>
    </row>
    <row r="10" spans="1:27" hidden="1">
      <c r="A10" s="5404" t="s">
        <v>26</v>
      </c>
      <c r="B10" s="5404" t="s">
        <v>11394</v>
      </c>
      <c r="C10" s="5404" t="s">
        <v>11395</v>
      </c>
      <c r="D10" s="5849">
        <v>45557</v>
      </c>
      <c r="E10" s="5704">
        <v>45568</v>
      </c>
      <c r="F10" s="5404" t="s">
        <v>167</v>
      </c>
      <c r="G10" s="5405" t="s">
        <v>46</v>
      </c>
      <c r="H10" s="5822">
        <v>45572</v>
      </c>
      <c r="I10" s="5824">
        <v>0.375</v>
      </c>
      <c r="J10" s="5404" t="s">
        <v>4896</v>
      </c>
      <c r="K10" s="5404" t="s">
        <v>9588</v>
      </c>
      <c r="L10" s="5404" t="s">
        <v>11396</v>
      </c>
      <c r="M10" s="5847">
        <v>45570</v>
      </c>
      <c r="N10" s="5822">
        <v>45569</v>
      </c>
      <c r="O10" s="5822">
        <v>45572</v>
      </c>
      <c r="P10" s="5404" t="s">
        <v>11397</v>
      </c>
      <c r="Q10" s="5404" t="s">
        <v>9226</v>
      </c>
      <c r="R10" s="5404" t="s">
        <v>11398</v>
      </c>
      <c r="S10" s="5404" t="s">
        <v>10279</v>
      </c>
      <c r="T10" s="5404">
        <f>1818.5</f>
        <v>1818.5</v>
      </c>
      <c r="U10" s="4759">
        <f>1605</f>
        <v>1605</v>
      </c>
      <c r="V10" s="4422">
        <v>1</v>
      </c>
      <c r="W10" s="4422">
        <f>T10-U10</f>
        <v>213.5</v>
      </c>
      <c r="X10" s="4447">
        <f>W10/U10</f>
        <v>0.13302180685358256</v>
      </c>
      <c r="Y10" s="4422"/>
      <c r="Z10" s="4422"/>
    </row>
    <row r="11" spans="1:27" hidden="1">
      <c r="A11" s="4461" t="s">
        <v>26</v>
      </c>
      <c r="B11" s="4461" t="s">
        <v>11399</v>
      </c>
      <c r="C11" s="4461" t="s">
        <v>11395</v>
      </c>
      <c r="D11" s="4462">
        <v>45557</v>
      </c>
      <c r="E11" s="3085">
        <v>45568</v>
      </c>
      <c r="F11" s="4461" t="s">
        <v>167</v>
      </c>
      <c r="G11" s="4463" t="s">
        <v>46</v>
      </c>
      <c r="H11" s="4424">
        <v>45569</v>
      </c>
      <c r="I11" s="4464">
        <v>0.41666666666666669</v>
      </c>
      <c r="J11" s="4422" t="s">
        <v>4896</v>
      </c>
      <c r="K11" s="4422" t="s">
        <v>9588</v>
      </c>
      <c r="L11" s="4422" t="s">
        <v>11400</v>
      </c>
      <c r="M11" s="4425"/>
      <c r="N11" s="4424">
        <v>45569</v>
      </c>
      <c r="O11" s="4424">
        <v>45569</v>
      </c>
      <c r="P11" s="4422" t="s">
        <v>11401</v>
      </c>
      <c r="Q11" s="4422" t="s">
        <v>9226</v>
      </c>
      <c r="R11" s="4422" t="s">
        <v>11402</v>
      </c>
      <c r="S11" s="4422" t="s">
        <v>10279</v>
      </c>
      <c r="T11" s="4422">
        <v>1483.5</v>
      </c>
      <c r="U11" s="4465">
        <v>1265</v>
      </c>
      <c r="V11" s="4422">
        <v>1</v>
      </c>
      <c r="W11" s="4422">
        <f>T11-U11</f>
        <v>218.5</v>
      </c>
      <c r="X11" s="4447">
        <f>W11/U11</f>
        <v>0.17272727272727273</v>
      </c>
      <c r="Y11" s="4422"/>
      <c r="Z11" s="4422"/>
    </row>
    <row r="12" spans="1:27" hidden="1">
      <c r="A12" s="5404" t="s">
        <v>26</v>
      </c>
      <c r="B12" s="5404" t="s">
        <v>11403</v>
      </c>
      <c r="C12" s="5404" t="s">
        <v>11395</v>
      </c>
      <c r="D12" s="5849">
        <v>45557</v>
      </c>
      <c r="E12" s="5704">
        <v>45568</v>
      </c>
      <c r="F12" s="5404" t="s">
        <v>167</v>
      </c>
      <c r="G12" s="5405" t="s">
        <v>46</v>
      </c>
      <c r="H12" s="4448">
        <v>45569</v>
      </c>
      <c r="I12" s="4449">
        <v>0.375</v>
      </c>
      <c r="J12" s="4417" t="s">
        <v>4896</v>
      </c>
      <c r="K12" s="4417" t="s">
        <v>9588</v>
      </c>
      <c r="L12" s="4417" t="s">
        <v>11404</v>
      </c>
      <c r="M12" s="4466">
        <v>45570</v>
      </c>
      <c r="N12" s="4448">
        <v>45569</v>
      </c>
      <c r="O12" s="4448">
        <v>45570</v>
      </c>
      <c r="P12" s="4417" t="s">
        <v>11405</v>
      </c>
      <c r="Q12" s="4417" t="s">
        <v>9226</v>
      </c>
      <c r="R12" s="4417" t="s">
        <v>11406</v>
      </c>
      <c r="S12" s="4417" t="s">
        <v>10279</v>
      </c>
      <c r="T12" s="4417">
        <v>1483.5</v>
      </c>
      <c r="U12" s="4467">
        <v>1265</v>
      </c>
      <c r="V12" s="4422">
        <v>1</v>
      </c>
      <c r="W12" s="4422">
        <f>T12-U12</f>
        <v>218.5</v>
      </c>
      <c r="X12" s="4447">
        <f>W12/U12</f>
        <v>0.17272727272727273</v>
      </c>
      <c r="Y12" s="4422"/>
      <c r="Z12" s="4422"/>
    </row>
    <row r="13" spans="1:27" hidden="1">
      <c r="A13" s="5283" t="s">
        <v>409</v>
      </c>
      <c r="B13" s="5661" t="s">
        <v>11407</v>
      </c>
      <c r="C13" s="5283" t="s">
        <v>28</v>
      </c>
      <c r="D13" s="5686">
        <v>45554</v>
      </c>
      <c r="E13" s="5850">
        <v>45569</v>
      </c>
      <c r="F13" s="5283" t="s">
        <v>151</v>
      </c>
      <c r="G13" s="5283" t="s">
        <v>46</v>
      </c>
      <c r="H13" s="5283"/>
      <c r="I13" s="5283"/>
      <c r="J13" s="5283" t="s">
        <v>32</v>
      </c>
      <c r="K13" s="5283" t="s">
        <v>10688</v>
      </c>
      <c r="L13" s="5283">
        <v>687778</v>
      </c>
      <c r="M13" s="5851">
        <v>45570</v>
      </c>
      <c r="N13" s="5631">
        <v>45568</v>
      </c>
      <c r="O13" s="5631">
        <v>45571</v>
      </c>
      <c r="P13" s="5283" t="s">
        <v>11408</v>
      </c>
      <c r="Q13" s="5283" t="s">
        <v>6852</v>
      </c>
      <c r="R13" s="4892" t="s">
        <v>11409</v>
      </c>
      <c r="S13" s="4892"/>
      <c r="T13" s="4892"/>
      <c r="U13" s="5526"/>
      <c r="V13" s="28"/>
      <c r="W13" s="28"/>
      <c r="X13" s="28"/>
      <c r="Y13" s="28"/>
      <c r="Z13" s="28"/>
    </row>
    <row r="14" spans="1:27" hidden="1">
      <c r="A14" s="5283" t="s">
        <v>409</v>
      </c>
      <c r="B14" s="5683" t="s">
        <v>11410</v>
      </c>
      <c r="C14" s="5283" t="s">
        <v>28</v>
      </c>
      <c r="D14" s="5686">
        <v>45558</v>
      </c>
      <c r="E14" s="5852">
        <v>45569</v>
      </c>
      <c r="F14" s="5283" t="s">
        <v>151</v>
      </c>
      <c r="G14" s="5283" t="s">
        <v>46</v>
      </c>
      <c r="H14" s="2908"/>
      <c r="I14" s="2908"/>
      <c r="J14" s="2908" t="s">
        <v>32</v>
      </c>
      <c r="K14" s="2908" t="s">
        <v>10688</v>
      </c>
      <c r="L14" s="3086" t="s">
        <v>11411</v>
      </c>
      <c r="M14" s="3087">
        <v>45571</v>
      </c>
      <c r="N14" s="3087">
        <v>45569</v>
      </c>
      <c r="O14" s="3087">
        <v>45572</v>
      </c>
      <c r="P14" s="2908" t="s">
        <v>11412</v>
      </c>
      <c r="Q14" s="2908" t="s">
        <v>6852</v>
      </c>
      <c r="R14" s="2170" t="s">
        <v>11413</v>
      </c>
      <c r="S14" s="2170"/>
      <c r="T14" s="2170"/>
      <c r="U14" s="3088"/>
      <c r="V14" s="28"/>
      <c r="W14" s="28"/>
      <c r="X14" s="28"/>
      <c r="Y14" s="28"/>
      <c r="Z14" s="28"/>
    </row>
    <row r="15" spans="1:27" hidden="1">
      <c r="A15" s="5283" t="s">
        <v>10857</v>
      </c>
      <c r="B15" s="5742" t="s">
        <v>11414</v>
      </c>
      <c r="C15" s="5283" t="s">
        <v>28</v>
      </c>
      <c r="D15" s="5853">
        <v>45549</v>
      </c>
      <c r="E15" s="5852">
        <v>45569</v>
      </c>
      <c r="F15" s="5283" t="s">
        <v>260</v>
      </c>
      <c r="G15" s="5283" t="s">
        <v>46</v>
      </c>
      <c r="H15" s="5283"/>
      <c r="I15" s="5283"/>
      <c r="J15" s="5283" t="s">
        <v>32</v>
      </c>
      <c r="K15" s="5283" t="s">
        <v>10688</v>
      </c>
      <c r="L15" s="4892" t="s">
        <v>11415</v>
      </c>
      <c r="M15" s="5851">
        <v>45572</v>
      </c>
      <c r="N15" s="5631">
        <v>45572</v>
      </c>
      <c r="O15" s="5631">
        <v>45575</v>
      </c>
      <c r="P15" s="5283" t="s">
        <v>11416</v>
      </c>
      <c r="Q15" s="5283" t="s">
        <v>6852</v>
      </c>
      <c r="R15" s="4892" t="s">
        <v>11417</v>
      </c>
      <c r="S15" s="4892"/>
      <c r="T15" s="4892"/>
      <c r="U15" s="5526"/>
      <c r="V15" s="28"/>
      <c r="W15" s="28"/>
      <c r="X15" s="28"/>
      <c r="Y15" s="28"/>
      <c r="Z15" s="28"/>
    </row>
    <row r="16" spans="1:27" hidden="1">
      <c r="A16" s="5283" t="s">
        <v>10857</v>
      </c>
      <c r="B16" s="5854" t="s">
        <v>11418</v>
      </c>
      <c r="C16" s="5283" t="s">
        <v>28</v>
      </c>
      <c r="D16" s="5853">
        <v>45561</v>
      </c>
      <c r="E16" s="5852">
        <v>45569</v>
      </c>
      <c r="F16" s="5283" t="s">
        <v>260</v>
      </c>
      <c r="G16" s="5283" t="s">
        <v>46</v>
      </c>
      <c r="H16" s="5283"/>
      <c r="I16" s="5283"/>
      <c r="J16" s="5283" t="s">
        <v>32</v>
      </c>
      <c r="K16" s="5283" t="s">
        <v>10688</v>
      </c>
      <c r="L16" s="5283" t="s">
        <v>11419</v>
      </c>
      <c r="M16" s="5851">
        <v>45573</v>
      </c>
      <c r="N16" s="5631">
        <v>45573</v>
      </c>
      <c r="O16" s="5631">
        <v>45575</v>
      </c>
      <c r="P16" s="5283" t="s">
        <v>11420</v>
      </c>
      <c r="Q16" s="5283" t="s">
        <v>6852</v>
      </c>
      <c r="R16" s="4892"/>
      <c r="S16" s="4892"/>
      <c r="T16" s="4892"/>
      <c r="U16" s="5526"/>
      <c r="V16" s="28"/>
      <c r="W16" s="28"/>
      <c r="X16" s="28"/>
      <c r="Y16" s="28"/>
      <c r="Z16" s="28"/>
    </row>
    <row r="17" spans="1:27" s="44" customFormat="1" ht="90" hidden="1">
      <c r="A17" s="2141" t="s">
        <v>1945</v>
      </c>
      <c r="B17" s="2141" t="s">
        <v>11421</v>
      </c>
      <c r="C17" s="4461" t="s">
        <v>28</v>
      </c>
      <c r="D17" s="4468">
        <v>45549</v>
      </c>
      <c r="E17" s="3089">
        <v>45570</v>
      </c>
      <c r="F17" s="4461" t="s">
        <v>2225</v>
      </c>
      <c r="G17" s="4461" t="s">
        <v>11422</v>
      </c>
      <c r="H17" s="3090">
        <v>45572</v>
      </c>
      <c r="I17" s="3091" t="s">
        <v>899</v>
      </c>
      <c r="J17" s="2141" t="s">
        <v>11423</v>
      </c>
      <c r="K17" s="4463" t="s">
        <v>11424</v>
      </c>
      <c r="L17" s="3092" t="s">
        <v>11425</v>
      </c>
      <c r="M17" s="3092">
        <v>45571</v>
      </c>
      <c r="N17" s="4468">
        <v>45572</v>
      </c>
      <c r="O17" s="3092">
        <v>45575</v>
      </c>
      <c r="P17" s="4463" t="s">
        <v>11426</v>
      </c>
      <c r="Q17" s="2283" t="s">
        <v>75</v>
      </c>
      <c r="R17" s="4463" t="s">
        <v>11427</v>
      </c>
      <c r="S17" s="4461" t="s">
        <v>67</v>
      </c>
      <c r="T17" s="4461">
        <v>1244.3</v>
      </c>
      <c r="U17" s="4469">
        <v>622</v>
      </c>
      <c r="V17" s="4461">
        <v>1</v>
      </c>
      <c r="W17" s="4461">
        <f>T17-U17</f>
        <v>622.29999999999995</v>
      </c>
      <c r="X17" s="4470">
        <f>W17/U17</f>
        <v>1.0004823151125402</v>
      </c>
      <c r="Y17" s="4461"/>
      <c r="Z17" s="4461"/>
      <c r="AA17" s="3093"/>
    </row>
    <row r="18" spans="1:27" s="28" customFormat="1" ht="60" hidden="1">
      <c r="A18" s="3079" t="s">
        <v>622</v>
      </c>
      <c r="B18" s="1222" t="s">
        <v>11428</v>
      </c>
      <c r="C18" s="4091" t="s">
        <v>28</v>
      </c>
      <c r="D18" s="4452">
        <v>45559</v>
      </c>
      <c r="E18" s="1221">
        <v>45570</v>
      </c>
      <c r="F18" s="4091" t="s">
        <v>151</v>
      </c>
      <c r="G18" s="4091" t="s">
        <v>302</v>
      </c>
      <c r="H18" s="2211">
        <v>45573</v>
      </c>
      <c r="I18" s="4091" t="s">
        <v>926</v>
      </c>
      <c r="J18" s="3079" t="s">
        <v>32</v>
      </c>
      <c r="K18" s="3079" t="s">
        <v>1445</v>
      </c>
      <c r="L18" s="1222" t="s">
        <v>11429</v>
      </c>
      <c r="M18" s="4288">
        <v>45572</v>
      </c>
      <c r="N18" s="4288">
        <v>45573</v>
      </c>
      <c r="O18" s="4288">
        <v>45573</v>
      </c>
      <c r="P18" s="4090" t="s">
        <v>11430</v>
      </c>
      <c r="Q18" s="3080" t="s">
        <v>75</v>
      </c>
      <c r="R18" s="4090" t="s">
        <v>11431</v>
      </c>
      <c r="S18" s="4090" t="s">
        <v>67</v>
      </c>
      <c r="T18" s="4460">
        <v>9605</v>
      </c>
      <c r="U18" s="4091">
        <f>8050+90+1040</f>
        <v>9180</v>
      </c>
      <c r="V18" s="4460">
        <v>1</v>
      </c>
      <c r="W18" s="4460">
        <f>T18-U18</f>
        <v>425</v>
      </c>
      <c r="X18" s="4454">
        <f>W18/U18</f>
        <v>4.6296296296296294E-2</v>
      </c>
      <c r="Y18" s="4091"/>
      <c r="Z18" s="4091"/>
    </row>
    <row r="19" spans="1:27" s="3099" customFormat="1" ht="15.75" hidden="1">
      <c r="A19" s="2920" t="s">
        <v>409</v>
      </c>
      <c r="B19" s="3094" t="s">
        <v>11432</v>
      </c>
      <c r="C19" s="2920" t="s">
        <v>28</v>
      </c>
      <c r="D19" s="3095">
        <v>45558</v>
      </c>
      <c r="E19" s="3096">
        <v>45570</v>
      </c>
      <c r="F19" s="2920" t="s">
        <v>151</v>
      </c>
      <c r="G19" s="2920" t="s">
        <v>46</v>
      </c>
      <c r="H19" s="2920"/>
      <c r="I19" s="2920"/>
      <c r="J19" s="2920" t="s">
        <v>32</v>
      </c>
      <c r="K19" s="2920" t="s">
        <v>10688</v>
      </c>
      <c r="L19" s="3097" t="s">
        <v>11433</v>
      </c>
      <c r="M19" s="3098">
        <v>45572</v>
      </c>
      <c r="N19" s="3098">
        <v>45572</v>
      </c>
      <c r="O19" s="3098">
        <v>45573</v>
      </c>
      <c r="P19" s="2920" t="s">
        <v>11434</v>
      </c>
      <c r="Q19" s="2920" t="s">
        <v>6852</v>
      </c>
      <c r="R19" s="2170" t="s">
        <v>11435</v>
      </c>
      <c r="U19" s="3100"/>
      <c r="AA19" s="3101"/>
    </row>
    <row r="20" spans="1:27" ht="30" hidden="1">
      <c r="A20" s="4471" t="s">
        <v>468</v>
      </c>
      <c r="B20" s="4471" t="s">
        <v>11436</v>
      </c>
      <c r="C20" s="4471" t="s">
        <v>200</v>
      </c>
      <c r="D20" s="4472">
        <v>45558</v>
      </c>
      <c r="E20" s="3102">
        <v>45570</v>
      </c>
      <c r="F20" s="4473" t="s">
        <v>245</v>
      </c>
      <c r="G20" s="4471" t="s">
        <v>3492</v>
      </c>
      <c r="H20" s="3103">
        <v>45573</v>
      </c>
      <c r="I20" s="4471" t="s">
        <v>11437</v>
      </c>
      <c r="J20" s="3060" t="s">
        <v>2306</v>
      </c>
      <c r="K20" s="4471" t="s">
        <v>2313</v>
      </c>
      <c r="L20" s="3104">
        <v>8790433</v>
      </c>
      <c r="M20" s="4474">
        <v>45572</v>
      </c>
      <c r="N20" s="4474">
        <v>45572</v>
      </c>
      <c r="O20" s="3103">
        <v>45573</v>
      </c>
      <c r="P20" s="4475" t="s">
        <v>11438</v>
      </c>
      <c r="Q20" s="3105" t="s">
        <v>75</v>
      </c>
      <c r="R20" s="4222" t="s">
        <v>11439</v>
      </c>
      <c r="S20" s="4471" t="s">
        <v>10279</v>
      </c>
      <c r="T20" s="4471">
        <f>920</f>
        <v>920</v>
      </c>
      <c r="U20" s="4476">
        <f>677.4</f>
        <v>677.4</v>
      </c>
      <c r="V20" s="4422"/>
      <c r="W20" s="4422">
        <f>T20-U20</f>
        <v>242.60000000000002</v>
      </c>
      <c r="X20" s="4477">
        <f>W20/U20</f>
        <v>0.35813404192500742</v>
      </c>
      <c r="Y20" s="4422"/>
      <c r="Z20" s="4422"/>
    </row>
    <row r="21" spans="1:27" ht="30" hidden="1">
      <c r="A21" s="5404" t="s">
        <v>468</v>
      </c>
      <c r="B21" s="5404" t="s">
        <v>11440</v>
      </c>
      <c r="C21" s="5404" t="s">
        <v>200</v>
      </c>
      <c r="D21" s="5520">
        <v>45558</v>
      </c>
      <c r="E21" s="3103">
        <v>45570</v>
      </c>
      <c r="F21" s="5404" t="s">
        <v>245</v>
      </c>
      <c r="G21" s="5404" t="s">
        <v>3492</v>
      </c>
      <c r="H21" s="5538">
        <v>45572</v>
      </c>
      <c r="I21" s="5404" t="s">
        <v>11437</v>
      </c>
      <c r="J21" s="5624" t="s">
        <v>2306</v>
      </c>
      <c r="K21" s="5404" t="s">
        <v>2313</v>
      </c>
      <c r="L21" s="5855">
        <v>8790428</v>
      </c>
      <c r="M21" s="5520">
        <v>45572</v>
      </c>
      <c r="N21" s="5520">
        <v>45572</v>
      </c>
      <c r="O21" s="5791">
        <v>45572</v>
      </c>
      <c r="P21" s="5405" t="s">
        <v>11441</v>
      </c>
      <c r="Q21" s="5303" t="s">
        <v>75</v>
      </c>
      <c r="R21" s="5404" t="s">
        <v>11442</v>
      </c>
      <c r="S21" s="5404" t="s">
        <v>10279</v>
      </c>
      <c r="T21" s="4222">
        <v>715</v>
      </c>
      <c r="U21" s="4759">
        <v>462.4</v>
      </c>
      <c r="V21" s="4422"/>
      <c r="W21" s="4422"/>
      <c r="X21" s="4422"/>
      <c r="Y21" s="4422" t="s">
        <v>11443</v>
      </c>
      <c r="Z21" s="4422"/>
    </row>
    <row r="22" spans="1:27" ht="30" hidden="1">
      <c r="A22" s="4913" t="s">
        <v>1051</v>
      </c>
      <c r="B22" s="650" t="s">
        <v>11444</v>
      </c>
      <c r="C22" s="4913" t="s">
        <v>200</v>
      </c>
      <c r="D22" s="5856">
        <v>45557</v>
      </c>
      <c r="E22" s="5857">
        <v>45571</v>
      </c>
      <c r="F22" s="4913" t="s">
        <v>29</v>
      </c>
      <c r="G22" s="4913" t="s">
        <v>57</v>
      </c>
      <c r="H22" s="4914">
        <v>45573</v>
      </c>
      <c r="I22" s="5795">
        <v>0.41666666666666669</v>
      </c>
      <c r="J22" s="4913" t="s">
        <v>1353</v>
      </c>
      <c r="K22" s="4893" t="s">
        <v>11445</v>
      </c>
      <c r="L22" s="4913">
        <v>9103550</v>
      </c>
      <c r="M22" s="4914">
        <v>45573</v>
      </c>
      <c r="N22" s="4914">
        <v>45573</v>
      </c>
      <c r="O22" s="4914">
        <v>45573</v>
      </c>
      <c r="P22" s="4913" t="s">
        <v>11446</v>
      </c>
      <c r="Q22" s="4913" t="s">
        <v>9226</v>
      </c>
      <c r="R22" s="4913" t="s">
        <v>11447</v>
      </c>
      <c r="S22" s="4913" t="s">
        <v>10279</v>
      </c>
      <c r="T22" s="5710">
        <v>1820</v>
      </c>
      <c r="U22" s="5858"/>
      <c r="V22" s="1161">
        <v>1</v>
      </c>
      <c r="W22" s="1161"/>
      <c r="X22" s="1161"/>
      <c r="Y22" s="1161"/>
      <c r="Z22" s="1161"/>
    </row>
    <row r="23" spans="1:27" hidden="1">
      <c r="A23" s="5283" t="s">
        <v>409</v>
      </c>
      <c r="B23" s="5854" t="s">
        <v>11448</v>
      </c>
      <c r="C23" s="5283" t="s">
        <v>28</v>
      </c>
      <c r="D23" s="5853">
        <v>45547</v>
      </c>
      <c r="E23" s="5852">
        <v>45572</v>
      </c>
      <c r="F23" s="5283" t="s">
        <v>151</v>
      </c>
      <c r="G23" s="5283" t="s">
        <v>46</v>
      </c>
      <c r="H23" s="5283"/>
      <c r="I23" s="5283"/>
      <c r="J23" s="5283" t="s">
        <v>32</v>
      </c>
      <c r="K23" s="5283" t="s">
        <v>10688</v>
      </c>
      <c r="L23" s="5283">
        <v>408405</v>
      </c>
      <c r="M23" s="5631">
        <v>45574</v>
      </c>
      <c r="N23" s="5631">
        <v>45574</v>
      </c>
      <c r="O23" s="5631">
        <v>45576</v>
      </c>
      <c r="P23" s="5283" t="s">
        <v>11449</v>
      </c>
      <c r="Q23" s="3106" t="s">
        <v>6852</v>
      </c>
      <c r="R23" s="3368" t="s">
        <v>11450</v>
      </c>
      <c r="S23" s="3368"/>
      <c r="T23" s="3368"/>
      <c r="U23" s="3906"/>
      <c r="V23" s="28"/>
      <c r="W23" s="28"/>
      <c r="X23" s="28"/>
      <c r="Y23" s="28"/>
      <c r="Z23" s="28"/>
    </row>
    <row r="24" spans="1:27" hidden="1">
      <c r="A24" s="5283" t="s">
        <v>10764</v>
      </c>
      <c r="B24" s="5854" t="s">
        <v>11451</v>
      </c>
      <c r="C24" s="5283" t="s">
        <v>28</v>
      </c>
      <c r="D24" s="5853">
        <v>45554</v>
      </c>
      <c r="E24" s="5859">
        <v>45572</v>
      </c>
      <c r="F24" s="5283" t="s">
        <v>151</v>
      </c>
      <c r="G24" s="5283" t="s">
        <v>46</v>
      </c>
      <c r="H24" s="5283"/>
      <c r="I24" s="5283"/>
      <c r="J24" s="5283" t="s">
        <v>32</v>
      </c>
      <c r="K24" s="5283" t="s">
        <v>10688</v>
      </c>
      <c r="L24" s="5283" t="s">
        <v>11452</v>
      </c>
      <c r="M24" s="5851">
        <v>45569</v>
      </c>
      <c r="N24" s="5631">
        <v>45568</v>
      </c>
      <c r="O24" s="5631">
        <v>45569</v>
      </c>
      <c r="P24" s="5283" t="s">
        <v>11453</v>
      </c>
      <c r="Q24" s="4661" t="s">
        <v>6852</v>
      </c>
      <c r="R24" s="4892"/>
      <c r="S24" s="4892"/>
      <c r="T24" s="4892"/>
      <c r="U24" s="5526"/>
      <c r="V24" s="28"/>
      <c r="W24" s="28"/>
      <c r="X24" s="28"/>
      <c r="Y24" s="28"/>
      <c r="Z24" s="28"/>
    </row>
    <row r="25" spans="1:27" hidden="1">
      <c r="A25" s="4913" t="s">
        <v>10421</v>
      </c>
      <c r="B25" s="4913" t="s">
        <v>11454</v>
      </c>
      <c r="C25" s="4913" t="s">
        <v>11395</v>
      </c>
      <c r="D25" s="5856">
        <v>45560</v>
      </c>
      <c r="E25" s="5857">
        <v>45572</v>
      </c>
      <c r="F25" s="4913" t="s">
        <v>45</v>
      </c>
      <c r="G25" s="4913" t="s">
        <v>46</v>
      </c>
      <c r="H25" s="4914">
        <v>45573</v>
      </c>
      <c r="I25" s="5795">
        <v>0.45833333333333331</v>
      </c>
      <c r="J25" s="4913" t="s">
        <v>4896</v>
      </c>
      <c r="K25" s="4913" t="s">
        <v>9588</v>
      </c>
      <c r="L25" s="4913" t="s">
        <v>11455</v>
      </c>
      <c r="M25" s="4913"/>
      <c r="N25" s="4914">
        <v>45573</v>
      </c>
      <c r="O25" s="4914">
        <v>45574</v>
      </c>
      <c r="P25" s="4913" t="s">
        <v>11456</v>
      </c>
      <c r="Q25" s="4657" t="s">
        <v>9226</v>
      </c>
      <c r="R25" s="4913" t="s">
        <v>11457</v>
      </c>
      <c r="S25" s="4913" t="s">
        <v>10279</v>
      </c>
      <c r="T25" s="5710">
        <v>1393.5</v>
      </c>
      <c r="U25" s="5860">
        <v>1265</v>
      </c>
      <c r="V25" s="1161">
        <v>1</v>
      </c>
      <c r="W25" s="2269">
        <f>T25-U25</f>
        <v>128.5</v>
      </c>
      <c r="X25" s="3107">
        <f>W25/U25</f>
        <v>0.10158102766798419</v>
      </c>
      <c r="Y25" s="1161"/>
      <c r="Z25" s="1161"/>
    </row>
    <row r="26" spans="1:27" hidden="1">
      <c r="A26" s="4913" t="s">
        <v>10421</v>
      </c>
      <c r="B26" s="4913" t="s">
        <v>11458</v>
      </c>
      <c r="C26" s="4913" t="s">
        <v>11395</v>
      </c>
      <c r="D26" s="5856">
        <v>45560</v>
      </c>
      <c r="E26" s="5857">
        <v>45572</v>
      </c>
      <c r="F26" s="4913" t="s">
        <v>45</v>
      </c>
      <c r="G26" s="4913" t="s">
        <v>46</v>
      </c>
      <c r="H26" s="4914">
        <v>45573</v>
      </c>
      <c r="I26" s="4913"/>
      <c r="J26" s="4913" t="s">
        <v>4896</v>
      </c>
      <c r="K26" s="4913" t="s">
        <v>10565</v>
      </c>
      <c r="L26" s="4913" t="s">
        <v>11459</v>
      </c>
      <c r="M26" s="4913"/>
      <c r="N26" s="4914">
        <v>45573</v>
      </c>
      <c r="O26" s="4914">
        <v>45575</v>
      </c>
      <c r="P26" s="4913" t="s">
        <v>11460</v>
      </c>
      <c r="Q26" s="4657" t="s">
        <v>9226</v>
      </c>
      <c r="R26" s="4913" t="s">
        <v>11461</v>
      </c>
      <c r="S26" s="4913" t="s">
        <v>10279</v>
      </c>
      <c r="T26" s="5710">
        <v>2010</v>
      </c>
      <c r="U26" s="5858">
        <v>570</v>
      </c>
      <c r="V26" s="1161">
        <v>1</v>
      </c>
      <c r="W26" s="2269">
        <f>T26-U26</f>
        <v>1440</v>
      </c>
      <c r="X26" s="3107">
        <f>W26/U26</f>
        <v>2.5263157894736841</v>
      </c>
      <c r="Y26" s="1161"/>
      <c r="Z26" s="1161"/>
    </row>
    <row r="27" spans="1:27" hidden="1">
      <c r="A27" s="5404" t="s">
        <v>2618</v>
      </c>
      <c r="B27" s="5404" t="s">
        <v>11462</v>
      </c>
      <c r="C27" s="5404" t="s">
        <v>28</v>
      </c>
      <c r="D27" s="5849">
        <v>45573</v>
      </c>
      <c r="E27" s="5849">
        <v>45573</v>
      </c>
      <c r="F27" s="5404" t="s">
        <v>93</v>
      </c>
      <c r="G27" s="4913" t="s">
        <v>582</v>
      </c>
      <c r="H27" s="5404"/>
      <c r="I27" s="5404"/>
      <c r="J27" s="5404"/>
      <c r="K27" s="5404"/>
      <c r="L27" s="5404" t="s">
        <v>9917</v>
      </c>
      <c r="M27" s="5404"/>
      <c r="N27" s="5822">
        <v>45574</v>
      </c>
      <c r="O27" s="5822">
        <v>45576</v>
      </c>
      <c r="P27" s="5404" t="s">
        <v>11463</v>
      </c>
      <c r="Q27" s="4473" t="s">
        <v>9226</v>
      </c>
      <c r="R27" s="4471" t="s">
        <v>11464</v>
      </c>
      <c r="S27" s="4471" t="s">
        <v>11197</v>
      </c>
      <c r="T27" s="4471"/>
      <c r="U27" s="4476"/>
      <c r="V27" s="4422"/>
      <c r="W27" s="4422"/>
      <c r="X27" s="4422"/>
      <c r="Y27" s="4422"/>
      <c r="Z27" s="4422"/>
    </row>
    <row r="28" spans="1:27" hidden="1">
      <c r="A28" s="5404" t="s">
        <v>2618</v>
      </c>
      <c r="B28" s="5404" t="s">
        <v>11465</v>
      </c>
      <c r="C28" s="5404" t="s">
        <v>28</v>
      </c>
      <c r="D28" s="5849">
        <v>45573</v>
      </c>
      <c r="E28" s="5849">
        <v>45573</v>
      </c>
      <c r="F28" s="5404" t="s">
        <v>93</v>
      </c>
      <c r="G28" s="4913" t="s">
        <v>582</v>
      </c>
      <c r="H28" s="5404"/>
      <c r="I28" s="5404"/>
      <c r="J28" s="5404"/>
      <c r="K28" s="5404"/>
      <c r="L28" s="5404" t="s">
        <v>9917</v>
      </c>
      <c r="M28" s="5404"/>
      <c r="N28" s="5822">
        <v>45574</v>
      </c>
      <c r="O28" s="5822">
        <v>45576</v>
      </c>
      <c r="P28" s="5404" t="s">
        <v>11466</v>
      </c>
      <c r="Q28" s="4478" t="s">
        <v>9226</v>
      </c>
      <c r="R28" s="4479" t="s">
        <v>11467</v>
      </c>
      <c r="S28" s="4479" t="s">
        <v>11197</v>
      </c>
      <c r="T28" s="4479"/>
      <c r="U28" s="4480"/>
      <c r="V28" s="4422"/>
      <c r="W28" s="4422"/>
      <c r="X28" s="4422"/>
      <c r="Y28" s="4422"/>
      <c r="Z28" s="4422"/>
    </row>
    <row r="29" spans="1:27" ht="30" hidden="1">
      <c r="A29" s="4913" t="s">
        <v>1051</v>
      </c>
      <c r="B29" s="4913" t="s">
        <v>11468</v>
      </c>
      <c r="C29" s="4913" t="s">
        <v>200</v>
      </c>
      <c r="D29" s="5856">
        <v>45557</v>
      </c>
      <c r="E29" s="5857">
        <v>45573</v>
      </c>
      <c r="F29" s="4913" t="s">
        <v>29</v>
      </c>
      <c r="G29" s="4913" t="s">
        <v>57</v>
      </c>
      <c r="H29" s="5403">
        <v>45576</v>
      </c>
      <c r="I29" s="5795">
        <v>0.375</v>
      </c>
      <c r="J29" s="4913" t="s">
        <v>1353</v>
      </c>
      <c r="K29" s="4891" t="s">
        <v>11445</v>
      </c>
      <c r="L29" s="4913">
        <v>9103675</v>
      </c>
      <c r="M29" s="4914">
        <v>45576</v>
      </c>
      <c r="N29" s="4914">
        <v>45576</v>
      </c>
      <c r="O29" s="4914">
        <v>45576</v>
      </c>
      <c r="P29" s="4891" t="s">
        <v>11469</v>
      </c>
      <c r="Q29" s="4657" t="s">
        <v>9226</v>
      </c>
      <c r="R29" s="4913" t="s">
        <v>11470</v>
      </c>
      <c r="S29" s="4913" t="s">
        <v>10279</v>
      </c>
      <c r="T29" s="4913" t="s">
        <v>11471</v>
      </c>
      <c r="U29" s="5858"/>
      <c r="V29" s="1161">
        <v>1</v>
      </c>
      <c r="W29" s="1161"/>
      <c r="X29" s="1161"/>
      <c r="Y29" s="1161"/>
      <c r="Z29" s="1161"/>
    </row>
    <row r="30" spans="1:27" ht="30" hidden="1">
      <c r="A30" s="5277" t="s">
        <v>11472</v>
      </c>
      <c r="B30" s="5277" t="s">
        <v>11473</v>
      </c>
      <c r="C30" s="5277" t="s">
        <v>200</v>
      </c>
      <c r="D30" s="5669">
        <v>45559</v>
      </c>
      <c r="E30" s="5538">
        <v>45574</v>
      </c>
      <c r="F30" s="5277" t="s">
        <v>29</v>
      </c>
      <c r="G30" s="5118" t="s">
        <v>57</v>
      </c>
      <c r="H30" s="5403">
        <v>45576</v>
      </c>
      <c r="I30" s="5795">
        <v>0.375</v>
      </c>
      <c r="J30" s="5277" t="s">
        <v>9695</v>
      </c>
      <c r="K30" s="5118" t="s">
        <v>11474</v>
      </c>
      <c r="L30" s="5277">
        <v>9029843</v>
      </c>
      <c r="M30" s="4914">
        <v>45576</v>
      </c>
      <c r="N30" s="4914">
        <v>45576</v>
      </c>
      <c r="O30" s="5403">
        <v>45580</v>
      </c>
      <c r="P30" s="5277" t="s">
        <v>11475</v>
      </c>
      <c r="Q30" s="2964" t="s">
        <v>9226</v>
      </c>
      <c r="R30" s="2269" t="s">
        <v>11476</v>
      </c>
      <c r="S30" s="2269" t="s">
        <v>10279</v>
      </c>
      <c r="T30" s="2269" t="s">
        <v>11477</v>
      </c>
      <c r="U30" s="2270"/>
      <c r="V30" s="2269">
        <v>1</v>
      </c>
      <c r="W30" s="2269"/>
      <c r="X30" s="3107"/>
      <c r="Y30" s="2269"/>
      <c r="Z30" s="2269"/>
    </row>
    <row r="31" spans="1:27" ht="30" hidden="1">
      <c r="A31" s="5277" t="s">
        <v>11472</v>
      </c>
      <c r="B31" s="5277" t="s">
        <v>11478</v>
      </c>
      <c r="C31" s="5277" t="s">
        <v>200</v>
      </c>
      <c r="D31" s="5669">
        <v>45559</v>
      </c>
      <c r="E31" s="5538">
        <v>45574</v>
      </c>
      <c r="F31" s="5277" t="s">
        <v>29</v>
      </c>
      <c r="G31" s="5118" t="s">
        <v>57</v>
      </c>
      <c r="H31" s="5403">
        <v>45576</v>
      </c>
      <c r="I31" s="5795">
        <v>0.41666666666666669</v>
      </c>
      <c r="J31" s="5277" t="s">
        <v>9695</v>
      </c>
      <c r="K31" s="5118" t="s">
        <v>11474</v>
      </c>
      <c r="L31" s="5277">
        <v>9029700</v>
      </c>
      <c r="M31" s="4914">
        <v>45576</v>
      </c>
      <c r="N31" s="4914">
        <v>45576</v>
      </c>
      <c r="O31" s="4914">
        <v>45576</v>
      </c>
      <c r="P31" s="5277" t="s">
        <v>11475</v>
      </c>
      <c r="Q31" s="4656" t="s">
        <v>9226</v>
      </c>
      <c r="R31" s="5277" t="s">
        <v>11479</v>
      </c>
      <c r="S31" s="5277" t="s">
        <v>10279</v>
      </c>
      <c r="T31" s="5277" t="s">
        <v>11480</v>
      </c>
      <c r="U31" s="1350"/>
      <c r="V31" s="1350">
        <v>1</v>
      </c>
      <c r="W31" s="2269"/>
      <c r="X31" s="3107"/>
      <c r="Y31" s="2269"/>
      <c r="Z31" s="2269"/>
    </row>
    <row r="32" spans="1:27" ht="210" hidden="1">
      <c r="A32" s="5806" t="s">
        <v>11128</v>
      </c>
      <c r="B32" s="5861" t="s">
        <v>11481</v>
      </c>
      <c r="C32" s="4970" t="s">
        <v>200</v>
      </c>
      <c r="D32" s="5654">
        <v>45521</v>
      </c>
      <c r="E32" s="5208">
        <v>45575</v>
      </c>
      <c r="F32" s="4970" t="s">
        <v>93</v>
      </c>
      <c r="G32" s="4970" t="s">
        <v>302</v>
      </c>
      <c r="H32" s="5208">
        <v>45579</v>
      </c>
      <c r="I32" s="5862" t="s">
        <v>926</v>
      </c>
      <c r="J32" s="5251" t="s">
        <v>32</v>
      </c>
      <c r="K32" s="4970" t="s">
        <v>6656</v>
      </c>
      <c r="L32" s="5138" t="s">
        <v>11482</v>
      </c>
      <c r="M32" s="5211">
        <v>45578</v>
      </c>
      <c r="N32" s="5211">
        <v>45578</v>
      </c>
      <c r="O32" s="5522">
        <v>45579</v>
      </c>
      <c r="P32" s="5481" t="s">
        <v>11483</v>
      </c>
      <c r="Q32" s="4673" t="s">
        <v>75</v>
      </c>
      <c r="R32" s="5481" t="s">
        <v>11484</v>
      </c>
      <c r="S32" s="5481" t="s">
        <v>67</v>
      </c>
      <c r="T32" s="5483">
        <v>1215</v>
      </c>
      <c r="U32" s="5863">
        <v>785</v>
      </c>
      <c r="V32" s="4433">
        <v>1</v>
      </c>
      <c r="W32" s="4433">
        <f>T32-U32</f>
        <v>430</v>
      </c>
      <c r="X32" s="4442">
        <f>W32/U32</f>
        <v>0.54777070063694266</v>
      </c>
      <c r="Y32" s="4433"/>
      <c r="Z32" s="4433"/>
    </row>
    <row r="33" spans="1:27" ht="15.75" hidden="1">
      <c r="A33" s="5173" t="s">
        <v>3866</v>
      </c>
      <c r="B33" s="5864" t="s">
        <v>11485</v>
      </c>
      <c r="C33" s="5283" t="s">
        <v>28</v>
      </c>
      <c r="D33" s="5523">
        <v>45558</v>
      </c>
      <c r="E33" s="5852">
        <v>45575</v>
      </c>
      <c r="F33" s="5283" t="s">
        <v>45</v>
      </c>
      <c r="G33" s="5283" t="s">
        <v>46</v>
      </c>
      <c r="H33" s="5283"/>
      <c r="I33" s="5283"/>
      <c r="J33" s="5283" t="s">
        <v>32</v>
      </c>
      <c r="K33" s="5283" t="s">
        <v>10688</v>
      </c>
      <c r="L33" s="5865" t="s">
        <v>11486</v>
      </c>
      <c r="M33" s="5631">
        <v>45577</v>
      </c>
      <c r="N33" s="3108">
        <v>45575</v>
      </c>
      <c r="O33" s="3108">
        <v>45579</v>
      </c>
      <c r="P33" s="5283" t="s">
        <v>11487</v>
      </c>
      <c r="Q33" s="5283" t="s">
        <v>6852</v>
      </c>
      <c r="R33" s="4892" t="s">
        <v>11488</v>
      </c>
      <c r="S33" s="4892"/>
      <c r="T33" s="4892"/>
      <c r="U33" s="5526"/>
      <c r="V33" s="28"/>
      <c r="W33" s="28"/>
      <c r="Y33" s="1161"/>
      <c r="Z33" s="1161"/>
    </row>
    <row r="34" spans="1:27" ht="60" hidden="1">
      <c r="A34" s="5251" t="s">
        <v>622</v>
      </c>
      <c r="B34" s="5138" t="s">
        <v>11489</v>
      </c>
      <c r="C34" s="4970" t="s">
        <v>28</v>
      </c>
      <c r="D34" s="5654">
        <v>45565</v>
      </c>
      <c r="E34" s="5208">
        <v>45575</v>
      </c>
      <c r="F34" s="4970" t="s">
        <v>1357</v>
      </c>
      <c r="G34" s="4970" t="s">
        <v>302</v>
      </c>
      <c r="H34" s="5625">
        <v>45579</v>
      </c>
      <c r="I34" s="4970" t="s">
        <v>926</v>
      </c>
      <c r="J34" s="6081" t="s">
        <v>32</v>
      </c>
      <c r="K34" s="5251" t="s">
        <v>1445</v>
      </c>
      <c r="L34" s="5866" t="s">
        <v>11490</v>
      </c>
      <c r="M34" s="5211">
        <v>45578</v>
      </c>
      <c r="N34" s="5211">
        <v>45578</v>
      </c>
      <c r="O34" s="5115">
        <v>45579</v>
      </c>
      <c r="P34" s="4829" t="s">
        <v>11491</v>
      </c>
      <c r="Q34" s="5806" t="s">
        <v>75</v>
      </c>
      <c r="R34" s="4829" t="s">
        <v>11492</v>
      </c>
      <c r="S34" s="4829" t="s">
        <v>67</v>
      </c>
      <c r="T34" s="5807">
        <v>8625</v>
      </c>
      <c r="U34" s="4970">
        <f>7650+90+550</f>
        <v>8290</v>
      </c>
      <c r="V34" s="4481">
        <v>1</v>
      </c>
      <c r="W34" s="4481">
        <f>T34-U34</f>
        <v>335</v>
      </c>
      <c r="X34" s="4482">
        <f>W34/U34</f>
        <v>4.0410132689987936E-2</v>
      </c>
      <c r="Y34" s="4281"/>
      <c r="Z34" s="4281"/>
    </row>
    <row r="35" spans="1:27" ht="60" hidden="1">
      <c r="A35" s="5624" t="s">
        <v>622</v>
      </c>
      <c r="B35" s="5404" t="s">
        <v>11493</v>
      </c>
      <c r="C35" s="5404" t="s">
        <v>28</v>
      </c>
      <c r="D35" s="5520">
        <v>45554</v>
      </c>
      <c r="E35" s="5538">
        <v>45575</v>
      </c>
      <c r="F35" s="5404" t="s">
        <v>45</v>
      </c>
      <c r="G35" s="5277" t="s">
        <v>302</v>
      </c>
      <c r="H35" s="5793">
        <v>45580</v>
      </c>
      <c r="I35" s="5855" t="s">
        <v>926</v>
      </c>
      <c r="J35" s="5624" t="s">
        <v>32</v>
      </c>
      <c r="K35" s="5624" t="s">
        <v>1445</v>
      </c>
      <c r="L35" s="5793" t="s">
        <v>11494</v>
      </c>
      <c r="M35" s="5793">
        <v>45579</v>
      </c>
      <c r="N35" s="5793">
        <v>45579</v>
      </c>
      <c r="O35" s="5520">
        <v>45581</v>
      </c>
      <c r="P35" s="5405" t="s">
        <v>11495</v>
      </c>
      <c r="Q35" s="5303" t="s">
        <v>75</v>
      </c>
      <c r="R35" s="5405" t="s">
        <v>11496</v>
      </c>
      <c r="S35" s="5405" t="s">
        <v>67</v>
      </c>
      <c r="T35" s="5404">
        <f>11075</f>
        <v>11075</v>
      </c>
      <c r="U35" s="5404">
        <f>10100</f>
        <v>10100</v>
      </c>
      <c r="V35" s="5404">
        <v>1</v>
      </c>
      <c r="W35" s="5404">
        <f>T35-U35</f>
        <v>975</v>
      </c>
      <c r="X35" s="5786">
        <f>W35/U35</f>
        <v>9.6534653465346537E-2</v>
      </c>
      <c r="Y35" s="5404"/>
      <c r="Z35" s="5404"/>
      <c r="AA35" s="650"/>
    </row>
    <row r="36" spans="1:27" hidden="1">
      <c r="A36" s="5283" t="s">
        <v>409</v>
      </c>
      <c r="B36" s="5854" t="s">
        <v>11497</v>
      </c>
      <c r="C36" s="5283" t="s">
        <v>28</v>
      </c>
      <c r="D36" s="2376">
        <v>45558</v>
      </c>
      <c r="E36" s="5852">
        <v>45575</v>
      </c>
      <c r="F36" s="5283" t="s">
        <v>151</v>
      </c>
      <c r="G36" s="5283" t="s">
        <v>46</v>
      </c>
      <c r="H36" s="5283"/>
      <c r="I36" s="5283"/>
      <c r="J36" s="2908" t="s">
        <v>32</v>
      </c>
      <c r="K36" s="5283" t="s">
        <v>10688</v>
      </c>
      <c r="L36" s="5283" t="s">
        <v>11498</v>
      </c>
      <c r="M36" s="5851">
        <v>45575</v>
      </c>
      <c r="N36" s="5631">
        <v>45574</v>
      </c>
      <c r="O36" s="5631">
        <v>45576</v>
      </c>
      <c r="P36" s="5283" t="s">
        <v>11499</v>
      </c>
      <c r="Q36" s="5283" t="s">
        <v>6852</v>
      </c>
      <c r="R36" s="4892" t="s">
        <v>11500</v>
      </c>
      <c r="S36" s="4892"/>
      <c r="T36" s="4892"/>
      <c r="U36" s="4892"/>
      <c r="V36" s="4892"/>
      <c r="W36" s="4892"/>
      <c r="X36" s="4892"/>
      <c r="Y36" s="4892"/>
      <c r="Z36" s="4892"/>
    </row>
    <row r="37" spans="1:27" ht="90" hidden="1">
      <c r="A37" s="5806" t="s">
        <v>11128</v>
      </c>
      <c r="B37" s="4970" t="s">
        <v>11501</v>
      </c>
      <c r="C37" s="4970" t="s">
        <v>28</v>
      </c>
      <c r="D37" s="5814">
        <v>45567</v>
      </c>
      <c r="E37" s="5156">
        <v>45576</v>
      </c>
      <c r="F37" s="4091" t="s">
        <v>245</v>
      </c>
      <c r="G37" s="4091" t="s">
        <v>11502</v>
      </c>
      <c r="H37" s="5208">
        <v>45579</v>
      </c>
      <c r="I37" s="4091" t="s">
        <v>11503</v>
      </c>
      <c r="J37" s="3109" t="s">
        <v>11503</v>
      </c>
      <c r="K37" s="4970" t="s">
        <v>11504</v>
      </c>
      <c r="L37" s="1248" t="s">
        <v>11505</v>
      </c>
      <c r="M37" s="1805">
        <v>45578</v>
      </c>
      <c r="N37" s="4483">
        <v>45579</v>
      </c>
      <c r="O37" s="4452">
        <v>45579</v>
      </c>
      <c r="P37" s="4829" t="s">
        <v>11506</v>
      </c>
      <c r="Q37" s="5806" t="s">
        <v>75</v>
      </c>
      <c r="R37" s="4838" t="s">
        <v>11507</v>
      </c>
      <c r="S37" s="4829" t="s">
        <v>67</v>
      </c>
      <c r="T37" s="4970" t="s">
        <v>11508</v>
      </c>
      <c r="U37" s="4970">
        <v>90</v>
      </c>
      <c r="V37" s="4970">
        <v>1</v>
      </c>
      <c r="W37" s="4970" t="e">
        <f>T37-U37</f>
        <v>#VALUE!</v>
      </c>
      <c r="X37" s="5815" t="e">
        <f>W37/U37</f>
        <v>#VALUE!</v>
      </c>
      <c r="Y37" s="4970"/>
      <c r="Z37" s="4970"/>
    </row>
    <row r="38" spans="1:27" hidden="1">
      <c r="A38" s="5283" t="s">
        <v>3866</v>
      </c>
      <c r="B38" s="5867" t="s">
        <v>11509</v>
      </c>
      <c r="C38" s="5283" t="s">
        <v>28</v>
      </c>
      <c r="D38" s="5523">
        <v>45562</v>
      </c>
      <c r="E38" s="5868">
        <v>45576</v>
      </c>
      <c r="F38" s="5283" t="s">
        <v>45</v>
      </c>
      <c r="G38" s="5283" t="s">
        <v>46</v>
      </c>
      <c r="H38" s="5283"/>
      <c r="I38" s="5283"/>
      <c r="J38" s="5283" t="s">
        <v>32</v>
      </c>
      <c r="K38" s="5283" t="s">
        <v>10688</v>
      </c>
      <c r="L38" s="5283" t="s">
        <v>11510</v>
      </c>
      <c r="M38" s="5851">
        <v>45578</v>
      </c>
      <c r="N38" s="5631">
        <v>45576</v>
      </c>
      <c r="O38" s="5631">
        <v>45580</v>
      </c>
      <c r="P38" s="5283" t="s">
        <v>11511</v>
      </c>
      <c r="Q38" s="5283" t="s">
        <v>6852</v>
      </c>
      <c r="R38" s="5283" t="s">
        <v>11512</v>
      </c>
      <c r="S38" s="5283"/>
      <c r="T38" s="5283"/>
      <c r="U38" s="5283"/>
      <c r="V38" s="5283"/>
      <c r="W38" s="5283"/>
      <c r="X38" s="5420"/>
      <c r="Y38" s="5277"/>
      <c r="Z38" s="5277"/>
    </row>
    <row r="39" spans="1:27" hidden="1">
      <c r="A39" s="4913" t="s">
        <v>263</v>
      </c>
      <c r="B39" s="5265" t="s">
        <v>11513</v>
      </c>
      <c r="C39" s="4913" t="s">
        <v>44</v>
      </c>
      <c r="D39" s="5856">
        <v>45576</v>
      </c>
      <c r="E39" s="5857">
        <v>45576</v>
      </c>
      <c r="F39" s="4913" t="s">
        <v>135</v>
      </c>
      <c r="G39" s="4891" t="s">
        <v>10388</v>
      </c>
      <c r="H39" s="5869">
        <v>45581</v>
      </c>
      <c r="I39" s="5265" t="s">
        <v>108</v>
      </c>
      <c r="J39" s="3110" t="s">
        <v>377</v>
      </c>
      <c r="K39" s="4913" t="s">
        <v>10389</v>
      </c>
      <c r="L39" s="4177" t="s">
        <v>11514</v>
      </c>
      <c r="M39" s="5856">
        <v>45582</v>
      </c>
      <c r="N39" s="5856">
        <v>45580</v>
      </c>
      <c r="O39" s="4914">
        <v>45581</v>
      </c>
      <c r="P39" s="5265" t="s">
        <v>11515</v>
      </c>
      <c r="Q39" s="4913" t="s">
        <v>75</v>
      </c>
      <c r="R39" s="4913" t="s">
        <v>11516</v>
      </c>
      <c r="S39" s="4913" t="s">
        <v>67</v>
      </c>
      <c r="T39" s="4913">
        <f>1560.03</f>
        <v>1560.03</v>
      </c>
      <c r="U39" s="4913">
        <f>1050+160.03</f>
        <v>1210.03</v>
      </c>
      <c r="V39" s="4913"/>
      <c r="W39" s="4913">
        <f>T39-U39</f>
        <v>350</v>
      </c>
      <c r="X39" s="5870">
        <f>W39/U39</f>
        <v>0.28924902688363097</v>
      </c>
      <c r="Y39" s="4913"/>
      <c r="Z39" s="4913"/>
      <c r="AA39" s="650"/>
    </row>
    <row r="40" spans="1:27" hidden="1">
      <c r="A40" s="4913" t="s">
        <v>2618</v>
      </c>
      <c r="B40" s="4913" t="s">
        <v>11517</v>
      </c>
      <c r="C40" s="4913" t="s">
        <v>85</v>
      </c>
      <c r="D40" s="5856">
        <v>45576</v>
      </c>
      <c r="E40" s="5856">
        <v>45576</v>
      </c>
      <c r="F40" s="4913" t="s">
        <v>9474</v>
      </c>
      <c r="G40" s="4913" t="s">
        <v>582</v>
      </c>
      <c r="H40" s="4913"/>
      <c r="I40" s="4913"/>
      <c r="J40" s="2106"/>
      <c r="K40" s="4913"/>
      <c r="L40" s="4913" t="s">
        <v>9917</v>
      </c>
      <c r="M40" s="4914">
        <v>45583</v>
      </c>
      <c r="N40" s="4914">
        <v>45586</v>
      </c>
      <c r="O40" s="4914">
        <v>45587</v>
      </c>
      <c r="P40" s="4913" t="s">
        <v>11518</v>
      </c>
      <c r="Q40" s="4913" t="s">
        <v>9226</v>
      </c>
      <c r="R40" s="4913" t="s">
        <v>11519</v>
      </c>
      <c r="S40" s="4913" t="s">
        <v>1320</v>
      </c>
      <c r="T40" s="4913"/>
      <c r="U40" s="4913"/>
      <c r="V40" s="4913"/>
      <c r="W40" s="4913"/>
      <c r="X40" s="4913"/>
      <c r="Y40" s="4913"/>
      <c r="Z40" s="4913"/>
    </row>
    <row r="41" spans="1:27" hidden="1">
      <c r="A41" s="3067" t="s">
        <v>409</v>
      </c>
      <c r="B41" s="3907" t="s">
        <v>11520</v>
      </c>
      <c r="C41" s="3067" t="s">
        <v>28</v>
      </c>
      <c r="D41" s="3908">
        <v>45563</v>
      </c>
      <c r="E41" s="3909">
        <v>45576</v>
      </c>
      <c r="F41" s="3368" t="s">
        <v>151</v>
      </c>
      <c r="G41" s="3368" t="s">
        <v>46</v>
      </c>
      <c r="H41" s="3368"/>
      <c r="I41" s="3368"/>
      <c r="J41" s="3368" t="s">
        <v>32</v>
      </c>
      <c r="K41" s="3067" t="s">
        <v>10688</v>
      </c>
      <c r="L41" s="3368" t="s">
        <v>11521</v>
      </c>
      <c r="M41" s="3777">
        <v>45577</v>
      </c>
      <c r="N41" s="3777">
        <v>45576</v>
      </c>
      <c r="O41" s="3777">
        <v>45579</v>
      </c>
      <c r="P41" s="3368" t="s">
        <v>11522</v>
      </c>
      <c r="Q41" s="3067" t="s">
        <v>6852</v>
      </c>
      <c r="R41" s="3368" t="s">
        <v>11523</v>
      </c>
      <c r="S41" s="3368"/>
      <c r="T41" s="3368"/>
      <c r="U41" s="3368"/>
      <c r="V41" s="3368"/>
      <c r="W41" s="3368"/>
      <c r="X41" s="3368"/>
      <c r="Y41" s="3368"/>
      <c r="Z41" s="3368"/>
    </row>
    <row r="42" spans="1:27" s="650" customFormat="1" ht="45" hidden="1">
      <c r="A42" s="4921" t="s">
        <v>409</v>
      </c>
      <c r="B42" s="5764" t="s">
        <v>11524</v>
      </c>
      <c r="C42" s="4970" t="s">
        <v>28</v>
      </c>
      <c r="D42" s="5654">
        <v>45557</v>
      </c>
      <c r="E42" s="5208">
        <v>45576</v>
      </c>
      <c r="F42" s="4970" t="s">
        <v>2225</v>
      </c>
      <c r="G42" s="4970" t="s">
        <v>57</v>
      </c>
      <c r="H42" s="5211">
        <v>45579</v>
      </c>
      <c r="I42" s="5211" t="s">
        <v>899</v>
      </c>
      <c r="J42" s="5251" t="s">
        <v>32</v>
      </c>
      <c r="K42" s="5251" t="s">
        <v>11000</v>
      </c>
      <c r="L42" s="4976">
        <v>9024019</v>
      </c>
      <c r="M42" s="5211">
        <v>45579</v>
      </c>
      <c r="N42" s="5211">
        <v>45579</v>
      </c>
      <c r="O42" s="5211">
        <v>45581</v>
      </c>
      <c r="P42" s="4829" t="s">
        <v>11525</v>
      </c>
      <c r="Q42" s="5806" t="s">
        <v>75</v>
      </c>
      <c r="R42" s="4970" t="s">
        <v>11526</v>
      </c>
      <c r="S42" s="4970" t="s">
        <v>10279</v>
      </c>
      <c r="T42" s="5807">
        <v>1125</v>
      </c>
      <c r="U42" s="4970">
        <v>920</v>
      </c>
      <c r="V42" s="4970">
        <v>1</v>
      </c>
      <c r="W42" s="5807">
        <f>T42-U42</f>
        <v>205</v>
      </c>
      <c r="X42" s="5815">
        <f>W42/U42</f>
        <v>0.22282608695652173</v>
      </c>
      <c r="Y42" s="4970"/>
      <c r="Z42" s="4970"/>
      <c r="AA42"/>
    </row>
    <row r="43" spans="1:27" ht="30" hidden="1">
      <c r="A43" s="1161" t="s">
        <v>1051</v>
      </c>
      <c r="B43" s="1161" t="s">
        <v>11527</v>
      </c>
      <c r="C43" s="1161" t="s">
        <v>200</v>
      </c>
      <c r="D43" s="3111">
        <v>45557</v>
      </c>
      <c r="E43" s="3112">
        <v>45576</v>
      </c>
      <c r="F43" s="1161" t="s">
        <v>29</v>
      </c>
      <c r="G43" s="1161" t="s">
        <v>57</v>
      </c>
      <c r="H43" s="3113">
        <v>45581</v>
      </c>
      <c r="I43" s="3114">
        <v>0.33333333333333331</v>
      </c>
      <c r="J43" s="1161" t="s">
        <v>1353</v>
      </c>
      <c r="K43" s="1995" t="s">
        <v>11445</v>
      </c>
      <c r="L43" s="1161">
        <v>9103666</v>
      </c>
      <c r="M43" s="3113">
        <v>45581</v>
      </c>
      <c r="N43" s="3113">
        <v>45581</v>
      </c>
      <c r="O43" s="4914">
        <v>45581</v>
      </c>
      <c r="P43" s="1161" t="s">
        <v>11528</v>
      </c>
      <c r="Q43" s="1161" t="s">
        <v>9226</v>
      </c>
      <c r="R43" s="1161" t="s">
        <v>11529</v>
      </c>
      <c r="S43" s="1161" t="s">
        <v>10279</v>
      </c>
      <c r="T43" s="3115">
        <v>1775</v>
      </c>
      <c r="U43" s="1161"/>
      <c r="V43" s="1161">
        <v>1</v>
      </c>
      <c r="W43" s="1161"/>
      <c r="X43" s="1161"/>
      <c r="Y43" s="1161"/>
      <c r="Z43" s="1161"/>
    </row>
    <row r="44" spans="1:27" s="28" customFormat="1" ht="30" hidden="1">
      <c r="A44" s="1161" t="s">
        <v>1051</v>
      </c>
      <c r="B44" s="1161" t="s">
        <v>11530</v>
      </c>
      <c r="C44" s="1161" t="s">
        <v>200</v>
      </c>
      <c r="D44" s="3111">
        <v>45557</v>
      </c>
      <c r="E44" s="3112">
        <v>45576</v>
      </c>
      <c r="F44" s="1161" t="s">
        <v>29</v>
      </c>
      <c r="G44" s="1161" t="s">
        <v>57</v>
      </c>
      <c r="H44" s="3113">
        <v>45581</v>
      </c>
      <c r="I44" s="3114">
        <v>0.41666666666666669</v>
      </c>
      <c r="J44" s="1161" t="s">
        <v>1353</v>
      </c>
      <c r="K44" s="1995" t="s">
        <v>11445</v>
      </c>
      <c r="L44" s="1161">
        <v>9103674</v>
      </c>
      <c r="M44" s="3113">
        <v>45581</v>
      </c>
      <c r="N44" s="3113">
        <v>45581</v>
      </c>
      <c r="O44" s="3113">
        <v>45581</v>
      </c>
      <c r="P44" s="1161" t="s">
        <v>11531</v>
      </c>
      <c r="Q44" s="1161" t="s">
        <v>9226</v>
      </c>
      <c r="R44" s="1161" t="s">
        <v>11532</v>
      </c>
      <c r="S44" s="1161" t="s">
        <v>10279</v>
      </c>
      <c r="T44" s="3115">
        <v>1730</v>
      </c>
      <c r="U44" s="1161"/>
      <c r="V44" s="1161">
        <v>1</v>
      </c>
      <c r="W44" s="1161"/>
      <c r="X44" s="1161"/>
      <c r="Y44" s="1161"/>
      <c r="Z44" s="1161"/>
    </row>
    <row r="45" spans="1:27" hidden="1">
      <c r="A45" s="2170" t="s">
        <v>3866</v>
      </c>
      <c r="B45" s="3119" t="s">
        <v>11533</v>
      </c>
      <c r="C45" s="2170" t="s">
        <v>28</v>
      </c>
      <c r="D45" s="3120">
        <v>45565</v>
      </c>
      <c r="E45" s="3121">
        <v>45577</v>
      </c>
      <c r="F45" s="2170" t="s">
        <v>56</v>
      </c>
      <c r="G45" s="2170" t="s">
        <v>46</v>
      </c>
      <c r="H45" s="2170"/>
      <c r="I45" s="2170"/>
      <c r="J45" s="2170" t="s">
        <v>32</v>
      </c>
      <c r="K45" s="2908" t="s">
        <v>10688</v>
      </c>
      <c r="L45" s="2170" t="s">
        <v>11534</v>
      </c>
      <c r="M45" s="3122">
        <v>45579</v>
      </c>
      <c r="N45" s="3122">
        <v>45579</v>
      </c>
      <c r="O45" s="3122">
        <v>45583</v>
      </c>
      <c r="P45" s="2170" t="s">
        <v>11535</v>
      </c>
      <c r="Q45" s="2170" t="s">
        <v>6852</v>
      </c>
      <c r="R45" s="2170"/>
      <c r="S45" s="2170"/>
      <c r="T45" s="2170"/>
      <c r="U45" s="2170"/>
      <c r="V45" s="2170"/>
      <c r="W45" s="2170"/>
      <c r="X45" s="2170"/>
      <c r="Y45" s="2106"/>
      <c r="Z45" s="2106"/>
    </row>
    <row r="46" spans="1:27" s="1161" customFormat="1" ht="30" hidden="1">
      <c r="A46" s="3116" t="s">
        <v>11536</v>
      </c>
      <c r="B46" s="4422" t="s">
        <v>11537</v>
      </c>
      <c r="C46" s="2269" t="s">
        <v>28</v>
      </c>
      <c r="D46" s="4423">
        <v>45557</v>
      </c>
      <c r="E46" s="3026">
        <v>45577</v>
      </c>
      <c r="F46" s="4422" t="s">
        <v>173</v>
      </c>
      <c r="G46" s="4422" t="s">
        <v>11538</v>
      </c>
      <c r="H46" s="3159" t="s">
        <v>11539</v>
      </c>
      <c r="I46" s="3117" t="s">
        <v>11540</v>
      </c>
      <c r="J46" s="4422" t="s">
        <v>11541</v>
      </c>
      <c r="K46" s="4422" t="s">
        <v>11542</v>
      </c>
      <c r="L46" s="4422" t="s">
        <v>11543</v>
      </c>
      <c r="M46" s="4423">
        <v>45586</v>
      </c>
      <c r="N46" s="3025">
        <v>45591</v>
      </c>
      <c r="O46" s="3118">
        <v>45601</v>
      </c>
      <c r="P46" s="6082" t="s">
        <v>11544</v>
      </c>
      <c r="Q46" s="4422" t="s">
        <v>9226</v>
      </c>
      <c r="R46" s="4422" t="s">
        <v>11545</v>
      </c>
      <c r="S46" s="4425" t="s">
        <v>11546</v>
      </c>
      <c r="T46" s="4422">
        <v>4670</v>
      </c>
      <c r="U46" s="4422">
        <v>1640</v>
      </c>
      <c r="V46" s="4422">
        <v>1</v>
      </c>
      <c r="W46" s="4422"/>
      <c r="X46" s="4447"/>
      <c r="Y46" s="4422"/>
      <c r="Z46" s="4422"/>
      <c r="AA46" s="2269"/>
    </row>
    <row r="47" spans="1:27" hidden="1">
      <c r="A47" s="2106" t="s">
        <v>2618</v>
      </c>
      <c r="B47" s="2106" t="s">
        <v>11547</v>
      </c>
      <c r="C47" s="2106" t="s">
        <v>85</v>
      </c>
      <c r="D47" s="3123">
        <v>45577</v>
      </c>
      <c r="E47" s="3123">
        <v>45577</v>
      </c>
      <c r="F47" s="2106" t="s">
        <v>9474</v>
      </c>
      <c r="G47" s="2106" t="s">
        <v>582</v>
      </c>
      <c r="H47" s="2106"/>
      <c r="I47" s="2106"/>
      <c r="J47" s="2106"/>
      <c r="K47" s="2106"/>
      <c r="L47" s="2106" t="s">
        <v>9917</v>
      </c>
      <c r="M47" s="3124">
        <v>45584</v>
      </c>
      <c r="N47" s="3124">
        <v>45581</v>
      </c>
      <c r="O47" s="3124">
        <v>45582</v>
      </c>
      <c r="P47" s="2106" t="s">
        <v>11548</v>
      </c>
      <c r="Q47" s="2106" t="s">
        <v>9226</v>
      </c>
      <c r="R47" s="2106" t="s">
        <v>11549</v>
      </c>
      <c r="S47" s="2106" t="s">
        <v>1320</v>
      </c>
      <c r="T47" s="2106"/>
      <c r="U47" s="2106"/>
      <c r="V47" s="2106"/>
      <c r="W47" s="2106"/>
      <c r="X47" s="2106"/>
      <c r="Y47" s="2106"/>
      <c r="Z47" s="2106"/>
    </row>
    <row r="48" spans="1:27" ht="30" hidden="1">
      <c r="A48" s="3348" t="s">
        <v>3866</v>
      </c>
      <c r="B48" s="4484" t="s">
        <v>11550</v>
      </c>
      <c r="C48" s="4484" t="s">
        <v>28</v>
      </c>
      <c r="D48" s="4485">
        <v>45568</v>
      </c>
      <c r="E48" s="3125">
        <v>45578</v>
      </c>
      <c r="F48" s="4484" t="s">
        <v>151</v>
      </c>
      <c r="G48" s="4484" t="s">
        <v>11551</v>
      </c>
      <c r="H48" s="3910">
        <v>61263543</v>
      </c>
      <c r="I48" s="3911">
        <v>45581</v>
      </c>
      <c r="J48" s="4484" t="s">
        <v>490</v>
      </c>
      <c r="K48" s="4484" t="s">
        <v>11552</v>
      </c>
      <c r="L48" s="4484" t="s">
        <v>11553</v>
      </c>
      <c r="M48" s="4485">
        <v>45580</v>
      </c>
      <c r="N48" s="4486">
        <v>45580</v>
      </c>
      <c r="O48" s="4486">
        <v>45586</v>
      </c>
      <c r="P48" s="3348">
        <v>2304090062</v>
      </c>
      <c r="Q48" s="4484" t="s">
        <v>11554</v>
      </c>
      <c r="R48" s="4484" t="s">
        <v>11555</v>
      </c>
      <c r="S48" s="3912" t="s">
        <v>11546</v>
      </c>
      <c r="T48" s="4484">
        <v>2000</v>
      </c>
      <c r="U48" s="4484">
        <v>1325</v>
      </c>
      <c r="V48" s="4484">
        <v>1</v>
      </c>
      <c r="W48" s="4484">
        <f>T48-U48</f>
        <v>675</v>
      </c>
      <c r="X48" s="3870">
        <f>W48/U48</f>
        <v>0.50943396226415094</v>
      </c>
      <c r="Y48" s="4484"/>
      <c r="Z48" s="4484"/>
    </row>
    <row r="49" spans="1:27" s="650" customFormat="1" hidden="1">
      <c r="A49" s="4913" t="s">
        <v>3866</v>
      </c>
      <c r="B49" s="4913" t="s">
        <v>11556</v>
      </c>
      <c r="C49" s="4913" t="s">
        <v>28</v>
      </c>
      <c r="D49" s="5856">
        <v>45565</v>
      </c>
      <c r="E49" s="5857">
        <v>45578</v>
      </c>
      <c r="F49" s="4913" t="s">
        <v>93</v>
      </c>
      <c r="G49" s="4913" t="s">
        <v>11557</v>
      </c>
      <c r="H49" s="5795">
        <v>0.375</v>
      </c>
      <c r="I49" s="4914">
        <v>45581</v>
      </c>
      <c r="J49" s="5622" t="s">
        <v>490</v>
      </c>
      <c r="K49" s="4913" t="s">
        <v>11558</v>
      </c>
      <c r="L49" s="4913" t="s">
        <v>11559</v>
      </c>
      <c r="M49" s="4914">
        <v>45581</v>
      </c>
      <c r="N49" s="4914">
        <v>45581</v>
      </c>
      <c r="O49" s="4914">
        <v>45581</v>
      </c>
      <c r="P49" s="4891" t="s">
        <v>11560</v>
      </c>
      <c r="Q49" s="3348" t="s">
        <v>9226</v>
      </c>
      <c r="R49" s="3348" t="s">
        <v>11561</v>
      </c>
      <c r="S49" s="3348" t="s">
        <v>10279</v>
      </c>
      <c r="T49" s="3348" t="s">
        <v>11562</v>
      </c>
      <c r="U49" s="3348">
        <v>722.5</v>
      </c>
      <c r="V49" s="3348">
        <v>1</v>
      </c>
      <c r="W49" s="2106"/>
      <c r="X49" s="2106"/>
      <c r="Y49" s="3348"/>
      <c r="Z49" s="3348"/>
      <c r="AA49"/>
    </row>
    <row r="50" spans="1:27" hidden="1">
      <c r="A50" s="2920" t="s">
        <v>409</v>
      </c>
      <c r="B50" s="3126" t="s">
        <v>11563</v>
      </c>
      <c r="C50" s="2920" t="s">
        <v>28</v>
      </c>
      <c r="D50" s="3127">
        <v>45554</v>
      </c>
      <c r="E50" s="3096">
        <v>45578</v>
      </c>
      <c r="F50" s="2920" t="s">
        <v>11564</v>
      </c>
      <c r="G50" s="2920" t="s">
        <v>46</v>
      </c>
      <c r="H50" s="2920"/>
      <c r="I50" s="2920"/>
      <c r="J50" s="2920" t="s">
        <v>32</v>
      </c>
      <c r="K50" s="2920" t="s">
        <v>10688</v>
      </c>
      <c r="L50" s="2920">
        <v>886595</v>
      </c>
      <c r="M50" s="3098">
        <v>45580</v>
      </c>
      <c r="N50" s="3098">
        <v>45579</v>
      </c>
      <c r="O50" s="3098">
        <v>45581</v>
      </c>
      <c r="P50" s="2920" t="s">
        <v>11565</v>
      </c>
      <c r="Q50" s="681" t="s">
        <v>6852</v>
      </c>
      <c r="R50" s="28" t="s">
        <v>11566</v>
      </c>
      <c r="S50" s="28"/>
      <c r="T50" s="28"/>
      <c r="U50" s="28"/>
      <c r="V50" s="28"/>
      <c r="W50" s="28"/>
      <c r="X50" s="28"/>
      <c r="Y50" s="28"/>
      <c r="Z50" s="28"/>
    </row>
    <row r="51" spans="1:27" hidden="1">
      <c r="A51" s="681" t="s">
        <v>10857</v>
      </c>
      <c r="B51" s="3128" t="s">
        <v>11567</v>
      </c>
      <c r="C51" s="681" t="s">
        <v>28</v>
      </c>
      <c r="D51" s="3129">
        <v>45566</v>
      </c>
      <c r="E51" s="3130">
        <v>45578</v>
      </c>
      <c r="F51" s="28" t="s">
        <v>260</v>
      </c>
      <c r="G51" s="28" t="s">
        <v>46</v>
      </c>
      <c r="H51" s="28"/>
      <c r="I51" s="28"/>
      <c r="J51" s="28" t="s">
        <v>32</v>
      </c>
      <c r="K51" s="681" t="s">
        <v>10688</v>
      </c>
      <c r="L51" s="28" t="s">
        <v>11568</v>
      </c>
      <c r="M51" s="3131">
        <v>45580</v>
      </c>
      <c r="N51" s="3131">
        <v>45579</v>
      </c>
      <c r="O51" s="3131">
        <v>45581</v>
      </c>
      <c r="P51" s="28" t="s">
        <v>11569</v>
      </c>
      <c r="Q51" s="28" t="s">
        <v>6852</v>
      </c>
      <c r="R51" s="28"/>
      <c r="S51" s="28"/>
      <c r="T51" s="28"/>
      <c r="U51" s="28"/>
      <c r="V51" s="28"/>
      <c r="W51" s="28"/>
      <c r="X51" s="28"/>
      <c r="Y51" s="28"/>
      <c r="Z51" s="28"/>
    </row>
    <row r="52" spans="1:27" hidden="1">
      <c r="A52" s="2908" t="s">
        <v>409</v>
      </c>
      <c r="B52" s="3119" t="s">
        <v>11570</v>
      </c>
      <c r="C52" s="2908" t="s">
        <v>28</v>
      </c>
      <c r="D52" s="5523">
        <v>45554</v>
      </c>
      <c r="E52" s="3132">
        <v>45579</v>
      </c>
      <c r="F52" s="2908" t="s">
        <v>151</v>
      </c>
      <c r="G52" s="2908" t="s">
        <v>46</v>
      </c>
      <c r="H52" s="2908"/>
      <c r="I52" s="2908"/>
      <c r="J52" s="2908" t="s">
        <v>32</v>
      </c>
      <c r="K52" s="2908" t="s">
        <v>10688</v>
      </c>
      <c r="L52" s="2908" t="s">
        <v>11571</v>
      </c>
      <c r="M52" s="3087">
        <v>45580</v>
      </c>
      <c r="N52" s="3087">
        <v>45579</v>
      </c>
      <c r="O52" s="3087">
        <v>45580</v>
      </c>
      <c r="P52" s="4487" t="s">
        <v>11572</v>
      </c>
      <c r="Q52" s="2908" t="s">
        <v>6852</v>
      </c>
      <c r="R52" s="2908" t="s">
        <v>11573</v>
      </c>
      <c r="S52" s="2908"/>
      <c r="T52" s="2908"/>
      <c r="U52" s="2908"/>
      <c r="V52" s="2908"/>
      <c r="W52" s="2908"/>
      <c r="X52" s="2908"/>
      <c r="Y52" s="2908"/>
      <c r="Z52" s="2908"/>
    </row>
    <row r="53" spans="1:27" hidden="1">
      <c r="A53" s="5283" t="s">
        <v>409</v>
      </c>
      <c r="B53" s="5864" t="s">
        <v>11574</v>
      </c>
      <c r="C53" s="5283" t="s">
        <v>28</v>
      </c>
      <c r="D53" s="5523">
        <v>45563</v>
      </c>
      <c r="E53" s="5852">
        <v>45579</v>
      </c>
      <c r="F53" s="4892" t="s">
        <v>151</v>
      </c>
      <c r="G53" s="4892" t="s">
        <v>46</v>
      </c>
      <c r="H53" s="4892"/>
      <c r="I53" s="4892"/>
      <c r="J53" s="4892" t="s">
        <v>32</v>
      </c>
      <c r="K53" s="5283" t="s">
        <v>10688</v>
      </c>
      <c r="L53" s="5827" t="s">
        <v>11575</v>
      </c>
      <c r="M53" s="5686">
        <v>45581</v>
      </c>
      <c r="N53" s="5686">
        <v>45580</v>
      </c>
      <c r="O53" s="5686">
        <v>45581</v>
      </c>
      <c r="P53" s="4892" t="s">
        <v>11576</v>
      </c>
      <c r="Q53" s="5283" t="s">
        <v>6852</v>
      </c>
      <c r="R53" s="4892" t="s">
        <v>11577</v>
      </c>
      <c r="S53" s="4892"/>
      <c r="T53" s="4892"/>
      <c r="U53" s="4892"/>
      <c r="V53" s="4892"/>
      <c r="W53" s="4892"/>
      <c r="X53" s="4892"/>
      <c r="Y53" s="4892"/>
      <c r="Z53" s="4892"/>
    </row>
    <row r="54" spans="1:27" hidden="1">
      <c r="A54" s="3067" t="s">
        <v>3866</v>
      </c>
      <c r="B54" s="3913" t="s">
        <v>11578</v>
      </c>
      <c r="C54" s="3067" t="s">
        <v>28</v>
      </c>
      <c r="D54" s="3133">
        <v>45562</v>
      </c>
      <c r="E54" s="3076">
        <v>45580</v>
      </c>
      <c r="F54" s="3067" t="s">
        <v>45</v>
      </c>
      <c r="G54" s="3067" t="s">
        <v>46</v>
      </c>
      <c r="H54" s="3368"/>
      <c r="I54" s="3368"/>
      <c r="J54" s="3368" t="s">
        <v>32</v>
      </c>
      <c r="K54" s="3067" t="s">
        <v>10688</v>
      </c>
      <c r="L54" s="3067" t="s">
        <v>11579</v>
      </c>
      <c r="M54" s="3777">
        <v>45581</v>
      </c>
      <c r="N54" s="3777">
        <v>45580</v>
      </c>
      <c r="O54" s="3777">
        <v>45581</v>
      </c>
      <c r="P54" s="3368" t="s">
        <v>11580</v>
      </c>
      <c r="Q54" s="3067" t="s">
        <v>6852</v>
      </c>
      <c r="R54" s="3368" t="s">
        <v>11581</v>
      </c>
      <c r="S54" s="3368"/>
      <c r="T54" s="3368"/>
      <c r="U54" s="3368"/>
      <c r="V54" s="3368"/>
      <c r="W54" s="3368"/>
      <c r="X54" s="3368"/>
      <c r="Y54" s="3348"/>
      <c r="Z54" s="3348"/>
    </row>
    <row r="55" spans="1:27" ht="60" hidden="1">
      <c r="A55" s="3134" t="s">
        <v>122</v>
      </c>
      <c r="B55" s="4086" t="s">
        <v>11582</v>
      </c>
      <c r="C55" s="712" t="s">
        <v>28</v>
      </c>
      <c r="D55" s="4488">
        <v>45580</v>
      </c>
      <c r="E55" s="1236">
        <v>45580</v>
      </c>
      <c r="F55" s="712" t="s">
        <v>167</v>
      </c>
      <c r="G55" s="1064" t="s">
        <v>11583</v>
      </c>
      <c r="H55" s="712" t="s">
        <v>11584</v>
      </c>
      <c r="I55" s="712" t="s">
        <v>11584</v>
      </c>
      <c r="J55" s="712" t="s">
        <v>11584</v>
      </c>
      <c r="K55" s="712" t="s">
        <v>11584</v>
      </c>
      <c r="L55" s="1229" t="s">
        <v>10877</v>
      </c>
      <c r="M55" s="1229">
        <v>45583</v>
      </c>
      <c r="N55" s="1229">
        <v>45583</v>
      </c>
      <c r="O55" s="4121">
        <v>45589</v>
      </c>
      <c r="P55" s="4099" t="s">
        <v>11585</v>
      </c>
      <c r="Q55" s="3135" t="s">
        <v>75</v>
      </c>
      <c r="R55" s="1138" t="s">
        <v>11586</v>
      </c>
      <c r="S55" s="1219" t="s">
        <v>67</v>
      </c>
      <c r="T55" s="1138">
        <v>465</v>
      </c>
      <c r="U55" s="1138">
        <f>90+110</f>
        <v>200</v>
      </c>
      <c r="V55" s="1138">
        <v>1</v>
      </c>
      <c r="W55" s="1138">
        <f>T55-U55</f>
        <v>265</v>
      </c>
      <c r="X55" s="2251">
        <f>W55/U55</f>
        <v>1.325</v>
      </c>
      <c r="Y55" s="1138"/>
      <c r="Z55" s="1138"/>
    </row>
    <row r="56" spans="1:27" hidden="1">
      <c r="A56" s="5283" t="s">
        <v>409</v>
      </c>
      <c r="B56" s="5864" t="s">
        <v>11587</v>
      </c>
      <c r="C56" s="5283" t="s">
        <v>28</v>
      </c>
      <c r="D56" s="5523">
        <v>45563</v>
      </c>
      <c r="E56" s="5868">
        <v>45580</v>
      </c>
      <c r="F56" s="4892" t="s">
        <v>151</v>
      </c>
      <c r="G56" s="4892" t="s">
        <v>46</v>
      </c>
      <c r="H56" s="4892"/>
      <c r="I56" s="4892"/>
      <c r="J56" s="4892" t="s">
        <v>32</v>
      </c>
      <c r="K56" s="5283" t="s">
        <v>10688</v>
      </c>
      <c r="L56" s="4892" t="s">
        <v>11588</v>
      </c>
      <c r="M56" s="5686">
        <v>45582</v>
      </c>
      <c r="N56" s="3136">
        <v>45581</v>
      </c>
      <c r="O56" s="5686">
        <v>45583</v>
      </c>
      <c r="P56" s="4892" t="s">
        <v>11589</v>
      </c>
      <c r="Q56" s="2908" t="s">
        <v>6852</v>
      </c>
      <c r="R56" s="2170" t="s">
        <v>11590</v>
      </c>
      <c r="S56" s="2170"/>
      <c r="T56" s="2170"/>
      <c r="U56" s="2170"/>
      <c r="V56" s="4892"/>
      <c r="W56" s="4892"/>
      <c r="X56" s="4892"/>
      <c r="Y56" s="2170"/>
      <c r="Z56" s="2170"/>
    </row>
    <row r="57" spans="1:27" hidden="1">
      <c r="A57" s="2908" t="s">
        <v>409</v>
      </c>
      <c r="B57" s="3119" t="s">
        <v>11591</v>
      </c>
      <c r="C57" s="2170" t="s">
        <v>28</v>
      </c>
      <c r="D57" s="3120">
        <v>45569</v>
      </c>
      <c r="E57" s="3121">
        <v>45580</v>
      </c>
      <c r="F57" s="2170" t="s">
        <v>151</v>
      </c>
      <c r="G57" s="2170" t="s">
        <v>46</v>
      </c>
      <c r="H57" s="2170"/>
      <c r="I57" s="2170"/>
      <c r="J57" s="28" t="s">
        <v>32</v>
      </c>
      <c r="K57" s="52" t="s">
        <v>10688</v>
      </c>
      <c r="L57" s="2170" t="s">
        <v>11592</v>
      </c>
      <c r="M57" s="3122">
        <v>45582</v>
      </c>
      <c r="N57" s="3122">
        <v>45580</v>
      </c>
      <c r="O57" s="3122">
        <v>45582</v>
      </c>
      <c r="P57" s="2170" t="s">
        <v>11593</v>
      </c>
      <c r="Q57" s="2170" t="s">
        <v>6852</v>
      </c>
      <c r="R57" s="2170" t="s">
        <v>11594</v>
      </c>
      <c r="S57" s="3137"/>
      <c r="T57" s="2170"/>
      <c r="U57" s="2170"/>
      <c r="V57" s="2170"/>
      <c r="W57" s="2170"/>
      <c r="X57" s="2170"/>
      <c r="Y57" s="2170"/>
      <c r="Z57" s="2170"/>
    </row>
    <row r="58" spans="1:27" hidden="1">
      <c r="A58" s="4913" t="s">
        <v>26</v>
      </c>
      <c r="B58" s="4913" t="s">
        <v>11595</v>
      </c>
      <c r="C58" s="5277" t="s">
        <v>28</v>
      </c>
      <c r="D58" s="5856">
        <v>45567</v>
      </c>
      <c r="E58" s="5857">
        <v>45580</v>
      </c>
      <c r="F58" s="4913" t="s">
        <v>45</v>
      </c>
      <c r="G58" s="4913" t="s">
        <v>46</v>
      </c>
      <c r="H58" s="4914">
        <v>45582</v>
      </c>
      <c r="I58" s="5871">
        <v>0.45833333333333331</v>
      </c>
      <c r="J58" s="5395" t="s">
        <v>32</v>
      </c>
      <c r="K58" s="5395" t="s">
        <v>9588</v>
      </c>
      <c r="L58" s="5395" t="s">
        <v>11596</v>
      </c>
      <c r="M58" s="5872">
        <v>45583</v>
      </c>
      <c r="N58" s="5872">
        <v>45581</v>
      </c>
      <c r="O58" s="5872">
        <v>45582</v>
      </c>
      <c r="P58" s="4913" t="s">
        <v>11597</v>
      </c>
      <c r="Q58" s="4913" t="s">
        <v>9226</v>
      </c>
      <c r="R58" s="5858" t="s">
        <v>11598</v>
      </c>
      <c r="S58" s="1161" t="s">
        <v>10279</v>
      </c>
      <c r="T58" s="4674">
        <v>1393.5</v>
      </c>
      <c r="U58" s="5710">
        <v>1265</v>
      </c>
      <c r="V58" s="4913">
        <v>1</v>
      </c>
      <c r="W58" s="5277">
        <f>T58-U58</f>
        <v>128.5</v>
      </c>
      <c r="X58" s="5409">
        <f>W58/U58</f>
        <v>0.10158102766798419</v>
      </c>
      <c r="Y58" s="4913"/>
      <c r="Z58" s="4913"/>
    </row>
    <row r="59" spans="1:27" hidden="1">
      <c r="A59" s="4913" t="s">
        <v>11599</v>
      </c>
      <c r="B59" s="4913" t="s">
        <v>11600</v>
      </c>
      <c r="C59" s="4913" t="s">
        <v>11601</v>
      </c>
      <c r="D59" s="5856">
        <v>45577</v>
      </c>
      <c r="E59" s="5856">
        <v>45580</v>
      </c>
      <c r="F59" s="4913" t="s">
        <v>45</v>
      </c>
      <c r="G59" s="4913" t="s">
        <v>11602</v>
      </c>
      <c r="H59" s="4914">
        <v>45580</v>
      </c>
      <c r="I59" s="5795">
        <v>0.375</v>
      </c>
      <c r="J59" s="4913" t="s">
        <v>1478</v>
      </c>
      <c r="K59" s="4913" t="s">
        <v>11603</v>
      </c>
      <c r="L59" s="4913"/>
      <c r="M59" s="5856">
        <v>45583</v>
      </c>
      <c r="N59" s="4914">
        <v>45579</v>
      </c>
      <c r="O59" s="4914">
        <v>45581</v>
      </c>
      <c r="P59" s="4913" t="s">
        <v>11604</v>
      </c>
      <c r="Q59" s="4913" t="s">
        <v>9226</v>
      </c>
      <c r="R59" s="4913" t="s">
        <v>11605</v>
      </c>
      <c r="S59" s="2106" t="s">
        <v>10279</v>
      </c>
      <c r="T59" s="5873">
        <v>2265</v>
      </c>
      <c r="U59" s="5873">
        <v>1507.9</v>
      </c>
      <c r="V59" s="4913">
        <v>1</v>
      </c>
      <c r="W59" s="4913"/>
      <c r="X59" s="4913"/>
      <c r="Y59" s="4913"/>
      <c r="Z59" s="4913"/>
    </row>
    <row r="60" spans="1:27" s="650" customFormat="1" hidden="1">
      <c r="A60" s="3067" t="s">
        <v>3866</v>
      </c>
      <c r="B60" s="3914" t="s">
        <v>11606</v>
      </c>
      <c r="C60" s="3067" t="s">
        <v>28</v>
      </c>
      <c r="D60" s="3133">
        <v>45558</v>
      </c>
      <c r="E60" s="3915">
        <v>45581</v>
      </c>
      <c r="F60" s="3067" t="s">
        <v>45</v>
      </c>
      <c r="G60" s="3067" t="s">
        <v>46</v>
      </c>
      <c r="H60" s="3067"/>
      <c r="I60" s="3067"/>
      <c r="J60" s="3067" t="s">
        <v>32</v>
      </c>
      <c r="K60" s="3067" t="s">
        <v>10688</v>
      </c>
      <c r="L60" s="52" t="s">
        <v>11607</v>
      </c>
      <c r="M60" s="3882">
        <v>45584</v>
      </c>
      <c r="N60" s="3882">
        <v>45584</v>
      </c>
      <c r="O60" s="3882">
        <v>45587</v>
      </c>
      <c r="P60" s="3067" t="s">
        <v>11608</v>
      </c>
      <c r="Q60" s="3067" t="s">
        <v>6852</v>
      </c>
      <c r="R60" s="3368" t="s">
        <v>11609</v>
      </c>
      <c r="S60" s="3368"/>
      <c r="T60" s="3368">
        <v>3014</v>
      </c>
      <c r="U60" s="3368"/>
      <c r="V60" s="3368"/>
      <c r="W60" s="3368"/>
      <c r="X60" s="3368"/>
      <c r="Y60" s="3348"/>
      <c r="Z60" s="3348"/>
      <c r="AA60"/>
    </row>
    <row r="61" spans="1:27" hidden="1">
      <c r="A61" s="705" t="s">
        <v>409</v>
      </c>
      <c r="B61" s="3138" t="s">
        <v>11610</v>
      </c>
      <c r="C61" s="705" t="s">
        <v>28</v>
      </c>
      <c r="D61" s="3139">
        <v>45563</v>
      </c>
      <c r="E61" s="3140">
        <v>45581</v>
      </c>
      <c r="F61" s="44" t="s">
        <v>151</v>
      </c>
      <c r="G61" s="44" t="s">
        <v>46</v>
      </c>
      <c r="H61" s="44"/>
      <c r="I61" s="44"/>
      <c r="J61" s="44" t="s">
        <v>32</v>
      </c>
      <c r="K61" s="705" t="s">
        <v>10688</v>
      </c>
      <c r="L61" s="3141" t="s">
        <v>11611</v>
      </c>
      <c r="M61" s="3142">
        <v>45581</v>
      </c>
      <c r="N61" s="3142">
        <v>45581</v>
      </c>
      <c r="O61" s="3142">
        <v>45583</v>
      </c>
      <c r="P61" s="44" t="s">
        <v>11612</v>
      </c>
      <c r="Q61" s="681" t="s">
        <v>6852</v>
      </c>
      <c r="R61" s="28" t="s">
        <v>11613</v>
      </c>
      <c r="S61" s="28"/>
      <c r="T61" s="28"/>
      <c r="U61" s="28"/>
      <c r="V61" s="28"/>
      <c r="W61" s="28"/>
      <c r="X61" s="28"/>
      <c r="Y61" s="28"/>
      <c r="Z61" s="28"/>
    </row>
    <row r="62" spans="1:27" hidden="1">
      <c r="A62" s="5283" t="s">
        <v>409</v>
      </c>
      <c r="B62" s="5864" t="s">
        <v>11614</v>
      </c>
      <c r="C62" s="4892" t="s">
        <v>28</v>
      </c>
      <c r="D62" s="5523">
        <v>45578</v>
      </c>
      <c r="E62" s="5868">
        <v>45581</v>
      </c>
      <c r="F62" s="4892" t="s">
        <v>45</v>
      </c>
      <c r="G62" s="4892" t="s">
        <v>46</v>
      </c>
      <c r="H62" s="4892"/>
      <c r="I62" s="4892"/>
      <c r="J62" s="4892" t="s">
        <v>32</v>
      </c>
      <c r="K62" s="5283" t="s">
        <v>10688</v>
      </c>
      <c r="L62" s="4892" t="s">
        <v>11615</v>
      </c>
      <c r="M62" s="5686">
        <v>45580</v>
      </c>
      <c r="N62" s="5686">
        <v>45580</v>
      </c>
      <c r="O62" s="5686">
        <v>45581</v>
      </c>
      <c r="P62" s="4892" t="s">
        <v>11616</v>
      </c>
      <c r="Q62" s="2170" t="s">
        <v>6852</v>
      </c>
      <c r="R62" s="2170" t="s">
        <v>11617</v>
      </c>
      <c r="S62" s="2170"/>
      <c r="T62" s="2170"/>
      <c r="U62" s="2170"/>
      <c r="V62" s="2170"/>
      <c r="W62" s="2170"/>
      <c r="X62" s="2170"/>
      <c r="Y62" s="2170"/>
      <c r="Z62" s="2170"/>
    </row>
    <row r="63" spans="1:27" hidden="1">
      <c r="A63" s="2908" t="s">
        <v>10857</v>
      </c>
      <c r="B63" s="3119" t="s">
        <v>11618</v>
      </c>
      <c r="C63" s="2908" t="s">
        <v>28</v>
      </c>
      <c r="D63" s="3120">
        <v>45566</v>
      </c>
      <c r="E63" s="3121">
        <v>45581</v>
      </c>
      <c r="F63" s="2170" t="s">
        <v>260</v>
      </c>
      <c r="G63" s="2170" t="s">
        <v>46</v>
      </c>
      <c r="H63" s="2170"/>
      <c r="I63" s="2170"/>
      <c r="J63" s="2170" t="s">
        <v>32</v>
      </c>
      <c r="K63" s="2908" t="s">
        <v>10688</v>
      </c>
      <c r="L63" s="3143" t="s">
        <v>11619</v>
      </c>
      <c r="M63" s="3122">
        <v>45582</v>
      </c>
      <c r="N63" s="3122">
        <v>45581</v>
      </c>
      <c r="O63" s="3122">
        <v>45582</v>
      </c>
      <c r="P63" s="2170" t="s">
        <v>11620</v>
      </c>
      <c r="Q63" s="4892" t="s">
        <v>6852</v>
      </c>
      <c r="R63" s="4892"/>
      <c r="S63" s="4892"/>
      <c r="T63" s="4892"/>
      <c r="U63" s="4892"/>
      <c r="V63" s="4892"/>
      <c r="W63" s="4892"/>
      <c r="X63" s="4892"/>
      <c r="Y63" s="4892"/>
      <c r="Z63" s="4892"/>
    </row>
    <row r="64" spans="1:27" s="650" customFormat="1" hidden="1">
      <c r="A64" s="5277" t="s">
        <v>10857</v>
      </c>
      <c r="B64" s="4913" t="s">
        <v>11621</v>
      </c>
      <c r="C64" s="5277" t="s">
        <v>28</v>
      </c>
      <c r="D64" s="5856">
        <v>45566</v>
      </c>
      <c r="E64" s="5857">
        <v>45581</v>
      </c>
      <c r="F64" s="4913" t="s">
        <v>260</v>
      </c>
      <c r="G64" s="4913" t="s">
        <v>46</v>
      </c>
      <c r="H64" s="4913"/>
      <c r="I64" s="4913"/>
      <c r="J64" s="4913" t="s">
        <v>32</v>
      </c>
      <c r="K64" s="5277" t="s">
        <v>10688</v>
      </c>
      <c r="L64" s="4913" t="s">
        <v>11622</v>
      </c>
      <c r="M64" s="4914">
        <v>45584</v>
      </c>
      <c r="N64" s="4914">
        <v>45582</v>
      </c>
      <c r="O64" s="4914">
        <v>45586</v>
      </c>
      <c r="P64" s="4657" t="s">
        <v>11623</v>
      </c>
      <c r="Q64" s="4913" t="s">
        <v>6852</v>
      </c>
      <c r="R64" s="4913" t="s">
        <v>11624</v>
      </c>
      <c r="S64" s="4913"/>
      <c r="T64" s="4913">
        <v>4250</v>
      </c>
      <c r="U64" s="4913">
        <v>650</v>
      </c>
      <c r="V64" s="4913"/>
      <c r="W64" s="2106"/>
      <c r="X64" s="2106"/>
      <c r="Y64" s="4913"/>
      <c r="Z64" s="4913"/>
    </row>
    <row r="65" spans="1:27" ht="150" hidden="1">
      <c r="A65" s="5806" t="s">
        <v>11128</v>
      </c>
      <c r="B65" s="5130" t="s">
        <v>11625</v>
      </c>
      <c r="C65" s="4970" t="s">
        <v>200</v>
      </c>
      <c r="D65" s="5814">
        <v>45562</v>
      </c>
      <c r="E65" s="5156">
        <v>45582</v>
      </c>
      <c r="F65" s="4970" t="s">
        <v>29</v>
      </c>
      <c r="G65" s="4970" t="s">
        <v>11626</v>
      </c>
      <c r="H65" s="5654">
        <v>45582</v>
      </c>
      <c r="I65" s="4970" t="s">
        <v>899</v>
      </c>
      <c r="J65" s="5251" t="s">
        <v>10393</v>
      </c>
      <c r="K65" s="4970" t="s">
        <v>3488</v>
      </c>
      <c r="L65" s="5138">
        <v>2563</v>
      </c>
      <c r="M65" s="5654">
        <v>45582</v>
      </c>
      <c r="N65" s="5654">
        <v>45582</v>
      </c>
      <c r="O65" s="5147">
        <v>45586</v>
      </c>
      <c r="P65" s="4675" t="s">
        <v>11627</v>
      </c>
      <c r="Q65" s="5813" t="s">
        <v>75</v>
      </c>
      <c r="R65" s="5483" t="s">
        <v>11628</v>
      </c>
      <c r="S65" s="5481" t="s">
        <v>67</v>
      </c>
      <c r="T65" s="5483">
        <v>1875</v>
      </c>
      <c r="U65" s="5483">
        <v>1108.75</v>
      </c>
      <c r="V65" s="5483"/>
      <c r="W65" s="5483"/>
      <c r="X65" s="5833"/>
      <c r="Y65" s="5481" t="s">
        <v>11629</v>
      </c>
      <c r="Z65" s="5483"/>
    </row>
    <row r="66" spans="1:27" ht="30" hidden="1">
      <c r="A66" s="3439" t="s">
        <v>11630</v>
      </c>
      <c r="B66" s="4417" t="s">
        <v>11631</v>
      </c>
      <c r="C66" s="3439" t="s">
        <v>85</v>
      </c>
      <c r="D66" s="3650">
        <v>45584</v>
      </c>
      <c r="E66" s="3650">
        <v>45582</v>
      </c>
      <c r="F66" s="3439" t="s">
        <v>11632</v>
      </c>
      <c r="G66" s="3439" t="s">
        <v>11633</v>
      </c>
      <c r="H66" s="3649">
        <v>45589</v>
      </c>
      <c r="I66" s="3348" t="s">
        <v>11634</v>
      </c>
      <c r="J66" s="2213" t="s">
        <v>11635</v>
      </c>
      <c r="K66" s="3429" t="s">
        <v>11636</v>
      </c>
      <c r="L66" s="3439"/>
      <c r="M66" s="3649">
        <v>45589</v>
      </c>
      <c r="N66" s="3649">
        <v>45588</v>
      </c>
      <c r="O66" s="3649">
        <v>45593</v>
      </c>
      <c r="P66" s="4489" t="s">
        <v>11637</v>
      </c>
      <c r="Q66" s="4479" t="s">
        <v>11554</v>
      </c>
      <c r="R66" s="2213" t="s">
        <v>11638</v>
      </c>
      <c r="S66" s="2213" t="s">
        <v>10279</v>
      </c>
      <c r="T66" s="2213">
        <v>1620</v>
      </c>
      <c r="U66" s="2213">
        <v>1230</v>
      </c>
      <c r="V66" s="2213">
        <v>1</v>
      </c>
      <c r="W66" s="2213">
        <f>T66-U66</f>
        <v>390</v>
      </c>
      <c r="X66" s="3145">
        <f>W66/U66</f>
        <v>0.31707317073170732</v>
      </c>
      <c r="Y66" s="2213"/>
      <c r="Z66" s="2213"/>
    </row>
    <row r="67" spans="1:27" ht="30" hidden="1">
      <c r="A67" s="5265" t="s">
        <v>11630</v>
      </c>
      <c r="B67" s="5265" t="s">
        <v>11639</v>
      </c>
      <c r="C67" s="4913" t="s">
        <v>85</v>
      </c>
      <c r="D67" s="5856">
        <v>45584</v>
      </c>
      <c r="E67" s="5856">
        <v>45582</v>
      </c>
      <c r="F67" s="4913" t="s">
        <v>11632</v>
      </c>
      <c r="G67" s="4913" t="s">
        <v>11640</v>
      </c>
      <c r="H67" s="4914">
        <v>45588</v>
      </c>
      <c r="I67" s="4913" t="s">
        <v>11634</v>
      </c>
      <c r="J67" s="4913" t="s">
        <v>11635</v>
      </c>
      <c r="K67" s="4893" t="s">
        <v>11636</v>
      </c>
      <c r="L67" s="4913"/>
      <c r="M67" s="5520">
        <v>45589</v>
      </c>
      <c r="N67" s="4914">
        <v>45587</v>
      </c>
      <c r="O67" s="4914">
        <v>45589</v>
      </c>
      <c r="P67" s="4891" t="s">
        <v>11641</v>
      </c>
      <c r="Q67" s="5265" t="s">
        <v>11554</v>
      </c>
      <c r="R67" s="4913" t="s">
        <v>11642</v>
      </c>
      <c r="S67" s="4913" t="s">
        <v>10279</v>
      </c>
      <c r="T67" s="2213">
        <v>1225</v>
      </c>
      <c r="U67" s="4913">
        <v>625</v>
      </c>
      <c r="V67" s="2213">
        <v>1</v>
      </c>
      <c r="W67" s="2213">
        <f>T67-U67</f>
        <v>600</v>
      </c>
      <c r="X67" s="3145">
        <f>W67/U67</f>
        <v>0.96</v>
      </c>
      <c r="Y67" s="4913"/>
      <c r="Z67" s="4913"/>
    </row>
    <row r="68" spans="1:27" hidden="1">
      <c r="A68" s="3137" t="s">
        <v>3866</v>
      </c>
      <c r="B68" s="3146" t="s">
        <v>11643</v>
      </c>
      <c r="C68" s="3137" t="s">
        <v>44</v>
      </c>
      <c r="D68" s="3147">
        <v>45566</v>
      </c>
      <c r="E68" s="3148">
        <v>45582</v>
      </c>
      <c r="F68" s="3137" t="s">
        <v>45</v>
      </c>
      <c r="G68" s="3137" t="s">
        <v>46</v>
      </c>
      <c r="H68" s="3137"/>
      <c r="I68" s="3137"/>
      <c r="J68" s="3137" t="s">
        <v>32</v>
      </c>
      <c r="K68" s="2966" t="s">
        <v>10688</v>
      </c>
      <c r="L68" s="3137" t="s">
        <v>11644</v>
      </c>
      <c r="M68" s="3149">
        <v>45582</v>
      </c>
      <c r="N68" s="3149">
        <v>45581</v>
      </c>
      <c r="O68" s="3149">
        <v>45582</v>
      </c>
      <c r="P68" s="3150" t="s">
        <v>11645</v>
      </c>
      <c r="Q68" s="3151" t="s">
        <v>6852</v>
      </c>
      <c r="R68" s="3151" t="s">
        <v>11646</v>
      </c>
      <c r="S68" s="3151"/>
      <c r="T68" s="3151"/>
      <c r="U68" s="3151"/>
      <c r="V68" s="3151"/>
      <c r="W68" s="3151"/>
      <c r="X68" s="3151"/>
      <c r="Y68" s="2012"/>
      <c r="Z68" s="2012"/>
    </row>
    <row r="69" spans="1:27" ht="90" hidden="1">
      <c r="A69" s="5627" t="s">
        <v>11647</v>
      </c>
      <c r="B69" s="4970" t="s">
        <v>11648</v>
      </c>
      <c r="C69" s="4921" t="s">
        <v>200</v>
      </c>
      <c r="D69" s="5207">
        <v>45573</v>
      </c>
      <c r="E69" s="5208">
        <v>45582</v>
      </c>
      <c r="F69" s="4921" t="s">
        <v>45</v>
      </c>
      <c r="G69" s="4970" t="s">
        <v>11626</v>
      </c>
      <c r="H69" s="5210">
        <v>45582</v>
      </c>
      <c r="I69" s="4970" t="s">
        <v>40</v>
      </c>
      <c r="J69" s="5627" t="s">
        <v>8079</v>
      </c>
      <c r="K69" s="4970" t="s">
        <v>11649</v>
      </c>
      <c r="L69" s="5138">
        <v>6028</v>
      </c>
      <c r="M69" s="5210">
        <v>45582</v>
      </c>
      <c r="N69" s="5210">
        <v>45582</v>
      </c>
      <c r="O69" s="5210">
        <v>45582</v>
      </c>
      <c r="P69" s="4829" t="s">
        <v>11650</v>
      </c>
      <c r="Q69" s="5515" t="s">
        <v>75</v>
      </c>
      <c r="R69" s="4970" t="s">
        <v>11651</v>
      </c>
      <c r="S69" s="4838" t="s">
        <v>67</v>
      </c>
      <c r="T69" s="4921">
        <v>770</v>
      </c>
      <c r="U69" s="4921">
        <f>90+458</f>
        <v>548</v>
      </c>
      <c r="V69" s="4921">
        <v>1</v>
      </c>
      <c r="W69" s="4921">
        <f>T69-U69</f>
        <v>222</v>
      </c>
      <c r="X69" s="5213">
        <f>W69/U69</f>
        <v>0.4051094890510949</v>
      </c>
      <c r="Y69" s="4921"/>
      <c r="Z69" s="4921"/>
    </row>
    <row r="70" spans="1:27" ht="90" hidden="1">
      <c r="A70" s="5627" t="s">
        <v>11647</v>
      </c>
      <c r="B70" s="4970" t="s">
        <v>11652</v>
      </c>
      <c r="C70" s="4921" t="s">
        <v>28</v>
      </c>
      <c r="D70" s="5207">
        <v>45573</v>
      </c>
      <c r="E70" s="5208">
        <v>45582</v>
      </c>
      <c r="F70" s="4921" t="s">
        <v>45</v>
      </c>
      <c r="G70" s="4921" t="s">
        <v>11626</v>
      </c>
      <c r="H70" s="5210">
        <v>45582</v>
      </c>
      <c r="I70" s="4970" t="s">
        <v>115</v>
      </c>
      <c r="J70" s="5627" t="s">
        <v>8079</v>
      </c>
      <c r="K70" s="4921" t="s">
        <v>11649</v>
      </c>
      <c r="L70" s="5138">
        <v>5784</v>
      </c>
      <c r="M70" s="5210">
        <v>45582</v>
      </c>
      <c r="N70" s="5210">
        <v>45582</v>
      </c>
      <c r="O70" s="5210">
        <v>45582</v>
      </c>
      <c r="P70" s="4829" t="s">
        <v>11653</v>
      </c>
      <c r="Q70" s="5515" t="s">
        <v>75</v>
      </c>
      <c r="R70" s="4970" t="s">
        <v>11654</v>
      </c>
      <c r="S70" s="4838" t="s">
        <v>67</v>
      </c>
      <c r="T70" s="4921">
        <v>615</v>
      </c>
      <c r="U70" s="4921">
        <v>458</v>
      </c>
      <c r="V70" s="4921">
        <v>1</v>
      </c>
      <c r="W70" s="4921">
        <f>T70-U70</f>
        <v>157</v>
      </c>
      <c r="X70" s="5213">
        <f>W70/U70</f>
        <v>0.34279475982532753</v>
      </c>
      <c r="Y70" s="4921"/>
      <c r="Z70" s="4921"/>
    </row>
    <row r="71" spans="1:27" ht="90" hidden="1">
      <c r="A71" s="5627" t="s">
        <v>11647</v>
      </c>
      <c r="B71" s="4970" t="s">
        <v>11655</v>
      </c>
      <c r="C71" s="4921" t="s">
        <v>28</v>
      </c>
      <c r="D71" s="5207">
        <v>45573</v>
      </c>
      <c r="E71" s="5208">
        <v>45582</v>
      </c>
      <c r="F71" s="4921" t="s">
        <v>45</v>
      </c>
      <c r="G71" s="4921" t="s">
        <v>11626</v>
      </c>
      <c r="H71" s="5210">
        <v>45582</v>
      </c>
      <c r="I71" s="4970" t="s">
        <v>108</v>
      </c>
      <c r="J71" s="5627" t="s">
        <v>8079</v>
      </c>
      <c r="K71" s="4921" t="s">
        <v>11649</v>
      </c>
      <c r="L71" s="5138">
        <v>6247</v>
      </c>
      <c r="M71" s="5210">
        <v>45582</v>
      </c>
      <c r="N71" s="5210">
        <v>45581</v>
      </c>
      <c r="O71" s="5210">
        <v>45582</v>
      </c>
      <c r="P71" s="4829" t="s">
        <v>11653</v>
      </c>
      <c r="Q71" s="5515" t="s">
        <v>75</v>
      </c>
      <c r="R71" s="4970" t="s">
        <v>11656</v>
      </c>
      <c r="S71" s="4838" t="s">
        <v>67</v>
      </c>
      <c r="T71" s="4921">
        <v>615</v>
      </c>
      <c r="U71" s="4921">
        <v>551.75</v>
      </c>
      <c r="V71" s="4921">
        <v>1</v>
      </c>
      <c r="W71" s="4921">
        <f>T71-U71</f>
        <v>63.25</v>
      </c>
      <c r="X71" s="5213">
        <f>W71/U71</f>
        <v>0.11463525147258723</v>
      </c>
      <c r="Y71" s="4921"/>
      <c r="Z71" s="4921"/>
    </row>
    <row r="72" spans="1:27" hidden="1">
      <c r="A72" s="4490" t="s">
        <v>11657</v>
      </c>
      <c r="B72" s="4490" t="s">
        <v>11658</v>
      </c>
      <c r="C72" s="3057" t="s">
        <v>28</v>
      </c>
      <c r="D72" s="4491">
        <v>45570</v>
      </c>
      <c r="E72" s="3102">
        <v>45582</v>
      </c>
      <c r="F72" s="4490" t="s">
        <v>1828</v>
      </c>
      <c r="G72" s="4490" t="s">
        <v>302</v>
      </c>
      <c r="H72" s="4492">
        <v>45586</v>
      </c>
      <c r="I72" s="4493">
        <v>0.33333333333333331</v>
      </c>
      <c r="J72" s="3056" t="s">
        <v>3010</v>
      </c>
      <c r="K72" s="3057" t="s">
        <v>7364</v>
      </c>
      <c r="L72" s="4494" t="s">
        <v>11659</v>
      </c>
      <c r="M72" s="4495">
        <v>45584</v>
      </c>
      <c r="N72" s="4492">
        <v>45583</v>
      </c>
      <c r="O72" s="4492">
        <v>45586</v>
      </c>
      <c r="P72" s="4494" t="s">
        <v>11660</v>
      </c>
      <c r="Q72" s="3063" t="s">
        <v>9226</v>
      </c>
      <c r="R72" s="4490" t="s">
        <v>11661</v>
      </c>
      <c r="S72" s="4494" t="s">
        <v>10279</v>
      </c>
      <c r="T72" s="4496">
        <v>1370</v>
      </c>
      <c r="U72" s="4496">
        <v>898.88</v>
      </c>
      <c r="V72" s="4490"/>
      <c r="W72" s="4471"/>
      <c r="X72" s="4471"/>
      <c r="Y72" s="4490"/>
      <c r="Z72" s="4490"/>
    </row>
    <row r="73" spans="1:27" hidden="1">
      <c r="A73" s="5283" t="s">
        <v>409</v>
      </c>
      <c r="B73" s="5864" t="s">
        <v>11662</v>
      </c>
      <c r="C73" s="5283" t="s">
        <v>28</v>
      </c>
      <c r="D73" s="5523">
        <v>45548</v>
      </c>
      <c r="E73" s="5868">
        <v>45582</v>
      </c>
      <c r="F73" s="4892" t="s">
        <v>2225</v>
      </c>
      <c r="G73" s="4892" t="s">
        <v>57</v>
      </c>
      <c r="H73" s="4892"/>
      <c r="I73" s="4892"/>
      <c r="J73" s="4892" t="s">
        <v>32</v>
      </c>
      <c r="K73" s="5283" t="s">
        <v>10688</v>
      </c>
      <c r="L73" s="4892">
        <v>9653236</v>
      </c>
      <c r="M73" s="5686">
        <v>45584</v>
      </c>
      <c r="N73" s="5686">
        <v>45583</v>
      </c>
      <c r="O73" s="5686">
        <v>45584</v>
      </c>
      <c r="P73" s="4892" t="s">
        <v>11663</v>
      </c>
      <c r="Q73" s="5283" t="s">
        <v>6852</v>
      </c>
      <c r="R73" s="4892" t="s">
        <v>11664</v>
      </c>
      <c r="S73" s="4892"/>
      <c r="T73" s="4892"/>
      <c r="U73" s="4892"/>
      <c r="V73" s="4892"/>
      <c r="W73" s="4892"/>
      <c r="X73" s="4892"/>
      <c r="Y73" s="4892"/>
      <c r="Z73" s="4892"/>
    </row>
    <row r="74" spans="1:27" hidden="1">
      <c r="A74" s="2920" t="s">
        <v>409</v>
      </c>
      <c r="B74" s="3152" t="s">
        <v>11665</v>
      </c>
      <c r="C74" s="2920" t="s">
        <v>28</v>
      </c>
      <c r="D74" s="3127">
        <v>45548</v>
      </c>
      <c r="E74" s="3153">
        <v>45582</v>
      </c>
      <c r="F74" s="3099" t="s">
        <v>2225</v>
      </c>
      <c r="G74" s="3099" t="s">
        <v>57</v>
      </c>
      <c r="H74" s="2920"/>
      <c r="I74" s="2920"/>
      <c r="J74" s="2920" t="s">
        <v>32</v>
      </c>
      <c r="K74" s="2920" t="s">
        <v>10688</v>
      </c>
      <c r="L74" s="2920">
        <v>9653344</v>
      </c>
      <c r="M74" s="3154">
        <v>45584</v>
      </c>
      <c r="N74" s="3098">
        <v>45583</v>
      </c>
      <c r="O74" s="3098">
        <v>45586</v>
      </c>
      <c r="P74" s="2920" t="s">
        <v>11666</v>
      </c>
      <c r="Q74" s="2920" t="s">
        <v>6852</v>
      </c>
      <c r="R74" s="3099" t="s">
        <v>11667</v>
      </c>
      <c r="S74" s="3099"/>
      <c r="T74" s="3099"/>
      <c r="U74" s="3099"/>
      <c r="V74" s="3099"/>
      <c r="W74" s="3099"/>
      <c r="X74" s="3099"/>
      <c r="Y74" s="3099"/>
      <c r="Z74" s="3099"/>
    </row>
    <row r="75" spans="1:27" hidden="1">
      <c r="A75" s="681" t="s">
        <v>409</v>
      </c>
      <c r="B75" s="3128" t="s">
        <v>11668</v>
      </c>
      <c r="C75" s="44" t="s">
        <v>28</v>
      </c>
      <c r="D75" s="3139">
        <v>45568</v>
      </c>
      <c r="E75" s="3140">
        <v>45582</v>
      </c>
      <c r="F75" s="44" t="s">
        <v>45</v>
      </c>
      <c r="G75" s="44" t="s">
        <v>46</v>
      </c>
      <c r="H75" s="44"/>
      <c r="I75" s="44"/>
      <c r="J75" s="44" t="s">
        <v>32</v>
      </c>
      <c r="K75" s="705" t="s">
        <v>10688</v>
      </c>
      <c r="L75" s="44" t="s">
        <v>11669</v>
      </c>
      <c r="M75" s="3131">
        <v>45583</v>
      </c>
      <c r="N75" s="3131">
        <v>45582</v>
      </c>
      <c r="O75" s="3131">
        <v>45584</v>
      </c>
      <c r="P75" s="28" t="s">
        <v>11670</v>
      </c>
      <c r="Q75" s="28" t="s">
        <v>6852</v>
      </c>
      <c r="R75" s="28" t="s">
        <v>11671</v>
      </c>
      <c r="S75" s="28"/>
      <c r="T75" s="28"/>
      <c r="U75" s="28"/>
      <c r="V75" s="28"/>
      <c r="W75" s="28"/>
      <c r="X75" s="28"/>
      <c r="Y75" s="28"/>
      <c r="Z75" s="28"/>
    </row>
    <row r="76" spans="1:27" hidden="1">
      <c r="A76" s="5283" t="s">
        <v>10857</v>
      </c>
      <c r="B76" s="5864" t="s">
        <v>11672</v>
      </c>
      <c r="C76" s="5283" t="s">
        <v>28</v>
      </c>
      <c r="D76" s="5523">
        <v>45566</v>
      </c>
      <c r="E76" s="5868">
        <v>45582</v>
      </c>
      <c r="F76" s="4892" t="s">
        <v>135</v>
      </c>
      <c r="G76" s="4892" t="s">
        <v>57</v>
      </c>
      <c r="H76" s="4892"/>
      <c r="I76" s="28"/>
      <c r="J76" s="4676" t="s">
        <v>32</v>
      </c>
      <c r="K76" s="5283" t="s">
        <v>10688</v>
      </c>
      <c r="L76" s="4892">
        <v>125946</v>
      </c>
      <c r="M76" s="5686">
        <v>45586</v>
      </c>
      <c r="N76" s="3155">
        <v>45586</v>
      </c>
      <c r="O76" s="5686">
        <v>45588</v>
      </c>
      <c r="P76" s="4892" t="s">
        <v>11673</v>
      </c>
      <c r="Q76" s="4892" t="s">
        <v>6852</v>
      </c>
      <c r="R76" s="2170"/>
      <c r="S76" s="4892"/>
      <c r="T76" s="4892"/>
      <c r="U76" s="4892"/>
      <c r="V76" s="4892"/>
      <c r="W76" s="4892"/>
      <c r="X76" s="4892"/>
      <c r="Y76" s="4892"/>
      <c r="Z76" s="5526"/>
      <c r="AA76" s="650"/>
    </row>
    <row r="77" spans="1:27" ht="30" hidden="1">
      <c r="A77" s="4913" t="s">
        <v>11674</v>
      </c>
      <c r="B77" s="5265" t="s">
        <v>11675</v>
      </c>
      <c r="C77" s="5265" t="s">
        <v>28</v>
      </c>
      <c r="D77" s="5874">
        <v>45576</v>
      </c>
      <c r="E77" s="5857">
        <v>45583</v>
      </c>
      <c r="F77" s="5265" t="s">
        <v>11676</v>
      </c>
      <c r="G77" s="5265" t="s">
        <v>11551</v>
      </c>
      <c r="H77" s="5875">
        <v>61245174</v>
      </c>
      <c r="I77" s="3156">
        <v>45586</v>
      </c>
      <c r="J77" s="4677" t="s">
        <v>490</v>
      </c>
      <c r="K77" s="4913" t="s">
        <v>11552</v>
      </c>
      <c r="L77" s="5265" t="s">
        <v>11677</v>
      </c>
      <c r="M77" s="5874">
        <v>45585</v>
      </c>
      <c r="N77" s="5869">
        <v>45584</v>
      </c>
      <c r="O77" s="4914">
        <v>45593</v>
      </c>
      <c r="P77" s="4913" t="s">
        <v>11678</v>
      </c>
      <c r="Q77" s="5265" t="s">
        <v>11554</v>
      </c>
      <c r="R77" s="4497" t="s">
        <v>11679</v>
      </c>
      <c r="S77" s="4891" t="s">
        <v>11546</v>
      </c>
      <c r="T77" s="4042">
        <v>2335</v>
      </c>
      <c r="U77" s="5265">
        <v>1620</v>
      </c>
      <c r="V77" s="5265">
        <v>1</v>
      </c>
      <c r="W77" s="5876"/>
      <c r="X77" s="5877"/>
      <c r="Y77" s="5876"/>
      <c r="Z77" s="5878"/>
    </row>
    <row r="78" spans="1:27" ht="30" hidden="1">
      <c r="A78" s="4913" t="s">
        <v>11674</v>
      </c>
      <c r="B78" s="5265" t="s">
        <v>11680</v>
      </c>
      <c r="C78" s="5265" t="s">
        <v>28</v>
      </c>
      <c r="D78" s="5874">
        <v>45576</v>
      </c>
      <c r="E78" s="5857">
        <v>45583</v>
      </c>
      <c r="F78" s="5265" t="s">
        <v>11676</v>
      </c>
      <c r="G78" s="5265" t="s">
        <v>11551</v>
      </c>
      <c r="H78" s="5875">
        <v>61246813</v>
      </c>
      <c r="I78" s="3156">
        <v>45585</v>
      </c>
      <c r="J78" s="5265" t="s">
        <v>490</v>
      </c>
      <c r="K78" s="4913" t="s">
        <v>11552</v>
      </c>
      <c r="L78" s="5265" t="s">
        <v>11681</v>
      </c>
      <c r="M78" s="5874">
        <v>45585</v>
      </c>
      <c r="N78" s="5265"/>
      <c r="O78" s="5869">
        <v>45589</v>
      </c>
      <c r="P78" s="4913" t="s">
        <v>11682</v>
      </c>
      <c r="Q78" s="5265" t="s">
        <v>11554</v>
      </c>
      <c r="R78" s="5265" t="s">
        <v>11683</v>
      </c>
      <c r="S78" s="4891" t="s">
        <v>11546</v>
      </c>
      <c r="T78" s="44">
        <v>1785</v>
      </c>
      <c r="U78" s="5265">
        <v>1245</v>
      </c>
      <c r="V78" s="4913">
        <v>1</v>
      </c>
      <c r="W78" s="5876"/>
      <c r="X78" s="5877"/>
      <c r="Y78" s="5876"/>
      <c r="Z78" s="5876"/>
    </row>
    <row r="79" spans="1:27" s="650" customFormat="1" ht="60" hidden="1">
      <c r="A79" s="5622" t="s">
        <v>622</v>
      </c>
      <c r="B79" s="5879" t="s">
        <v>11684</v>
      </c>
      <c r="C79" s="5277" t="s">
        <v>28</v>
      </c>
      <c r="D79" s="5406">
        <v>45573</v>
      </c>
      <c r="E79" s="5538">
        <v>45583</v>
      </c>
      <c r="F79" s="5880" t="s">
        <v>151</v>
      </c>
      <c r="G79" s="5855" t="s">
        <v>801</v>
      </c>
      <c r="H79" s="5791">
        <v>45586</v>
      </c>
      <c r="I79" s="5277" t="s">
        <v>115</v>
      </c>
      <c r="J79" s="5622" t="s">
        <v>4896</v>
      </c>
      <c r="K79" s="5642" t="s">
        <v>1445</v>
      </c>
      <c r="L79" s="5855">
        <v>995568</v>
      </c>
      <c r="M79" s="5791">
        <v>45585</v>
      </c>
      <c r="N79" s="5791">
        <v>45585</v>
      </c>
      <c r="O79" s="5791">
        <v>45586</v>
      </c>
      <c r="P79" s="5405" t="s">
        <v>11685</v>
      </c>
      <c r="Q79" s="5539" t="s">
        <v>75</v>
      </c>
      <c r="R79" s="5118" t="s">
        <v>11686</v>
      </c>
      <c r="S79" s="5118" t="s">
        <v>67</v>
      </c>
      <c r="T79" s="5277">
        <f>8425</f>
        <v>8425</v>
      </c>
      <c r="U79" s="5277">
        <f>7300+740</f>
        <v>8040</v>
      </c>
      <c r="V79" s="5277"/>
      <c r="W79" s="5277">
        <f>T79-U79</f>
        <v>385</v>
      </c>
      <c r="X79" s="5776">
        <f>W79/U79</f>
        <v>4.788557213930348E-2</v>
      </c>
      <c r="Y79" s="5277"/>
      <c r="Z79" s="5277"/>
    </row>
    <row r="80" spans="1:27" s="650" customFormat="1" ht="60" hidden="1">
      <c r="A80" s="3023" t="s">
        <v>622</v>
      </c>
      <c r="B80" s="3157" t="s">
        <v>11687</v>
      </c>
      <c r="C80" s="2269" t="s">
        <v>28</v>
      </c>
      <c r="D80" s="3025">
        <v>45573</v>
      </c>
      <c r="E80" s="3026">
        <v>45583</v>
      </c>
      <c r="F80" s="3158" t="s">
        <v>151</v>
      </c>
      <c r="G80" s="3159" t="s">
        <v>801</v>
      </c>
      <c r="H80" s="3027">
        <v>45587</v>
      </c>
      <c r="I80" s="2269" t="s">
        <v>115</v>
      </c>
      <c r="J80" s="3023" t="s">
        <v>4896</v>
      </c>
      <c r="K80" s="3024" t="s">
        <v>1445</v>
      </c>
      <c r="L80" s="3159">
        <v>102935</v>
      </c>
      <c r="M80" s="3027">
        <v>45585</v>
      </c>
      <c r="N80" s="3027">
        <v>45585</v>
      </c>
      <c r="O80" s="3027">
        <v>45587</v>
      </c>
      <c r="P80" s="4425" t="s">
        <v>11688</v>
      </c>
      <c r="Q80" s="3160" t="s">
        <v>75</v>
      </c>
      <c r="R80" s="2272" t="s">
        <v>11689</v>
      </c>
      <c r="S80" s="2272" t="s">
        <v>67</v>
      </c>
      <c r="T80" s="2269">
        <f>8425</f>
        <v>8425</v>
      </c>
      <c r="U80" s="2269">
        <f>7300+685</f>
        <v>7985</v>
      </c>
      <c r="V80" s="2269"/>
      <c r="W80" s="2269">
        <f>T80-U80</f>
        <v>440</v>
      </c>
      <c r="X80" s="3077">
        <f>W80/U80</f>
        <v>5.5103318722604884E-2</v>
      </c>
      <c r="Y80" s="2269"/>
      <c r="Z80" s="2269"/>
    </row>
    <row r="81" spans="1:27" s="650" customFormat="1" ht="75" hidden="1">
      <c r="A81" s="5622" t="s">
        <v>622</v>
      </c>
      <c r="B81" s="3161" t="s">
        <v>11690</v>
      </c>
      <c r="C81" s="3162" t="s">
        <v>28</v>
      </c>
      <c r="D81" s="3163">
        <v>45573</v>
      </c>
      <c r="E81" s="3102">
        <v>45583</v>
      </c>
      <c r="F81" s="3164" t="s">
        <v>151</v>
      </c>
      <c r="G81" s="3165" t="s">
        <v>801</v>
      </c>
      <c r="H81" s="3166">
        <v>45588</v>
      </c>
      <c r="I81" s="4490" t="s">
        <v>115</v>
      </c>
      <c r="J81" s="3056" t="s">
        <v>4896</v>
      </c>
      <c r="K81" s="3167" t="s">
        <v>1445</v>
      </c>
      <c r="L81" s="3168" t="s">
        <v>11691</v>
      </c>
      <c r="M81" s="3166">
        <v>45585</v>
      </c>
      <c r="N81" s="3166">
        <v>45585</v>
      </c>
      <c r="O81" s="3169">
        <v>45588</v>
      </c>
      <c r="P81" s="4494" t="s">
        <v>11692</v>
      </c>
      <c r="Q81" s="3170" t="s">
        <v>75</v>
      </c>
      <c r="R81" s="1908" t="s">
        <v>11693</v>
      </c>
      <c r="S81" s="1908" t="s">
        <v>67</v>
      </c>
      <c r="T81" s="3162">
        <f>8025</f>
        <v>8025</v>
      </c>
      <c r="U81" s="3162">
        <f>6800+725</f>
        <v>7525</v>
      </c>
      <c r="V81" s="3162"/>
      <c r="W81" s="3162">
        <f>T81-U81</f>
        <v>500</v>
      </c>
      <c r="X81" s="3171">
        <f>W81/U81</f>
        <v>6.6445182724252497E-2</v>
      </c>
      <c r="Y81" s="3162"/>
      <c r="Z81" s="3162"/>
    </row>
    <row r="82" spans="1:27" s="650" customFormat="1" hidden="1">
      <c r="A82" s="3348" t="s">
        <v>2966</v>
      </c>
      <c r="B82" s="1168" t="s">
        <v>11694</v>
      </c>
      <c r="C82" s="1372" t="s">
        <v>28</v>
      </c>
      <c r="D82" s="3172">
        <v>45574</v>
      </c>
      <c r="E82" s="3916">
        <v>45583</v>
      </c>
      <c r="F82" s="1168" t="s">
        <v>151</v>
      </c>
      <c r="G82" s="1168" t="s">
        <v>46</v>
      </c>
      <c r="H82" s="1168"/>
      <c r="I82" s="1168"/>
      <c r="J82" s="1168"/>
      <c r="K82" s="1168"/>
      <c r="L82" s="1168" t="s">
        <v>11695</v>
      </c>
      <c r="M82" s="3172">
        <v>45586</v>
      </c>
      <c r="N82" s="3173">
        <v>45586</v>
      </c>
      <c r="O82" s="3173">
        <v>45587</v>
      </c>
      <c r="P82" s="1168" t="s">
        <v>11696</v>
      </c>
      <c r="Q82" s="1168" t="s">
        <v>9226</v>
      </c>
      <c r="R82" s="3174" t="s">
        <v>11697</v>
      </c>
      <c r="S82" s="1168" t="s">
        <v>2373</v>
      </c>
      <c r="T82" s="1168"/>
      <c r="U82" s="1168"/>
      <c r="V82" s="1168"/>
      <c r="W82" s="1168"/>
      <c r="X82" s="1168"/>
      <c r="Y82" s="1168"/>
      <c r="Z82" s="1168"/>
      <c r="AA82"/>
    </row>
    <row r="83" spans="1:27" ht="30" hidden="1">
      <c r="A83" s="1372" t="s">
        <v>409</v>
      </c>
      <c r="B83" s="1168" t="s">
        <v>11698</v>
      </c>
      <c r="C83" s="1372" t="s">
        <v>200</v>
      </c>
      <c r="D83" s="3175">
        <v>45570</v>
      </c>
      <c r="E83" s="3176">
        <v>45584</v>
      </c>
      <c r="F83" s="1372" t="s">
        <v>167</v>
      </c>
      <c r="G83" s="1372" t="s">
        <v>302</v>
      </c>
      <c r="H83" s="3177">
        <v>45587</v>
      </c>
      <c r="I83" s="1371"/>
      <c r="J83" s="3178" t="s">
        <v>4896</v>
      </c>
      <c r="K83" s="3179" t="s">
        <v>11699</v>
      </c>
      <c r="L83" s="3180" t="s">
        <v>11700</v>
      </c>
      <c r="M83" s="3181">
        <v>45587</v>
      </c>
      <c r="N83" s="3182">
        <v>45587</v>
      </c>
      <c r="O83" s="3182">
        <v>45588</v>
      </c>
      <c r="P83" s="2272" t="s">
        <v>11701</v>
      </c>
      <c r="Q83" s="3183" t="s">
        <v>11554</v>
      </c>
      <c r="R83" s="2269" t="s">
        <v>11702</v>
      </c>
      <c r="S83" s="2269" t="s">
        <v>10279</v>
      </c>
      <c r="T83" s="2269">
        <v>1085</v>
      </c>
      <c r="U83" s="2269">
        <v>880</v>
      </c>
      <c r="V83" s="2269">
        <v>1</v>
      </c>
      <c r="W83" s="2269">
        <f>T83-U83</f>
        <v>205</v>
      </c>
      <c r="X83" s="3107">
        <f>W83/U83</f>
        <v>0.23295454545454544</v>
      </c>
      <c r="Y83" s="2269"/>
      <c r="Z83" s="2269"/>
    </row>
    <row r="84" spans="1:27" hidden="1">
      <c r="A84" s="4422" t="s">
        <v>468</v>
      </c>
      <c r="B84" s="4422" t="s">
        <v>11703</v>
      </c>
      <c r="C84" s="4422" t="s">
        <v>200</v>
      </c>
      <c r="D84" s="4423">
        <v>45561</v>
      </c>
      <c r="E84" s="3026">
        <v>45584</v>
      </c>
      <c r="F84" s="4422" t="s">
        <v>1828</v>
      </c>
      <c r="G84" s="4422" t="s">
        <v>302</v>
      </c>
      <c r="H84" s="4424">
        <v>45588</v>
      </c>
      <c r="I84" s="4422" t="s">
        <v>583</v>
      </c>
      <c r="J84" s="3062" t="s">
        <v>9695</v>
      </c>
      <c r="K84" s="4422" t="s">
        <v>11704</v>
      </c>
      <c r="L84" s="4422" t="s">
        <v>11705</v>
      </c>
      <c r="M84" s="4498">
        <v>45587</v>
      </c>
      <c r="N84" s="4424">
        <v>45587</v>
      </c>
      <c r="O84" s="4424">
        <v>45588</v>
      </c>
      <c r="P84" s="4222" t="s">
        <v>11706</v>
      </c>
      <c r="Q84" s="3184" t="s">
        <v>11554</v>
      </c>
      <c r="R84" s="4499" t="s">
        <v>11707</v>
      </c>
      <c r="S84" s="4500" t="s">
        <v>10279</v>
      </c>
      <c r="T84" s="4500">
        <v>1505</v>
      </c>
      <c r="U84" s="4500">
        <v>1110.8</v>
      </c>
      <c r="V84" s="3164">
        <v>1</v>
      </c>
      <c r="W84" s="3164">
        <f>T84-U84</f>
        <v>394.20000000000005</v>
      </c>
      <c r="X84" s="3185">
        <f>W84/U84</f>
        <v>0.35487936622254235</v>
      </c>
      <c r="Y84" s="4500"/>
      <c r="Z84" s="4500"/>
    </row>
    <row r="85" spans="1:27" ht="30" hidden="1">
      <c r="A85" s="4501" t="s">
        <v>1051</v>
      </c>
      <c r="B85" s="4501" t="s">
        <v>11708</v>
      </c>
      <c r="C85" s="4501" t="s">
        <v>85</v>
      </c>
      <c r="D85" s="4502">
        <v>45555</v>
      </c>
      <c r="E85" s="3112">
        <v>45584</v>
      </c>
      <c r="F85" s="4501" t="s">
        <v>29</v>
      </c>
      <c r="G85" s="4501" t="s">
        <v>57</v>
      </c>
      <c r="H85" s="4503">
        <v>45588</v>
      </c>
      <c r="I85" s="4504">
        <v>0.41666666666666669</v>
      </c>
      <c r="J85" s="4501" t="s">
        <v>9695</v>
      </c>
      <c r="K85" s="4135" t="s">
        <v>11445</v>
      </c>
      <c r="L85" s="4501">
        <v>9029842</v>
      </c>
      <c r="M85" s="4503">
        <v>45586</v>
      </c>
      <c r="N85" s="4503">
        <v>45586</v>
      </c>
      <c r="O85" s="4503">
        <v>45588</v>
      </c>
      <c r="P85" s="4505" t="s">
        <v>11709</v>
      </c>
      <c r="Q85" s="4101" t="s">
        <v>9226</v>
      </c>
      <c r="R85" s="4506" t="s">
        <v>11710</v>
      </c>
      <c r="S85" s="4101" t="s">
        <v>10279</v>
      </c>
      <c r="T85" s="4507">
        <v>1700</v>
      </c>
      <c r="U85" s="4101"/>
      <c r="V85" s="4101">
        <v>1</v>
      </c>
      <c r="W85" s="4101"/>
      <c r="X85" s="4101"/>
      <c r="Y85" s="4101"/>
      <c r="Z85" s="4101"/>
    </row>
    <row r="86" spans="1:27" hidden="1">
      <c r="A86" s="1161" t="s">
        <v>2618</v>
      </c>
      <c r="B86" s="1161" t="s">
        <v>11711</v>
      </c>
      <c r="C86" s="1161" t="s">
        <v>451</v>
      </c>
      <c r="D86" s="3111">
        <v>45585</v>
      </c>
      <c r="E86" s="3111">
        <v>45585</v>
      </c>
      <c r="F86" s="1161" t="s">
        <v>151</v>
      </c>
      <c r="G86" s="1161" t="s">
        <v>582</v>
      </c>
      <c r="H86" s="1161"/>
      <c r="I86" s="1161"/>
      <c r="J86" s="1161"/>
      <c r="K86" s="1161"/>
      <c r="L86" s="1161" t="s">
        <v>9917</v>
      </c>
      <c r="M86" s="3113">
        <v>45593</v>
      </c>
      <c r="N86" s="3113">
        <v>45587</v>
      </c>
      <c r="O86" s="3113">
        <v>45589</v>
      </c>
      <c r="P86" s="3642" t="s">
        <v>11712</v>
      </c>
      <c r="Q86" s="3348" t="s">
        <v>9226</v>
      </c>
      <c r="R86" s="3348" t="s">
        <v>11713</v>
      </c>
      <c r="S86" s="3348" t="s">
        <v>1320</v>
      </c>
      <c r="T86" s="3348"/>
      <c r="U86" s="3348"/>
      <c r="V86" s="3348"/>
      <c r="W86" s="3348"/>
      <c r="X86" s="3348"/>
      <c r="Y86" s="3348"/>
      <c r="Z86" s="3348"/>
    </row>
    <row r="87" spans="1:27" ht="45" hidden="1">
      <c r="A87" s="28" t="s">
        <v>3866</v>
      </c>
      <c r="B87" s="3186" t="s">
        <v>11714</v>
      </c>
      <c r="C87" s="28" t="s">
        <v>28</v>
      </c>
      <c r="D87" s="3129">
        <v>45569</v>
      </c>
      <c r="E87" s="3130">
        <v>45586</v>
      </c>
      <c r="F87" s="28" t="s">
        <v>45</v>
      </c>
      <c r="G87" s="28" t="s">
        <v>46</v>
      </c>
      <c r="H87" s="28"/>
      <c r="I87" s="28"/>
      <c r="J87" s="28" t="s">
        <v>32</v>
      </c>
      <c r="K87" s="681" t="s">
        <v>10688</v>
      </c>
      <c r="L87" s="4508" t="s">
        <v>11715</v>
      </c>
      <c r="M87" s="3131">
        <v>45589</v>
      </c>
      <c r="N87" s="3131">
        <v>45588</v>
      </c>
      <c r="O87" s="957" t="s">
        <v>11716</v>
      </c>
      <c r="P87" s="4676" t="s">
        <v>11717</v>
      </c>
      <c r="Q87" s="4892" t="s">
        <v>6852</v>
      </c>
      <c r="R87" s="4892"/>
      <c r="S87" s="4892"/>
      <c r="T87" s="4892"/>
      <c r="U87" s="4892"/>
      <c r="V87" s="4892"/>
      <c r="W87" s="4892"/>
      <c r="X87" s="4892"/>
      <c r="Y87" s="4913"/>
      <c r="Z87" s="4913"/>
    </row>
    <row r="88" spans="1:27" s="36" customFormat="1" ht="30" hidden="1">
      <c r="A88" s="1138" t="s">
        <v>263</v>
      </c>
      <c r="B88" s="4091" t="s">
        <v>11718</v>
      </c>
      <c r="C88" s="1138" t="s">
        <v>44</v>
      </c>
      <c r="D88" s="1220">
        <v>45586</v>
      </c>
      <c r="E88" s="1220">
        <v>45586</v>
      </c>
      <c r="F88" s="1138" t="s">
        <v>135</v>
      </c>
      <c r="G88" s="1219" t="s">
        <v>10388</v>
      </c>
      <c r="H88" s="4050">
        <v>45594</v>
      </c>
      <c r="I88" s="4091" t="s">
        <v>445</v>
      </c>
      <c r="J88" s="1138" t="s">
        <v>377</v>
      </c>
      <c r="K88" s="1138" t="s">
        <v>10389</v>
      </c>
      <c r="L88" s="4091" t="s">
        <v>11719</v>
      </c>
      <c r="M88" s="1220">
        <v>45594</v>
      </c>
      <c r="N88" s="4050">
        <v>45593</v>
      </c>
      <c r="O88" s="4050">
        <v>45595</v>
      </c>
      <c r="P88" s="4678" t="s">
        <v>11720</v>
      </c>
      <c r="Q88" s="4921" t="s">
        <v>75</v>
      </c>
      <c r="R88" s="4921" t="s">
        <v>11721</v>
      </c>
      <c r="S88" s="4921" t="s">
        <v>67</v>
      </c>
      <c r="T88" s="5174">
        <v>1660.16</v>
      </c>
      <c r="U88" s="4921">
        <f>1182.5+170.16</f>
        <v>1352.66</v>
      </c>
      <c r="V88" s="4921">
        <v>1</v>
      </c>
      <c r="W88" s="5174">
        <f>T88-U88</f>
        <v>307.5</v>
      </c>
      <c r="X88" s="5213">
        <f>W88/U88</f>
        <v>0.22732985376960949</v>
      </c>
      <c r="Y88" s="4921"/>
      <c r="Z88" s="4921"/>
    </row>
    <row r="89" spans="1:27" hidden="1">
      <c r="A89" s="681" t="s">
        <v>409</v>
      </c>
      <c r="B89" s="3128" t="s">
        <v>11722</v>
      </c>
      <c r="C89" s="28" t="s">
        <v>28</v>
      </c>
      <c r="D89" s="3129">
        <v>45569</v>
      </c>
      <c r="E89" s="3130">
        <v>45586</v>
      </c>
      <c r="F89" s="28" t="s">
        <v>151</v>
      </c>
      <c r="G89" s="28" t="s">
        <v>46</v>
      </c>
      <c r="H89" s="28"/>
      <c r="I89" s="28"/>
      <c r="J89" s="28" t="s">
        <v>32</v>
      </c>
      <c r="K89" s="681" t="s">
        <v>10688</v>
      </c>
      <c r="L89" s="28" t="s">
        <v>11723</v>
      </c>
      <c r="M89" s="3131">
        <v>45584</v>
      </c>
      <c r="N89" s="3131">
        <v>45582</v>
      </c>
      <c r="O89" s="3131">
        <v>45583</v>
      </c>
      <c r="P89" s="3190" t="s">
        <v>11724</v>
      </c>
      <c r="Q89" s="3137" t="s">
        <v>6852</v>
      </c>
      <c r="R89" s="3137" t="s">
        <v>11725</v>
      </c>
      <c r="S89" s="3137"/>
      <c r="T89" s="3137"/>
      <c r="U89" s="3137"/>
      <c r="V89" s="3137"/>
      <c r="W89" s="3137"/>
      <c r="X89" s="3137"/>
      <c r="Y89" s="3137"/>
      <c r="Z89" s="3191"/>
    </row>
    <row r="90" spans="1:27" hidden="1">
      <c r="A90" s="2908" t="s">
        <v>409</v>
      </c>
      <c r="B90" s="3119" t="s">
        <v>11726</v>
      </c>
      <c r="C90" s="2170" t="s">
        <v>28</v>
      </c>
      <c r="D90" s="3120">
        <v>45569</v>
      </c>
      <c r="E90" s="3121">
        <v>45586</v>
      </c>
      <c r="F90" s="2170" t="s">
        <v>151</v>
      </c>
      <c r="G90" s="2170" t="s">
        <v>46</v>
      </c>
      <c r="H90" s="2170"/>
      <c r="I90" s="2170"/>
      <c r="J90" s="2170" t="s">
        <v>32</v>
      </c>
      <c r="K90" s="2908" t="s">
        <v>10688</v>
      </c>
      <c r="L90" s="3192" t="s">
        <v>11727</v>
      </c>
      <c r="M90" s="3122">
        <v>45588</v>
      </c>
      <c r="N90" s="3122">
        <v>45586</v>
      </c>
      <c r="O90" s="3122">
        <v>45587</v>
      </c>
      <c r="P90" s="4892" t="s">
        <v>11728</v>
      </c>
      <c r="Q90" s="4892" t="s">
        <v>6852</v>
      </c>
      <c r="R90" s="4892" t="s">
        <v>11729</v>
      </c>
      <c r="S90" s="4892"/>
      <c r="T90" s="4892"/>
      <c r="U90" s="4892"/>
      <c r="V90" s="4892"/>
      <c r="W90" s="4892"/>
      <c r="X90" s="4892"/>
      <c r="Y90" s="4892"/>
      <c r="Z90" s="4892"/>
    </row>
    <row r="91" spans="1:27" hidden="1">
      <c r="A91" s="5283" t="s">
        <v>10857</v>
      </c>
      <c r="B91" s="5854" t="s">
        <v>11730</v>
      </c>
      <c r="C91" s="5283" t="s">
        <v>28</v>
      </c>
      <c r="D91" s="5523">
        <v>45561</v>
      </c>
      <c r="E91" s="5868">
        <v>45586</v>
      </c>
      <c r="F91" s="4892" t="s">
        <v>135</v>
      </c>
      <c r="G91" s="5283" t="s">
        <v>57</v>
      </c>
      <c r="H91" s="5283"/>
      <c r="I91" s="5283"/>
      <c r="J91" s="5283" t="s">
        <v>32</v>
      </c>
      <c r="K91" s="5283" t="s">
        <v>10688</v>
      </c>
      <c r="L91" s="5283">
        <v>9647398</v>
      </c>
      <c r="M91" s="5851">
        <v>45585</v>
      </c>
      <c r="N91" s="5631">
        <v>45586</v>
      </c>
      <c r="O91" s="5631">
        <v>45588</v>
      </c>
      <c r="P91" s="5283" t="s">
        <v>11731</v>
      </c>
      <c r="Q91" s="5283" t="s">
        <v>6852</v>
      </c>
      <c r="R91" s="4892"/>
      <c r="S91" s="4892"/>
      <c r="T91" s="4892"/>
      <c r="U91" s="4892"/>
      <c r="V91" s="4892"/>
      <c r="W91" s="4892"/>
      <c r="X91" s="4892"/>
      <c r="Y91" s="4892"/>
      <c r="Z91" s="4892"/>
    </row>
    <row r="92" spans="1:27" hidden="1">
      <c r="A92" s="2920" t="s">
        <v>10857</v>
      </c>
      <c r="B92" s="3193" t="s">
        <v>11732</v>
      </c>
      <c r="C92" s="2920" t="s">
        <v>28</v>
      </c>
      <c r="D92" s="3127">
        <v>45566</v>
      </c>
      <c r="E92" s="3153">
        <v>45586</v>
      </c>
      <c r="F92" s="3099" t="s">
        <v>135</v>
      </c>
      <c r="G92" s="3099" t="s">
        <v>57</v>
      </c>
      <c r="H92" s="3099"/>
      <c r="I92" s="3099"/>
      <c r="J92" s="3099" t="s">
        <v>32</v>
      </c>
      <c r="K92" s="2920" t="s">
        <v>10688</v>
      </c>
      <c r="L92" s="681">
        <v>125954</v>
      </c>
      <c r="M92" s="3131">
        <v>45588</v>
      </c>
      <c r="N92" s="3095">
        <v>45587</v>
      </c>
      <c r="O92" s="3131">
        <v>45588</v>
      </c>
      <c r="P92" s="3099" t="s">
        <v>11733</v>
      </c>
      <c r="Q92" s="3099" t="s">
        <v>6852</v>
      </c>
      <c r="R92" s="3099"/>
      <c r="S92" s="3099"/>
      <c r="T92" s="3099"/>
      <c r="U92" s="3099"/>
      <c r="V92" s="3099"/>
      <c r="W92" s="3099"/>
      <c r="X92" s="3099"/>
      <c r="Y92" s="3099"/>
      <c r="Z92" s="3099"/>
    </row>
    <row r="93" spans="1:27" s="28" customFormat="1" ht="30" hidden="1">
      <c r="A93" s="3062" t="s">
        <v>122</v>
      </c>
      <c r="B93" s="4422" t="s">
        <v>11734</v>
      </c>
      <c r="C93" s="3062" t="s">
        <v>28</v>
      </c>
      <c r="D93" s="4423">
        <v>45548</v>
      </c>
      <c r="E93" s="3026">
        <v>45587</v>
      </c>
      <c r="F93" s="4422" t="s">
        <v>245</v>
      </c>
      <c r="G93" s="4422" t="s">
        <v>10437</v>
      </c>
      <c r="H93" s="4424">
        <v>45589</v>
      </c>
      <c r="I93" s="4464">
        <v>0.33333333333333331</v>
      </c>
      <c r="J93" s="3028" t="s">
        <v>673</v>
      </c>
      <c r="K93" s="4422" t="s">
        <v>11735</v>
      </c>
      <c r="L93" s="4422">
        <v>6889</v>
      </c>
      <c r="M93" s="4423">
        <v>45588</v>
      </c>
      <c r="N93" s="4423">
        <v>45588</v>
      </c>
      <c r="O93" s="4423">
        <v>45589</v>
      </c>
      <c r="P93" s="2257" t="s">
        <v>11736</v>
      </c>
      <c r="Q93" s="2257" t="s">
        <v>9226</v>
      </c>
      <c r="R93" s="4425" t="s">
        <v>11737</v>
      </c>
      <c r="S93" s="4425" t="s">
        <v>67</v>
      </c>
      <c r="T93" s="4509">
        <v>1315</v>
      </c>
      <c r="U93" s="4422">
        <v>440.93</v>
      </c>
      <c r="V93" s="4422">
        <v>1</v>
      </c>
      <c r="W93" s="4422"/>
      <c r="X93" s="4447"/>
      <c r="Y93" s="4422"/>
      <c r="Z93" s="4422"/>
      <c r="AA93" s="1161"/>
    </row>
    <row r="94" spans="1:27" s="28" customFormat="1" hidden="1">
      <c r="A94" s="681" t="s">
        <v>409</v>
      </c>
      <c r="B94" s="3186" t="s">
        <v>11738</v>
      </c>
      <c r="C94" s="3055" t="s">
        <v>28</v>
      </c>
      <c r="D94" s="3129">
        <v>45575</v>
      </c>
      <c r="E94" s="3130">
        <v>45587</v>
      </c>
      <c r="F94" s="28" t="s">
        <v>151</v>
      </c>
      <c r="G94" s="28" t="s">
        <v>46</v>
      </c>
      <c r="J94" s="28" t="s">
        <v>32</v>
      </c>
      <c r="K94" s="681" t="s">
        <v>10688</v>
      </c>
      <c r="L94" s="28" t="s">
        <v>11739</v>
      </c>
      <c r="M94" s="3131">
        <v>45589</v>
      </c>
      <c r="N94" s="3131">
        <v>45588</v>
      </c>
      <c r="O94" s="3131">
        <v>45590</v>
      </c>
      <c r="P94" s="28" t="s">
        <v>11740</v>
      </c>
      <c r="Q94" s="28" t="s">
        <v>6852</v>
      </c>
      <c r="R94" s="28" t="s">
        <v>11741</v>
      </c>
    </row>
    <row r="95" spans="1:27" s="1161" customFormat="1" ht="46.5" hidden="1" customHeight="1">
      <c r="A95" s="2269" t="s">
        <v>3866</v>
      </c>
      <c r="B95" s="4045" t="s">
        <v>11742</v>
      </c>
      <c r="C95" s="4422" t="s">
        <v>28</v>
      </c>
      <c r="D95" s="4423">
        <v>45583</v>
      </c>
      <c r="E95" s="3026">
        <v>45588</v>
      </c>
      <c r="F95" s="4422" t="s">
        <v>135</v>
      </c>
      <c r="G95" s="4422" t="s">
        <v>11743</v>
      </c>
      <c r="H95" s="4046">
        <v>61264969</v>
      </c>
      <c r="I95" s="4498">
        <v>45590</v>
      </c>
      <c r="J95" s="3023" t="s">
        <v>11744</v>
      </c>
      <c r="K95" s="4425" t="s">
        <v>11745</v>
      </c>
      <c r="L95" s="1161">
        <v>3209</v>
      </c>
      <c r="M95" s="4423">
        <v>45590</v>
      </c>
      <c r="N95" s="4424">
        <v>45590</v>
      </c>
      <c r="O95" s="4424">
        <v>45600</v>
      </c>
      <c r="P95" s="4422" t="s">
        <v>11746</v>
      </c>
      <c r="Q95" s="4422" t="s">
        <v>9226</v>
      </c>
      <c r="R95" s="4422" t="s">
        <v>11747</v>
      </c>
      <c r="S95" s="2272" t="s">
        <v>11546</v>
      </c>
      <c r="T95" s="4422">
        <v>1465</v>
      </c>
      <c r="U95" s="4422">
        <v>1045</v>
      </c>
      <c r="V95" s="4422">
        <v>1</v>
      </c>
      <c r="W95" s="4422"/>
      <c r="X95" s="4447"/>
      <c r="Y95" s="4422"/>
      <c r="Z95" s="4422"/>
    </row>
    <row r="96" spans="1:27" s="2036" customFormat="1" ht="15.75" hidden="1" customHeight="1">
      <c r="A96" s="2036" t="s">
        <v>2618</v>
      </c>
      <c r="B96" s="2036" t="s">
        <v>11748</v>
      </c>
      <c r="C96" s="2036" t="s">
        <v>200</v>
      </c>
      <c r="D96" s="3194">
        <v>45588</v>
      </c>
      <c r="E96" s="3194">
        <v>45588</v>
      </c>
      <c r="F96" s="2036" t="s">
        <v>151</v>
      </c>
      <c r="G96" s="2036" t="s">
        <v>582</v>
      </c>
      <c r="L96" s="2036" t="s">
        <v>9917</v>
      </c>
      <c r="M96" s="3195">
        <v>45594</v>
      </c>
      <c r="N96" s="3195">
        <v>45596</v>
      </c>
      <c r="O96" s="3195">
        <v>45600</v>
      </c>
      <c r="P96" s="2036" t="s">
        <v>11749</v>
      </c>
      <c r="Q96" s="2036" t="s">
        <v>9226</v>
      </c>
      <c r="R96" s="2036" t="s">
        <v>11750</v>
      </c>
      <c r="S96" s="2036" t="s">
        <v>1320</v>
      </c>
    </row>
    <row r="97" spans="1:27" s="2036" customFormat="1" hidden="1">
      <c r="A97" s="2036" t="s">
        <v>3866</v>
      </c>
      <c r="B97" s="2036" t="s">
        <v>11751</v>
      </c>
      <c r="C97" s="2036" t="s">
        <v>44</v>
      </c>
      <c r="D97" s="3194">
        <v>45572</v>
      </c>
      <c r="E97" s="4040">
        <v>45588</v>
      </c>
      <c r="F97" s="2036" t="s">
        <v>45</v>
      </c>
      <c r="G97" s="2036" t="s">
        <v>46</v>
      </c>
      <c r="J97" s="2036" t="s">
        <v>32</v>
      </c>
      <c r="K97" s="3162" t="s">
        <v>10688</v>
      </c>
      <c r="L97" s="2036" t="s">
        <v>11752</v>
      </c>
      <c r="M97" s="3195">
        <v>45588</v>
      </c>
      <c r="N97" s="3195">
        <v>45586</v>
      </c>
      <c r="O97" s="3195">
        <v>45587</v>
      </c>
      <c r="P97" s="2036" t="s">
        <v>11753</v>
      </c>
      <c r="Q97" s="2036" t="s">
        <v>6852</v>
      </c>
      <c r="R97" s="2036" t="s">
        <v>11754</v>
      </c>
      <c r="T97" s="2036">
        <v>4824</v>
      </c>
      <c r="U97" s="2036">
        <v>530</v>
      </c>
    </row>
    <row r="98" spans="1:27" ht="30" hidden="1">
      <c r="A98" s="2106" t="s">
        <v>3866</v>
      </c>
      <c r="B98" s="4497" t="s">
        <v>11755</v>
      </c>
      <c r="C98" s="4497" t="s">
        <v>28</v>
      </c>
      <c r="D98" s="4510">
        <v>45576</v>
      </c>
      <c r="E98" s="3196">
        <v>45588</v>
      </c>
      <c r="F98" s="4497" t="s">
        <v>151</v>
      </c>
      <c r="G98" s="4497" t="s">
        <v>11551</v>
      </c>
      <c r="H98" s="3197">
        <v>61263544</v>
      </c>
      <c r="I98" s="3156">
        <v>45589</v>
      </c>
      <c r="J98" s="4497" t="s">
        <v>490</v>
      </c>
      <c r="K98" s="3198" t="s">
        <v>11552</v>
      </c>
      <c r="L98" s="4497" t="s">
        <v>11756</v>
      </c>
      <c r="M98" s="4510">
        <v>45590</v>
      </c>
      <c r="N98" s="3123">
        <v>45589</v>
      </c>
      <c r="O98" s="3124">
        <v>45594</v>
      </c>
      <c r="P98" s="2106" t="s">
        <v>11757</v>
      </c>
      <c r="Q98" s="4497" t="s">
        <v>11554</v>
      </c>
      <c r="R98" s="4497" t="s">
        <v>11758</v>
      </c>
      <c r="S98" s="3198" t="s">
        <v>11546</v>
      </c>
      <c r="T98" s="4497">
        <v>1705</v>
      </c>
      <c r="U98" s="4497">
        <v>1255</v>
      </c>
      <c r="V98" s="4497">
        <v>1</v>
      </c>
      <c r="W98" s="4497">
        <v>1705</v>
      </c>
      <c r="X98" s="3199">
        <f>W98/U98</f>
        <v>1.3585657370517927</v>
      </c>
      <c r="Y98" s="4497"/>
      <c r="Z98" s="4497"/>
    </row>
    <row r="99" spans="1:27" hidden="1">
      <c r="A99" s="3348" t="s">
        <v>2618</v>
      </c>
      <c r="B99" s="3348" t="s">
        <v>11759</v>
      </c>
      <c r="C99" s="3348" t="s">
        <v>451</v>
      </c>
      <c r="D99" s="3648">
        <v>45588</v>
      </c>
      <c r="E99" s="3648">
        <v>45588</v>
      </c>
      <c r="F99" s="3348" t="s">
        <v>151</v>
      </c>
      <c r="G99" s="3348" t="s">
        <v>582</v>
      </c>
      <c r="H99" s="3348"/>
      <c r="I99" s="3348"/>
      <c r="J99" s="3348"/>
      <c r="K99" s="3348"/>
      <c r="L99" s="3348" t="s">
        <v>9917</v>
      </c>
      <c r="M99" s="3643">
        <v>45594</v>
      </c>
      <c r="N99" s="3643">
        <v>45589</v>
      </c>
      <c r="O99" s="3911">
        <v>45594</v>
      </c>
      <c r="P99" s="3348" t="s">
        <v>11760</v>
      </c>
      <c r="Q99" s="3348" t="s">
        <v>9226</v>
      </c>
      <c r="R99" s="3348" t="s">
        <v>11761</v>
      </c>
      <c r="S99" s="3348" t="s">
        <v>1320</v>
      </c>
      <c r="T99" s="3348"/>
      <c r="U99" s="3348"/>
      <c r="V99" s="3348"/>
      <c r="W99" s="3348"/>
      <c r="X99" s="3348"/>
      <c r="Y99" s="3348"/>
      <c r="Z99" s="3348"/>
      <c r="AA99" s="650"/>
    </row>
    <row r="100" spans="1:27" s="1161" customFormat="1" hidden="1">
      <c r="A100" s="4422" t="s">
        <v>11762</v>
      </c>
      <c r="B100" s="4422" t="s">
        <v>11763</v>
      </c>
      <c r="C100" s="3062" t="s">
        <v>28</v>
      </c>
      <c r="D100" s="4423">
        <v>45570</v>
      </c>
      <c r="E100" s="3026">
        <v>45588</v>
      </c>
      <c r="F100" s="4422" t="s">
        <v>1828</v>
      </c>
      <c r="G100" s="4422" t="s">
        <v>302</v>
      </c>
      <c r="H100" s="4424">
        <v>45593</v>
      </c>
      <c r="I100" s="4464">
        <v>0.33333333333333331</v>
      </c>
      <c r="J100" s="3023" t="s">
        <v>3010</v>
      </c>
      <c r="K100" s="3062" t="s">
        <v>7364</v>
      </c>
      <c r="L100" s="3200" t="s">
        <v>11764</v>
      </c>
      <c r="M100" s="4511">
        <v>45590</v>
      </c>
      <c r="N100" s="4424">
        <v>45590</v>
      </c>
      <c r="O100" s="4424">
        <v>45593</v>
      </c>
      <c r="P100" s="4425" t="s">
        <v>11765</v>
      </c>
      <c r="Q100" s="2257" t="s">
        <v>9226</v>
      </c>
      <c r="R100" s="4422" t="s">
        <v>11766</v>
      </c>
      <c r="S100" s="4425" t="s">
        <v>10279</v>
      </c>
      <c r="T100" s="4512">
        <v>1370</v>
      </c>
      <c r="U100" s="4513">
        <v>989.88</v>
      </c>
      <c r="V100" s="4422">
        <v>1</v>
      </c>
      <c r="W100" s="4422"/>
      <c r="X100" s="4422"/>
      <c r="Y100" s="4422"/>
      <c r="Z100" s="4422"/>
    </row>
    <row r="101" spans="1:27" s="650" customFormat="1" ht="28.5" hidden="1" customHeight="1">
      <c r="A101" s="2213" t="s">
        <v>10764</v>
      </c>
      <c r="B101" s="3144" t="s">
        <v>11767</v>
      </c>
      <c r="C101" s="3144" t="s">
        <v>28</v>
      </c>
      <c r="D101" s="4037">
        <v>45561</v>
      </c>
      <c r="E101" s="4051">
        <v>45588</v>
      </c>
      <c r="F101" s="3144" t="s">
        <v>135</v>
      </c>
      <c r="G101" s="2213" t="s">
        <v>46</v>
      </c>
      <c r="H101" s="3144"/>
      <c r="I101" s="3144"/>
      <c r="J101" s="3144" t="s">
        <v>32</v>
      </c>
      <c r="K101" s="2213" t="s">
        <v>10688</v>
      </c>
      <c r="L101" s="2213" t="s">
        <v>11768</v>
      </c>
      <c r="M101" s="4052">
        <v>45588</v>
      </c>
      <c r="N101" s="4053">
        <v>45587</v>
      </c>
      <c r="O101" s="4053">
        <v>45589</v>
      </c>
      <c r="P101" s="2213" t="s">
        <v>11769</v>
      </c>
      <c r="Q101" s="2213" t="s">
        <v>6852</v>
      </c>
      <c r="R101" s="3144" t="s">
        <v>11770</v>
      </c>
      <c r="S101" s="3144"/>
      <c r="T101" s="4054">
        <v>7390</v>
      </c>
      <c r="U101" s="4054">
        <v>815</v>
      </c>
      <c r="V101" s="3144"/>
      <c r="W101" s="3144"/>
      <c r="X101" s="3144"/>
      <c r="Y101" s="3144"/>
      <c r="Z101" s="3144"/>
    </row>
    <row r="102" spans="1:27" s="28" customFormat="1" ht="60" hidden="1">
      <c r="A102" s="3062" t="s">
        <v>468</v>
      </c>
      <c r="B102" s="4514" t="s">
        <v>11771</v>
      </c>
      <c r="C102" s="3159" t="s">
        <v>44</v>
      </c>
      <c r="D102" s="3025">
        <v>45586</v>
      </c>
      <c r="E102" s="3026">
        <v>45589</v>
      </c>
      <c r="F102" s="2269" t="s">
        <v>260</v>
      </c>
      <c r="G102" s="2272" t="s">
        <v>11772</v>
      </c>
      <c r="H102" s="3117">
        <v>45595</v>
      </c>
      <c r="I102" s="3201">
        <v>0.35416666666666669</v>
      </c>
      <c r="J102" s="2269" t="s">
        <v>10393</v>
      </c>
      <c r="K102" s="4425" t="s">
        <v>8908</v>
      </c>
      <c r="L102" s="3025"/>
      <c r="M102" s="3025">
        <v>45595</v>
      </c>
      <c r="N102" s="3025">
        <v>45594</v>
      </c>
      <c r="O102" s="3118">
        <v>45595</v>
      </c>
      <c r="P102" s="4435" t="s">
        <v>11773</v>
      </c>
      <c r="Q102" s="3015" t="s">
        <v>11554</v>
      </c>
      <c r="R102" s="681"/>
      <c r="S102" s="681" t="s">
        <v>10279</v>
      </c>
      <c r="T102" s="681"/>
      <c r="U102" s="681"/>
      <c r="V102" s="681"/>
      <c r="W102" s="681"/>
      <c r="X102" s="681"/>
      <c r="Y102" s="681"/>
      <c r="Z102" s="681"/>
    </row>
    <row r="103" spans="1:27" hidden="1">
      <c r="A103" s="2920" t="s">
        <v>409</v>
      </c>
      <c r="B103" s="3202" t="s">
        <v>11774</v>
      </c>
      <c r="C103" s="1976" t="s">
        <v>28</v>
      </c>
      <c r="D103" s="3127">
        <v>45575</v>
      </c>
      <c r="E103" s="3153">
        <v>45589</v>
      </c>
      <c r="F103" s="3151" t="s">
        <v>45</v>
      </c>
      <c r="G103" s="3099" t="s">
        <v>46</v>
      </c>
      <c r="H103" s="3099"/>
      <c r="I103" s="3099"/>
      <c r="J103" s="3099" t="s">
        <v>32</v>
      </c>
      <c r="K103" s="2920" t="s">
        <v>10688</v>
      </c>
      <c r="L103" s="3099" t="s">
        <v>11775</v>
      </c>
      <c r="M103" s="3095">
        <v>45591</v>
      </c>
      <c r="N103" s="3095">
        <v>45590</v>
      </c>
      <c r="O103" s="3095">
        <v>45594</v>
      </c>
      <c r="P103" s="3099" t="s">
        <v>11776</v>
      </c>
      <c r="Q103" s="3099" t="s">
        <v>6852</v>
      </c>
      <c r="R103" s="3099"/>
      <c r="S103" s="3099"/>
      <c r="T103" s="3099"/>
      <c r="U103" s="3099"/>
      <c r="V103" s="3099"/>
      <c r="W103" s="3099"/>
      <c r="X103" s="3099"/>
      <c r="Y103" s="3099"/>
      <c r="Z103" s="3099"/>
    </row>
    <row r="104" spans="1:27" hidden="1">
      <c r="A104" s="2920" t="s">
        <v>10857</v>
      </c>
      <c r="B104" s="3202" t="s">
        <v>11777</v>
      </c>
      <c r="C104" s="2920" t="s">
        <v>28</v>
      </c>
      <c r="D104" s="3127">
        <v>45573</v>
      </c>
      <c r="E104" s="3203">
        <v>45589</v>
      </c>
      <c r="F104" s="28" t="s">
        <v>260</v>
      </c>
      <c r="G104" s="3101" t="s">
        <v>46</v>
      </c>
      <c r="H104" s="3099"/>
      <c r="I104" s="3099"/>
      <c r="J104" s="3099" t="s">
        <v>32</v>
      </c>
      <c r="K104" s="2920" t="s">
        <v>10688</v>
      </c>
      <c r="L104" s="3099" t="s">
        <v>11778</v>
      </c>
      <c r="M104" s="3095">
        <v>45591</v>
      </c>
      <c r="N104" s="3095">
        <v>45589</v>
      </c>
      <c r="O104" s="3095">
        <v>45593</v>
      </c>
      <c r="P104" s="3099" t="s">
        <v>11779</v>
      </c>
      <c r="Q104" s="3099" t="s">
        <v>6852</v>
      </c>
      <c r="R104" s="3099"/>
      <c r="S104" s="3099"/>
      <c r="T104" s="3099"/>
      <c r="U104" s="3099"/>
      <c r="V104" s="3099"/>
      <c r="W104" s="3099"/>
      <c r="X104" s="3099"/>
      <c r="Y104" s="3099"/>
      <c r="Z104" s="3099"/>
    </row>
    <row r="105" spans="1:27" ht="90" hidden="1" customHeight="1">
      <c r="A105" s="681" t="s">
        <v>10857</v>
      </c>
      <c r="B105" s="3204" t="s">
        <v>11780</v>
      </c>
      <c r="C105" s="28" t="s">
        <v>28</v>
      </c>
      <c r="D105" s="3129">
        <v>45573</v>
      </c>
      <c r="E105" s="3205">
        <v>45589</v>
      </c>
      <c r="F105" s="28" t="s">
        <v>260</v>
      </c>
      <c r="G105" s="3081" t="s">
        <v>46</v>
      </c>
      <c r="H105" s="28"/>
      <c r="I105" s="28"/>
      <c r="J105" s="28" t="s">
        <v>32</v>
      </c>
      <c r="K105" s="681" t="s">
        <v>10688</v>
      </c>
      <c r="L105" s="28" t="s">
        <v>11781</v>
      </c>
      <c r="M105" s="3129">
        <v>45591</v>
      </c>
      <c r="N105" s="3131">
        <v>45589</v>
      </c>
      <c r="O105" s="3131">
        <v>45594</v>
      </c>
      <c r="P105" s="28" t="s">
        <v>11782</v>
      </c>
      <c r="Q105" s="28" t="s">
        <v>6852</v>
      </c>
      <c r="R105" s="28"/>
      <c r="S105" s="28"/>
      <c r="T105" s="28"/>
      <c r="U105" s="28"/>
      <c r="V105" s="28"/>
      <c r="W105" s="28"/>
      <c r="X105" s="28"/>
      <c r="Y105" s="28"/>
      <c r="Z105" s="28"/>
    </row>
    <row r="106" spans="1:27" s="650" customFormat="1" hidden="1">
      <c r="A106" s="2269" t="s">
        <v>10857</v>
      </c>
      <c r="B106" s="1161" t="s">
        <v>11783</v>
      </c>
      <c r="C106" s="1161" t="s">
        <v>28</v>
      </c>
      <c r="D106" s="3111">
        <v>45573</v>
      </c>
      <c r="E106" s="3112">
        <v>45589</v>
      </c>
      <c r="F106" s="2036" t="s">
        <v>260</v>
      </c>
      <c r="G106" s="1161" t="s">
        <v>46</v>
      </c>
      <c r="H106" s="1161"/>
      <c r="I106" s="1161"/>
      <c r="J106" s="1161" t="s">
        <v>32</v>
      </c>
      <c r="K106" s="2269" t="s">
        <v>10688</v>
      </c>
      <c r="L106" s="1161" t="s">
        <v>11784</v>
      </c>
      <c r="M106" s="3111">
        <v>45591</v>
      </c>
      <c r="N106" s="3113">
        <v>45589</v>
      </c>
      <c r="O106" s="3113">
        <v>45591</v>
      </c>
      <c r="P106" s="1161" t="s">
        <v>11785</v>
      </c>
      <c r="Q106" s="1161" t="s">
        <v>6852</v>
      </c>
      <c r="R106" s="1161" t="s">
        <v>11786</v>
      </c>
      <c r="S106" s="1161"/>
      <c r="T106" s="1161">
        <v>3150</v>
      </c>
      <c r="U106" s="1161">
        <v>840</v>
      </c>
      <c r="V106" s="1161"/>
      <c r="W106" s="1161"/>
      <c r="X106" s="1161"/>
      <c r="Y106" s="1161"/>
      <c r="Z106" s="1161"/>
    </row>
    <row r="107" spans="1:27" ht="30.75">
      <c r="A107" s="24" t="s">
        <v>263</v>
      </c>
      <c r="B107" s="3058" t="s">
        <v>11787</v>
      </c>
      <c r="C107" s="24" t="s">
        <v>44</v>
      </c>
      <c r="D107" s="3187">
        <v>45590</v>
      </c>
      <c r="E107" s="3187">
        <v>45590</v>
      </c>
      <c r="F107" s="24" t="s">
        <v>63</v>
      </c>
      <c r="G107" s="3188" t="s">
        <v>10388</v>
      </c>
      <c r="H107" s="4034">
        <v>45600</v>
      </c>
      <c r="I107" s="4140" t="s">
        <v>108</v>
      </c>
      <c r="J107" s="24" t="s">
        <v>377</v>
      </c>
      <c r="K107" s="24" t="s">
        <v>10389</v>
      </c>
      <c r="L107" s="4140" t="s">
        <v>11788</v>
      </c>
      <c r="M107" s="3187">
        <v>45597</v>
      </c>
      <c r="N107" s="3189">
        <v>45597</v>
      </c>
      <c r="O107" s="3131">
        <v>45601</v>
      </c>
      <c r="P107" s="4519" t="s">
        <v>11789</v>
      </c>
      <c r="Q107" s="28" t="s">
        <v>75</v>
      </c>
      <c r="R107" s="4041" t="s">
        <v>11790</v>
      </c>
      <c r="S107" s="28" t="s">
        <v>67</v>
      </c>
      <c r="T107" s="28"/>
      <c r="U107" s="28"/>
      <c r="V107" s="28"/>
      <c r="W107" s="28"/>
      <c r="X107" s="28"/>
      <c r="Y107" s="28"/>
      <c r="Z107" s="28"/>
    </row>
    <row r="108" spans="1:27" s="650" customFormat="1" ht="27.75" hidden="1" customHeight="1">
      <c r="A108" s="2269" t="s">
        <v>26</v>
      </c>
      <c r="B108" s="4501" t="s">
        <v>11791</v>
      </c>
      <c r="C108" s="2269" t="s">
        <v>28</v>
      </c>
      <c r="D108" s="3111">
        <v>45581</v>
      </c>
      <c r="E108" s="3112">
        <v>45590</v>
      </c>
      <c r="F108" s="1161" t="s">
        <v>45</v>
      </c>
      <c r="G108" s="1161" t="s">
        <v>46</v>
      </c>
      <c r="H108" s="3206">
        <v>45595</v>
      </c>
      <c r="I108" s="1161" t="s">
        <v>115</v>
      </c>
      <c r="J108" s="1161" t="s">
        <v>32</v>
      </c>
      <c r="K108" s="4135" t="s">
        <v>9588</v>
      </c>
      <c r="L108" s="4501" t="s">
        <v>11792</v>
      </c>
      <c r="M108" s="3025">
        <v>45593</v>
      </c>
      <c r="N108" s="3113">
        <v>45593</v>
      </c>
      <c r="O108" s="3113">
        <v>45596</v>
      </c>
      <c r="P108" s="1161" t="s">
        <v>11793</v>
      </c>
      <c r="Q108" s="4501" t="s">
        <v>11794</v>
      </c>
      <c r="R108" s="1161" t="s">
        <v>11795</v>
      </c>
      <c r="S108" s="1161" t="s">
        <v>10279</v>
      </c>
      <c r="T108" s="1161">
        <f>1768.5</f>
        <v>1768.5</v>
      </c>
      <c r="U108" s="1161">
        <f>1500</f>
        <v>1500</v>
      </c>
      <c r="V108" s="1161"/>
      <c r="W108" s="1161">
        <f>T108-U108</f>
        <v>268.5</v>
      </c>
      <c r="X108" s="3207">
        <f>W108/U108</f>
        <v>0.17899999999999999</v>
      </c>
      <c r="Y108" s="1161"/>
      <c r="Z108" s="1161"/>
    </row>
    <row r="109" spans="1:27" hidden="1">
      <c r="A109" s="5283" t="s">
        <v>409</v>
      </c>
      <c r="B109" s="5881" t="s">
        <v>11796</v>
      </c>
      <c r="C109" s="5173" t="s">
        <v>28</v>
      </c>
      <c r="D109" s="5523">
        <v>45575</v>
      </c>
      <c r="E109" s="5868">
        <v>45590</v>
      </c>
      <c r="F109" s="4892" t="s">
        <v>151</v>
      </c>
      <c r="G109" s="3368" t="s">
        <v>46</v>
      </c>
      <c r="H109" s="4892"/>
      <c r="I109" s="4892"/>
      <c r="J109" s="5526" t="s">
        <v>32</v>
      </c>
      <c r="K109" s="5283" t="s">
        <v>10688</v>
      </c>
      <c r="L109" s="4892" t="s">
        <v>11797</v>
      </c>
      <c r="M109" s="5686">
        <v>45590</v>
      </c>
      <c r="N109" s="4679">
        <v>45589</v>
      </c>
      <c r="O109" s="5686">
        <v>45590</v>
      </c>
      <c r="P109" s="4892" t="s">
        <v>11798</v>
      </c>
      <c r="Q109" s="4892" t="s">
        <v>6852</v>
      </c>
      <c r="R109" s="4892" t="s">
        <v>11799</v>
      </c>
      <c r="S109" s="4892"/>
      <c r="T109" s="4892"/>
      <c r="U109" s="4892"/>
      <c r="V109" s="4892"/>
      <c r="W109" s="4892"/>
      <c r="X109" s="4892"/>
      <c r="Y109" s="4892"/>
      <c r="Z109" s="4892"/>
    </row>
    <row r="110" spans="1:27" ht="30" hidden="1">
      <c r="A110" s="3348" t="s">
        <v>165</v>
      </c>
      <c r="B110" t="s">
        <v>11800</v>
      </c>
      <c r="C110" s="3348" t="s">
        <v>28</v>
      </c>
      <c r="D110" s="3648">
        <v>45570</v>
      </c>
      <c r="E110" s="3916">
        <v>45590</v>
      </c>
      <c r="F110" s="3310" t="s">
        <v>173</v>
      </c>
      <c r="G110" s="3348" t="s">
        <v>11801</v>
      </c>
      <c r="H110" s="3917" t="s">
        <v>11802</v>
      </c>
      <c r="I110" s="4484" t="s">
        <v>11803</v>
      </c>
      <c r="J110" s="3348" t="s">
        <v>363</v>
      </c>
      <c r="K110" s="3144" t="s">
        <v>11804</v>
      </c>
      <c r="L110" s="3144">
        <v>66354620</v>
      </c>
      <c r="M110" s="3208">
        <v>45586</v>
      </c>
      <c r="N110" s="3643">
        <v>45595</v>
      </c>
      <c r="O110" s="3643">
        <v>45596</v>
      </c>
      <c r="P110" s="4410" t="s">
        <v>11805</v>
      </c>
      <c r="Q110" s="3918" t="s">
        <v>11554</v>
      </c>
      <c r="R110" s="3368"/>
      <c r="S110" s="3368" t="s">
        <v>10279</v>
      </c>
      <c r="T110" s="3368"/>
      <c r="U110" s="3368"/>
      <c r="V110" s="3368"/>
      <c r="W110" s="3368"/>
      <c r="X110" s="3368"/>
      <c r="Y110" s="3368"/>
      <c r="Z110" s="3368"/>
    </row>
    <row r="111" spans="1:27" s="650" customFormat="1" ht="60" hidden="1">
      <c r="A111" s="5303" t="s">
        <v>11128</v>
      </c>
      <c r="B111" s="5404" t="s">
        <v>11806</v>
      </c>
      <c r="C111" s="5404" t="s">
        <v>200</v>
      </c>
      <c r="D111" s="5882">
        <v>45572</v>
      </c>
      <c r="E111" s="5538">
        <v>45591</v>
      </c>
      <c r="F111" s="5404" t="s">
        <v>1828</v>
      </c>
      <c r="G111" s="5404" t="s">
        <v>302</v>
      </c>
      <c r="H111" s="5822">
        <v>45594</v>
      </c>
      <c r="I111" s="5824">
        <v>0.29166666666666669</v>
      </c>
      <c r="J111" s="5624" t="s">
        <v>4896</v>
      </c>
      <c r="K111" s="5404" t="s">
        <v>6656</v>
      </c>
      <c r="L111" s="5643" t="s">
        <v>11807</v>
      </c>
      <c r="M111" s="5774">
        <v>45593</v>
      </c>
      <c r="N111" s="5822">
        <v>45593</v>
      </c>
      <c r="O111" s="5822">
        <v>45594</v>
      </c>
      <c r="P111" s="5405" t="s">
        <v>11808</v>
      </c>
      <c r="Q111" s="5303" t="s">
        <v>9226</v>
      </c>
      <c r="R111" s="5404" t="s">
        <v>11809</v>
      </c>
      <c r="S111" s="5405" t="s">
        <v>67</v>
      </c>
      <c r="T111" s="5404">
        <v>1375</v>
      </c>
      <c r="U111" s="4658">
        <v>905</v>
      </c>
      <c r="V111" s="5404">
        <v>1</v>
      </c>
      <c r="W111" s="5404"/>
      <c r="X111" s="5786"/>
      <c r="Y111" s="5404"/>
      <c r="Z111" s="5404"/>
    </row>
    <row r="112" spans="1:27" s="650" customFormat="1" ht="60" hidden="1">
      <c r="A112" s="5404" t="s">
        <v>468</v>
      </c>
      <c r="B112" s="5404" t="s">
        <v>11810</v>
      </c>
      <c r="C112" s="5855" t="s">
        <v>44</v>
      </c>
      <c r="D112" s="5520">
        <v>45586</v>
      </c>
      <c r="E112" s="5538">
        <v>45591</v>
      </c>
      <c r="F112" s="5404" t="s">
        <v>245</v>
      </c>
      <c r="G112" s="5404" t="s">
        <v>3492</v>
      </c>
      <c r="H112" s="5822">
        <v>45596</v>
      </c>
      <c r="I112" s="5824">
        <v>0.29166666666666669</v>
      </c>
      <c r="J112" s="5404" t="s">
        <v>2306</v>
      </c>
      <c r="K112" s="5404" t="s">
        <v>2313</v>
      </c>
      <c r="L112" s="5404">
        <v>1488507</v>
      </c>
      <c r="M112" s="4472">
        <v>45593</v>
      </c>
      <c r="N112" s="5403">
        <v>45594</v>
      </c>
      <c r="O112" s="5403">
        <v>45596</v>
      </c>
      <c r="P112" s="5883" t="s">
        <v>11811</v>
      </c>
      <c r="Q112" s="5303" t="s">
        <v>11554</v>
      </c>
      <c r="R112" s="5769" t="s">
        <v>11812</v>
      </c>
      <c r="S112" s="5404" t="s">
        <v>10279</v>
      </c>
      <c r="T112" s="5404">
        <v>1020</v>
      </c>
      <c r="U112" s="4658">
        <v>564.9</v>
      </c>
      <c r="V112" s="5404"/>
      <c r="W112" s="5404">
        <f>T112-U112</f>
        <v>455.1</v>
      </c>
      <c r="X112" s="5821">
        <f>W112/U112</f>
        <v>0.80562931492299528</v>
      </c>
      <c r="Y112" s="5404"/>
      <c r="Z112" s="5404"/>
      <c r="AA112" s="1350"/>
    </row>
    <row r="113" spans="1:26" s="650" customFormat="1" hidden="1">
      <c r="A113" s="4471" t="s">
        <v>11657</v>
      </c>
      <c r="B113" s="4471" t="s">
        <v>11813</v>
      </c>
      <c r="C113" s="3060" t="s">
        <v>28</v>
      </c>
      <c r="D113" s="4474">
        <v>45575</v>
      </c>
      <c r="E113" s="3103">
        <v>45592</v>
      </c>
      <c r="F113" s="4471" t="s">
        <v>93</v>
      </c>
      <c r="G113" s="4471" t="s">
        <v>302</v>
      </c>
      <c r="H113" s="4515">
        <v>45595</v>
      </c>
      <c r="I113" s="3209">
        <v>0.33333333333333331</v>
      </c>
      <c r="J113" s="3059" t="s">
        <v>3010</v>
      </c>
      <c r="K113" s="3060" t="s">
        <v>7364</v>
      </c>
      <c r="L113" s="3210" t="s">
        <v>11814</v>
      </c>
      <c r="M113" s="4516">
        <v>45594</v>
      </c>
      <c r="N113" s="4515">
        <v>45595</v>
      </c>
      <c r="O113" s="4515">
        <v>45595</v>
      </c>
      <c r="P113" s="4475" t="s">
        <v>11815</v>
      </c>
      <c r="Q113" s="3105" t="s">
        <v>9226</v>
      </c>
      <c r="R113" s="4471" t="s">
        <v>11816</v>
      </c>
      <c r="S113" s="4475" t="s">
        <v>10279</v>
      </c>
      <c r="T113" s="4517">
        <v>1185</v>
      </c>
      <c r="U113" s="4517">
        <v>1043.8800000000001</v>
      </c>
      <c r="V113" s="4471"/>
      <c r="W113" s="4471"/>
      <c r="X113" s="4471"/>
      <c r="Y113" s="4471"/>
      <c r="Z113" s="4471"/>
    </row>
    <row r="114" spans="1:26" ht="30" hidden="1">
      <c r="A114" s="4422" t="s">
        <v>468</v>
      </c>
      <c r="B114" s="4518" t="s">
        <v>11817</v>
      </c>
      <c r="C114" s="3159" t="s">
        <v>44</v>
      </c>
      <c r="D114" s="4502">
        <v>45586</v>
      </c>
      <c r="E114" s="3112">
        <v>45592</v>
      </c>
      <c r="F114" s="4501" t="s">
        <v>245</v>
      </c>
      <c r="G114" s="4501" t="s">
        <v>3492</v>
      </c>
      <c r="H114" s="4503">
        <v>45595</v>
      </c>
      <c r="I114" s="5795">
        <v>0.29166666666666669</v>
      </c>
      <c r="J114" s="4501" t="s">
        <v>2306</v>
      </c>
      <c r="K114" s="4501" t="s">
        <v>2313</v>
      </c>
      <c r="L114" s="4501">
        <v>1488509</v>
      </c>
      <c r="M114" s="4502">
        <v>45594</v>
      </c>
      <c r="N114" s="4503">
        <v>45594</v>
      </c>
      <c r="O114" s="4503">
        <v>45595</v>
      </c>
      <c r="P114" s="4519" t="s">
        <v>11818</v>
      </c>
      <c r="Q114" s="3015" t="s">
        <v>11554</v>
      </c>
      <c r="R114" s="5884"/>
      <c r="S114" s="4433" t="s">
        <v>10279</v>
      </c>
      <c r="T114" s="4518"/>
      <c r="U114" s="4508"/>
      <c r="V114" s="4508"/>
      <c r="W114" s="4508"/>
      <c r="X114" s="4508"/>
      <c r="Y114" s="4508"/>
      <c r="Z114" s="4508"/>
    </row>
    <row r="115" spans="1:26" s="650" customFormat="1" ht="30" hidden="1">
      <c r="A115" s="3144" t="s">
        <v>3866</v>
      </c>
      <c r="B115" s="4520" t="s">
        <v>11819</v>
      </c>
      <c r="C115" s="4520" t="s">
        <v>28</v>
      </c>
      <c r="D115" s="4521">
        <v>45589</v>
      </c>
      <c r="E115" s="4051">
        <v>45593</v>
      </c>
      <c r="F115" s="4520" t="s">
        <v>11676</v>
      </c>
      <c r="G115" s="4520" t="s">
        <v>11820</v>
      </c>
      <c r="H115" s="4035">
        <v>99040014967</v>
      </c>
      <c r="I115" s="4036">
        <v>45600.75</v>
      </c>
      <c r="J115" s="4520" t="s">
        <v>8060</v>
      </c>
      <c r="K115" s="4520" t="s">
        <v>11542</v>
      </c>
      <c r="L115" s="4520">
        <v>3246</v>
      </c>
      <c r="M115" s="3144">
        <v>45595</v>
      </c>
      <c r="N115" s="4037">
        <v>45595</v>
      </c>
      <c r="O115" s="4503">
        <v>45602</v>
      </c>
      <c r="P115" s="3144" t="s">
        <v>11821</v>
      </c>
      <c r="Q115" s="4520" t="s">
        <v>9226</v>
      </c>
      <c r="R115" s="4520" t="s">
        <v>11822</v>
      </c>
      <c r="S115" s="4071" t="s">
        <v>11546</v>
      </c>
      <c r="T115" s="4520">
        <v>3525</v>
      </c>
      <c r="U115" s="4497">
        <v>2825</v>
      </c>
      <c r="V115" s="4497"/>
      <c r="W115" s="4497"/>
      <c r="X115" s="4522"/>
      <c r="Y115" s="4497"/>
      <c r="Z115" s="4497"/>
    </row>
    <row r="116" spans="1:26" s="650" customFormat="1" hidden="1">
      <c r="A116" s="5404" t="s">
        <v>11657</v>
      </c>
      <c r="B116" s="5404" t="s">
        <v>11823</v>
      </c>
      <c r="C116" s="5624" t="s">
        <v>28</v>
      </c>
      <c r="D116" s="5520">
        <v>45573</v>
      </c>
      <c r="E116" s="5538">
        <v>45593</v>
      </c>
      <c r="F116" s="5404" t="s">
        <v>29</v>
      </c>
      <c r="G116" s="5404" t="s">
        <v>1350</v>
      </c>
      <c r="H116" s="5822">
        <v>45596</v>
      </c>
      <c r="I116" s="5824">
        <v>0.33333333333333331</v>
      </c>
      <c r="J116" s="5622" t="s">
        <v>3010</v>
      </c>
      <c r="K116" s="5624" t="s">
        <v>7364</v>
      </c>
      <c r="L116" s="5405" t="s">
        <v>11824</v>
      </c>
      <c r="M116" s="5847">
        <v>45595</v>
      </c>
      <c r="N116" s="5822">
        <v>45594</v>
      </c>
      <c r="O116" s="5822">
        <v>45596</v>
      </c>
      <c r="P116" s="5405" t="s">
        <v>11825</v>
      </c>
      <c r="Q116" s="5303" t="s">
        <v>9226</v>
      </c>
      <c r="R116" s="5404" t="s">
        <v>11826</v>
      </c>
      <c r="S116" s="5405" t="s">
        <v>10279</v>
      </c>
      <c r="T116" s="5885">
        <v>1000</v>
      </c>
      <c r="U116" s="4680">
        <v>858.88</v>
      </c>
      <c r="V116" s="5404">
        <v>1</v>
      </c>
      <c r="W116" s="5404"/>
      <c r="X116" s="5404"/>
      <c r="Y116" s="5404"/>
      <c r="Z116" s="5404"/>
    </row>
    <row r="117" spans="1:26" hidden="1">
      <c r="A117" s="5283" t="s">
        <v>409</v>
      </c>
      <c r="B117" s="5881" t="s">
        <v>11827</v>
      </c>
      <c r="C117" s="5283" t="s">
        <v>28</v>
      </c>
      <c r="D117" s="5523">
        <v>45575</v>
      </c>
      <c r="E117" s="5868">
        <v>45593</v>
      </c>
      <c r="F117" s="4892" t="s">
        <v>151</v>
      </c>
      <c r="G117" s="4892" t="s">
        <v>46</v>
      </c>
      <c r="H117" s="4892"/>
      <c r="I117" s="4892"/>
      <c r="J117" s="4892" t="s">
        <v>32</v>
      </c>
      <c r="K117" s="5283" t="s">
        <v>10688</v>
      </c>
      <c r="L117" s="4892" t="s">
        <v>11828</v>
      </c>
      <c r="M117" s="5686">
        <v>45591</v>
      </c>
      <c r="N117" s="5686">
        <v>45591</v>
      </c>
      <c r="O117" s="5686">
        <v>45595</v>
      </c>
      <c r="P117" s="4892" t="s">
        <v>11829</v>
      </c>
      <c r="Q117" s="4892" t="s">
        <v>6852</v>
      </c>
      <c r="R117" s="4892" t="s">
        <v>11830</v>
      </c>
      <c r="S117" s="4892"/>
      <c r="T117" s="4892"/>
      <c r="U117" s="3741"/>
      <c r="V117" s="3368"/>
      <c r="W117" s="3368"/>
      <c r="X117" s="3368"/>
      <c r="Y117" s="3368"/>
      <c r="Z117" s="3906"/>
    </row>
    <row r="118" spans="1:26" s="28" customFormat="1" hidden="1">
      <c r="A118" s="681" t="s">
        <v>409</v>
      </c>
      <c r="B118" s="3211" t="s">
        <v>11831</v>
      </c>
      <c r="C118" s="28" t="s">
        <v>44</v>
      </c>
      <c r="D118" s="3129">
        <v>45575</v>
      </c>
      <c r="E118" s="3130">
        <v>45593</v>
      </c>
      <c r="F118" s="28" t="s">
        <v>151</v>
      </c>
      <c r="G118" s="28" t="s">
        <v>46</v>
      </c>
      <c r="I118" s="44"/>
      <c r="J118" s="28" t="s">
        <v>32</v>
      </c>
      <c r="K118" s="681" t="s">
        <v>10688</v>
      </c>
      <c r="L118" s="28" t="s">
        <v>11832</v>
      </c>
      <c r="M118" s="3131">
        <v>45594</v>
      </c>
      <c r="N118" s="3131">
        <v>45594</v>
      </c>
      <c r="O118" s="3131">
        <v>45597</v>
      </c>
      <c r="P118" s="28" t="s">
        <v>11833</v>
      </c>
      <c r="Q118" s="28" t="s">
        <v>6852</v>
      </c>
    </row>
    <row r="119" spans="1:26" hidden="1">
      <c r="A119" s="681" t="s">
        <v>409</v>
      </c>
      <c r="B119" s="3211" t="s">
        <v>11834</v>
      </c>
      <c r="C119" s="3055" t="s">
        <v>28</v>
      </c>
      <c r="D119" s="3129">
        <v>45575</v>
      </c>
      <c r="E119" s="3130">
        <v>45593</v>
      </c>
      <c r="F119" s="28" t="s">
        <v>151</v>
      </c>
      <c r="G119" s="28" t="s">
        <v>46</v>
      </c>
      <c r="H119" s="3212"/>
      <c r="I119" s="28"/>
      <c r="J119" s="3081" t="s">
        <v>32</v>
      </c>
      <c r="K119" s="681" t="s">
        <v>10688</v>
      </c>
      <c r="L119" s="28" t="s">
        <v>11835</v>
      </c>
      <c r="M119" s="3131">
        <v>45591</v>
      </c>
      <c r="N119" s="3131">
        <v>45590</v>
      </c>
      <c r="O119" s="3131">
        <v>45594</v>
      </c>
      <c r="P119" s="28" t="s">
        <v>11836</v>
      </c>
      <c r="Q119" s="28" t="s">
        <v>6852</v>
      </c>
      <c r="R119" s="28"/>
      <c r="S119" s="28"/>
      <c r="T119" s="28"/>
      <c r="U119" s="28"/>
      <c r="V119" s="28"/>
      <c r="W119" s="28"/>
      <c r="X119" s="28"/>
      <c r="Y119" s="28"/>
      <c r="Z119" s="28"/>
    </row>
    <row r="120" spans="1:26" hidden="1">
      <c r="A120" s="705" t="s">
        <v>10857</v>
      </c>
      <c r="B120" s="3213" t="s">
        <v>11837</v>
      </c>
      <c r="C120" s="44" t="s">
        <v>28</v>
      </c>
      <c r="D120" s="3139">
        <v>45576</v>
      </c>
      <c r="E120" s="3140">
        <v>45593</v>
      </c>
      <c r="F120" s="705" t="s">
        <v>45</v>
      </c>
      <c r="G120" s="44" t="s">
        <v>46</v>
      </c>
      <c r="H120" s="44"/>
      <c r="I120" s="3151"/>
      <c r="J120" s="44" t="s">
        <v>32</v>
      </c>
      <c r="K120" s="705" t="s">
        <v>10688</v>
      </c>
      <c r="L120" t="s">
        <v>11838</v>
      </c>
      <c r="M120" s="3139">
        <v>45591</v>
      </c>
      <c r="N120" s="3142">
        <v>45593</v>
      </c>
      <c r="O120" s="3142">
        <v>45595</v>
      </c>
      <c r="P120" s="44" t="s">
        <v>11839</v>
      </c>
      <c r="Q120" s="44" t="s">
        <v>6852</v>
      </c>
      <c r="R120" s="44"/>
      <c r="S120" s="44"/>
      <c r="T120" s="44"/>
      <c r="U120" s="44"/>
      <c r="V120" s="44"/>
      <c r="W120" s="44"/>
      <c r="X120" s="44"/>
      <c r="Y120" s="44"/>
      <c r="Z120" s="44"/>
    </row>
    <row r="121" spans="1:26" hidden="1">
      <c r="A121" s="681" t="s">
        <v>10857</v>
      </c>
      <c r="B121" s="4523" t="s">
        <v>11840</v>
      </c>
      <c r="C121" s="28" t="s">
        <v>28</v>
      </c>
      <c r="D121" s="4524">
        <v>45581</v>
      </c>
      <c r="E121" s="3130">
        <v>45593</v>
      </c>
      <c r="F121" s="28" t="s">
        <v>260</v>
      </c>
      <c r="G121" s="28" t="s">
        <v>46</v>
      </c>
      <c r="H121" s="4508"/>
      <c r="I121" s="4508"/>
      <c r="J121" s="4508" t="s">
        <v>32</v>
      </c>
      <c r="K121" s="681" t="s">
        <v>10688</v>
      </c>
      <c r="L121" s="4508" t="s">
        <v>11841</v>
      </c>
      <c r="M121" s="4525">
        <v>45593</v>
      </c>
      <c r="N121" s="4525">
        <v>45593</v>
      </c>
      <c r="O121" s="4525">
        <v>45597</v>
      </c>
      <c r="P121" s="4508" t="s">
        <v>11842</v>
      </c>
      <c r="Q121" s="28" t="s">
        <v>6852</v>
      </c>
      <c r="R121" s="4508"/>
      <c r="S121" s="4508"/>
      <c r="T121" s="4508"/>
      <c r="U121" s="4508"/>
      <c r="V121" s="4508"/>
      <c r="W121" s="4508"/>
      <c r="X121" s="4526"/>
      <c r="Y121" s="4508"/>
      <c r="Z121" s="4508"/>
    </row>
    <row r="122" spans="1:26" s="650" customFormat="1" ht="60" hidden="1">
      <c r="A122" s="3063" t="s">
        <v>11128</v>
      </c>
      <c r="B122" s="3214" t="s">
        <v>11843</v>
      </c>
      <c r="C122" s="4490" t="s">
        <v>200</v>
      </c>
      <c r="D122" s="3215">
        <v>45572</v>
      </c>
      <c r="E122" s="3102">
        <v>45594</v>
      </c>
      <c r="F122" s="4490" t="s">
        <v>1828</v>
      </c>
      <c r="G122" s="4490" t="s">
        <v>302</v>
      </c>
      <c r="H122" s="4492">
        <v>45595</v>
      </c>
      <c r="I122" s="4493">
        <v>0.41666666666666669</v>
      </c>
      <c r="J122" s="3057" t="s">
        <v>4896</v>
      </c>
      <c r="K122" s="4490" t="s">
        <v>6656</v>
      </c>
      <c r="L122" s="3216" t="s">
        <v>11844</v>
      </c>
      <c r="M122" s="4527">
        <v>45596</v>
      </c>
      <c r="N122" s="4492">
        <v>45595</v>
      </c>
      <c r="O122" s="4492">
        <v>45596</v>
      </c>
      <c r="P122" s="4494" t="s">
        <v>11845</v>
      </c>
      <c r="Q122" s="3063" t="s">
        <v>9226</v>
      </c>
      <c r="R122" s="4490" t="s">
        <v>11846</v>
      </c>
      <c r="S122" s="4494" t="s">
        <v>67</v>
      </c>
      <c r="T122" s="4490">
        <v>1347.5</v>
      </c>
      <c r="U122" s="4490">
        <v>855</v>
      </c>
      <c r="V122" s="4490">
        <v>1</v>
      </c>
      <c r="W122" s="4490"/>
      <c r="X122" s="4528"/>
      <c r="Y122" s="4490"/>
      <c r="Z122" s="4490"/>
    </row>
    <row r="123" spans="1:26" hidden="1">
      <c r="A123" s="28" t="s">
        <v>3866</v>
      </c>
      <c r="B123" s="3186" t="s">
        <v>11847</v>
      </c>
      <c r="C123" s="3055" t="s">
        <v>28</v>
      </c>
      <c r="D123" s="3129">
        <v>45580</v>
      </c>
      <c r="E123" s="3130">
        <v>45594</v>
      </c>
      <c r="F123" s="28" t="s">
        <v>135</v>
      </c>
      <c r="G123" s="28" t="s">
        <v>57</v>
      </c>
      <c r="H123" s="28"/>
      <c r="I123" s="28"/>
      <c r="J123" s="28" t="s">
        <v>32</v>
      </c>
      <c r="K123" s="681" t="s">
        <v>10688</v>
      </c>
      <c r="L123" s="28">
        <v>1361162</v>
      </c>
      <c r="M123" s="3131">
        <v>45594</v>
      </c>
      <c r="N123" s="3131">
        <v>45594</v>
      </c>
      <c r="O123" s="3131">
        <v>45597</v>
      </c>
      <c r="P123" s="28" t="s">
        <v>11848</v>
      </c>
      <c r="Q123" s="28" t="s">
        <v>6852</v>
      </c>
      <c r="R123" s="28"/>
      <c r="S123" s="28"/>
      <c r="T123" s="28"/>
      <c r="U123" s="28"/>
      <c r="V123" s="28"/>
      <c r="W123" s="28"/>
      <c r="X123" s="28"/>
      <c r="Y123" s="28"/>
      <c r="Z123" s="28"/>
    </row>
    <row r="124" spans="1:26" ht="15.75" hidden="1">
      <c r="A124" s="52" t="s">
        <v>409</v>
      </c>
      <c r="B124" s="3217" t="s">
        <v>11849</v>
      </c>
      <c r="C124" t="s">
        <v>28</v>
      </c>
      <c r="D124" s="3133">
        <v>45569</v>
      </c>
      <c r="E124" s="3076">
        <v>45594</v>
      </c>
      <c r="F124" t="s">
        <v>151</v>
      </c>
      <c r="G124" t="s">
        <v>46</v>
      </c>
      <c r="J124" t="s">
        <v>32</v>
      </c>
      <c r="K124" s="52" t="s">
        <v>10688</v>
      </c>
      <c r="L124" s="3218" t="s">
        <v>11850</v>
      </c>
      <c r="M124" s="3136">
        <v>45595</v>
      </c>
      <c r="N124" s="3136">
        <v>45595</v>
      </c>
      <c r="O124" s="3136">
        <v>45597</v>
      </c>
      <c r="P124" t="s">
        <v>11851</v>
      </c>
      <c r="Q124" t="s">
        <v>6852</v>
      </c>
    </row>
    <row r="125" spans="1:26" hidden="1">
      <c r="A125" s="681" t="s">
        <v>10857</v>
      </c>
      <c r="B125" s="3186" t="s">
        <v>11852</v>
      </c>
      <c r="C125" s="28" t="s">
        <v>28</v>
      </c>
      <c r="D125" s="3129">
        <f>E125-7</f>
        <v>45587</v>
      </c>
      <c r="E125" s="3130">
        <v>45594</v>
      </c>
      <c r="F125" s="28" t="s">
        <v>135</v>
      </c>
      <c r="G125" s="28" t="s">
        <v>57</v>
      </c>
      <c r="H125" s="28"/>
      <c r="I125" s="28"/>
      <c r="J125" s="28" t="s">
        <v>32</v>
      </c>
      <c r="K125" s="681" t="s">
        <v>10688</v>
      </c>
      <c r="L125" s="28" t="s">
        <v>11853</v>
      </c>
      <c r="M125" s="3133">
        <v>45594</v>
      </c>
      <c r="N125" s="3131">
        <v>45593</v>
      </c>
      <c r="O125" s="3131">
        <v>45596</v>
      </c>
      <c r="P125" s="28" t="s">
        <v>11854</v>
      </c>
      <c r="Q125" s="28" t="s">
        <v>6852</v>
      </c>
      <c r="R125" s="28"/>
      <c r="S125" s="28"/>
      <c r="T125" s="28"/>
      <c r="U125" s="28"/>
      <c r="V125" s="28"/>
      <c r="W125" s="28"/>
      <c r="X125" s="28"/>
      <c r="Y125" s="28"/>
      <c r="Z125" s="28"/>
    </row>
    <row r="126" spans="1:26" s="650" customFormat="1" ht="180" hidden="1">
      <c r="A126" s="2283" t="s">
        <v>11128</v>
      </c>
      <c r="B126" s="4461" t="s">
        <v>11855</v>
      </c>
      <c r="C126" s="4461" t="s">
        <v>200</v>
      </c>
      <c r="D126" s="4468">
        <v>45521</v>
      </c>
      <c r="E126" s="3089">
        <v>45595</v>
      </c>
      <c r="F126" s="4461" t="s">
        <v>93</v>
      </c>
      <c r="G126" s="4461" t="s">
        <v>302</v>
      </c>
      <c r="H126" s="3219">
        <v>45597</v>
      </c>
      <c r="I126" s="3220">
        <v>0.41666666666666669</v>
      </c>
      <c r="J126" s="2141" t="s">
        <v>32</v>
      </c>
      <c r="K126" s="4461" t="s">
        <v>6656</v>
      </c>
      <c r="L126" s="3221" t="s">
        <v>11856</v>
      </c>
      <c r="M126" s="4529">
        <v>45597</v>
      </c>
      <c r="N126" s="4468">
        <v>45597</v>
      </c>
      <c r="O126" s="4468">
        <v>45597</v>
      </c>
      <c r="P126" s="4463" t="s">
        <v>11857</v>
      </c>
      <c r="Q126" s="2283" t="s">
        <v>9226</v>
      </c>
      <c r="R126" s="4463" t="s">
        <v>11858</v>
      </c>
      <c r="S126" s="4463" t="s">
        <v>67</v>
      </c>
      <c r="T126" s="4461">
        <v>855</v>
      </c>
      <c r="U126" s="4461">
        <v>540</v>
      </c>
      <c r="V126" s="4461">
        <v>1</v>
      </c>
      <c r="W126" s="4461"/>
      <c r="X126" s="4470"/>
      <c r="Y126" s="4461"/>
      <c r="Z126" s="4461"/>
    </row>
    <row r="127" spans="1:26" s="650" customFormat="1" hidden="1">
      <c r="A127" s="4422" t="s">
        <v>11657</v>
      </c>
      <c r="B127" s="4422" t="s">
        <v>11859</v>
      </c>
      <c r="C127" s="3062" t="s">
        <v>28</v>
      </c>
      <c r="D127" s="4423">
        <v>45570</v>
      </c>
      <c r="E127" s="3026">
        <v>45595</v>
      </c>
      <c r="F127" s="4422" t="s">
        <v>1828</v>
      </c>
      <c r="G127" s="4422" t="s">
        <v>302</v>
      </c>
      <c r="H127" s="4424">
        <v>45597</v>
      </c>
      <c r="I127" s="4464">
        <v>0.33333333333333331</v>
      </c>
      <c r="J127" s="3023" t="s">
        <v>3010</v>
      </c>
      <c r="K127" s="3062" t="s">
        <v>7364</v>
      </c>
      <c r="L127" s="3222" t="s">
        <v>11860</v>
      </c>
      <c r="M127" s="4530">
        <v>45597</v>
      </c>
      <c r="N127" s="4531">
        <v>45597</v>
      </c>
      <c r="O127" s="3223">
        <v>45597</v>
      </c>
      <c r="P127" s="4425" t="s">
        <v>11861</v>
      </c>
      <c r="Q127" s="2257" t="s">
        <v>9226</v>
      </c>
      <c r="R127" s="4422" t="s">
        <v>11862</v>
      </c>
      <c r="S127" s="4425" t="s">
        <v>10279</v>
      </c>
      <c r="T127" s="4422" t="s">
        <v>11863</v>
      </c>
      <c r="U127" s="4513">
        <v>858.88</v>
      </c>
      <c r="V127" s="4422">
        <v>1</v>
      </c>
      <c r="W127" s="4422"/>
      <c r="X127" s="4422"/>
      <c r="Y127" s="4422"/>
      <c r="Z127" s="4422"/>
    </row>
    <row r="128" spans="1:26" s="650" customFormat="1" hidden="1">
      <c r="A128" s="2036" t="s">
        <v>3849</v>
      </c>
      <c r="B128" s="4532" t="s">
        <v>11864</v>
      </c>
      <c r="C128" s="2036" t="s">
        <v>451</v>
      </c>
      <c r="D128" s="3194">
        <v>45585</v>
      </c>
      <c r="E128" s="4040">
        <v>45595</v>
      </c>
      <c r="F128" s="2036" t="s">
        <v>167</v>
      </c>
      <c r="G128" s="2036" t="s">
        <v>46</v>
      </c>
      <c r="H128" s="3113">
        <v>45597</v>
      </c>
      <c r="I128" s="3224">
        <v>0.375</v>
      </c>
      <c r="J128" s="2036" t="s">
        <v>1353</v>
      </c>
      <c r="K128" s="650" t="s">
        <v>10344</v>
      </c>
      <c r="L128" s="2036" t="s">
        <v>11865</v>
      </c>
      <c r="M128" s="1161"/>
      <c r="N128" s="3113">
        <v>45597</v>
      </c>
      <c r="O128" s="3113">
        <v>45597</v>
      </c>
      <c r="P128" s="4532" t="s">
        <v>11866</v>
      </c>
      <c r="Q128" s="2036" t="s">
        <v>9226</v>
      </c>
      <c r="R128" s="2036" t="s">
        <v>11867</v>
      </c>
      <c r="S128" s="2036" t="s">
        <v>10279</v>
      </c>
      <c r="T128" s="2036">
        <v>630</v>
      </c>
      <c r="U128" s="2036">
        <v>466</v>
      </c>
      <c r="V128" s="2036">
        <v>1</v>
      </c>
      <c r="W128" s="2036"/>
      <c r="X128" s="2036"/>
      <c r="Y128" s="2036"/>
      <c r="Z128" s="2036"/>
    </row>
    <row r="129" spans="1:27" s="650" customFormat="1" hidden="1">
      <c r="A129" s="1161" t="s">
        <v>3849</v>
      </c>
      <c r="B129" s="1161" t="s">
        <v>11868</v>
      </c>
      <c r="C129" s="1161" t="s">
        <v>451</v>
      </c>
      <c r="D129" s="3111">
        <v>45585</v>
      </c>
      <c r="E129" s="3112">
        <v>45595</v>
      </c>
      <c r="F129" s="1161" t="s">
        <v>167</v>
      </c>
      <c r="G129" s="1161" t="s">
        <v>46</v>
      </c>
      <c r="H129" s="3113">
        <v>45597</v>
      </c>
      <c r="I129" s="3114">
        <v>0.41666666666666669</v>
      </c>
      <c r="J129" s="1161" t="s">
        <v>1353</v>
      </c>
      <c r="K129" s="1161" t="s">
        <v>10344</v>
      </c>
      <c r="L129" s="1161" t="s">
        <v>11869</v>
      </c>
      <c r="M129" s="1161"/>
      <c r="N129" s="3113">
        <v>45597</v>
      </c>
      <c r="O129" s="3113">
        <v>45597</v>
      </c>
      <c r="P129" s="1161" t="s">
        <v>11870</v>
      </c>
      <c r="Q129" s="1161" t="s">
        <v>9226</v>
      </c>
      <c r="R129" s="1161" t="s">
        <v>11871</v>
      </c>
      <c r="S129" s="1161" t="s">
        <v>10279</v>
      </c>
      <c r="T129" s="1161">
        <v>630</v>
      </c>
      <c r="U129" s="1161">
        <v>466</v>
      </c>
      <c r="V129" s="1161">
        <v>1</v>
      </c>
      <c r="W129" s="1161"/>
      <c r="X129" s="1161"/>
      <c r="Y129" s="1161"/>
      <c r="Z129" s="1161"/>
    </row>
    <row r="130" spans="1:27" hidden="1">
      <c r="A130" s="24" t="s">
        <v>263</v>
      </c>
      <c r="B130" s="4140" t="s">
        <v>11872</v>
      </c>
      <c r="C130" s="24" t="s">
        <v>44</v>
      </c>
      <c r="D130" s="3187">
        <v>45595</v>
      </c>
      <c r="E130" s="4585">
        <v>45595</v>
      </c>
      <c r="F130" s="24" t="s">
        <v>135</v>
      </c>
      <c r="G130" s="3188" t="s">
        <v>10388</v>
      </c>
      <c r="H130" s="3189">
        <v>45607</v>
      </c>
      <c r="I130" s="24" t="s">
        <v>445</v>
      </c>
      <c r="J130" s="24" t="s">
        <v>377</v>
      </c>
      <c r="K130" s="24" t="s">
        <v>6997</v>
      </c>
      <c r="L130" s="4140" t="s">
        <v>11719</v>
      </c>
      <c r="M130" s="1220">
        <v>45607</v>
      </c>
      <c r="N130" s="4586">
        <v>45604</v>
      </c>
      <c r="O130" s="28"/>
      <c r="P130" s="4508" t="s">
        <v>11873</v>
      </c>
      <c r="Q130" s="4892" t="s">
        <v>75</v>
      </c>
      <c r="R130" s="28"/>
      <c r="S130" s="28" t="s">
        <v>67</v>
      </c>
      <c r="T130" s="28"/>
      <c r="U130" s="28"/>
      <c r="V130" s="28"/>
      <c r="W130" s="28"/>
      <c r="X130" s="28"/>
      <c r="Y130" s="28"/>
      <c r="Z130" s="28"/>
    </row>
    <row r="131" spans="1:27" s="650" customFormat="1" hidden="1">
      <c r="A131" s="2269" t="s">
        <v>2618</v>
      </c>
      <c r="B131" s="2269" t="s">
        <v>11874</v>
      </c>
      <c r="C131" s="2269" t="s">
        <v>451</v>
      </c>
      <c r="D131" s="3225">
        <v>45595</v>
      </c>
      <c r="E131" s="3225">
        <v>45595</v>
      </c>
      <c r="F131" s="2269" t="s">
        <v>260</v>
      </c>
      <c r="G131" s="2272" t="s">
        <v>11063</v>
      </c>
      <c r="H131" s="2269"/>
      <c r="I131" s="1350"/>
      <c r="J131" s="2269"/>
      <c r="K131" s="2269"/>
      <c r="L131" s="2269" t="s">
        <v>9917</v>
      </c>
      <c r="M131" s="3225">
        <v>45602</v>
      </c>
      <c r="N131" s="3118">
        <v>45600</v>
      </c>
      <c r="O131" s="3118">
        <v>45600</v>
      </c>
      <c r="P131" s="2269" t="s">
        <v>11875</v>
      </c>
      <c r="Q131" s="2269" t="s">
        <v>9226</v>
      </c>
      <c r="R131" s="2269" t="s">
        <v>11876</v>
      </c>
      <c r="S131" s="2269" t="s">
        <v>11197</v>
      </c>
      <c r="T131" s="2269"/>
      <c r="U131" s="2269"/>
      <c r="V131" s="2269"/>
      <c r="W131" s="2269"/>
      <c r="X131" s="2269"/>
      <c r="Y131" s="2269"/>
      <c r="Z131" s="2269"/>
    </row>
    <row r="132" spans="1:27" ht="30" hidden="1">
      <c r="A132" s="4422" t="s">
        <v>53</v>
      </c>
      <c r="B132" s="4422" t="s">
        <v>11877</v>
      </c>
      <c r="C132" s="2269" t="s">
        <v>28</v>
      </c>
      <c r="D132" s="3025">
        <v>45580</v>
      </c>
      <c r="E132" s="3226">
        <v>45595</v>
      </c>
      <c r="F132" s="2269" t="s">
        <v>151</v>
      </c>
      <c r="G132" s="4422" t="s">
        <v>2296</v>
      </c>
      <c r="H132" s="4533">
        <v>874037703</v>
      </c>
      <c r="I132" s="4534" t="s">
        <v>11878</v>
      </c>
      <c r="J132" s="2269" t="s">
        <v>4896</v>
      </c>
      <c r="K132" s="4425" t="s">
        <v>11879</v>
      </c>
      <c r="L132" s="4422" t="s">
        <v>11880</v>
      </c>
      <c r="M132" s="3025">
        <v>45597</v>
      </c>
      <c r="N132" s="3025">
        <v>45597</v>
      </c>
      <c r="O132" s="3227">
        <v>45600</v>
      </c>
      <c r="P132" s="2269">
        <v>2747218087</v>
      </c>
      <c r="Q132" s="681" t="s">
        <v>11554</v>
      </c>
      <c r="R132" s="681"/>
      <c r="S132" s="1206" t="s">
        <v>11546</v>
      </c>
      <c r="T132" s="681"/>
      <c r="U132" s="681"/>
      <c r="V132" s="681"/>
      <c r="W132" s="681"/>
      <c r="X132" s="3228"/>
      <c r="Y132" s="681"/>
      <c r="Z132" s="681"/>
    </row>
    <row r="133" spans="1:27" s="650" customFormat="1" hidden="1">
      <c r="A133" s="2269" t="s">
        <v>409</v>
      </c>
      <c r="B133" s="4422" t="s">
        <v>11881</v>
      </c>
      <c r="C133" s="2269" t="s">
        <v>28</v>
      </c>
      <c r="D133" s="3025">
        <v>45573</v>
      </c>
      <c r="E133" s="3026">
        <v>45595</v>
      </c>
      <c r="F133" s="3025" t="s">
        <v>2225</v>
      </c>
      <c r="G133" s="3025" t="s">
        <v>57</v>
      </c>
      <c r="H133" s="3229">
        <v>45597</v>
      </c>
      <c r="I133" s="4498"/>
      <c r="J133" s="3025" t="s">
        <v>4896</v>
      </c>
      <c r="K133" s="4422" t="s">
        <v>11882</v>
      </c>
      <c r="L133" s="3025" t="str">
        <f>"0211525"</f>
        <v>0211525</v>
      </c>
      <c r="M133" s="3025">
        <v>45597</v>
      </c>
      <c r="N133" s="3118">
        <v>45597</v>
      </c>
      <c r="O133" s="3227">
        <v>45601</v>
      </c>
      <c r="P133" s="2272" t="s">
        <v>11883</v>
      </c>
      <c r="Q133" s="2257" t="s">
        <v>11794</v>
      </c>
      <c r="R133" s="2269" t="s">
        <v>11884</v>
      </c>
      <c r="S133" s="2272" t="s">
        <v>10279</v>
      </c>
      <c r="T133" s="2269">
        <v>1205</v>
      </c>
      <c r="U133" s="2269">
        <f>1000</f>
        <v>1000</v>
      </c>
      <c r="V133" s="2269"/>
      <c r="W133" s="2269">
        <f>T133-U133</f>
        <v>205</v>
      </c>
      <c r="X133" s="3077">
        <f>W133/U133</f>
        <v>0.20499999999999999</v>
      </c>
      <c r="Y133" s="2269"/>
      <c r="Z133" s="2269"/>
    </row>
    <row r="134" spans="1:27" hidden="1">
      <c r="A134" s="28" t="s">
        <v>1353</v>
      </c>
      <c r="B134" s="28" t="s">
        <v>11885</v>
      </c>
      <c r="C134" s="28" t="s">
        <v>200</v>
      </c>
      <c r="D134" s="3046"/>
      <c r="E134" s="3230">
        <v>45595</v>
      </c>
      <c r="F134" s="28" t="s">
        <v>151</v>
      </c>
      <c r="G134" s="28"/>
      <c r="H134" s="3131">
        <v>45595</v>
      </c>
      <c r="I134" s="28" t="s">
        <v>64</v>
      </c>
      <c r="J134" s="28" t="s">
        <v>162</v>
      </c>
      <c r="K134" s="681" t="s">
        <v>10688</v>
      </c>
      <c r="L134" s="28"/>
      <c r="M134" s="3131"/>
      <c r="N134" s="3131">
        <v>45595</v>
      </c>
      <c r="O134" s="28"/>
      <c r="P134" s="28" t="s">
        <v>11886</v>
      </c>
      <c r="Q134" s="28" t="s">
        <v>11887</v>
      </c>
      <c r="R134" s="28"/>
      <c r="S134" s="28"/>
      <c r="T134" s="28"/>
      <c r="U134" s="28"/>
      <c r="V134" s="28"/>
      <c r="W134" s="28"/>
      <c r="X134" s="28"/>
      <c r="Y134" s="28"/>
      <c r="Z134" s="28"/>
    </row>
    <row r="135" spans="1:27" hidden="1">
      <c r="A135" s="28" t="s">
        <v>3866</v>
      </c>
      <c r="B135" s="3231" t="s">
        <v>11888</v>
      </c>
      <c r="C135" s="3055" t="s">
        <v>28</v>
      </c>
      <c r="D135" s="3129">
        <v>45580</v>
      </c>
      <c r="E135" s="3130">
        <v>45596</v>
      </c>
      <c r="F135" s="28" t="s">
        <v>45</v>
      </c>
      <c r="G135" s="28" t="s">
        <v>46</v>
      </c>
      <c r="H135" s="28"/>
      <c r="I135" s="28"/>
      <c r="J135" s="28" t="s">
        <v>32</v>
      </c>
      <c r="K135" s="681" t="s">
        <v>10688</v>
      </c>
      <c r="L135" s="28" t="s">
        <v>11889</v>
      </c>
      <c r="M135" s="3131">
        <v>45597</v>
      </c>
      <c r="N135" s="3131">
        <v>45596</v>
      </c>
      <c r="O135" s="3131">
        <v>45598</v>
      </c>
      <c r="P135" s="28" t="s">
        <v>11890</v>
      </c>
      <c r="Q135" s="28" t="s">
        <v>6852</v>
      </c>
      <c r="R135" s="28"/>
      <c r="S135" s="28"/>
      <c r="T135" s="28"/>
      <c r="U135" s="28"/>
      <c r="V135" s="28"/>
      <c r="W135" s="28"/>
      <c r="X135" s="28"/>
      <c r="Y135" s="28"/>
      <c r="Z135" s="28"/>
    </row>
    <row r="136" spans="1:27" hidden="1">
      <c r="A136" s="28" t="s">
        <v>1353</v>
      </c>
      <c r="B136" s="28" t="s">
        <v>11891</v>
      </c>
      <c r="C136" s="28" t="s">
        <v>200</v>
      </c>
      <c r="D136" s="3046"/>
      <c r="E136" s="3230">
        <v>45596</v>
      </c>
      <c r="F136" s="28" t="s">
        <v>151</v>
      </c>
      <c r="G136" s="28"/>
      <c r="H136" s="3131">
        <v>45596</v>
      </c>
      <c r="I136" s="28" t="s">
        <v>1820</v>
      </c>
      <c r="J136" s="28" t="s">
        <v>162</v>
      </c>
      <c r="K136" s="681" t="s">
        <v>10688</v>
      </c>
      <c r="L136" s="28"/>
      <c r="M136" s="3131"/>
      <c r="N136" s="3131">
        <v>45596</v>
      </c>
      <c r="O136" s="28"/>
      <c r="P136" s="28" t="s">
        <v>11892</v>
      </c>
      <c r="Q136" s="28" t="s">
        <v>11887</v>
      </c>
      <c r="R136" s="28"/>
      <c r="S136" s="28"/>
      <c r="T136" s="28"/>
      <c r="U136" s="28"/>
      <c r="V136" s="28"/>
      <c r="W136" s="28"/>
      <c r="X136" s="28"/>
      <c r="Y136" s="28"/>
      <c r="Z136" s="28"/>
    </row>
    <row r="137" spans="1:27" hidden="1">
      <c r="A137" s="28" t="s">
        <v>1353</v>
      </c>
      <c r="B137" s="28" t="s">
        <v>11893</v>
      </c>
      <c r="C137" s="28" t="s">
        <v>200</v>
      </c>
      <c r="D137" s="3046"/>
      <c r="E137" s="3230">
        <v>45596</v>
      </c>
      <c r="F137" s="28" t="s">
        <v>151</v>
      </c>
      <c r="G137" s="28"/>
      <c r="H137" s="3131">
        <v>45596</v>
      </c>
      <c r="I137" s="28" t="s">
        <v>2213</v>
      </c>
      <c r="J137" s="28" t="s">
        <v>162</v>
      </c>
      <c r="K137" s="681" t="s">
        <v>10688</v>
      </c>
      <c r="L137" s="28"/>
      <c r="M137" s="3131"/>
      <c r="N137" s="3131">
        <v>45596</v>
      </c>
      <c r="O137" s="28"/>
      <c r="P137" s="28" t="s">
        <v>11892</v>
      </c>
      <c r="Q137" s="28" t="s">
        <v>11887</v>
      </c>
      <c r="R137" s="28"/>
      <c r="S137" s="28"/>
      <c r="T137" s="28"/>
      <c r="U137" s="28"/>
      <c r="V137" s="28"/>
      <c r="W137" s="28"/>
      <c r="X137" s="28"/>
      <c r="Y137" s="28"/>
      <c r="Z137" s="28"/>
    </row>
    <row r="138" spans="1:27" hidden="1">
      <c r="A138" s="28" t="s">
        <v>1353</v>
      </c>
      <c r="B138" s="28" t="s">
        <v>11894</v>
      </c>
      <c r="C138" s="28" t="s">
        <v>200</v>
      </c>
      <c r="D138" s="3046"/>
      <c r="E138" s="3230">
        <v>45596</v>
      </c>
      <c r="F138" s="28" t="s">
        <v>151</v>
      </c>
      <c r="G138" s="28"/>
      <c r="H138" s="3131">
        <v>45596</v>
      </c>
      <c r="I138" s="28" t="s">
        <v>64</v>
      </c>
      <c r="J138" s="28" t="s">
        <v>162</v>
      </c>
      <c r="K138" s="681" t="s">
        <v>10688</v>
      </c>
      <c r="L138" s="28"/>
      <c r="M138" s="3131"/>
      <c r="N138" s="3131">
        <v>45596</v>
      </c>
      <c r="O138" s="28"/>
      <c r="P138" s="28" t="s">
        <v>11892</v>
      </c>
      <c r="Q138" s="28" t="s">
        <v>11887</v>
      </c>
      <c r="R138" s="28"/>
      <c r="S138" s="28"/>
      <c r="T138" s="28"/>
      <c r="U138" s="28"/>
      <c r="V138" s="28"/>
      <c r="W138" s="28"/>
      <c r="X138" s="28"/>
      <c r="Y138" s="28"/>
      <c r="Z138" s="28"/>
    </row>
    <row r="139" spans="1:27" hidden="1">
      <c r="A139" s="28" t="s">
        <v>1353</v>
      </c>
      <c r="B139" s="28" t="s">
        <v>11895</v>
      </c>
      <c r="C139" s="28" t="s">
        <v>200</v>
      </c>
      <c r="D139" s="3046"/>
      <c r="E139" s="3232">
        <v>45596</v>
      </c>
      <c r="F139" s="28" t="s">
        <v>151</v>
      </c>
      <c r="G139" s="28"/>
      <c r="H139" s="3131">
        <v>45596</v>
      </c>
      <c r="I139" s="28" t="s">
        <v>5064</v>
      </c>
      <c r="J139" s="28" t="s">
        <v>162</v>
      </c>
      <c r="K139" s="681" t="s">
        <v>10688</v>
      </c>
      <c r="L139" s="28"/>
      <c r="M139" s="3131"/>
      <c r="N139" s="3131">
        <v>45596</v>
      </c>
      <c r="O139" s="28"/>
      <c r="P139" s="28" t="s">
        <v>11892</v>
      </c>
      <c r="Q139" s="28" t="s">
        <v>11887</v>
      </c>
      <c r="R139" s="28"/>
      <c r="S139" s="28"/>
      <c r="T139" s="28"/>
      <c r="U139" s="28"/>
      <c r="V139" s="28"/>
      <c r="W139" s="28"/>
      <c r="X139" s="28"/>
      <c r="Y139" s="28"/>
      <c r="Z139" s="28"/>
    </row>
    <row r="140" spans="1:27" hidden="1">
      <c r="A140" s="28" t="s">
        <v>1353</v>
      </c>
      <c r="B140" s="28" t="s">
        <v>11896</v>
      </c>
      <c r="C140" s="28" t="s">
        <v>200</v>
      </c>
      <c r="D140" s="3046"/>
      <c r="E140" s="3232">
        <v>45596</v>
      </c>
      <c r="F140" s="28" t="s">
        <v>151</v>
      </c>
      <c r="G140" s="28"/>
      <c r="H140" s="3131">
        <v>45596</v>
      </c>
      <c r="I140" s="28" t="s">
        <v>11897</v>
      </c>
      <c r="J140" s="28" t="s">
        <v>162</v>
      </c>
      <c r="K140" s="681" t="s">
        <v>10688</v>
      </c>
      <c r="L140" s="28"/>
      <c r="M140" s="3131"/>
      <c r="N140" s="3131">
        <v>45596</v>
      </c>
      <c r="O140" s="28"/>
      <c r="P140" s="28" t="s">
        <v>11892</v>
      </c>
      <c r="Q140" s="28" t="s">
        <v>11887</v>
      </c>
      <c r="R140" s="28"/>
      <c r="S140" s="28"/>
      <c r="T140" s="28"/>
      <c r="U140" s="28"/>
      <c r="V140" s="28"/>
      <c r="W140" s="28"/>
      <c r="X140" s="28"/>
      <c r="Y140" s="28"/>
      <c r="Z140" s="28"/>
    </row>
    <row r="141" spans="1:27" s="650" customFormat="1">
      <c r="A141" s="44"/>
      <c r="B141" s="44"/>
      <c r="C141" s="1970"/>
      <c r="D141" s="3139"/>
      <c r="E141" s="3140"/>
      <c r="F141" s="44"/>
      <c r="G141" s="44"/>
      <c r="H141" s="44"/>
      <c r="I141" s="44"/>
      <c r="J141" s="44"/>
      <c r="K141" s="705"/>
      <c r="L141" s="44"/>
      <c r="M141" s="3142"/>
      <c r="N141" s="3142"/>
      <c r="O141" s="3142"/>
      <c r="P141" s="44"/>
      <c r="Q141" s="44"/>
      <c r="R141" s="44"/>
      <c r="S141" s="44"/>
      <c r="T141" s="44"/>
      <c r="U141" s="44"/>
      <c r="V141" s="44"/>
      <c r="W141" s="44"/>
      <c r="X141" s="44"/>
      <c r="Y141" s="44"/>
      <c r="Z141" s="44"/>
      <c r="AA141"/>
    </row>
    <row r="142" spans="1:27">
      <c r="A142" s="705"/>
      <c r="B142" s="4271"/>
      <c r="C142" s="44"/>
      <c r="D142" s="4535"/>
      <c r="E142" s="3140"/>
      <c r="F142" s="44"/>
      <c r="G142" s="44"/>
      <c r="H142" s="4271"/>
      <c r="I142" s="4271"/>
      <c r="J142" s="4271"/>
      <c r="K142" s="705"/>
      <c r="L142" s="4271"/>
      <c r="M142" s="4535"/>
      <c r="N142" s="4536"/>
      <c r="O142" s="4271"/>
      <c r="P142" s="4271"/>
      <c r="Q142" s="44"/>
      <c r="R142" s="4271"/>
      <c r="S142" s="4271"/>
      <c r="T142" s="4271"/>
      <c r="U142" s="4271"/>
      <c r="V142" s="4271"/>
      <c r="W142" s="4271"/>
      <c r="X142" s="4537"/>
      <c r="Y142" s="4271"/>
      <c r="Z142" s="4271"/>
    </row>
    <row r="143" spans="1:27">
      <c r="A143" s="28"/>
      <c r="B143" s="28"/>
      <c r="C143" s="681"/>
      <c r="D143" s="3129"/>
      <c r="E143" s="3129"/>
      <c r="F143" s="681"/>
      <c r="G143" s="28"/>
      <c r="H143" s="28"/>
      <c r="I143" s="28"/>
      <c r="J143" s="3055"/>
      <c r="K143" s="28"/>
      <c r="L143" s="28"/>
      <c r="M143" s="3131"/>
      <c r="N143" s="28"/>
      <c r="O143" s="28"/>
      <c r="P143" s="28"/>
      <c r="Q143" s="28"/>
      <c r="R143" s="28"/>
      <c r="S143" s="28"/>
      <c r="T143" s="28"/>
      <c r="U143" s="28"/>
      <c r="V143" s="28"/>
      <c r="W143" s="28"/>
      <c r="X143" s="28"/>
      <c r="Y143" s="28"/>
      <c r="Z143" s="28"/>
    </row>
    <row r="144" spans="1:27">
      <c r="A144" s="3099"/>
      <c r="B144" s="3099"/>
      <c r="C144" s="2920"/>
      <c r="D144" s="3127"/>
      <c r="E144" s="3127"/>
      <c r="F144" s="2920"/>
      <c r="G144" s="3099"/>
      <c r="H144" s="3099"/>
      <c r="I144" s="3099"/>
      <c r="J144" s="1976"/>
      <c r="K144" s="3099"/>
      <c r="L144" s="3099"/>
      <c r="M144" s="3095"/>
      <c r="N144" s="3099"/>
      <c r="O144" s="3099"/>
      <c r="P144" s="3099"/>
      <c r="Q144" s="3099"/>
      <c r="R144" s="3099"/>
      <c r="S144" s="3099"/>
      <c r="T144" s="3099"/>
      <c r="U144" s="3099"/>
      <c r="V144" s="3099"/>
      <c r="W144" s="3099"/>
      <c r="X144" s="3099"/>
      <c r="Y144" s="3099"/>
      <c r="Z144" s="3099"/>
    </row>
    <row r="145" spans="1:27">
      <c r="A145" s="2920"/>
      <c r="B145" s="3099"/>
      <c r="C145" s="2920"/>
      <c r="D145" s="3127"/>
      <c r="E145" s="3153"/>
      <c r="F145" s="3099"/>
      <c r="G145" s="3099"/>
      <c r="H145" s="3099"/>
      <c r="I145" s="3099"/>
      <c r="J145" s="3099"/>
      <c r="K145" s="2920"/>
      <c r="L145" s="3099"/>
      <c r="M145" s="3127"/>
      <c r="N145" s="3095"/>
      <c r="O145" s="3099"/>
      <c r="P145" s="3099"/>
      <c r="Q145" s="3099"/>
      <c r="R145" s="3099"/>
      <c r="S145" s="3099"/>
      <c r="T145" s="3099"/>
      <c r="U145" s="3099"/>
      <c r="V145" s="3099"/>
      <c r="W145" s="3099"/>
      <c r="X145" s="3099"/>
      <c r="Y145" s="3099"/>
      <c r="Z145" s="3099"/>
    </row>
    <row r="146" spans="1:27">
      <c r="A146" s="52"/>
      <c r="C146" s="52"/>
      <c r="D146" s="3133"/>
      <c r="E146" s="3076"/>
      <c r="F146" s="52"/>
      <c r="K146" s="52"/>
      <c r="M146" s="3133"/>
      <c r="N146" s="3136"/>
      <c r="O146" s="3136"/>
    </row>
    <row r="147" spans="1:27">
      <c r="A147" s="52"/>
      <c r="B147" s="52"/>
      <c r="C147" s="52"/>
      <c r="D147" s="3133"/>
      <c r="E147" s="3076"/>
      <c r="H147" s="52"/>
      <c r="I147" s="52"/>
      <c r="J147" s="52"/>
      <c r="K147" s="52"/>
      <c r="L147" s="826"/>
      <c r="M147" s="1337"/>
      <c r="N147" s="3108"/>
      <c r="O147" s="52"/>
      <c r="P147" s="52"/>
      <c r="Q147" s="52"/>
    </row>
    <row r="148" spans="1:27">
      <c r="A148" s="52"/>
      <c r="D148" s="3133"/>
      <c r="E148" s="3076"/>
      <c r="K148" s="52"/>
      <c r="M148" s="3136"/>
      <c r="N148" s="3136"/>
    </row>
    <row r="149" spans="1:27">
      <c r="B149" s="4428"/>
      <c r="D149" s="4538"/>
      <c r="E149" s="3076"/>
      <c r="H149" s="4428"/>
      <c r="I149" s="4428"/>
      <c r="J149" s="4428"/>
      <c r="K149" s="52"/>
      <c r="L149" s="4428"/>
      <c r="M149" s="4539"/>
      <c r="N149" s="4539"/>
      <c r="O149" s="4428"/>
      <c r="P149" s="4428"/>
      <c r="R149" s="4428"/>
      <c r="S149" s="4428"/>
      <c r="T149" s="4428"/>
      <c r="U149" s="4428"/>
      <c r="V149" s="4428"/>
      <c r="W149" s="4428"/>
      <c r="X149" s="4428"/>
      <c r="Y149" s="4428"/>
      <c r="Z149" s="4428"/>
    </row>
    <row r="150" spans="1:27">
      <c r="A150" s="52"/>
      <c r="D150" s="3133"/>
      <c r="E150" s="3076"/>
      <c r="F150" s="52"/>
      <c r="G150" s="52"/>
      <c r="K150" s="52"/>
      <c r="M150" s="3133"/>
      <c r="N150" s="3136"/>
    </row>
    <row r="151" spans="1:27">
      <c r="A151" s="52"/>
      <c r="B151" s="4428"/>
      <c r="C151" s="52"/>
      <c r="D151" s="4538"/>
      <c r="E151" s="4538"/>
      <c r="F151" s="4428"/>
      <c r="H151" s="4428"/>
      <c r="I151" s="4428"/>
      <c r="J151" s="4428"/>
      <c r="K151" s="52"/>
      <c r="L151" s="4428"/>
      <c r="M151" s="4538"/>
      <c r="N151" s="4428"/>
      <c r="O151" s="4428"/>
      <c r="P151" s="4428"/>
      <c r="Q151" s="52"/>
      <c r="R151" s="4428"/>
      <c r="S151" s="4428"/>
      <c r="T151" s="4428"/>
      <c r="U151" s="4428"/>
      <c r="V151" s="4428"/>
      <c r="W151" s="4428"/>
      <c r="X151" s="4540"/>
      <c r="Z151" s="4428"/>
    </row>
    <row r="152" spans="1:27">
      <c r="A152" s="52"/>
      <c r="B152" s="4428"/>
      <c r="C152" s="52"/>
      <c r="D152" s="4538"/>
      <c r="E152" s="3076"/>
      <c r="F152" s="4428"/>
      <c r="H152" s="4428"/>
      <c r="I152" s="4428"/>
      <c r="J152" s="4428"/>
      <c r="K152" s="52"/>
      <c r="L152" s="4428"/>
      <c r="M152" s="4538"/>
      <c r="N152" s="4428"/>
      <c r="O152" s="4428"/>
      <c r="P152" s="4428"/>
      <c r="Q152" s="52"/>
      <c r="R152" s="4428"/>
      <c r="S152" s="4428"/>
      <c r="T152" s="4428"/>
      <c r="U152" s="4428"/>
      <c r="V152" s="4428"/>
      <c r="W152" s="4428"/>
      <c r="X152" s="4428"/>
      <c r="Y152" s="4428"/>
      <c r="Z152" s="4428"/>
    </row>
    <row r="153" spans="1:27">
      <c r="A153" s="3015"/>
      <c r="B153" s="4433"/>
      <c r="C153" s="4433"/>
      <c r="D153" s="4031"/>
      <c r="E153" s="4031"/>
      <c r="F153" s="4433"/>
      <c r="G153" s="681"/>
      <c r="H153" s="3055"/>
      <c r="I153" s="3055"/>
      <c r="J153" s="4433"/>
      <c r="K153" s="4433"/>
      <c r="L153" s="3055"/>
      <c r="M153" s="3055"/>
      <c r="N153" s="3055"/>
      <c r="O153" s="3055"/>
      <c r="P153" s="4519"/>
      <c r="Q153" s="3015"/>
      <c r="R153" s="1206"/>
      <c r="S153" s="4435"/>
      <c r="T153" s="4433"/>
      <c r="U153" s="4433"/>
      <c r="V153" s="4433"/>
      <c r="W153" s="4433"/>
      <c r="X153" s="4541"/>
      <c r="Y153" s="4433"/>
      <c r="Z153" s="4542"/>
      <c r="AA153" s="52"/>
    </row>
    <row r="154" spans="1:27">
      <c r="A154" s="1767"/>
      <c r="B154" s="4148"/>
      <c r="C154" s="4148"/>
      <c r="D154" s="4032"/>
      <c r="E154" s="4032"/>
      <c r="F154" s="4148"/>
      <c r="G154" s="4033"/>
      <c r="H154" s="4024"/>
      <c r="I154" s="4024"/>
      <c r="J154" s="4024"/>
      <c r="K154" s="4148"/>
      <c r="L154" s="4024"/>
      <c r="M154" s="4024"/>
      <c r="N154" s="4024"/>
      <c r="O154" s="4024"/>
      <c r="P154" s="4543"/>
      <c r="Q154" s="1767"/>
      <c r="R154" s="826"/>
      <c r="S154" s="4144"/>
      <c r="T154" s="4148"/>
      <c r="U154" s="4148"/>
      <c r="V154" s="4148"/>
      <c r="W154" s="4148"/>
      <c r="X154" s="4544"/>
      <c r="Y154" s="4148"/>
      <c r="Z154" s="4148"/>
    </row>
  </sheetData>
  <autoFilter ref="A1:Z140" xr:uid="{3E6025EF-9A3B-42D8-96CF-A028C6ECB33A}">
    <filterColumn colId="1">
      <filters>
        <filter val="FCIU7105301"/>
      </filters>
    </filterColumn>
  </autoFilter>
  <conditionalFormatting sqref="B1">
    <cfRule type="duplicateValues" dxfId="140" priority="1"/>
  </conditionalFormatting>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5FF51-6C51-4EFE-8F5F-993B8CE7B377}">
  <dimension ref="A1:Z168"/>
  <sheetViews>
    <sheetView zoomScale="85" zoomScaleNormal="85" workbookViewId="0">
      <pane xSplit="7" ySplit="1" topLeftCell="L133" activePane="bottomRight" state="frozen"/>
      <selection pane="bottomRight" activeCell="A133" sqref="A133:G133"/>
      <selection pane="bottomLeft" activeCell="A2" sqref="A2"/>
      <selection pane="topRight" activeCell="H1" sqref="H1"/>
    </sheetView>
  </sheetViews>
  <sheetFormatPr defaultColWidth="9.125" defaultRowHeight="15"/>
  <cols>
    <col min="1" max="1" width="14.375" style="52" customWidth="1"/>
    <col min="2" max="2" width="16.875" style="52" customWidth="1"/>
    <col min="3" max="3" width="9.125" style="52" customWidth="1"/>
    <col min="4" max="4" width="14" style="144" customWidth="1"/>
    <col min="5" max="5" width="10.625" style="144" customWidth="1"/>
    <col min="6" max="6" width="16.25" style="52" customWidth="1"/>
    <col min="7" max="7" width="26.625" style="52" customWidth="1"/>
    <col min="8" max="8" width="20.875" style="1207" customWidth="1"/>
    <col min="9" max="9" width="44" style="3064" customWidth="1"/>
    <col min="10" max="10" width="17.875" style="52" customWidth="1"/>
    <col min="11" max="11" width="28" style="52" customWidth="1"/>
    <col min="12" max="12" width="14.25" style="52" customWidth="1"/>
    <col min="13" max="13" width="18.375" style="1207" customWidth="1"/>
    <col min="14" max="14" width="14.25" style="144" customWidth="1"/>
    <col min="15" max="15" width="11.625" style="1207" customWidth="1"/>
    <col min="16" max="16" width="58.875" style="52" customWidth="1"/>
    <col min="17" max="17" width="9.125" style="52"/>
    <col min="18" max="18" width="18.875" style="52" customWidth="1"/>
    <col min="19" max="19" width="13.25" style="52" customWidth="1"/>
    <col min="20" max="16384" width="9.125" style="52"/>
  </cols>
  <sheetData>
    <row r="1" spans="1:26" ht="16.5">
      <c r="A1" s="5090" t="s">
        <v>0</v>
      </c>
      <c r="B1" s="5090" t="s">
        <v>1</v>
      </c>
      <c r="C1" s="5090" t="s">
        <v>2</v>
      </c>
      <c r="D1" s="5472" t="s">
        <v>3</v>
      </c>
      <c r="E1" s="5473" t="s">
        <v>4</v>
      </c>
      <c r="F1" s="5090" t="s">
        <v>5</v>
      </c>
      <c r="G1" s="5842" t="s">
        <v>6</v>
      </c>
      <c r="H1" s="5842" t="s">
        <v>7</v>
      </c>
      <c r="I1" s="5886" t="s">
        <v>8</v>
      </c>
      <c r="J1" s="5842" t="s">
        <v>9</v>
      </c>
      <c r="K1" s="5092" t="s">
        <v>10</v>
      </c>
      <c r="L1" s="5092" t="s">
        <v>11</v>
      </c>
      <c r="M1" s="5091" t="s">
        <v>12</v>
      </c>
      <c r="N1" s="5472" t="s">
        <v>13</v>
      </c>
      <c r="O1" s="5090" t="s">
        <v>14</v>
      </c>
      <c r="P1" s="5477" t="s">
        <v>15</v>
      </c>
      <c r="Q1" s="4681" t="s">
        <v>16</v>
      </c>
      <c r="R1" s="5095" t="s">
        <v>17</v>
      </c>
      <c r="S1" s="5477" t="s">
        <v>18</v>
      </c>
      <c r="T1" s="5096" t="s">
        <v>19</v>
      </c>
      <c r="U1" s="5095" t="s">
        <v>20</v>
      </c>
      <c r="V1" s="5095" t="s">
        <v>21</v>
      </c>
      <c r="W1" s="5095" t="s">
        <v>22</v>
      </c>
      <c r="X1" s="5097" t="s">
        <v>23</v>
      </c>
      <c r="Y1" s="5097" t="s">
        <v>24</v>
      </c>
      <c r="Z1" s="5097" t="s">
        <v>25</v>
      </c>
    </row>
    <row r="2" spans="1:26" s="106" customFormat="1">
      <c r="A2" s="228" t="s">
        <v>11898</v>
      </c>
      <c r="B2" s="4545" t="s">
        <v>11899</v>
      </c>
      <c r="C2" s="228" t="s">
        <v>200</v>
      </c>
      <c r="D2" s="2911">
        <v>45591</v>
      </c>
      <c r="E2" s="4076">
        <v>45597</v>
      </c>
      <c r="F2" s="228" t="s">
        <v>93</v>
      </c>
      <c r="G2" s="228" t="s">
        <v>11900</v>
      </c>
      <c r="H2" s="2645">
        <v>45601</v>
      </c>
      <c r="I2" s="4077">
        <v>0.45833333333333331</v>
      </c>
      <c r="J2" s="4546" t="s">
        <v>2452</v>
      </c>
      <c r="K2" s="1495" t="s">
        <v>11901</v>
      </c>
      <c r="L2" s="1495">
        <v>7097</v>
      </c>
      <c r="M2" s="2645">
        <v>45602</v>
      </c>
      <c r="N2" s="2645">
        <v>45600</v>
      </c>
      <c r="O2" s="2645">
        <v>45601</v>
      </c>
      <c r="P2" s="228" t="s">
        <v>11902</v>
      </c>
      <c r="Q2" s="4874" t="s">
        <v>9226</v>
      </c>
      <c r="R2" s="4874"/>
      <c r="S2" s="4874" t="s">
        <v>10279</v>
      </c>
      <c r="T2" s="4874"/>
      <c r="U2" s="4874"/>
      <c r="V2" s="4874"/>
      <c r="W2" s="4874"/>
      <c r="X2" s="4874"/>
      <c r="Y2" s="4874"/>
      <c r="Z2" s="4874"/>
    </row>
    <row r="3" spans="1:26" ht="39" customHeight="1">
      <c r="A3" s="4874" t="s">
        <v>11762</v>
      </c>
      <c r="B3" s="4874" t="s">
        <v>11903</v>
      </c>
      <c r="C3" s="4874" t="s">
        <v>28</v>
      </c>
      <c r="D3" s="5086">
        <v>45595</v>
      </c>
      <c r="E3" s="5086">
        <v>45595</v>
      </c>
      <c r="F3" s="4971" t="s">
        <v>11904</v>
      </c>
      <c r="G3" s="4971" t="s">
        <v>9008</v>
      </c>
      <c r="H3" s="5053">
        <v>45603</v>
      </c>
      <c r="I3" s="5887">
        <v>0.33333333333333331</v>
      </c>
      <c r="J3" s="4886" t="s">
        <v>11905</v>
      </c>
      <c r="K3" s="4886" t="s">
        <v>11906</v>
      </c>
      <c r="L3" s="4886"/>
      <c r="M3" s="5053">
        <v>45601</v>
      </c>
      <c r="N3" s="5053">
        <v>45601</v>
      </c>
      <c r="O3" s="5053">
        <v>45608</v>
      </c>
      <c r="P3" s="5049" t="s">
        <v>11907</v>
      </c>
      <c r="Q3" s="4874" t="s">
        <v>9226</v>
      </c>
      <c r="R3" s="4874"/>
      <c r="S3" s="4874" t="s">
        <v>10279</v>
      </c>
      <c r="T3" s="4971"/>
      <c r="U3" s="4971"/>
      <c r="V3" s="4971"/>
      <c r="W3" s="4971"/>
      <c r="X3" s="5888"/>
      <c r="Y3" s="4971"/>
      <c r="Z3" s="4971"/>
    </row>
    <row r="4" spans="1:26">
      <c r="A4" s="4861" t="s">
        <v>26</v>
      </c>
      <c r="B4" s="4886" t="s">
        <v>11908</v>
      </c>
      <c r="C4" s="4861" t="s">
        <v>28</v>
      </c>
      <c r="D4" s="4953">
        <v>45581</v>
      </c>
      <c r="E4" s="4885">
        <v>45597</v>
      </c>
      <c r="F4" s="4861" t="s">
        <v>45</v>
      </c>
      <c r="G4" s="4861" t="s">
        <v>46</v>
      </c>
      <c r="H4" s="4953">
        <v>45600</v>
      </c>
      <c r="I4" s="5889" t="s">
        <v>11909</v>
      </c>
      <c r="J4" s="4861" t="s">
        <v>32</v>
      </c>
      <c r="K4" s="4864" t="s">
        <v>9588</v>
      </c>
      <c r="L4" s="4861" t="s">
        <v>11910</v>
      </c>
      <c r="M4" s="4953">
        <v>45599</v>
      </c>
      <c r="N4" s="4953">
        <v>45599</v>
      </c>
      <c r="O4" s="4953">
        <v>45601</v>
      </c>
      <c r="P4" s="4971" t="s">
        <v>11911</v>
      </c>
      <c r="Q4" s="4971" t="s">
        <v>11794</v>
      </c>
      <c r="R4" s="4874"/>
      <c r="S4" s="4874" t="s">
        <v>10279</v>
      </c>
      <c r="T4" s="4874"/>
      <c r="U4" s="4874"/>
      <c r="V4" s="4874"/>
      <c r="W4" s="4874"/>
      <c r="X4" s="4874"/>
      <c r="Y4" s="4874"/>
      <c r="Z4" s="4874"/>
    </row>
    <row r="5" spans="1:26">
      <c r="A5" s="4861" t="s">
        <v>2489</v>
      </c>
      <c r="B5" s="4886" t="s">
        <v>11912</v>
      </c>
      <c r="C5" s="4861" t="s">
        <v>28</v>
      </c>
      <c r="D5" s="4953">
        <v>45578</v>
      </c>
      <c r="E5" s="4885">
        <v>45597</v>
      </c>
      <c r="F5" s="4861" t="s">
        <v>93</v>
      </c>
      <c r="G5" s="4861" t="s">
        <v>11913</v>
      </c>
      <c r="H5" s="4953">
        <v>45604</v>
      </c>
      <c r="I5" s="5889" t="s">
        <v>270</v>
      </c>
      <c r="J5" s="4861" t="s">
        <v>363</v>
      </c>
      <c r="K5" s="4890" t="s">
        <v>1105</v>
      </c>
      <c r="L5" s="4861">
        <v>1571</v>
      </c>
      <c r="M5" s="4953">
        <v>45604</v>
      </c>
      <c r="N5" s="4953">
        <v>45604</v>
      </c>
      <c r="O5" s="4953">
        <v>45607</v>
      </c>
      <c r="P5" s="4874" t="s">
        <v>11914</v>
      </c>
      <c r="Q5" s="4971" t="s">
        <v>11794</v>
      </c>
      <c r="R5" s="4874"/>
      <c r="S5" s="4874" t="s">
        <v>10279</v>
      </c>
      <c r="T5" s="4874"/>
      <c r="U5" s="4874"/>
      <c r="V5" s="4874"/>
      <c r="W5" s="4874"/>
      <c r="X5" s="4874"/>
      <c r="Y5" s="4874"/>
      <c r="Z5" s="4874"/>
    </row>
    <row r="6" spans="1:26">
      <c r="A6" s="4861" t="s">
        <v>2489</v>
      </c>
      <c r="B6" s="4886" t="s">
        <v>11915</v>
      </c>
      <c r="C6" s="4861" t="s">
        <v>28</v>
      </c>
      <c r="D6" s="4953">
        <v>45578</v>
      </c>
      <c r="E6" s="4885">
        <v>45597</v>
      </c>
      <c r="F6" s="4861" t="s">
        <v>93</v>
      </c>
      <c r="G6" s="4861" t="s">
        <v>11913</v>
      </c>
      <c r="H6" s="4953">
        <v>45604</v>
      </c>
      <c r="I6" s="5889" t="s">
        <v>270</v>
      </c>
      <c r="J6" s="4861" t="s">
        <v>363</v>
      </c>
      <c r="K6" s="4864" t="s">
        <v>1105</v>
      </c>
      <c r="L6" s="4861">
        <v>4971</v>
      </c>
      <c r="M6" s="4953">
        <v>45607</v>
      </c>
      <c r="N6" s="4953">
        <v>45604</v>
      </c>
      <c r="O6" s="4953">
        <v>45607</v>
      </c>
      <c r="P6" s="4874" t="s">
        <v>11916</v>
      </c>
      <c r="Q6" s="4971" t="s">
        <v>11794</v>
      </c>
      <c r="R6" s="4874"/>
      <c r="S6" s="4874" t="s">
        <v>10279</v>
      </c>
      <c r="T6" s="4874"/>
      <c r="U6" s="4874"/>
      <c r="V6" s="4874"/>
      <c r="W6" s="4874"/>
      <c r="X6" s="4874"/>
      <c r="Y6" s="4874"/>
      <c r="Z6" s="4874"/>
    </row>
    <row r="7" spans="1:26">
      <c r="A7" s="4874" t="s">
        <v>2489</v>
      </c>
      <c r="B7" s="4971" t="s">
        <v>11917</v>
      </c>
      <c r="C7" s="4874" t="s">
        <v>28</v>
      </c>
      <c r="D7" s="4975">
        <v>45580</v>
      </c>
      <c r="E7" s="5040">
        <v>45597</v>
      </c>
      <c r="F7" s="4874" t="s">
        <v>93</v>
      </c>
      <c r="G7" s="4971" t="s">
        <v>11918</v>
      </c>
      <c r="H7" s="4975">
        <v>45609</v>
      </c>
      <c r="I7" s="5890" t="s">
        <v>7098</v>
      </c>
      <c r="J7" s="5891" t="s">
        <v>363</v>
      </c>
      <c r="K7" s="5120" t="s">
        <v>7003</v>
      </c>
      <c r="L7" s="4874">
        <v>4892</v>
      </c>
      <c r="M7" s="4975">
        <v>45609</v>
      </c>
      <c r="N7" s="4975"/>
      <c r="O7" s="4975"/>
      <c r="P7" s="4874" t="s">
        <v>11919</v>
      </c>
      <c r="Q7" s="4971" t="s">
        <v>11794</v>
      </c>
      <c r="R7" s="4874"/>
      <c r="S7" s="4874" t="s">
        <v>10279</v>
      </c>
      <c r="T7" s="4874"/>
      <c r="U7" s="4874"/>
      <c r="V7" s="4874"/>
      <c r="W7" s="4874"/>
      <c r="X7" s="4874"/>
      <c r="Y7" s="4874"/>
      <c r="Z7" s="4874"/>
    </row>
    <row r="8" spans="1:26" s="1350" customFormat="1">
      <c r="A8" s="4886" t="s">
        <v>11762</v>
      </c>
      <c r="B8" s="4886" t="s">
        <v>11920</v>
      </c>
      <c r="C8" s="4861" t="s">
        <v>28</v>
      </c>
      <c r="D8" s="5053">
        <v>45588</v>
      </c>
      <c r="E8" s="4885">
        <v>45598</v>
      </c>
      <c r="F8" s="4861" t="s">
        <v>10309</v>
      </c>
      <c r="G8" s="4861" t="s">
        <v>11921</v>
      </c>
      <c r="H8" s="5053">
        <v>45601</v>
      </c>
      <c r="I8" s="5887">
        <v>0.33333333333333331</v>
      </c>
      <c r="J8" s="4861" t="s">
        <v>3010</v>
      </c>
      <c r="K8" s="4886" t="s">
        <v>7364</v>
      </c>
      <c r="L8" s="4886" t="s">
        <v>11922</v>
      </c>
      <c r="M8" s="5053">
        <v>45601</v>
      </c>
      <c r="N8" s="5053">
        <v>45600</v>
      </c>
      <c r="O8" s="5053">
        <v>45601</v>
      </c>
      <c r="P8" s="4886" t="s">
        <v>11923</v>
      </c>
      <c r="Q8" s="4861" t="s">
        <v>9226</v>
      </c>
      <c r="R8" s="4861" t="s">
        <v>11924</v>
      </c>
      <c r="S8" s="4861" t="s">
        <v>10279</v>
      </c>
      <c r="T8" s="5892">
        <v>1240</v>
      </c>
      <c r="U8" s="5892">
        <v>868.38</v>
      </c>
      <c r="V8" s="4886">
        <v>1</v>
      </c>
      <c r="W8" s="4886"/>
      <c r="X8" s="5819"/>
      <c r="Y8" s="4886"/>
      <c r="Z8" s="4886"/>
    </row>
    <row r="9" spans="1:26" ht="63">
      <c r="A9" s="5893" t="s">
        <v>11128</v>
      </c>
      <c r="B9" s="4971" t="s">
        <v>11925</v>
      </c>
      <c r="C9" s="4971" t="s">
        <v>200</v>
      </c>
      <c r="D9" s="5894">
        <v>45577</v>
      </c>
      <c r="E9" s="5479">
        <v>45599</v>
      </c>
      <c r="F9" s="4971" t="s">
        <v>245</v>
      </c>
      <c r="G9" s="4971" t="s">
        <v>11926</v>
      </c>
      <c r="H9" s="5053">
        <v>45601</v>
      </c>
      <c r="I9" s="5887">
        <v>0.33333333333333331</v>
      </c>
      <c r="J9" s="4886" t="s">
        <v>297</v>
      </c>
      <c r="K9" s="4886" t="s">
        <v>5744</v>
      </c>
      <c r="L9" s="6083">
        <v>4924</v>
      </c>
      <c r="M9" s="4889">
        <v>45601</v>
      </c>
      <c r="N9" s="5053">
        <v>45600</v>
      </c>
      <c r="O9" s="5053">
        <v>45601</v>
      </c>
      <c r="P9" s="5895" t="s">
        <v>11927</v>
      </c>
      <c r="Q9" s="5893" t="s">
        <v>9226</v>
      </c>
      <c r="R9" s="4971" t="s">
        <v>11928</v>
      </c>
      <c r="S9" s="5049" t="s">
        <v>67</v>
      </c>
      <c r="T9" s="4971"/>
      <c r="U9" s="4971"/>
      <c r="V9" s="4971"/>
      <c r="W9" s="4971"/>
      <c r="X9" s="5888"/>
      <c r="Y9" s="4971"/>
      <c r="Z9" s="4971"/>
    </row>
    <row r="10" spans="1:26" ht="30">
      <c r="A10" s="4874" t="s">
        <v>11929</v>
      </c>
      <c r="B10" s="4874" t="s">
        <v>11930</v>
      </c>
      <c r="C10" s="5283" t="s">
        <v>28</v>
      </c>
      <c r="D10" s="4975">
        <v>45585</v>
      </c>
      <c r="E10" s="5896">
        <v>45601</v>
      </c>
      <c r="F10" s="4874" t="s">
        <v>10309</v>
      </c>
      <c r="G10" s="5120" t="s">
        <v>11931</v>
      </c>
      <c r="H10" s="4953">
        <v>45601</v>
      </c>
      <c r="I10" s="5889">
        <v>0.39583333333333331</v>
      </c>
      <c r="J10" s="4861" t="s">
        <v>72</v>
      </c>
      <c r="K10" s="4861" t="s">
        <v>11932</v>
      </c>
      <c r="L10" s="4861">
        <v>139411</v>
      </c>
      <c r="M10" s="4953">
        <v>45601</v>
      </c>
      <c r="N10" s="4953">
        <v>45601</v>
      </c>
      <c r="O10" s="4953">
        <v>45601</v>
      </c>
      <c r="P10" s="5120" t="s">
        <v>11933</v>
      </c>
      <c r="Q10" s="4874" t="s">
        <v>9226</v>
      </c>
      <c r="R10" s="4874"/>
      <c r="S10" s="4874" t="s">
        <v>10279</v>
      </c>
      <c r="T10" s="4874"/>
      <c r="U10" s="4874"/>
      <c r="V10" s="4874"/>
      <c r="W10" s="4874"/>
      <c r="X10" s="4874"/>
      <c r="Y10" s="4874"/>
      <c r="Z10" s="4874"/>
    </row>
    <row r="11" spans="1:26">
      <c r="A11" s="5283" t="s">
        <v>1353</v>
      </c>
      <c r="B11" s="5283" t="s">
        <v>11934</v>
      </c>
      <c r="C11" s="5283" t="s">
        <v>200</v>
      </c>
      <c r="D11" s="5853"/>
      <c r="E11" s="5850">
        <v>45597</v>
      </c>
      <c r="F11" s="5283" t="s">
        <v>151</v>
      </c>
      <c r="G11" s="5283"/>
      <c r="H11" s="5631">
        <v>45597</v>
      </c>
      <c r="I11" s="5897" t="s">
        <v>11935</v>
      </c>
      <c r="J11" s="5283" t="s">
        <v>162</v>
      </c>
      <c r="K11" s="5283" t="s">
        <v>10688</v>
      </c>
      <c r="L11" s="5283"/>
      <c r="M11" s="5631"/>
      <c r="N11" s="5602">
        <v>45597</v>
      </c>
      <c r="O11" s="5283"/>
      <c r="P11" s="5283" t="s">
        <v>11892</v>
      </c>
      <c r="Q11" s="5283" t="s">
        <v>11887</v>
      </c>
      <c r="R11" s="5283"/>
      <c r="S11" s="5283"/>
      <c r="T11" s="5283"/>
      <c r="U11" s="5283"/>
      <c r="V11" s="5283"/>
      <c r="W11" s="5283"/>
      <c r="X11" s="5283"/>
      <c r="Y11" s="5283"/>
      <c r="Z11" s="5283"/>
    </row>
    <row r="12" spans="1:26">
      <c r="A12" s="5283" t="s">
        <v>1353</v>
      </c>
      <c r="B12" s="5283" t="s">
        <v>11936</v>
      </c>
      <c r="C12" s="5283" t="s">
        <v>200</v>
      </c>
      <c r="D12" s="5853"/>
      <c r="E12" s="5850">
        <v>45597</v>
      </c>
      <c r="F12" s="5283" t="s">
        <v>151</v>
      </c>
      <c r="G12" s="5283"/>
      <c r="H12" s="5631">
        <v>45597</v>
      </c>
      <c r="I12" s="5897" t="s">
        <v>11937</v>
      </c>
      <c r="J12" s="5283" t="s">
        <v>162</v>
      </c>
      <c r="K12" s="5283" t="s">
        <v>10688</v>
      </c>
      <c r="L12" s="5283"/>
      <c r="M12" s="5631"/>
      <c r="N12" s="5602">
        <v>45597</v>
      </c>
      <c r="O12" s="5283"/>
      <c r="P12" s="5283" t="s">
        <v>11892</v>
      </c>
      <c r="Q12" s="5283" t="s">
        <v>11887</v>
      </c>
      <c r="R12" s="5283"/>
      <c r="S12" s="5283"/>
      <c r="T12" s="5283"/>
      <c r="U12" s="5283"/>
      <c r="V12" s="5283"/>
      <c r="W12" s="5283"/>
      <c r="X12" s="5283"/>
      <c r="Y12" s="5283"/>
      <c r="Z12" s="5283"/>
    </row>
    <row r="13" spans="1:26">
      <c r="A13" s="5283" t="s">
        <v>1353</v>
      </c>
      <c r="B13" s="5283" t="s">
        <v>11938</v>
      </c>
      <c r="C13" s="5283" t="s">
        <v>200</v>
      </c>
      <c r="D13" s="5853"/>
      <c r="E13" s="5850">
        <v>45597</v>
      </c>
      <c r="F13" s="5283" t="s">
        <v>151</v>
      </c>
      <c r="G13" s="5283"/>
      <c r="H13" s="5631">
        <v>45597</v>
      </c>
      <c r="I13" s="5897"/>
      <c r="J13" s="5283" t="s">
        <v>162</v>
      </c>
      <c r="K13" s="5283" t="s">
        <v>10688</v>
      </c>
      <c r="L13" s="5283"/>
      <c r="M13" s="5631"/>
      <c r="N13" s="5602">
        <v>45597</v>
      </c>
      <c r="O13" s="5283"/>
      <c r="P13" s="5283" t="s">
        <v>11892</v>
      </c>
      <c r="Q13" s="5283" t="s">
        <v>11887</v>
      </c>
      <c r="R13" s="5283"/>
      <c r="S13" s="5283"/>
      <c r="T13" s="5283"/>
      <c r="U13" s="5283"/>
      <c r="V13" s="5283"/>
      <c r="W13" s="5283"/>
      <c r="X13" s="5283"/>
      <c r="Y13" s="5283"/>
      <c r="Z13" s="5283"/>
    </row>
    <row r="14" spans="1:26">
      <c r="A14" s="5283" t="s">
        <v>1353</v>
      </c>
      <c r="B14" s="5283" t="s">
        <v>11939</v>
      </c>
      <c r="C14" s="5283" t="s">
        <v>200</v>
      </c>
      <c r="D14" s="5853"/>
      <c r="E14" s="5850">
        <v>45597</v>
      </c>
      <c r="F14" s="5283" t="s">
        <v>151</v>
      </c>
      <c r="G14" s="5283"/>
      <c r="H14" s="5631">
        <v>45597</v>
      </c>
      <c r="I14" s="5897"/>
      <c r="J14" s="5283" t="s">
        <v>162</v>
      </c>
      <c r="K14" s="5283" t="s">
        <v>10688</v>
      </c>
      <c r="L14" s="5283"/>
      <c r="M14" s="5631"/>
      <c r="N14" s="5602">
        <v>45597</v>
      </c>
      <c r="O14" s="5283"/>
      <c r="P14" s="5283" t="s">
        <v>11892</v>
      </c>
      <c r="Q14" s="5283" t="s">
        <v>11887</v>
      </c>
      <c r="R14" s="5283"/>
      <c r="S14" s="5283"/>
      <c r="T14" s="5283"/>
      <c r="U14" s="5283"/>
      <c r="V14" s="5283"/>
      <c r="W14" s="5283"/>
      <c r="X14" s="5283"/>
      <c r="Y14" s="5283"/>
      <c r="Z14" s="5283"/>
    </row>
    <row r="15" spans="1:26">
      <c r="A15" s="5283" t="s">
        <v>1353</v>
      </c>
      <c r="B15" s="5283" t="s">
        <v>11940</v>
      </c>
      <c r="C15" s="5283" t="s">
        <v>200</v>
      </c>
      <c r="D15" s="5853"/>
      <c r="E15" s="5850">
        <v>45597</v>
      </c>
      <c r="F15" s="5283" t="s">
        <v>151</v>
      </c>
      <c r="G15" s="5283"/>
      <c r="H15" s="5631">
        <v>45597</v>
      </c>
      <c r="I15" s="5897" t="s">
        <v>11941</v>
      </c>
      <c r="J15" s="5283" t="s">
        <v>162</v>
      </c>
      <c r="K15" s="5283" t="s">
        <v>10688</v>
      </c>
      <c r="L15" s="5283"/>
      <c r="M15" s="5631"/>
      <c r="N15" s="5602">
        <v>45597</v>
      </c>
      <c r="O15" s="5283"/>
      <c r="P15" s="5283" t="s">
        <v>11892</v>
      </c>
      <c r="Q15" s="5283" t="s">
        <v>11887</v>
      </c>
      <c r="R15" s="5283"/>
      <c r="S15" s="5283"/>
      <c r="T15" s="5283"/>
      <c r="U15" s="5283"/>
      <c r="V15" s="5283"/>
      <c r="W15" s="5283"/>
      <c r="X15" s="5283"/>
      <c r="Y15" s="5283"/>
      <c r="Z15" s="5283"/>
    </row>
    <row r="16" spans="1:26">
      <c r="A16" s="5283" t="s">
        <v>1353</v>
      </c>
      <c r="B16" s="5283" t="s">
        <v>11942</v>
      </c>
      <c r="C16" s="5283" t="s">
        <v>200</v>
      </c>
      <c r="D16" s="5853"/>
      <c r="E16" s="5850">
        <v>45597</v>
      </c>
      <c r="F16" s="5283" t="s">
        <v>151</v>
      </c>
      <c r="G16" s="5283"/>
      <c r="H16" s="5631">
        <v>45597</v>
      </c>
      <c r="I16" s="5897" t="s">
        <v>11941</v>
      </c>
      <c r="J16" s="5283" t="s">
        <v>162</v>
      </c>
      <c r="K16" s="5283" t="s">
        <v>10688</v>
      </c>
      <c r="L16" s="5283"/>
      <c r="M16" s="5631"/>
      <c r="N16" s="5602">
        <v>45597</v>
      </c>
      <c r="O16" s="5283"/>
      <c r="P16" s="5283" t="s">
        <v>11892</v>
      </c>
      <c r="Q16" s="5283" t="s">
        <v>11887</v>
      </c>
      <c r="R16" s="5283"/>
      <c r="S16" s="5283"/>
      <c r="T16" s="5283"/>
      <c r="U16" s="5283"/>
      <c r="V16" s="5283"/>
      <c r="W16" s="5283"/>
      <c r="X16" s="5283"/>
      <c r="Y16" s="5283"/>
      <c r="Z16" s="5283"/>
    </row>
    <row r="17" spans="1:26" s="1350" customFormat="1" ht="30">
      <c r="A17" s="4861" t="s">
        <v>11943</v>
      </c>
      <c r="B17" s="4861" t="s">
        <v>11944</v>
      </c>
      <c r="C17" s="4861" t="s">
        <v>28</v>
      </c>
      <c r="D17" s="4953">
        <v>45590</v>
      </c>
      <c r="E17" s="5333">
        <v>45595</v>
      </c>
      <c r="F17" s="4861" t="s">
        <v>93</v>
      </c>
      <c r="G17" s="4861" t="s">
        <v>11945</v>
      </c>
      <c r="H17" s="5898" t="s">
        <v>11946</v>
      </c>
      <c r="I17" s="5899" t="s">
        <v>11947</v>
      </c>
      <c r="J17" s="4861" t="s">
        <v>11948</v>
      </c>
      <c r="K17" s="4861" t="s">
        <v>11949</v>
      </c>
      <c r="L17" s="4861" t="s">
        <v>11950</v>
      </c>
      <c r="M17" s="4953">
        <v>45597</v>
      </c>
      <c r="N17" s="4953">
        <v>45597</v>
      </c>
      <c r="O17" s="4953">
        <v>45602</v>
      </c>
      <c r="P17" s="6083" t="s">
        <v>11951</v>
      </c>
      <c r="Q17" s="4886" t="s">
        <v>9226</v>
      </c>
      <c r="R17" s="4861" t="s">
        <v>11952</v>
      </c>
      <c r="S17" s="4864" t="s">
        <v>11546</v>
      </c>
      <c r="T17" s="4861">
        <v>2940</v>
      </c>
      <c r="U17" s="4861">
        <v>2245</v>
      </c>
      <c r="V17" s="4861">
        <v>1</v>
      </c>
      <c r="W17" s="4861"/>
      <c r="X17" s="4861"/>
      <c r="Y17" s="4861"/>
      <c r="Z17" s="4861"/>
    </row>
    <row r="18" spans="1:26">
      <c r="A18" s="4892" t="s">
        <v>11953</v>
      </c>
      <c r="B18" s="4892" t="s">
        <v>11954</v>
      </c>
      <c r="C18" s="5283" t="s">
        <v>28</v>
      </c>
      <c r="D18" s="5523">
        <v>45566</v>
      </c>
      <c r="E18" s="5523">
        <v>45572</v>
      </c>
      <c r="F18" s="4892" t="s">
        <v>56</v>
      </c>
      <c r="G18" s="4892" t="s">
        <v>46</v>
      </c>
      <c r="H18" s="4892"/>
      <c r="I18" s="4892"/>
      <c r="J18" s="4892" t="s">
        <v>32</v>
      </c>
      <c r="K18" s="5283" t="s">
        <v>10688</v>
      </c>
      <c r="L18" s="4892"/>
      <c r="M18" s="4892"/>
      <c r="N18" s="4892"/>
      <c r="O18" s="4892"/>
      <c r="P18" s="4892" t="s">
        <v>11955</v>
      </c>
      <c r="Q18" s="4892" t="s">
        <v>6852</v>
      </c>
      <c r="R18" s="4892"/>
      <c r="S18" s="4892"/>
      <c r="T18" s="4892"/>
      <c r="U18" s="4892"/>
      <c r="V18" s="4892"/>
      <c r="W18" s="4892"/>
      <c r="X18" s="4892"/>
      <c r="Y18" s="4892"/>
      <c r="Z18" s="4892"/>
    </row>
    <row r="19" spans="1:26" ht="30">
      <c r="A19" s="4861" t="s">
        <v>26</v>
      </c>
      <c r="B19" s="4886" t="s">
        <v>11956</v>
      </c>
      <c r="C19" s="4861" t="s">
        <v>11395</v>
      </c>
      <c r="D19" s="4953">
        <v>45577</v>
      </c>
      <c r="E19" s="4885">
        <v>45597</v>
      </c>
      <c r="F19" s="4861" t="s">
        <v>167</v>
      </c>
      <c r="G19" s="4861" t="s">
        <v>46</v>
      </c>
      <c r="H19" s="4953">
        <v>45607</v>
      </c>
      <c r="I19" s="5889" t="s">
        <v>11957</v>
      </c>
      <c r="J19" s="4861" t="s">
        <v>32</v>
      </c>
      <c r="K19" s="4864" t="s">
        <v>11958</v>
      </c>
      <c r="L19" s="4861">
        <v>672091</v>
      </c>
      <c r="M19" s="4953">
        <v>45599</v>
      </c>
      <c r="N19" s="4953">
        <v>45598</v>
      </c>
      <c r="O19" s="4953">
        <v>45602</v>
      </c>
      <c r="P19" s="5900" t="s">
        <v>11959</v>
      </c>
      <c r="Q19" s="4971" t="s">
        <v>11794</v>
      </c>
      <c r="R19" s="4874"/>
      <c r="S19" s="4874" t="s">
        <v>11960</v>
      </c>
      <c r="T19" s="4874"/>
      <c r="U19" s="4874"/>
      <c r="V19" s="4874"/>
      <c r="W19" s="4874"/>
      <c r="X19" s="4874"/>
      <c r="Y19" s="4874"/>
      <c r="Z19" s="4874"/>
    </row>
    <row r="20" spans="1:26">
      <c r="A20" s="4892" t="s">
        <v>2618</v>
      </c>
      <c r="B20" s="4892" t="s">
        <v>11961</v>
      </c>
      <c r="C20" s="5283" t="s">
        <v>28</v>
      </c>
      <c r="D20" s="5523">
        <v>45597</v>
      </c>
      <c r="E20" s="5523">
        <v>45598</v>
      </c>
      <c r="F20" s="5283" t="s">
        <v>151</v>
      </c>
      <c r="G20" s="4892" t="s">
        <v>582</v>
      </c>
      <c r="H20" s="4913"/>
      <c r="I20" s="4913"/>
      <c r="J20" s="5622"/>
      <c r="K20" s="4913"/>
      <c r="L20" s="4913" t="s">
        <v>9917</v>
      </c>
      <c r="M20" s="5686">
        <v>45604</v>
      </c>
      <c r="N20" s="4892"/>
      <c r="O20" s="4892"/>
      <c r="P20" s="4892" t="s">
        <v>11962</v>
      </c>
      <c r="Q20" s="4892" t="s">
        <v>9226</v>
      </c>
      <c r="R20" s="4892" t="s">
        <v>11963</v>
      </c>
      <c r="S20" s="4892" t="s">
        <v>1320</v>
      </c>
      <c r="T20" s="4892"/>
      <c r="U20" s="4892"/>
      <c r="V20" s="4892"/>
      <c r="W20" s="4892"/>
      <c r="X20" s="4892"/>
      <c r="Y20" s="4892"/>
      <c r="Z20" s="4892"/>
    </row>
    <row r="21" spans="1:26">
      <c r="A21" s="4861" t="s">
        <v>26</v>
      </c>
      <c r="B21" s="4886" t="s">
        <v>11964</v>
      </c>
      <c r="C21" s="4861" t="s">
        <v>28</v>
      </c>
      <c r="D21" s="4953">
        <v>45581</v>
      </c>
      <c r="E21" s="4885">
        <v>45601</v>
      </c>
      <c r="F21" s="4861" t="s">
        <v>45</v>
      </c>
      <c r="G21" s="4861" t="s">
        <v>46</v>
      </c>
      <c r="H21" s="4953">
        <v>45604</v>
      </c>
      <c r="I21" s="5889" t="s">
        <v>926</v>
      </c>
      <c r="J21" s="4861" t="s">
        <v>32</v>
      </c>
      <c r="K21" s="4864" t="s">
        <v>9588</v>
      </c>
      <c r="L21" s="4861">
        <v>648030</v>
      </c>
      <c r="M21" s="4953">
        <v>45604</v>
      </c>
      <c r="N21" s="4953">
        <v>45604</v>
      </c>
      <c r="O21" s="4953">
        <v>45607</v>
      </c>
      <c r="P21" s="4874" t="s">
        <v>11965</v>
      </c>
      <c r="Q21" s="4971" t="s">
        <v>11794</v>
      </c>
      <c r="R21" s="4874"/>
      <c r="S21" s="4874" t="s">
        <v>10279</v>
      </c>
      <c r="T21" s="4874"/>
      <c r="U21" s="4874"/>
      <c r="V21" s="4874"/>
      <c r="W21" s="4874"/>
      <c r="X21" s="4874"/>
      <c r="Y21" s="4874"/>
      <c r="Z21" s="4874"/>
    </row>
    <row r="22" spans="1:26" s="1350" customFormat="1" ht="30">
      <c r="A22" s="4861" t="s">
        <v>3866</v>
      </c>
      <c r="B22" s="4861" t="s">
        <v>11966</v>
      </c>
      <c r="C22" s="4861" t="s">
        <v>28</v>
      </c>
      <c r="D22" s="4953">
        <v>45596</v>
      </c>
      <c r="E22" s="5053">
        <v>45600</v>
      </c>
      <c r="F22" s="4861" t="s">
        <v>9474</v>
      </c>
      <c r="G22" s="4886" t="s">
        <v>11743</v>
      </c>
      <c r="H22" s="5053">
        <v>45602</v>
      </c>
      <c r="I22" s="5901" t="s">
        <v>11967</v>
      </c>
      <c r="J22" s="4861" t="s">
        <v>11968</v>
      </c>
      <c r="K22" s="4890" t="s">
        <v>11969</v>
      </c>
      <c r="L22" s="5902">
        <v>1023</v>
      </c>
      <c r="M22" s="5406">
        <v>45601</v>
      </c>
      <c r="N22" s="4953">
        <v>45601</v>
      </c>
      <c r="O22" s="4953">
        <v>45603</v>
      </c>
      <c r="P22" s="4861" t="s">
        <v>11970</v>
      </c>
      <c r="Q22" s="4886" t="s">
        <v>11794</v>
      </c>
      <c r="R22" s="4861" t="s">
        <v>11971</v>
      </c>
      <c r="S22" s="4861" t="s">
        <v>10279</v>
      </c>
      <c r="T22" s="4861">
        <v>1110</v>
      </c>
      <c r="U22" s="4861">
        <v>935</v>
      </c>
      <c r="V22" s="4861"/>
      <c r="W22" s="4861"/>
      <c r="X22" s="4861"/>
      <c r="Y22" s="4861"/>
      <c r="Z22" s="4861"/>
    </row>
    <row r="23" spans="1:26">
      <c r="A23" s="4874" t="s">
        <v>263</v>
      </c>
      <c r="B23" s="4874" t="s">
        <v>11972</v>
      </c>
      <c r="C23" s="4874" t="s">
        <v>44</v>
      </c>
      <c r="D23" s="4975">
        <v>45600</v>
      </c>
      <c r="E23" s="4975">
        <v>45600</v>
      </c>
      <c r="F23" s="4874" t="s">
        <v>63</v>
      </c>
      <c r="G23" s="5120" t="s">
        <v>10388</v>
      </c>
      <c r="H23" s="4975"/>
      <c r="I23" s="5903"/>
      <c r="J23" s="4874" t="s">
        <v>377</v>
      </c>
      <c r="K23" s="4874" t="s">
        <v>10389</v>
      </c>
      <c r="L23" s="4971" t="s">
        <v>11973</v>
      </c>
      <c r="M23" s="4975">
        <v>45608</v>
      </c>
      <c r="N23" s="4975"/>
      <c r="O23" s="4975"/>
      <c r="P23" s="4874" t="s">
        <v>11974</v>
      </c>
      <c r="Q23" s="4874" t="s">
        <v>75</v>
      </c>
      <c r="R23" s="4874"/>
      <c r="S23" s="4874" t="s">
        <v>67</v>
      </c>
      <c r="T23" s="4874"/>
      <c r="U23" s="4874"/>
      <c r="V23" s="4874"/>
      <c r="W23" s="4874"/>
      <c r="X23" s="4874"/>
      <c r="Y23" s="4874"/>
      <c r="Z23" s="4874"/>
    </row>
    <row r="24" spans="1:26">
      <c r="A24" s="5283" t="s">
        <v>1353</v>
      </c>
      <c r="B24" s="5283" t="s">
        <v>11975</v>
      </c>
      <c r="C24" s="5283" t="s">
        <v>200</v>
      </c>
      <c r="D24" s="5853"/>
      <c r="E24" s="5850">
        <v>45600</v>
      </c>
      <c r="F24" s="5283" t="s">
        <v>151</v>
      </c>
      <c r="G24" s="5283"/>
      <c r="H24" s="5631">
        <v>45600</v>
      </c>
      <c r="I24" s="5897"/>
      <c r="J24" s="5283" t="s">
        <v>162</v>
      </c>
      <c r="K24" s="5283" t="s">
        <v>10688</v>
      </c>
      <c r="L24" s="5283"/>
      <c r="M24" s="5631"/>
      <c r="N24" s="5602">
        <v>45600</v>
      </c>
      <c r="O24" s="5283"/>
      <c r="P24" s="5283" t="s">
        <v>11976</v>
      </c>
      <c r="Q24" s="5283" t="s">
        <v>11887</v>
      </c>
      <c r="R24" s="5283"/>
      <c r="S24" s="5283"/>
      <c r="T24" s="5283"/>
      <c r="U24" s="5283"/>
      <c r="V24" s="5283"/>
      <c r="W24" s="5283"/>
      <c r="X24" s="5283"/>
      <c r="Y24" s="5283"/>
      <c r="Z24" s="5283"/>
    </row>
    <row r="25" spans="1:26">
      <c r="A25" s="5283" t="s">
        <v>1353</v>
      </c>
      <c r="B25" s="5283" t="s">
        <v>11977</v>
      </c>
      <c r="C25" s="5283" t="s">
        <v>200</v>
      </c>
      <c r="D25" s="5853"/>
      <c r="E25" s="5850">
        <v>45600</v>
      </c>
      <c r="F25" s="5283" t="s">
        <v>151</v>
      </c>
      <c r="G25" s="5283"/>
      <c r="H25" s="5631">
        <v>45600</v>
      </c>
      <c r="I25" s="5897"/>
      <c r="J25" s="5283" t="s">
        <v>162</v>
      </c>
      <c r="K25" s="5283" t="s">
        <v>10688</v>
      </c>
      <c r="L25" s="5283"/>
      <c r="M25" s="5631"/>
      <c r="N25" s="5602">
        <v>45600</v>
      </c>
      <c r="O25" s="5283"/>
      <c r="P25" s="5283" t="s">
        <v>11976</v>
      </c>
      <c r="Q25" s="5283" t="s">
        <v>11887</v>
      </c>
      <c r="R25" s="5283"/>
      <c r="S25" s="5283"/>
      <c r="T25" s="5283"/>
      <c r="U25" s="5283"/>
      <c r="V25" s="5283"/>
      <c r="W25" s="5283"/>
      <c r="X25" s="5283"/>
      <c r="Y25" s="5283"/>
      <c r="Z25" s="5283"/>
    </row>
    <row r="26" spans="1:26">
      <c r="A26" s="5283" t="s">
        <v>1353</v>
      </c>
      <c r="B26" s="5283" t="s">
        <v>11978</v>
      </c>
      <c r="C26" s="5283" t="s">
        <v>200</v>
      </c>
      <c r="D26" s="5853"/>
      <c r="E26" s="5850">
        <v>45600</v>
      </c>
      <c r="F26" s="5283" t="s">
        <v>151</v>
      </c>
      <c r="G26" s="5283"/>
      <c r="H26" s="5631">
        <v>45600</v>
      </c>
      <c r="I26" s="5897"/>
      <c r="J26" s="5283" t="s">
        <v>162</v>
      </c>
      <c r="K26" s="5283" t="s">
        <v>10688</v>
      </c>
      <c r="L26" s="5283"/>
      <c r="M26" s="5631"/>
      <c r="N26" s="5602">
        <v>45600</v>
      </c>
      <c r="O26" s="5283"/>
      <c r="P26" s="5283" t="s">
        <v>11892</v>
      </c>
      <c r="Q26" s="5283" t="s">
        <v>11887</v>
      </c>
      <c r="R26" s="5283"/>
      <c r="S26" s="5283"/>
      <c r="T26" s="5283"/>
      <c r="U26" s="5283"/>
      <c r="V26" s="5283"/>
      <c r="W26" s="5283"/>
      <c r="X26" s="5283"/>
      <c r="Y26" s="5283"/>
      <c r="Z26" s="5283"/>
    </row>
    <row r="27" spans="1:26">
      <c r="A27" s="5283" t="s">
        <v>1353</v>
      </c>
      <c r="B27" s="5283" t="s">
        <v>11979</v>
      </c>
      <c r="C27" s="5283" t="s">
        <v>200</v>
      </c>
      <c r="D27" s="5853"/>
      <c r="E27" s="5850">
        <v>45600</v>
      </c>
      <c r="F27" s="5283" t="s">
        <v>151</v>
      </c>
      <c r="G27" s="5283"/>
      <c r="H27" s="5631">
        <v>45600</v>
      </c>
      <c r="I27" s="5897"/>
      <c r="J27" s="5283" t="s">
        <v>162</v>
      </c>
      <c r="K27" s="5283" t="s">
        <v>10688</v>
      </c>
      <c r="L27" s="5283"/>
      <c r="M27" s="5631"/>
      <c r="N27" s="5602">
        <v>45600</v>
      </c>
      <c r="O27" s="5283"/>
      <c r="P27" s="5283" t="s">
        <v>11892</v>
      </c>
      <c r="Q27" s="5283" t="s">
        <v>11887</v>
      </c>
      <c r="R27" s="5283"/>
      <c r="S27" s="5283"/>
      <c r="T27" s="5283"/>
      <c r="U27" s="5283"/>
      <c r="V27" s="5283"/>
      <c r="W27" s="5283"/>
      <c r="X27" s="5283"/>
      <c r="Y27" s="5283"/>
      <c r="Z27" s="5283"/>
    </row>
    <row r="28" spans="1:26" ht="63">
      <c r="A28" s="5893" t="s">
        <v>11128</v>
      </c>
      <c r="B28" s="4971" t="s">
        <v>11980</v>
      </c>
      <c r="C28" s="4971" t="s">
        <v>200</v>
      </c>
      <c r="D28" s="5894">
        <v>45598</v>
      </c>
      <c r="E28" s="5479">
        <v>45597</v>
      </c>
      <c r="F28" s="4971" t="s">
        <v>167</v>
      </c>
      <c r="G28" s="5049" t="s">
        <v>11981</v>
      </c>
      <c r="H28" s="4889" t="s">
        <v>11982</v>
      </c>
      <c r="I28" s="5887">
        <v>0.375</v>
      </c>
      <c r="J28" s="4902" t="s">
        <v>10393</v>
      </c>
      <c r="K28" s="4886" t="s">
        <v>11983</v>
      </c>
      <c r="L28" s="5904" t="s">
        <v>11984</v>
      </c>
      <c r="M28" s="4889">
        <v>45603</v>
      </c>
      <c r="N28" s="5053">
        <v>45603</v>
      </c>
      <c r="O28" s="5053">
        <v>45604</v>
      </c>
      <c r="P28" s="5895" t="s">
        <v>11985</v>
      </c>
      <c r="Q28" s="5893" t="s">
        <v>9226</v>
      </c>
      <c r="R28" s="4971" t="s">
        <v>11928</v>
      </c>
      <c r="S28" s="5049" t="s">
        <v>67</v>
      </c>
      <c r="T28" s="4971"/>
      <c r="U28" s="4971"/>
      <c r="V28" s="4971"/>
      <c r="W28" s="4971"/>
      <c r="X28" s="5888"/>
      <c r="Y28" s="4971"/>
      <c r="Z28" s="4971"/>
    </row>
    <row r="29" spans="1:26">
      <c r="A29" s="5283" t="s">
        <v>11986</v>
      </c>
      <c r="B29" s="5283" t="s">
        <v>11987</v>
      </c>
      <c r="C29" s="5283" t="s">
        <v>28</v>
      </c>
      <c r="D29" s="5853">
        <v>45599</v>
      </c>
      <c r="E29" s="5853">
        <v>45601</v>
      </c>
      <c r="F29" s="5283" t="s">
        <v>45</v>
      </c>
      <c r="G29" s="5283" t="s">
        <v>11988</v>
      </c>
      <c r="H29" s="5283"/>
      <c r="I29" s="5897"/>
      <c r="J29" s="5283" t="s">
        <v>1914</v>
      </c>
      <c r="K29" s="5283" t="s">
        <v>11989</v>
      </c>
      <c r="L29" s="5283"/>
      <c r="M29" s="5283"/>
      <c r="N29" s="4874"/>
      <c r="O29" s="5283"/>
      <c r="P29" s="5283" t="s">
        <v>11990</v>
      </c>
      <c r="Q29" s="5283" t="s">
        <v>11887</v>
      </c>
      <c r="R29" s="5283"/>
      <c r="S29" s="5283"/>
      <c r="T29" s="5283"/>
      <c r="U29" s="5283"/>
      <c r="V29" s="5283"/>
      <c r="W29" s="5283"/>
      <c r="X29" s="5283"/>
      <c r="Y29" s="5283"/>
      <c r="Z29" s="5283"/>
    </row>
    <row r="30" spans="1:26">
      <c r="A30" s="4892" t="s">
        <v>2618</v>
      </c>
      <c r="B30" s="4892" t="s">
        <v>11991</v>
      </c>
      <c r="C30" s="5283" t="s">
        <v>200</v>
      </c>
      <c r="D30" s="5523">
        <v>45597</v>
      </c>
      <c r="E30" s="5523">
        <v>45598</v>
      </c>
      <c r="F30" s="5283" t="s">
        <v>151</v>
      </c>
      <c r="G30" s="4892" t="s">
        <v>582</v>
      </c>
      <c r="H30" s="4913"/>
      <c r="I30" s="4913"/>
      <c r="J30" s="5622"/>
      <c r="K30" s="4913"/>
      <c r="L30" s="4913" t="s">
        <v>9917</v>
      </c>
      <c r="M30" s="5686">
        <v>45604</v>
      </c>
      <c r="N30" s="4892"/>
      <c r="O30" s="4892"/>
      <c r="P30" s="4892" t="s">
        <v>11992</v>
      </c>
      <c r="Q30" s="4892" t="s">
        <v>9226</v>
      </c>
      <c r="R30" s="4892" t="s">
        <v>11993</v>
      </c>
      <c r="S30" s="4892" t="s">
        <v>1320</v>
      </c>
      <c r="T30" s="4892"/>
      <c r="U30" s="4892"/>
      <c r="V30" s="4892"/>
      <c r="W30" s="4892"/>
      <c r="X30" s="4892"/>
      <c r="Y30" s="4892"/>
      <c r="Z30" s="4892"/>
    </row>
    <row r="31" spans="1:26" ht="30">
      <c r="A31" s="4874" t="s">
        <v>9318</v>
      </c>
      <c r="B31" s="5067" t="s">
        <v>11994</v>
      </c>
      <c r="C31" s="4971" t="s">
        <v>28</v>
      </c>
      <c r="D31" s="5086">
        <v>45580</v>
      </c>
      <c r="E31" s="5443">
        <v>45599</v>
      </c>
      <c r="F31" s="4971" t="s">
        <v>151</v>
      </c>
      <c r="G31" s="4971" t="s">
        <v>4312</v>
      </c>
      <c r="H31" s="4953" t="s">
        <v>11995</v>
      </c>
      <c r="I31" s="5889" t="s">
        <v>11996</v>
      </c>
      <c r="J31" s="4886" t="s">
        <v>11997</v>
      </c>
      <c r="K31" s="4890" t="s">
        <v>11998</v>
      </c>
      <c r="L31" s="4861">
        <v>2726</v>
      </c>
      <c r="M31" s="5053">
        <v>45601</v>
      </c>
      <c r="N31" s="5053">
        <v>45602</v>
      </c>
      <c r="O31" s="5053">
        <v>45604</v>
      </c>
      <c r="P31" s="5120" t="s">
        <v>11999</v>
      </c>
      <c r="Q31" s="4971" t="s">
        <v>9226</v>
      </c>
      <c r="R31" s="4971"/>
      <c r="S31" s="5120" t="s">
        <v>11546</v>
      </c>
      <c r="T31" s="4971"/>
      <c r="U31" s="4971"/>
      <c r="V31" s="4971"/>
      <c r="W31" s="4971"/>
      <c r="X31" s="5888"/>
      <c r="Y31" s="4971"/>
      <c r="Z31" s="4971"/>
    </row>
    <row r="32" spans="1:26">
      <c r="A32" s="5283" t="s">
        <v>2489</v>
      </c>
      <c r="B32" s="5283" t="s">
        <v>12000</v>
      </c>
      <c r="C32" s="5283" t="s">
        <v>28</v>
      </c>
      <c r="D32" s="4975">
        <v>45597</v>
      </c>
      <c r="E32" s="5896">
        <v>45610</v>
      </c>
      <c r="F32" s="5283" t="s">
        <v>245</v>
      </c>
      <c r="G32" s="5283" t="s">
        <v>57</v>
      </c>
      <c r="H32" s="5390"/>
      <c r="I32" s="5897"/>
      <c r="J32" s="5283" t="s">
        <v>363</v>
      </c>
      <c r="K32" s="5283" t="s">
        <v>12001</v>
      </c>
      <c r="L32" s="5283"/>
      <c r="M32" s="5390"/>
      <c r="N32" s="4975"/>
      <c r="O32" s="5390"/>
      <c r="P32" s="5283" t="s">
        <v>12002</v>
      </c>
      <c r="Q32" s="5283" t="s">
        <v>11794</v>
      </c>
      <c r="R32" s="5283"/>
      <c r="S32" s="5283" t="s">
        <v>10279</v>
      </c>
      <c r="T32" s="5283"/>
      <c r="U32" s="5283"/>
      <c r="V32" s="5283"/>
      <c r="W32" s="5283"/>
      <c r="X32" s="5283"/>
      <c r="Y32" s="5283"/>
      <c r="Z32" s="5283"/>
    </row>
    <row r="33" spans="1:26">
      <c r="A33" s="5283" t="s">
        <v>10764</v>
      </c>
      <c r="B33" s="5905" t="s">
        <v>12003</v>
      </c>
      <c r="C33" s="5283" t="s">
        <v>28</v>
      </c>
      <c r="D33" s="5523">
        <v>45595</v>
      </c>
      <c r="E33" s="5906">
        <v>45610</v>
      </c>
      <c r="F33" s="4892" t="s">
        <v>135</v>
      </c>
      <c r="G33" s="4892" t="s">
        <v>57</v>
      </c>
      <c r="H33" s="4892"/>
      <c r="I33" s="4892"/>
      <c r="J33" s="4892" t="s">
        <v>32</v>
      </c>
      <c r="K33" s="5283" t="s">
        <v>10688</v>
      </c>
      <c r="L33" s="4892"/>
      <c r="M33" s="5523"/>
      <c r="N33" s="4892"/>
      <c r="O33" s="4892"/>
      <c r="P33" s="4892" t="s">
        <v>12004</v>
      </c>
      <c r="Q33" s="5283" t="s">
        <v>6852</v>
      </c>
      <c r="R33" s="4892"/>
      <c r="S33" s="4892"/>
      <c r="T33" s="4892"/>
      <c r="U33" s="4892"/>
      <c r="V33" s="4892"/>
      <c r="W33" s="4892"/>
      <c r="X33" s="5381"/>
      <c r="Y33" s="4892"/>
      <c r="Z33" s="4892"/>
    </row>
    <row r="34" spans="1:26">
      <c r="A34" s="4874" t="s">
        <v>263</v>
      </c>
      <c r="B34" s="4971" t="s">
        <v>12005</v>
      </c>
      <c r="C34" s="4874">
        <v>45602</v>
      </c>
      <c r="D34" s="4975">
        <v>45602</v>
      </c>
      <c r="E34" s="4975">
        <v>45602</v>
      </c>
      <c r="F34" s="4874" t="s">
        <v>11375</v>
      </c>
      <c r="G34" s="5120" t="s">
        <v>3915</v>
      </c>
      <c r="H34" s="4975"/>
      <c r="I34" s="5890"/>
      <c r="J34" s="4874" t="s">
        <v>859</v>
      </c>
      <c r="K34" s="4971" t="s">
        <v>12006</v>
      </c>
      <c r="L34" s="4971" t="s">
        <v>12007</v>
      </c>
      <c r="M34" s="4975"/>
      <c r="N34" s="4975"/>
      <c r="O34" s="4975"/>
      <c r="P34" s="4971" t="s">
        <v>12008</v>
      </c>
      <c r="Q34" s="5480" t="s">
        <v>75</v>
      </c>
      <c r="R34" s="4874"/>
      <c r="S34" s="5120" t="s">
        <v>67</v>
      </c>
      <c r="T34" s="4874"/>
      <c r="U34" s="4874"/>
      <c r="V34" s="4874"/>
      <c r="W34" s="4874"/>
      <c r="X34" s="4874"/>
      <c r="Y34" s="4874"/>
      <c r="Z34" s="4874"/>
    </row>
    <row r="35" spans="1:26" ht="30">
      <c r="A35" s="4874" t="s">
        <v>263</v>
      </c>
      <c r="B35" s="4874" t="s">
        <v>12009</v>
      </c>
      <c r="C35" s="4874" t="s">
        <v>44</v>
      </c>
      <c r="D35" s="4975">
        <v>45602</v>
      </c>
      <c r="E35" s="4975">
        <v>45602</v>
      </c>
      <c r="F35" s="4874" t="s">
        <v>151</v>
      </c>
      <c r="G35" s="5120" t="s">
        <v>12010</v>
      </c>
      <c r="H35" s="4975"/>
      <c r="I35" s="5890"/>
      <c r="J35" s="4874" t="s">
        <v>12011</v>
      </c>
      <c r="K35" s="4971" t="s">
        <v>9364</v>
      </c>
      <c r="L35" s="4971" t="s">
        <v>12012</v>
      </c>
      <c r="M35" s="4975"/>
      <c r="N35" s="4975"/>
      <c r="O35" s="4975"/>
      <c r="P35" s="4971" t="s">
        <v>12013</v>
      </c>
      <c r="Q35" s="4874" t="s">
        <v>75</v>
      </c>
      <c r="R35" s="4874"/>
      <c r="S35" s="4874" t="s">
        <v>67</v>
      </c>
      <c r="T35" s="4874"/>
      <c r="U35" s="4874"/>
      <c r="V35" s="4874"/>
      <c r="W35" s="4874"/>
      <c r="X35" s="4874"/>
      <c r="Y35" s="4874"/>
      <c r="Z35" s="4874"/>
    </row>
    <row r="36" spans="1:26">
      <c r="A36" s="3075" t="s">
        <v>263</v>
      </c>
      <c r="B36" s="3075" t="s">
        <v>12014</v>
      </c>
      <c r="C36" s="3075" t="s">
        <v>44</v>
      </c>
      <c r="D36" s="3069">
        <v>45602</v>
      </c>
      <c r="E36" s="3069">
        <v>45602</v>
      </c>
      <c r="F36" s="3075" t="s">
        <v>135</v>
      </c>
      <c r="G36" s="3075" t="s">
        <v>12015</v>
      </c>
      <c r="H36" s="3069"/>
      <c r="I36" s="4038"/>
      <c r="J36" s="4217" t="s">
        <v>377</v>
      </c>
      <c r="K36" s="3075" t="s">
        <v>12016</v>
      </c>
      <c r="L36" s="4217" t="s">
        <v>12017</v>
      </c>
      <c r="M36" s="3069"/>
      <c r="N36" s="3069"/>
      <c r="O36" s="3069"/>
      <c r="P36" s="4217" t="s">
        <v>12018</v>
      </c>
      <c r="Q36" s="4874" t="s">
        <v>75</v>
      </c>
      <c r="R36" s="4874"/>
      <c r="S36" s="4874" t="s">
        <v>67</v>
      </c>
      <c r="T36" s="4874"/>
      <c r="U36" s="4874"/>
      <c r="V36" s="4874"/>
      <c r="W36" s="4874"/>
      <c r="X36" s="4874"/>
      <c r="Y36" s="4874"/>
      <c r="Z36" s="4874"/>
    </row>
    <row r="37" spans="1:26" s="106" customFormat="1" ht="75">
      <c r="A37" s="5375" t="s">
        <v>622</v>
      </c>
      <c r="B37" s="4951" t="s">
        <v>12019</v>
      </c>
      <c r="C37" s="4845" t="s">
        <v>28</v>
      </c>
      <c r="D37" s="4906">
        <v>45585</v>
      </c>
      <c r="E37" s="4916">
        <v>45602</v>
      </c>
      <c r="F37" s="4845" t="s">
        <v>151</v>
      </c>
      <c r="G37" s="4845" t="s">
        <v>302</v>
      </c>
      <c r="H37" s="5907">
        <v>45604</v>
      </c>
      <c r="I37" s="5908" t="s">
        <v>926</v>
      </c>
      <c r="J37" s="5375" t="s">
        <v>4896</v>
      </c>
      <c r="K37" s="4915" t="s">
        <v>1445</v>
      </c>
      <c r="L37" s="4977" t="s">
        <v>12020</v>
      </c>
      <c r="M37" s="5909">
        <v>45605</v>
      </c>
      <c r="N37" s="4906">
        <v>45603</v>
      </c>
      <c r="O37" s="4975">
        <v>45604</v>
      </c>
      <c r="P37" s="5049" t="s">
        <v>12021</v>
      </c>
      <c r="Q37" s="4682" t="s">
        <v>75</v>
      </c>
      <c r="R37" s="4874" t="s">
        <v>12022</v>
      </c>
      <c r="S37" s="5120" t="s">
        <v>67</v>
      </c>
      <c r="T37" s="4874"/>
      <c r="U37" s="4874"/>
      <c r="V37" s="4874"/>
      <c r="W37" s="4874"/>
      <c r="X37" s="4874"/>
      <c r="Y37" s="4874"/>
      <c r="Z37" s="4874"/>
    </row>
    <row r="38" spans="1:26">
      <c r="A38" s="1495" t="s">
        <v>2489</v>
      </c>
      <c r="B38" s="4471" t="s">
        <v>12023</v>
      </c>
      <c r="C38" s="4728" t="s">
        <v>28</v>
      </c>
      <c r="D38" s="2645">
        <v>45598</v>
      </c>
      <c r="E38" s="4729">
        <v>45598</v>
      </c>
      <c r="F38" s="4728" t="s">
        <v>260</v>
      </c>
      <c r="G38" s="4728" t="s">
        <v>12024</v>
      </c>
      <c r="H38" s="2645">
        <v>45604</v>
      </c>
      <c r="I38" s="4730" t="s">
        <v>12025</v>
      </c>
      <c r="J38" s="2908" t="s">
        <v>673</v>
      </c>
      <c r="K38" s="2908" t="s">
        <v>6857</v>
      </c>
      <c r="L38" s="1393"/>
      <c r="M38" s="2909">
        <v>45603</v>
      </c>
      <c r="N38" s="4078">
        <v>45603</v>
      </c>
      <c r="O38" s="2909">
        <v>45608</v>
      </c>
      <c r="P38" s="4487" t="s">
        <v>12026</v>
      </c>
      <c r="Q38" s="5283" t="s">
        <v>11794</v>
      </c>
      <c r="R38" s="5283"/>
      <c r="S38" s="5283" t="s">
        <v>10279</v>
      </c>
      <c r="T38" s="5283"/>
      <c r="U38" s="5283"/>
      <c r="V38" s="5283"/>
      <c r="W38" s="5283"/>
      <c r="X38" s="5283"/>
      <c r="Y38" s="5283"/>
      <c r="Z38" s="5283"/>
    </row>
    <row r="39" spans="1:26">
      <c r="A39" s="4892" t="s">
        <v>3866</v>
      </c>
      <c r="B39" s="5910" t="s">
        <v>12027</v>
      </c>
      <c r="C39" s="4892" t="s">
        <v>28</v>
      </c>
      <c r="D39" s="5523">
        <v>45585</v>
      </c>
      <c r="E39" s="5911">
        <v>45602</v>
      </c>
      <c r="F39" s="4892" t="s">
        <v>45</v>
      </c>
      <c r="G39" s="4892" t="s">
        <v>46</v>
      </c>
      <c r="H39" s="4892"/>
      <c r="I39" s="4892"/>
      <c r="J39" s="4892" t="s">
        <v>32</v>
      </c>
      <c r="K39" s="5283" t="s">
        <v>10688</v>
      </c>
      <c r="L39" s="4892" t="s">
        <v>12028</v>
      </c>
      <c r="M39" s="5686">
        <v>45602</v>
      </c>
      <c r="N39" s="5686">
        <v>45601</v>
      </c>
      <c r="O39" s="5686">
        <v>45604</v>
      </c>
      <c r="P39" s="4892" t="s">
        <v>12029</v>
      </c>
      <c r="Q39" s="4892" t="s">
        <v>6852</v>
      </c>
      <c r="R39" s="4892"/>
      <c r="S39" s="4892"/>
      <c r="T39" s="4892"/>
      <c r="U39" s="4892"/>
      <c r="V39" s="4892"/>
      <c r="W39" s="4892"/>
      <c r="X39" s="4892"/>
      <c r="Y39" s="4892"/>
      <c r="Z39" s="4892"/>
    </row>
    <row r="40" spans="1:26">
      <c r="A40" s="5283" t="s">
        <v>10764</v>
      </c>
      <c r="B40" s="5881" t="s">
        <v>12030</v>
      </c>
      <c r="C40" s="5283" t="s">
        <v>28</v>
      </c>
      <c r="D40" s="5523">
        <v>45591</v>
      </c>
      <c r="E40" s="5911">
        <v>45604</v>
      </c>
      <c r="F40" s="4892" t="s">
        <v>260</v>
      </c>
      <c r="G40" s="4892" t="s">
        <v>46</v>
      </c>
      <c r="H40" s="4892"/>
      <c r="I40" s="4892"/>
      <c r="J40" s="4892" t="s">
        <v>32</v>
      </c>
      <c r="K40" s="5283" t="s">
        <v>10688</v>
      </c>
      <c r="L40" s="4892" t="s">
        <v>12031</v>
      </c>
      <c r="M40" s="5523">
        <v>45603</v>
      </c>
      <c r="N40" s="5686">
        <v>45602</v>
      </c>
      <c r="O40" s="5686">
        <v>45606</v>
      </c>
      <c r="P40" s="4892" t="s">
        <v>12032</v>
      </c>
      <c r="Q40" s="5283" t="s">
        <v>6852</v>
      </c>
      <c r="R40" s="4892"/>
      <c r="S40" s="4892"/>
      <c r="T40" s="4892"/>
      <c r="U40" s="4892"/>
      <c r="V40" s="4892"/>
      <c r="W40" s="4892"/>
      <c r="X40" s="4892"/>
      <c r="Y40" s="4892"/>
      <c r="Z40" s="4892"/>
    </row>
    <row r="41" spans="1:26">
      <c r="A41" s="5283" t="s">
        <v>409</v>
      </c>
      <c r="B41" s="5912" t="s">
        <v>12033</v>
      </c>
      <c r="C41" s="5283" t="s">
        <v>28</v>
      </c>
      <c r="D41" s="5523">
        <v>45584</v>
      </c>
      <c r="E41" s="4062">
        <v>45604</v>
      </c>
      <c r="F41" s="5283" t="s">
        <v>151</v>
      </c>
      <c r="G41" s="5283" t="s">
        <v>46</v>
      </c>
      <c r="H41" s="4892"/>
      <c r="I41" s="4892"/>
      <c r="J41" s="4892" t="s">
        <v>32</v>
      </c>
      <c r="K41" s="5283" t="s">
        <v>10688</v>
      </c>
      <c r="L41" s="4892" t="s">
        <v>12034</v>
      </c>
      <c r="M41" s="5523">
        <v>45605</v>
      </c>
      <c r="N41" s="5686">
        <v>45603</v>
      </c>
      <c r="O41" s="5686">
        <v>45606</v>
      </c>
      <c r="P41" s="4892" t="s">
        <v>12035</v>
      </c>
      <c r="Q41" s="5283" t="s">
        <v>6852</v>
      </c>
      <c r="R41" s="4892"/>
      <c r="S41" s="4892"/>
      <c r="T41" s="4892"/>
      <c r="U41" s="4892"/>
      <c r="V41" s="4892"/>
      <c r="W41" s="4892"/>
      <c r="X41" s="4892"/>
      <c r="Y41" s="4892"/>
      <c r="Z41" s="4892"/>
    </row>
    <row r="42" spans="1:26" ht="15.75">
      <c r="A42" s="5283" t="s">
        <v>10764</v>
      </c>
      <c r="B42" s="5912" t="s">
        <v>12036</v>
      </c>
      <c r="C42" s="5283" t="s">
        <v>28</v>
      </c>
      <c r="D42" s="5523">
        <v>45556</v>
      </c>
      <c r="E42" s="5911">
        <v>45605</v>
      </c>
      <c r="F42" s="5283" t="s">
        <v>151</v>
      </c>
      <c r="G42" s="5283" t="s">
        <v>46</v>
      </c>
      <c r="H42" s="4892"/>
      <c r="I42" s="4892"/>
      <c r="J42" s="4892" t="s">
        <v>32</v>
      </c>
      <c r="K42" s="5283" t="s">
        <v>10688</v>
      </c>
      <c r="L42" s="5913" t="s">
        <v>12037</v>
      </c>
      <c r="M42" s="5523">
        <v>45605</v>
      </c>
      <c r="N42" s="5686">
        <v>45603</v>
      </c>
      <c r="O42" s="5686">
        <v>45604</v>
      </c>
      <c r="P42" s="4892" t="s">
        <v>12038</v>
      </c>
      <c r="Q42" s="5283" t="s">
        <v>6852</v>
      </c>
      <c r="R42" s="4892"/>
      <c r="S42" s="4892"/>
      <c r="T42" s="4892"/>
      <c r="U42" s="4892"/>
      <c r="V42" s="4892"/>
      <c r="W42" s="4892"/>
      <c r="X42" s="4892"/>
      <c r="Y42" s="4892"/>
      <c r="Z42" s="4892"/>
    </row>
    <row r="43" spans="1:26">
      <c r="A43" s="5283" t="s">
        <v>409</v>
      </c>
      <c r="B43" s="5912" t="s">
        <v>12039</v>
      </c>
      <c r="C43" s="4892" t="s">
        <v>28</v>
      </c>
      <c r="D43" s="5523">
        <v>45589</v>
      </c>
      <c r="E43" s="4023">
        <v>45605</v>
      </c>
      <c r="F43" s="5283" t="s">
        <v>151</v>
      </c>
      <c r="G43" s="5283" t="s">
        <v>46</v>
      </c>
      <c r="H43" s="4892"/>
      <c r="I43" s="5827" t="s">
        <v>12040</v>
      </c>
      <c r="J43" s="4892" t="s">
        <v>32</v>
      </c>
      <c r="K43" s="5283" t="s">
        <v>10688</v>
      </c>
      <c r="L43" s="5914" t="s">
        <v>12041</v>
      </c>
      <c r="M43" s="5523">
        <v>45605</v>
      </c>
      <c r="N43" s="5686">
        <v>45603</v>
      </c>
      <c r="O43" s="5686">
        <v>45605</v>
      </c>
      <c r="P43" s="4892" t="s">
        <v>12042</v>
      </c>
      <c r="Q43" s="5283" t="s">
        <v>6852</v>
      </c>
      <c r="R43" s="4892"/>
      <c r="S43" s="4892"/>
      <c r="T43" s="4892"/>
      <c r="U43" s="4892"/>
      <c r="V43" s="4892"/>
      <c r="W43" s="4892"/>
      <c r="X43" s="5381"/>
      <c r="Y43" s="4892"/>
      <c r="Z43" s="4892"/>
    </row>
    <row r="44" spans="1:26">
      <c r="A44" s="5283" t="s">
        <v>409</v>
      </c>
      <c r="B44" s="5912" t="s">
        <v>12043</v>
      </c>
      <c r="C44" s="4892" t="s">
        <v>28</v>
      </c>
      <c r="D44" s="5523">
        <v>45589</v>
      </c>
      <c r="E44" s="5906">
        <v>45605</v>
      </c>
      <c r="F44" s="4892" t="s">
        <v>151</v>
      </c>
      <c r="G44" s="4892" t="s">
        <v>46</v>
      </c>
      <c r="H44" s="4892"/>
      <c r="I44" s="4892"/>
      <c r="J44" s="4892" t="s">
        <v>32</v>
      </c>
      <c r="K44" s="5283" t="s">
        <v>10688</v>
      </c>
      <c r="L44" s="4892" t="s">
        <v>12044</v>
      </c>
      <c r="M44" s="5686">
        <v>45605</v>
      </c>
      <c r="N44" s="5686">
        <v>45604</v>
      </c>
      <c r="O44" s="5686">
        <v>45608</v>
      </c>
      <c r="P44" s="4892" t="s">
        <v>12045</v>
      </c>
      <c r="Q44" s="4892" t="s">
        <v>6852</v>
      </c>
      <c r="R44" s="4892"/>
      <c r="S44" s="4892"/>
      <c r="T44" s="4892"/>
      <c r="U44" s="4892"/>
      <c r="V44" s="4892"/>
      <c r="W44" s="4892"/>
      <c r="X44" s="4892"/>
      <c r="Y44" s="4892"/>
      <c r="Z44" s="4892"/>
    </row>
    <row r="45" spans="1:26">
      <c r="A45" s="4874" t="s">
        <v>11762</v>
      </c>
      <c r="B45" s="5915" t="s">
        <v>12046</v>
      </c>
      <c r="C45" s="4874" t="s">
        <v>28</v>
      </c>
      <c r="D45" s="5086">
        <v>45605</v>
      </c>
      <c r="E45" s="5086">
        <v>45605</v>
      </c>
      <c r="F45" s="4971" t="s">
        <v>12047</v>
      </c>
      <c r="G45" s="4971" t="s">
        <v>12048</v>
      </c>
      <c r="H45" s="5040" t="s">
        <v>12049</v>
      </c>
      <c r="I45" s="5916"/>
      <c r="J45" s="5891" t="s">
        <v>72</v>
      </c>
      <c r="K45" s="4971" t="s">
        <v>11906</v>
      </c>
      <c r="L45" s="4971"/>
      <c r="M45" s="5086">
        <v>45610</v>
      </c>
      <c r="N45" s="5086"/>
      <c r="O45" s="5086"/>
      <c r="P45" s="4971" t="s">
        <v>12050</v>
      </c>
      <c r="Q45" s="4874" t="s">
        <v>9226</v>
      </c>
      <c r="R45" s="4874"/>
      <c r="S45" s="4874" t="s">
        <v>10279</v>
      </c>
      <c r="T45" s="4971"/>
      <c r="U45" s="4971"/>
      <c r="V45" s="4971"/>
      <c r="W45" s="4971"/>
      <c r="X45" s="5888"/>
      <c r="Y45" s="4971"/>
      <c r="Z45" s="4971"/>
    </row>
    <row r="46" spans="1:26">
      <c r="A46" s="4874" t="s">
        <v>11762</v>
      </c>
      <c r="B46" s="4971" t="s">
        <v>12051</v>
      </c>
      <c r="C46" s="4874" t="s">
        <v>28</v>
      </c>
      <c r="D46" s="5086">
        <v>45591</v>
      </c>
      <c r="E46" s="5040">
        <v>45604</v>
      </c>
      <c r="F46" s="4971" t="s">
        <v>93</v>
      </c>
      <c r="G46" s="4874" t="s">
        <v>11921</v>
      </c>
      <c r="H46" s="5086">
        <v>45609</v>
      </c>
      <c r="I46" s="5916">
        <v>0.33333333333333331</v>
      </c>
      <c r="J46" s="4861" t="s">
        <v>3010</v>
      </c>
      <c r="K46" s="4861" t="s">
        <v>7364</v>
      </c>
      <c r="L46" s="4886" t="s">
        <v>12052</v>
      </c>
      <c r="M46" s="5053">
        <v>45606</v>
      </c>
      <c r="N46" s="5053">
        <v>45606</v>
      </c>
      <c r="O46" s="5086"/>
      <c r="P46" s="4971" t="s">
        <v>12053</v>
      </c>
      <c r="Q46" s="4874" t="s">
        <v>9226</v>
      </c>
      <c r="R46" s="4874"/>
      <c r="S46" s="4874" t="s">
        <v>10279</v>
      </c>
      <c r="T46" s="4971"/>
      <c r="U46" s="4971"/>
      <c r="V46" s="4971"/>
      <c r="W46" s="4971"/>
      <c r="X46" s="5888"/>
      <c r="Y46" s="4971"/>
      <c r="Z46" s="4971"/>
    </row>
    <row r="47" spans="1:26">
      <c r="A47" s="4971" t="s">
        <v>11762</v>
      </c>
      <c r="B47" s="4971" t="s">
        <v>12054</v>
      </c>
      <c r="C47" s="4874" t="s">
        <v>28</v>
      </c>
      <c r="D47" s="5086">
        <v>45583</v>
      </c>
      <c r="E47" s="5040">
        <v>45606</v>
      </c>
      <c r="F47" s="4971" t="s">
        <v>167</v>
      </c>
      <c r="G47" s="4971" t="s">
        <v>12055</v>
      </c>
      <c r="H47" s="5086">
        <v>45608</v>
      </c>
      <c r="I47" s="5887">
        <v>0.33333333333333331</v>
      </c>
      <c r="J47" s="4886" t="s">
        <v>673</v>
      </c>
      <c r="K47" s="4886" t="s">
        <v>12056</v>
      </c>
      <c r="L47" s="4886" t="s">
        <v>12057</v>
      </c>
      <c r="M47" s="5053">
        <v>45607</v>
      </c>
      <c r="N47" s="5053">
        <v>45607</v>
      </c>
      <c r="O47" s="5086"/>
      <c r="P47" s="4971" t="s">
        <v>12058</v>
      </c>
      <c r="Q47" s="4971" t="s">
        <v>9226</v>
      </c>
      <c r="R47" s="4971"/>
      <c r="S47" s="4971" t="s">
        <v>10279</v>
      </c>
      <c r="T47" s="4971"/>
      <c r="U47" s="4971"/>
      <c r="V47" s="4971"/>
      <c r="W47" s="4971"/>
      <c r="X47" s="5888"/>
      <c r="Y47" s="4971"/>
      <c r="Z47" s="4971"/>
    </row>
    <row r="48" spans="1:26">
      <c r="A48" s="4874" t="s">
        <v>2618</v>
      </c>
      <c r="B48" s="4874" t="s">
        <v>12059</v>
      </c>
      <c r="C48" s="4874" t="s">
        <v>200</v>
      </c>
      <c r="D48" s="4975">
        <v>45614</v>
      </c>
      <c r="E48" s="4975">
        <v>45614</v>
      </c>
      <c r="F48" s="4874" t="s">
        <v>260</v>
      </c>
      <c r="G48" s="4874" t="s">
        <v>11063</v>
      </c>
      <c r="H48" s="4953"/>
      <c r="I48" s="5889"/>
      <c r="J48" s="4861"/>
      <c r="K48" s="4861"/>
      <c r="L48" s="4861" t="s">
        <v>9917</v>
      </c>
      <c r="M48" s="4975"/>
      <c r="N48" s="4975"/>
      <c r="O48" s="4975"/>
      <c r="P48" s="4874" t="s">
        <v>12060</v>
      </c>
      <c r="Q48" s="4874" t="s">
        <v>9226</v>
      </c>
      <c r="R48" s="4874" t="s">
        <v>12061</v>
      </c>
      <c r="S48" s="4874" t="s">
        <v>1320</v>
      </c>
      <c r="T48" s="4874"/>
      <c r="U48" s="4874"/>
      <c r="V48" s="4874"/>
      <c r="W48" s="4874"/>
      <c r="X48" s="4874"/>
      <c r="Y48" s="4874"/>
      <c r="Z48" s="4874"/>
    </row>
    <row r="49" spans="1:26">
      <c r="A49" s="4892" t="s">
        <v>3866</v>
      </c>
      <c r="B49" s="5912" t="s">
        <v>12062</v>
      </c>
      <c r="C49" s="5173" t="s">
        <v>28</v>
      </c>
      <c r="D49" s="5523">
        <v>45583</v>
      </c>
      <c r="E49" s="5906">
        <v>45605</v>
      </c>
      <c r="F49" s="4892" t="s">
        <v>45</v>
      </c>
      <c r="G49" s="4892" t="s">
        <v>46</v>
      </c>
      <c r="H49" s="4892"/>
      <c r="I49" s="4892"/>
      <c r="J49" s="4892" t="s">
        <v>32</v>
      </c>
      <c r="K49" s="5283" t="s">
        <v>10688</v>
      </c>
      <c r="L49" s="4892" t="s">
        <v>12063</v>
      </c>
      <c r="M49" s="5686">
        <v>45605</v>
      </c>
      <c r="N49" s="5686">
        <v>45604</v>
      </c>
      <c r="O49" s="5686">
        <v>45608</v>
      </c>
      <c r="P49" s="4892" t="s">
        <v>12064</v>
      </c>
      <c r="Q49" s="4892" t="s">
        <v>6852</v>
      </c>
      <c r="R49" s="4892"/>
      <c r="S49" s="4892"/>
      <c r="T49" s="4892"/>
      <c r="U49" s="4892"/>
      <c r="V49" s="4892"/>
      <c r="W49" s="4892"/>
      <c r="X49" s="4892"/>
      <c r="Y49" s="4892"/>
      <c r="Z49" s="4892"/>
    </row>
    <row r="50" spans="1:26">
      <c r="A50" s="4874" t="s">
        <v>263</v>
      </c>
      <c r="B50" s="4874" t="s">
        <v>12005</v>
      </c>
      <c r="C50" s="4874" t="s">
        <v>44</v>
      </c>
      <c r="D50" s="4975">
        <v>45607</v>
      </c>
      <c r="E50" s="4975">
        <v>45607</v>
      </c>
      <c r="F50" s="4874" t="s">
        <v>11375</v>
      </c>
      <c r="G50" s="4874" t="s">
        <v>10200</v>
      </c>
      <c r="H50" s="4975"/>
      <c r="I50" s="5890"/>
      <c r="J50" s="4971" t="s">
        <v>859</v>
      </c>
      <c r="K50" s="4874" t="s">
        <v>3825</v>
      </c>
      <c r="L50" s="4971" t="s">
        <v>12007</v>
      </c>
      <c r="M50" s="4975"/>
      <c r="N50" s="4975"/>
      <c r="O50" s="4975"/>
      <c r="P50" s="4971" t="s">
        <v>12065</v>
      </c>
      <c r="Q50" s="4874" t="s">
        <v>75</v>
      </c>
      <c r="R50" s="4874"/>
      <c r="S50" s="4874" t="s">
        <v>67</v>
      </c>
      <c r="T50" s="4874"/>
      <c r="U50" s="4874"/>
      <c r="V50" s="4874"/>
      <c r="W50" s="4874"/>
      <c r="X50" s="4874"/>
      <c r="Y50" s="4874"/>
      <c r="Z50" s="4874"/>
    </row>
    <row r="51" spans="1:26">
      <c r="A51" s="5283" t="s">
        <v>2489</v>
      </c>
      <c r="B51" s="5283" t="s">
        <v>12066</v>
      </c>
      <c r="C51" s="4874" t="s">
        <v>28</v>
      </c>
      <c r="D51" s="4975">
        <v>45601</v>
      </c>
      <c r="E51" s="4975">
        <v>45615</v>
      </c>
      <c r="F51" s="5283" t="s">
        <v>93</v>
      </c>
      <c r="G51" s="5283" t="s">
        <v>12067</v>
      </c>
      <c r="H51" s="5390"/>
      <c r="I51" s="5897"/>
      <c r="J51" s="5283" t="s">
        <v>363</v>
      </c>
      <c r="K51" s="5283" t="s">
        <v>12001</v>
      </c>
      <c r="L51" s="5283"/>
      <c r="M51" s="5390"/>
      <c r="N51" s="4975"/>
      <c r="O51" s="5390"/>
      <c r="P51" s="4874" t="s">
        <v>12068</v>
      </c>
      <c r="Q51" s="5283" t="s">
        <v>11794</v>
      </c>
      <c r="R51" s="5283"/>
      <c r="S51" s="5283" t="s">
        <v>10279</v>
      </c>
      <c r="T51" s="5283"/>
      <c r="U51" s="5283"/>
      <c r="V51" s="5283"/>
      <c r="W51" s="5283"/>
      <c r="X51" s="5283"/>
      <c r="Y51" s="5283"/>
      <c r="Z51" s="5283"/>
    </row>
    <row r="52" spans="1:26" s="106" customFormat="1">
      <c r="A52" s="5283" t="s">
        <v>409</v>
      </c>
      <c r="B52" s="5912" t="s">
        <v>12069</v>
      </c>
      <c r="C52" s="5283" t="s">
        <v>28</v>
      </c>
      <c r="D52" s="5523">
        <v>45584</v>
      </c>
      <c r="E52" s="5906">
        <v>45606</v>
      </c>
      <c r="F52" s="5283" t="s">
        <v>151</v>
      </c>
      <c r="G52" s="5283" t="s">
        <v>46</v>
      </c>
      <c r="H52" s="4892"/>
      <c r="I52" s="4892"/>
      <c r="J52" s="4892" t="s">
        <v>32</v>
      </c>
      <c r="K52" s="5283" t="s">
        <v>10688</v>
      </c>
      <c r="L52" s="4892" t="s">
        <v>12070</v>
      </c>
      <c r="M52" s="5686">
        <v>45605</v>
      </c>
      <c r="N52" s="5686">
        <v>45605</v>
      </c>
      <c r="O52" s="4892"/>
      <c r="P52" s="4892" t="s">
        <v>12071</v>
      </c>
      <c r="Q52" s="5283" t="s">
        <v>6852</v>
      </c>
      <c r="R52" s="4892"/>
      <c r="S52" s="4892"/>
      <c r="T52" s="4892"/>
      <c r="U52" s="4892"/>
      <c r="V52" s="4892"/>
      <c r="W52" s="4892"/>
      <c r="X52" s="4892"/>
      <c r="Y52" s="4892"/>
      <c r="Z52" s="4892"/>
    </row>
    <row r="53" spans="1:26">
      <c r="A53" s="5283" t="s">
        <v>409</v>
      </c>
      <c r="B53" s="5912" t="s">
        <v>12072</v>
      </c>
      <c r="C53" s="4892" t="s">
        <v>28</v>
      </c>
      <c r="D53" s="5917"/>
      <c r="E53" s="4727">
        <v>45605</v>
      </c>
      <c r="F53" s="4892" t="s">
        <v>151</v>
      </c>
      <c r="G53" s="4892" t="s">
        <v>46</v>
      </c>
      <c r="H53" s="4892"/>
      <c r="I53" s="4892"/>
      <c r="J53" s="4892" t="s">
        <v>32</v>
      </c>
      <c r="K53" s="5283" t="s">
        <v>10688</v>
      </c>
      <c r="L53" s="4892" t="s">
        <v>12073</v>
      </c>
      <c r="M53" s="5523">
        <v>45606</v>
      </c>
      <c r="N53" s="5686">
        <v>45606</v>
      </c>
      <c r="O53" s="4892"/>
      <c r="P53" s="4892" t="s">
        <v>12074</v>
      </c>
      <c r="Q53" s="4892" t="s">
        <v>6852</v>
      </c>
      <c r="R53" s="4892"/>
      <c r="S53" s="4892"/>
      <c r="T53" s="4892"/>
      <c r="U53" s="4892"/>
      <c r="V53" s="4892"/>
      <c r="W53" s="4892"/>
      <c r="X53" s="4892"/>
      <c r="Y53" s="4892"/>
      <c r="Z53" s="4892"/>
    </row>
    <row r="54" spans="1:26">
      <c r="A54" s="5283" t="s">
        <v>3866</v>
      </c>
      <c r="B54" s="5283" t="s">
        <v>12075</v>
      </c>
      <c r="C54" s="5283" t="s">
        <v>28</v>
      </c>
      <c r="D54" s="5853">
        <v>45597</v>
      </c>
      <c r="E54" s="5853">
        <f>7+D54</f>
        <v>45604</v>
      </c>
      <c r="F54" s="5283" t="s">
        <v>45</v>
      </c>
      <c r="G54" s="5283" t="s">
        <v>46</v>
      </c>
      <c r="H54" s="5283"/>
      <c r="I54" s="5897"/>
      <c r="J54" s="5283" t="s">
        <v>32</v>
      </c>
      <c r="K54" s="5283" t="s">
        <v>10688</v>
      </c>
      <c r="L54" s="5283"/>
      <c r="M54" s="5283"/>
      <c r="N54" s="4874"/>
      <c r="O54" s="5283"/>
      <c r="P54" s="5283" t="s">
        <v>12076</v>
      </c>
      <c r="Q54" s="5283" t="s">
        <v>6852</v>
      </c>
      <c r="R54" s="5283"/>
      <c r="S54" s="5283"/>
      <c r="T54" s="5283"/>
      <c r="U54" s="5283"/>
      <c r="V54" s="5283"/>
      <c r="W54" s="5283"/>
      <c r="X54" s="5283"/>
      <c r="Y54" s="5283"/>
      <c r="Z54" s="5283"/>
    </row>
    <row r="55" spans="1:26">
      <c r="A55" s="5283" t="s">
        <v>3866</v>
      </c>
      <c r="B55" s="5283" t="s">
        <v>12077</v>
      </c>
      <c r="C55" s="5283" t="s">
        <v>28</v>
      </c>
      <c r="D55" s="5853">
        <v>45597</v>
      </c>
      <c r="E55" s="5853">
        <f>7+D55</f>
        <v>45604</v>
      </c>
      <c r="F55" s="5283" t="s">
        <v>45</v>
      </c>
      <c r="G55" s="5283" t="s">
        <v>46</v>
      </c>
      <c r="H55" s="5283"/>
      <c r="I55" s="5897"/>
      <c r="J55" s="5283" t="s">
        <v>32</v>
      </c>
      <c r="K55" s="5283" t="s">
        <v>10688</v>
      </c>
      <c r="L55" s="5283"/>
      <c r="M55" s="5283"/>
      <c r="N55" s="4874"/>
      <c r="O55" s="5283"/>
      <c r="P55" s="5283" t="s">
        <v>12078</v>
      </c>
      <c r="Q55" s="5283" t="s">
        <v>6852</v>
      </c>
      <c r="R55" s="5283"/>
      <c r="S55" s="5283"/>
      <c r="T55" s="5283"/>
      <c r="U55" s="5283"/>
      <c r="V55" s="5283"/>
      <c r="W55" s="5283"/>
      <c r="X55" s="5283"/>
      <c r="Y55" s="5283"/>
      <c r="Z55" s="5283"/>
    </row>
    <row r="56" spans="1:26">
      <c r="A56" s="5283" t="s">
        <v>2489</v>
      </c>
      <c r="B56" s="5283" t="s">
        <v>12079</v>
      </c>
      <c r="C56" s="5283" t="s">
        <v>28</v>
      </c>
      <c r="D56" s="4975">
        <v>45601</v>
      </c>
      <c r="E56" s="4975">
        <v>45615</v>
      </c>
      <c r="F56" s="5283" t="s">
        <v>93</v>
      </c>
      <c r="G56" s="5283" t="s">
        <v>12080</v>
      </c>
      <c r="H56" s="5390"/>
      <c r="I56" s="5897"/>
      <c r="J56" s="5283" t="s">
        <v>363</v>
      </c>
      <c r="K56" s="5283" t="s">
        <v>12001</v>
      </c>
      <c r="L56" s="5283"/>
      <c r="M56" s="5390"/>
      <c r="N56" s="4975"/>
      <c r="O56" s="5390"/>
      <c r="P56" s="5283" t="s">
        <v>12081</v>
      </c>
      <c r="Q56" s="5283" t="s">
        <v>11794</v>
      </c>
      <c r="R56" s="5283"/>
      <c r="S56" s="5283" t="s">
        <v>10279</v>
      </c>
      <c r="T56" s="5283"/>
      <c r="U56" s="5283"/>
      <c r="V56" s="5283"/>
      <c r="W56" s="5283"/>
      <c r="X56" s="5283"/>
      <c r="Y56" s="5283"/>
      <c r="Z56" s="5283"/>
    </row>
    <row r="57" spans="1:26">
      <c r="A57" s="4971" t="s">
        <v>409</v>
      </c>
      <c r="B57" s="5120" t="s">
        <v>12082</v>
      </c>
      <c r="C57" s="4971" t="s">
        <v>28</v>
      </c>
      <c r="D57" s="5086">
        <v>45601</v>
      </c>
      <c r="E57" s="5086">
        <v>45612</v>
      </c>
      <c r="F57" s="4971" t="s">
        <v>2225</v>
      </c>
      <c r="G57" s="5049" t="s">
        <v>12083</v>
      </c>
      <c r="H57" s="5086"/>
      <c r="I57" s="5916" t="s">
        <v>12084</v>
      </c>
      <c r="J57" s="5471" t="s">
        <v>4896</v>
      </c>
      <c r="K57" s="4874" t="s">
        <v>12085</v>
      </c>
      <c r="L57" s="4971"/>
      <c r="M57" s="5522"/>
      <c r="N57" s="5086"/>
      <c r="O57" s="5086"/>
      <c r="P57" s="5918" t="s">
        <v>12086</v>
      </c>
      <c r="Q57" s="5919" t="s">
        <v>11794</v>
      </c>
      <c r="R57" s="4971"/>
      <c r="S57" s="4874" t="s">
        <v>10279</v>
      </c>
      <c r="T57" s="4971"/>
      <c r="U57" s="4971"/>
      <c r="V57" s="4971"/>
      <c r="W57" s="4971"/>
      <c r="X57" s="5888"/>
      <c r="Y57" s="4971"/>
      <c r="Z57" s="4971"/>
    </row>
    <row r="58" spans="1:26">
      <c r="A58" s="4874" t="s">
        <v>409</v>
      </c>
      <c r="B58" s="5283" t="s">
        <v>12087</v>
      </c>
      <c r="C58" s="5283" t="s">
        <v>28</v>
      </c>
      <c r="D58" s="5853">
        <v>45597</v>
      </c>
      <c r="E58" s="5853">
        <v>45604</v>
      </c>
      <c r="F58" s="5283" t="s">
        <v>151</v>
      </c>
      <c r="G58" s="5283" t="s">
        <v>46</v>
      </c>
      <c r="H58" s="5283"/>
      <c r="I58" s="5897"/>
      <c r="J58" s="5283" t="s">
        <v>32</v>
      </c>
      <c r="K58" s="5283" t="s">
        <v>10688</v>
      </c>
      <c r="L58" s="5283"/>
      <c r="M58" s="5283"/>
      <c r="N58" s="4874"/>
      <c r="O58" s="5283"/>
      <c r="P58" s="5283" t="s">
        <v>12088</v>
      </c>
      <c r="Q58" s="5283" t="s">
        <v>6852</v>
      </c>
      <c r="R58" s="5283"/>
      <c r="S58" s="5283"/>
      <c r="T58" s="5283"/>
      <c r="U58" s="5283"/>
      <c r="V58" s="5283"/>
      <c r="W58" s="5283"/>
      <c r="X58" s="5283"/>
      <c r="Y58" s="5283"/>
      <c r="Z58" s="5283"/>
    </row>
    <row r="59" spans="1:26">
      <c r="A59" s="4874" t="s">
        <v>263</v>
      </c>
      <c r="B59" s="4874" t="s">
        <v>12089</v>
      </c>
      <c r="C59" s="4874" t="s">
        <v>44</v>
      </c>
      <c r="D59" s="4975">
        <v>45609</v>
      </c>
      <c r="E59" s="4975">
        <v>45609</v>
      </c>
      <c r="F59" s="4874" t="s">
        <v>135</v>
      </c>
      <c r="G59" s="5120" t="s">
        <v>10388</v>
      </c>
      <c r="H59" s="4975"/>
      <c r="I59" s="5890"/>
      <c r="J59" s="4874" t="s">
        <v>377</v>
      </c>
      <c r="K59" s="4971" t="s">
        <v>6997</v>
      </c>
      <c r="L59" s="4874" t="s">
        <v>12090</v>
      </c>
      <c r="M59" s="4975"/>
      <c r="N59" s="4975"/>
      <c r="O59" s="4975"/>
      <c r="P59" s="4971" t="s">
        <v>12091</v>
      </c>
      <c r="Q59" s="4874" t="s">
        <v>75</v>
      </c>
      <c r="R59" s="4874"/>
      <c r="S59" s="4874" t="s">
        <v>67</v>
      </c>
      <c r="T59" s="4874"/>
      <c r="U59" s="4874"/>
      <c r="V59" s="4874"/>
      <c r="W59" s="4874"/>
      <c r="X59" s="4874"/>
      <c r="Y59" s="4874"/>
      <c r="Z59" s="4874"/>
    </row>
    <row r="60" spans="1:26">
      <c r="A60" s="4874" t="s">
        <v>11762</v>
      </c>
      <c r="B60" s="4152" t="s">
        <v>12092</v>
      </c>
      <c r="C60" s="4874" t="s">
        <v>28</v>
      </c>
      <c r="D60" s="5086">
        <v>45588</v>
      </c>
      <c r="E60" s="5086">
        <v>45611</v>
      </c>
      <c r="F60" s="4971" t="s">
        <v>10309</v>
      </c>
      <c r="G60" s="4971" t="s">
        <v>11921</v>
      </c>
      <c r="H60" s="5086"/>
      <c r="I60" s="5916"/>
      <c r="J60" s="5891" t="s">
        <v>3010</v>
      </c>
      <c r="K60" s="4971" t="s">
        <v>7364</v>
      </c>
      <c r="L60" s="4971"/>
      <c r="M60" s="5086"/>
      <c r="N60" s="5086"/>
      <c r="O60" s="5086"/>
      <c r="P60" s="4971" t="s">
        <v>12093</v>
      </c>
      <c r="Q60" s="4874" t="s">
        <v>9226</v>
      </c>
      <c r="R60" s="4874"/>
      <c r="S60" s="4874" t="s">
        <v>10279</v>
      </c>
      <c r="T60" s="4971"/>
      <c r="U60" s="4971"/>
      <c r="V60" s="4971"/>
      <c r="W60" s="4971"/>
      <c r="X60" s="5888"/>
      <c r="Y60" s="4971"/>
      <c r="Z60" s="4971"/>
    </row>
    <row r="61" spans="1:26" s="106" customFormat="1">
      <c r="A61" s="5283" t="s">
        <v>26</v>
      </c>
      <c r="B61" s="4892" t="s">
        <v>12094</v>
      </c>
      <c r="C61" s="5283" t="s">
        <v>28</v>
      </c>
      <c r="D61" s="4975">
        <v>45603</v>
      </c>
      <c r="E61" s="5896">
        <v>45611</v>
      </c>
      <c r="F61" s="5283" t="s">
        <v>45</v>
      </c>
      <c r="G61" s="5283" t="s">
        <v>2296</v>
      </c>
      <c r="H61" s="5390"/>
      <c r="I61" s="5897"/>
      <c r="J61" s="4874" t="s">
        <v>32</v>
      </c>
      <c r="K61" s="5283" t="s">
        <v>9588</v>
      </c>
      <c r="L61" s="5283"/>
      <c r="M61" s="5390"/>
      <c r="N61" s="4975"/>
      <c r="O61" s="5390"/>
      <c r="P61" s="5283" t="s">
        <v>12095</v>
      </c>
      <c r="Q61" s="5283" t="s">
        <v>11794</v>
      </c>
      <c r="R61" s="5283"/>
      <c r="S61" s="4874" t="s">
        <v>10279</v>
      </c>
      <c r="T61" s="5283"/>
      <c r="U61" s="5283"/>
      <c r="V61" s="5283"/>
      <c r="W61" s="5283"/>
      <c r="X61" s="5283"/>
      <c r="Y61" s="5283"/>
      <c r="Z61" s="5283"/>
    </row>
    <row r="62" spans="1:26">
      <c r="A62" s="4874" t="s">
        <v>10421</v>
      </c>
      <c r="B62" s="4971" t="s">
        <v>12096</v>
      </c>
      <c r="C62" s="4874" t="s">
        <v>28</v>
      </c>
      <c r="D62" s="5086">
        <v>45591</v>
      </c>
      <c r="E62" s="5376">
        <v>45609</v>
      </c>
      <c r="F62" s="4971" t="s">
        <v>45</v>
      </c>
      <c r="G62" s="4874" t="s">
        <v>2296</v>
      </c>
      <c r="H62" s="5086"/>
      <c r="I62" s="5916"/>
      <c r="J62" s="4874" t="s">
        <v>32</v>
      </c>
      <c r="K62" s="5120" t="s">
        <v>11958</v>
      </c>
      <c r="L62" s="4971" t="s">
        <v>12097</v>
      </c>
      <c r="M62" s="5086"/>
      <c r="N62" s="5086"/>
      <c r="O62" s="5086"/>
      <c r="P62" s="4971" t="s">
        <v>12098</v>
      </c>
      <c r="Q62" s="4971" t="s">
        <v>11794</v>
      </c>
      <c r="R62" s="4971"/>
      <c r="S62" s="4874" t="s">
        <v>11960</v>
      </c>
      <c r="T62" s="4971"/>
      <c r="U62" s="4971"/>
      <c r="V62" s="4971"/>
      <c r="W62" s="4971"/>
      <c r="X62" s="5888"/>
      <c r="Y62" s="4971"/>
      <c r="Z62" s="4971"/>
    </row>
    <row r="63" spans="1:26">
      <c r="A63" s="4874" t="s">
        <v>10857</v>
      </c>
      <c r="B63" s="5920" t="s">
        <v>12099</v>
      </c>
      <c r="C63" s="5283" t="s">
        <v>28</v>
      </c>
      <c r="D63" s="5853">
        <v>45594</v>
      </c>
      <c r="E63" s="5859">
        <v>45604</v>
      </c>
      <c r="F63" s="5283" t="s">
        <v>260</v>
      </c>
      <c r="G63" s="5283" t="s">
        <v>46</v>
      </c>
      <c r="H63" s="5283"/>
      <c r="I63" s="5897"/>
      <c r="J63" s="5283" t="s">
        <v>32</v>
      </c>
      <c r="K63" s="5283" t="s">
        <v>10688</v>
      </c>
      <c r="L63" s="5283" t="s">
        <v>12100</v>
      </c>
      <c r="M63" s="5631">
        <v>45604</v>
      </c>
      <c r="N63" s="5602">
        <v>45602</v>
      </c>
      <c r="O63" s="5631">
        <v>45604</v>
      </c>
      <c r="P63" s="5283" t="s">
        <v>12101</v>
      </c>
      <c r="Q63" s="5283" t="s">
        <v>6852</v>
      </c>
      <c r="R63" s="5283"/>
      <c r="S63" s="5283"/>
      <c r="T63" s="5283"/>
      <c r="U63" s="5283"/>
      <c r="V63" s="5283"/>
      <c r="W63" s="5283"/>
      <c r="X63" s="5283"/>
      <c r="Y63" s="5283"/>
      <c r="Z63" s="5283"/>
    </row>
    <row r="64" spans="1:26" s="106" customFormat="1">
      <c r="A64" s="4874" t="s">
        <v>409</v>
      </c>
      <c r="B64" s="5283" t="s">
        <v>12102</v>
      </c>
      <c r="C64" s="4874" t="s">
        <v>28</v>
      </c>
      <c r="D64" s="5853">
        <v>45602</v>
      </c>
      <c r="E64" s="5853">
        <v>45608</v>
      </c>
      <c r="F64" s="5283" t="s">
        <v>151</v>
      </c>
      <c r="G64" s="5283" t="s">
        <v>46</v>
      </c>
      <c r="H64" s="5283"/>
      <c r="I64" s="5897"/>
      <c r="J64" s="5283" t="s">
        <v>32</v>
      </c>
      <c r="K64" s="5283" t="s">
        <v>10688</v>
      </c>
      <c r="L64" s="5283"/>
      <c r="M64" s="5283"/>
      <c r="N64" s="4874"/>
      <c r="O64" s="5283"/>
      <c r="P64" s="5283" t="s">
        <v>12103</v>
      </c>
      <c r="Q64" s="5283" t="s">
        <v>6852</v>
      </c>
      <c r="R64" s="5283"/>
      <c r="S64" s="5283"/>
      <c r="T64" s="5283"/>
      <c r="U64" s="5283"/>
      <c r="V64" s="5283"/>
      <c r="W64" s="5283"/>
      <c r="X64" s="5283"/>
      <c r="Y64" s="5283"/>
      <c r="Z64" s="5283"/>
    </row>
    <row r="65" spans="1:26" s="106" customFormat="1">
      <c r="A65" s="5283" t="s">
        <v>10764</v>
      </c>
      <c r="B65" s="5283" t="s">
        <v>12104</v>
      </c>
      <c r="C65" s="5283" t="s">
        <v>28</v>
      </c>
      <c r="D65" s="5853">
        <v>45602</v>
      </c>
      <c r="E65" s="5921">
        <v>45608</v>
      </c>
      <c r="F65" s="5283" t="s">
        <v>151</v>
      </c>
      <c r="G65" s="5283" t="s">
        <v>46</v>
      </c>
      <c r="H65" s="5283"/>
      <c r="I65" s="5897"/>
      <c r="J65" s="5283" t="s">
        <v>32</v>
      </c>
      <c r="K65" s="5283" t="s">
        <v>10688</v>
      </c>
      <c r="L65" s="5283"/>
      <c r="M65" s="5631"/>
      <c r="N65" s="5602"/>
      <c r="O65" s="5283"/>
      <c r="P65" s="5283" t="s">
        <v>12105</v>
      </c>
      <c r="Q65" s="5283" t="s">
        <v>6852</v>
      </c>
      <c r="R65" s="5283"/>
      <c r="S65" s="5283"/>
      <c r="T65" s="5283"/>
      <c r="U65" s="5283"/>
      <c r="V65" s="5283"/>
      <c r="W65" s="5283"/>
      <c r="X65" s="5283"/>
      <c r="Y65" s="5283"/>
      <c r="Z65" s="5283"/>
    </row>
    <row r="66" spans="1:26" s="106" customFormat="1">
      <c r="A66" s="4874" t="s">
        <v>409</v>
      </c>
      <c r="B66" s="5283" t="s">
        <v>12106</v>
      </c>
      <c r="C66" s="5283" t="s">
        <v>28</v>
      </c>
      <c r="D66" s="5853">
        <v>45602</v>
      </c>
      <c r="E66" s="5853">
        <f>7+D66</f>
        <v>45609</v>
      </c>
      <c r="F66" s="5283" t="s">
        <v>45</v>
      </c>
      <c r="G66" s="5283" t="s">
        <v>46</v>
      </c>
      <c r="H66" s="5283"/>
      <c r="I66" s="5897"/>
      <c r="J66" s="5283" t="s">
        <v>32</v>
      </c>
      <c r="K66" s="5283" t="s">
        <v>10688</v>
      </c>
      <c r="L66" s="5283"/>
      <c r="M66" s="5283"/>
      <c r="N66" s="4874"/>
      <c r="O66" s="5283"/>
      <c r="P66" s="5283" t="s">
        <v>12107</v>
      </c>
      <c r="Q66" s="5283" t="s">
        <v>6852</v>
      </c>
      <c r="R66" s="5283"/>
      <c r="S66" s="5283"/>
      <c r="T66" s="5283"/>
      <c r="U66" s="5283"/>
      <c r="V66" s="5283"/>
      <c r="W66" s="5283"/>
      <c r="X66" s="5283"/>
      <c r="Y66" s="5283"/>
      <c r="Z66" s="5283"/>
    </row>
    <row r="67" spans="1:26">
      <c r="A67" s="4874" t="s">
        <v>2618</v>
      </c>
      <c r="B67" s="4874" t="s">
        <v>12108</v>
      </c>
      <c r="C67" s="4874" t="s">
        <v>200</v>
      </c>
      <c r="D67" s="4975">
        <v>45614</v>
      </c>
      <c r="E67" s="4975">
        <v>45614</v>
      </c>
      <c r="F67" s="4874" t="s">
        <v>260</v>
      </c>
      <c r="G67" s="4874" t="s">
        <v>11063</v>
      </c>
      <c r="H67" s="4953"/>
      <c r="I67" s="5889"/>
      <c r="J67" s="4861"/>
      <c r="K67" s="4861"/>
      <c r="L67" s="4861" t="s">
        <v>9917</v>
      </c>
      <c r="M67" s="4975"/>
      <c r="N67" s="4975"/>
      <c r="O67" s="4975"/>
      <c r="P67" s="4874" t="s">
        <v>12109</v>
      </c>
      <c r="Q67" s="4874" t="s">
        <v>9226</v>
      </c>
      <c r="R67" s="4874" t="s">
        <v>12110</v>
      </c>
      <c r="S67" s="4874" t="s">
        <v>1320</v>
      </c>
      <c r="T67" s="4874"/>
      <c r="U67" s="4874"/>
      <c r="V67" s="4874"/>
      <c r="W67" s="4874"/>
      <c r="X67" s="4874"/>
      <c r="Y67" s="4874"/>
      <c r="Z67" s="4874"/>
    </row>
    <row r="68" spans="1:26" s="106" customFormat="1" ht="30">
      <c r="A68" s="4874" t="s">
        <v>165</v>
      </c>
      <c r="B68" s="4971" t="s">
        <v>12111</v>
      </c>
      <c r="C68" s="4874" t="s">
        <v>28</v>
      </c>
      <c r="D68" s="4975">
        <v>45604</v>
      </c>
      <c r="E68" s="5896">
        <v>45604</v>
      </c>
      <c r="F68" s="4874" t="s">
        <v>1671</v>
      </c>
      <c r="G68" s="5120" t="s">
        <v>12112</v>
      </c>
      <c r="H68" s="4975" t="s">
        <v>12113</v>
      </c>
      <c r="I68" s="5890"/>
      <c r="J68" s="5891" t="s">
        <v>1478</v>
      </c>
      <c r="K68" s="4971" t="s">
        <v>12114</v>
      </c>
      <c r="L68" s="4874"/>
      <c r="M68" s="5390">
        <v>45610</v>
      </c>
      <c r="N68" s="4975"/>
      <c r="O68" s="4975"/>
      <c r="P68" s="5049" t="s">
        <v>12115</v>
      </c>
      <c r="Q68" s="5893" t="s">
        <v>11794</v>
      </c>
      <c r="R68" s="4874"/>
      <c r="S68" s="4874" t="s">
        <v>10279</v>
      </c>
      <c r="T68" s="4874"/>
      <c r="U68" s="4874"/>
      <c r="V68" s="4874"/>
      <c r="W68" s="4874"/>
      <c r="X68" s="4874"/>
      <c r="Y68" s="4874"/>
      <c r="Z68" s="4874"/>
    </row>
    <row r="69" spans="1:26">
      <c r="A69" s="4874" t="s">
        <v>409</v>
      </c>
      <c r="B69" s="4971" t="s">
        <v>12116</v>
      </c>
      <c r="C69" s="4971" t="s">
        <v>28</v>
      </c>
      <c r="D69" s="5086">
        <v>45606</v>
      </c>
      <c r="E69" s="5086">
        <v>45615</v>
      </c>
      <c r="F69" s="4971" t="s">
        <v>2225</v>
      </c>
      <c r="G69" s="5049" t="s">
        <v>12117</v>
      </c>
      <c r="H69" s="5086"/>
      <c r="I69" s="5916" t="s">
        <v>12084</v>
      </c>
      <c r="J69" s="4874" t="s">
        <v>4896</v>
      </c>
      <c r="K69" s="4971" t="s">
        <v>11000</v>
      </c>
      <c r="L69" s="4971"/>
      <c r="M69" s="5086"/>
      <c r="N69" s="5086"/>
      <c r="O69" s="5086"/>
      <c r="P69" s="4971" t="s">
        <v>12118</v>
      </c>
      <c r="Q69" s="5919" t="s">
        <v>11794</v>
      </c>
      <c r="R69" s="4971"/>
      <c r="S69" s="4971" t="s">
        <v>10279</v>
      </c>
      <c r="T69" s="4971"/>
      <c r="U69" s="4971"/>
      <c r="V69" s="4971"/>
      <c r="W69" s="4971"/>
      <c r="X69" s="5888"/>
      <c r="Y69" s="4971"/>
      <c r="Z69" s="4971"/>
    </row>
    <row r="70" spans="1:26">
      <c r="A70" s="4874" t="s">
        <v>165</v>
      </c>
      <c r="B70" s="5283" t="s">
        <v>12119</v>
      </c>
      <c r="C70" s="5283" t="s">
        <v>28</v>
      </c>
      <c r="D70" s="5169">
        <v>45607</v>
      </c>
      <c r="E70" s="5169">
        <v>45607</v>
      </c>
      <c r="F70" s="5283" t="s">
        <v>1671</v>
      </c>
      <c r="G70" s="5283" t="s">
        <v>12120</v>
      </c>
      <c r="H70" s="5390">
        <v>45608</v>
      </c>
      <c r="I70" s="5897" t="s">
        <v>618</v>
      </c>
      <c r="J70" s="5922" t="s">
        <v>12121</v>
      </c>
      <c r="K70" s="5283" t="s">
        <v>7828</v>
      </c>
      <c r="L70" s="5283"/>
      <c r="M70" s="5390">
        <v>45614</v>
      </c>
      <c r="N70" s="5923">
        <v>45607</v>
      </c>
      <c r="O70" s="5390"/>
      <c r="P70" s="5483" t="s">
        <v>12122</v>
      </c>
      <c r="Q70" s="5919" t="s">
        <v>11794</v>
      </c>
      <c r="R70" s="5283"/>
      <c r="S70" s="4874" t="s">
        <v>10279</v>
      </c>
      <c r="T70" s="5283"/>
      <c r="U70" s="5283"/>
      <c r="V70" s="5283"/>
      <c r="W70" s="5283"/>
      <c r="X70" s="5283"/>
      <c r="Y70" s="5283"/>
      <c r="Z70" s="5283"/>
    </row>
    <row r="71" spans="1:26">
      <c r="A71" s="4874" t="s">
        <v>2618</v>
      </c>
      <c r="B71" s="4874" t="s">
        <v>12123</v>
      </c>
      <c r="C71" s="4874" t="s">
        <v>451</v>
      </c>
      <c r="D71" s="4975">
        <v>45614</v>
      </c>
      <c r="E71" s="4975">
        <v>45614</v>
      </c>
      <c r="F71" s="4874" t="s">
        <v>260</v>
      </c>
      <c r="G71" s="4874" t="s">
        <v>11063</v>
      </c>
      <c r="H71" s="4953"/>
      <c r="I71" s="5889"/>
      <c r="J71" s="4861"/>
      <c r="K71" s="4861"/>
      <c r="L71" s="4861" t="s">
        <v>9917</v>
      </c>
      <c r="M71" s="4975"/>
      <c r="N71" s="4975"/>
      <c r="O71" s="4975"/>
      <c r="P71" s="4874" t="s">
        <v>12124</v>
      </c>
      <c r="Q71" s="4874" t="s">
        <v>9226</v>
      </c>
      <c r="R71" s="4874" t="s">
        <v>12125</v>
      </c>
      <c r="S71" s="4874" t="s">
        <v>1320</v>
      </c>
      <c r="T71" s="4874"/>
      <c r="U71" s="4874"/>
      <c r="V71" s="4874"/>
      <c r="W71" s="4874"/>
      <c r="X71" s="4874"/>
      <c r="Y71" s="4874"/>
      <c r="Z71" s="4874"/>
    </row>
    <row r="72" spans="1:26">
      <c r="A72" s="5283" t="s">
        <v>10857</v>
      </c>
      <c r="B72" s="5283" t="s">
        <v>12126</v>
      </c>
      <c r="C72" s="5283" t="s">
        <v>28</v>
      </c>
      <c r="D72" s="5853">
        <v>45601</v>
      </c>
      <c r="E72" s="5921">
        <v>45609</v>
      </c>
      <c r="F72" s="5283" t="s">
        <v>260</v>
      </c>
      <c r="G72" s="5283" t="s">
        <v>46</v>
      </c>
      <c r="H72" s="5283"/>
      <c r="I72" s="5897"/>
      <c r="J72" s="5283" t="s">
        <v>32</v>
      </c>
      <c r="K72" s="5283" t="s">
        <v>10688</v>
      </c>
      <c r="L72" s="5283"/>
      <c r="M72" s="5631"/>
      <c r="N72" s="5602"/>
      <c r="O72" s="5283"/>
      <c r="P72" s="5283" t="s">
        <v>12127</v>
      </c>
      <c r="Q72" s="5283" t="s">
        <v>6852</v>
      </c>
      <c r="R72" s="5283"/>
      <c r="S72" s="5283"/>
      <c r="T72" s="5283"/>
      <c r="U72" s="5283"/>
      <c r="V72" s="5283"/>
      <c r="W72" s="5283"/>
      <c r="X72" s="5283"/>
      <c r="Y72" s="5283"/>
      <c r="Z72" s="5283"/>
    </row>
    <row r="73" spans="1:26" ht="120">
      <c r="A73" s="4874" t="s">
        <v>7932</v>
      </c>
      <c r="B73" s="4971" t="s">
        <v>12128</v>
      </c>
      <c r="C73" s="4874" t="s">
        <v>28</v>
      </c>
      <c r="D73" s="5169">
        <v>45610</v>
      </c>
      <c r="E73" s="4975">
        <v>45614</v>
      </c>
      <c r="F73" s="4874" t="s">
        <v>151</v>
      </c>
      <c r="G73" s="4971" t="s">
        <v>11743</v>
      </c>
      <c r="H73" s="5390" t="s">
        <v>12129</v>
      </c>
      <c r="I73" s="5924"/>
      <c r="J73" s="4874" t="s">
        <v>12130</v>
      </c>
      <c r="K73" s="4971" t="s">
        <v>436</v>
      </c>
      <c r="L73" s="4874"/>
      <c r="M73" s="4975"/>
      <c r="N73" s="4975"/>
      <c r="O73" s="4975"/>
      <c r="P73" s="5120" t="s">
        <v>12131</v>
      </c>
      <c r="Q73" s="5919" t="s">
        <v>11794</v>
      </c>
      <c r="R73" s="4874"/>
      <c r="S73" s="4874" t="s">
        <v>10279</v>
      </c>
      <c r="T73" s="4874"/>
      <c r="U73" s="4874"/>
      <c r="V73" s="4874"/>
      <c r="W73" s="4874"/>
      <c r="X73" s="4874"/>
      <c r="Y73" s="4874"/>
      <c r="Z73" s="4874"/>
    </row>
    <row r="74" spans="1:26" ht="120">
      <c r="A74" s="4874" t="s">
        <v>7932</v>
      </c>
      <c r="B74" s="4971" t="s">
        <v>12132</v>
      </c>
      <c r="C74" s="4874" t="s">
        <v>28</v>
      </c>
      <c r="D74" s="5169">
        <v>45610</v>
      </c>
      <c r="E74" s="4975">
        <v>45614</v>
      </c>
      <c r="F74" s="4874" t="s">
        <v>151</v>
      </c>
      <c r="G74" s="4874" t="s">
        <v>11743</v>
      </c>
      <c r="H74" s="5390" t="s">
        <v>12129</v>
      </c>
      <c r="I74" s="5890"/>
      <c r="J74" s="4874" t="s">
        <v>12133</v>
      </c>
      <c r="K74" s="4874" t="s">
        <v>436</v>
      </c>
      <c r="L74" s="4874"/>
      <c r="M74" s="4975"/>
      <c r="N74" s="4975"/>
      <c r="O74" s="4975"/>
      <c r="P74" s="5120" t="s">
        <v>12131</v>
      </c>
      <c r="Q74" s="5919" t="s">
        <v>11794</v>
      </c>
      <c r="R74" s="4874"/>
      <c r="S74" s="4874" t="s">
        <v>10279</v>
      </c>
      <c r="T74" s="4874"/>
      <c r="U74" s="4874"/>
      <c r="V74" s="4874"/>
      <c r="W74" s="4874"/>
      <c r="X74" s="4874"/>
      <c r="Y74" s="4874"/>
      <c r="Z74" s="4874"/>
    </row>
    <row r="75" spans="1:26">
      <c r="A75" s="3075" t="s">
        <v>409</v>
      </c>
      <c r="B75" s="4064" t="s">
        <v>12134</v>
      </c>
      <c r="C75" s="3067" t="s">
        <v>28</v>
      </c>
      <c r="D75" s="4065">
        <v>45597</v>
      </c>
      <c r="E75" s="4066">
        <v>45610</v>
      </c>
      <c r="F75" s="3067" t="s">
        <v>151</v>
      </c>
      <c r="G75" s="3067" t="s">
        <v>46</v>
      </c>
      <c r="H75" s="3067"/>
      <c r="I75" s="3070"/>
      <c r="J75" s="3067" t="s">
        <v>32</v>
      </c>
      <c r="K75" s="3067" t="s">
        <v>10688</v>
      </c>
      <c r="L75" s="3067" t="s">
        <v>12135</v>
      </c>
      <c r="M75" s="3067"/>
      <c r="N75" s="3075"/>
      <c r="O75" s="3067"/>
      <c r="P75" s="3067" t="s">
        <v>12136</v>
      </c>
      <c r="Q75" s="3067" t="s">
        <v>6852</v>
      </c>
      <c r="R75" s="3067"/>
      <c r="S75" s="3067"/>
      <c r="T75" s="3067"/>
      <c r="U75" s="3067"/>
      <c r="V75" s="3067"/>
      <c r="W75" s="3067"/>
      <c r="X75" s="3067"/>
      <c r="Y75" s="3067"/>
      <c r="Z75" s="3067"/>
    </row>
    <row r="76" spans="1:26" s="681" customFormat="1" ht="30">
      <c r="A76" s="93" t="s">
        <v>11898</v>
      </c>
      <c r="B76" s="93" t="s">
        <v>12137</v>
      </c>
      <c r="C76" s="681" t="s">
        <v>28</v>
      </c>
      <c r="D76" s="315">
        <v>45608</v>
      </c>
      <c r="E76" s="315">
        <v>45621</v>
      </c>
      <c r="F76" s="93" t="s">
        <v>10309</v>
      </c>
      <c r="G76" s="93" t="s">
        <v>12138</v>
      </c>
      <c r="H76" s="818"/>
      <c r="I76" s="4058"/>
      <c r="J76" s="5891" t="s">
        <v>8191</v>
      </c>
      <c r="K76" s="504" t="s">
        <v>12139</v>
      </c>
      <c r="L76" s="93"/>
      <c r="M76" s="818"/>
      <c r="N76" s="818"/>
      <c r="O76" s="818"/>
      <c r="P76" s="4256" t="s">
        <v>12140</v>
      </c>
      <c r="Q76" s="93" t="s">
        <v>9226</v>
      </c>
      <c r="R76" s="93"/>
      <c r="S76" s="93" t="s">
        <v>10279</v>
      </c>
      <c r="T76" s="93"/>
      <c r="U76" s="93"/>
      <c r="V76" s="93"/>
      <c r="W76" s="93"/>
      <c r="X76" s="93"/>
      <c r="Y76" s="93"/>
      <c r="Z76" s="93"/>
    </row>
    <row r="77" spans="1:26" s="106" customFormat="1">
      <c r="A77" s="228" t="s">
        <v>2618</v>
      </c>
      <c r="B77" s="4545" t="s">
        <v>12141</v>
      </c>
      <c r="C77" s="4545" t="s">
        <v>451</v>
      </c>
      <c r="D77" s="4547">
        <v>45616</v>
      </c>
      <c r="E77" s="4547">
        <v>45616</v>
      </c>
      <c r="F77" s="4545" t="s">
        <v>260</v>
      </c>
      <c r="G77" s="4545" t="s">
        <v>11063</v>
      </c>
      <c r="H77" s="4547"/>
      <c r="I77" s="4548"/>
      <c r="J77" s="4545"/>
      <c r="K77" s="4545"/>
      <c r="L77" s="4545"/>
      <c r="M77" s="4547"/>
      <c r="N77" s="4547"/>
      <c r="O77" s="4547"/>
      <c r="P77" s="4545" t="s">
        <v>12142</v>
      </c>
      <c r="Q77" s="228" t="s">
        <v>9226</v>
      </c>
      <c r="R77" s="228" t="s">
        <v>12143</v>
      </c>
      <c r="S77" s="228" t="s">
        <v>1320</v>
      </c>
      <c r="T77" s="4545"/>
      <c r="U77" s="4545"/>
      <c r="V77" s="4545"/>
      <c r="W77" s="4545"/>
      <c r="X77" s="4545"/>
      <c r="Y77" s="4545"/>
      <c r="Z77" s="4545"/>
    </row>
    <row r="78" spans="1:26" s="106" customFormat="1">
      <c r="A78" s="4874" t="s">
        <v>7932</v>
      </c>
      <c r="B78" s="4874" t="s">
        <v>12144</v>
      </c>
      <c r="C78" s="4874" t="s">
        <v>28</v>
      </c>
      <c r="D78" s="5923">
        <v>45606</v>
      </c>
      <c r="E78" s="5925">
        <v>45610</v>
      </c>
      <c r="F78" s="4874" t="s">
        <v>1671</v>
      </c>
      <c r="G78" s="4874" t="s">
        <v>11743</v>
      </c>
      <c r="H78" s="5390"/>
      <c r="I78" s="5890"/>
      <c r="J78" s="5283" t="s">
        <v>11968</v>
      </c>
      <c r="K78" s="4874" t="s">
        <v>12145</v>
      </c>
      <c r="L78" s="4874"/>
      <c r="M78" s="4975"/>
      <c r="N78" s="4975"/>
      <c r="O78" s="4975"/>
      <c r="P78" s="5120" t="s">
        <v>12146</v>
      </c>
      <c r="Q78" s="5919" t="s">
        <v>11794</v>
      </c>
      <c r="R78" s="4874"/>
      <c r="S78" s="4874" t="s">
        <v>10279</v>
      </c>
      <c r="T78" s="4874"/>
      <c r="U78" s="4874"/>
      <c r="V78" s="4874"/>
      <c r="W78" s="4874"/>
      <c r="X78" s="4874"/>
      <c r="Y78" s="4874"/>
      <c r="Z78" s="4874"/>
    </row>
    <row r="79" spans="1:26" s="106" customFormat="1">
      <c r="A79" s="4874" t="s">
        <v>10764</v>
      </c>
      <c r="B79" s="4722" t="s">
        <v>12147</v>
      </c>
      <c r="C79" s="5283" t="s">
        <v>28</v>
      </c>
      <c r="D79" s="5853">
        <v>45598</v>
      </c>
      <c r="E79" s="5911">
        <v>45610</v>
      </c>
      <c r="F79" s="5283" t="s">
        <v>260</v>
      </c>
      <c r="G79" s="5283" t="s">
        <v>46</v>
      </c>
      <c r="H79" s="5283"/>
      <c r="I79" s="5897"/>
      <c r="J79" s="5283" t="s">
        <v>32</v>
      </c>
      <c r="K79" s="5283" t="s">
        <v>10688</v>
      </c>
      <c r="L79" s="5283"/>
      <c r="M79" s="5631">
        <v>45611</v>
      </c>
      <c r="N79" s="4874"/>
      <c r="O79" s="5283"/>
      <c r="P79" s="5283" t="s">
        <v>12148</v>
      </c>
      <c r="Q79" s="5283" t="s">
        <v>6852</v>
      </c>
      <c r="R79" s="5283"/>
      <c r="S79" s="5283"/>
      <c r="T79" s="5283"/>
      <c r="U79" s="5283"/>
      <c r="V79" s="5283"/>
      <c r="W79" s="5283"/>
      <c r="X79" s="5283"/>
      <c r="Y79" s="5283"/>
      <c r="Z79" s="5283"/>
    </row>
    <row r="80" spans="1:26">
      <c r="A80" s="3075" t="s">
        <v>263</v>
      </c>
      <c r="B80" s="4217" t="s">
        <v>12149</v>
      </c>
      <c r="C80" s="3075" t="s">
        <v>44</v>
      </c>
      <c r="D80" s="3069">
        <v>45616</v>
      </c>
      <c r="E80" s="3069">
        <v>45616</v>
      </c>
      <c r="F80" s="3075" t="s">
        <v>135</v>
      </c>
      <c r="G80" s="3309" t="s">
        <v>10388</v>
      </c>
      <c r="H80" s="3069"/>
      <c r="I80" s="4038"/>
      <c r="J80" s="4075"/>
      <c r="K80" s="3075" t="s">
        <v>6997</v>
      </c>
      <c r="L80" s="4217" t="s">
        <v>12150</v>
      </c>
      <c r="M80" s="3069"/>
      <c r="N80" s="3069"/>
      <c r="O80" s="3069"/>
      <c r="P80" s="4549" t="s">
        <v>12151</v>
      </c>
      <c r="Q80" s="4874" t="s">
        <v>75</v>
      </c>
      <c r="R80" s="4874"/>
      <c r="S80" s="4874" t="s">
        <v>67</v>
      </c>
      <c r="T80" s="4874"/>
      <c r="U80" s="4874"/>
      <c r="V80" s="4874"/>
      <c r="W80" s="4874"/>
      <c r="X80" s="4874"/>
      <c r="Y80" s="4874"/>
      <c r="Z80" s="4874"/>
    </row>
    <row r="81" spans="1:26" s="106" customFormat="1" ht="60">
      <c r="A81" s="4874" t="s">
        <v>622</v>
      </c>
      <c r="B81" s="5428" t="s">
        <v>12152</v>
      </c>
      <c r="C81" s="5043" t="s">
        <v>28</v>
      </c>
      <c r="D81" s="4972">
        <v>45606</v>
      </c>
      <c r="E81" s="4972">
        <v>45617</v>
      </c>
      <c r="F81" s="4874" t="s">
        <v>29</v>
      </c>
      <c r="G81" s="4971" t="s">
        <v>57</v>
      </c>
      <c r="H81" s="5086" t="s">
        <v>12153</v>
      </c>
      <c r="I81" s="5890"/>
      <c r="J81" s="5471" t="s">
        <v>4896</v>
      </c>
      <c r="K81" s="5433" t="s">
        <v>1445</v>
      </c>
      <c r="L81" s="5049" t="s">
        <v>12154</v>
      </c>
      <c r="M81" s="4975"/>
      <c r="N81" s="4975"/>
      <c r="O81" s="4975"/>
      <c r="P81" s="5049" t="s">
        <v>12155</v>
      </c>
      <c r="Q81" s="3065" t="s">
        <v>75</v>
      </c>
      <c r="R81" s="3075"/>
      <c r="S81" s="3075" t="s">
        <v>67</v>
      </c>
      <c r="T81" s="3075"/>
      <c r="U81" s="3075"/>
      <c r="V81" s="3075"/>
      <c r="W81" s="3075"/>
      <c r="X81" s="3075"/>
      <c r="Y81" s="3075"/>
      <c r="Z81" s="3075"/>
    </row>
    <row r="82" spans="1:26" s="93" customFormat="1" ht="30">
      <c r="A82" s="3099" t="s">
        <v>11898</v>
      </c>
      <c r="B82" s="3099" t="s">
        <v>12156</v>
      </c>
      <c r="C82" s="2920" t="s">
        <v>85</v>
      </c>
      <c r="D82" s="2492">
        <v>45604</v>
      </c>
      <c r="E82" s="2492">
        <v>45620</v>
      </c>
      <c r="F82" s="2920" t="s">
        <v>10309</v>
      </c>
      <c r="G82" s="4079" t="s">
        <v>11931</v>
      </c>
      <c r="H82" s="2972"/>
      <c r="I82" s="4063"/>
      <c r="J82" s="4080" t="s">
        <v>72</v>
      </c>
      <c r="K82" s="2920" t="s">
        <v>12157</v>
      </c>
      <c r="L82" s="2920"/>
      <c r="M82" s="2972"/>
      <c r="N82" s="2492"/>
      <c r="O82" s="2972"/>
      <c r="P82" s="4068" t="s">
        <v>12158</v>
      </c>
      <c r="Q82" s="681" t="s">
        <v>9226</v>
      </c>
      <c r="R82" s="681"/>
      <c r="S82" s="681" t="s">
        <v>10279</v>
      </c>
      <c r="T82" s="681"/>
      <c r="U82" s="681"/>
      <c r="V82" s="681"/>
      <c r="W82" s="681"/>
      <c r="X82" s="681"/>
      <c r="Y82" s="681"/>
      <c r="Z82" s="681"/>
    </row>
    <row r="83" spans="1:26" ht="60">
      <c r="A83" s="4055" t="s">
        <v>1945</v>
      </c>
      <c r="B83" s="4056" t="s">
        <v>12159</v>
      </c>
      <c r="C83" s="4057" t="s">
        <v>44</v>
      </c>
      <c r="D83" s="2911">
        <v>45617</v>
      </c>
      <c r="E83" s="2911">
        <v>45617</v>
      </c>
      <c r="F83" s="228" t="s">
        <v>93</v>
      </c>
      <c r="G83" s="2912" t="s">
        <v>12160</v>
      </c>
      <c r="H83" s="2911"/>
      <c r="I83" s="4039"/>
      <c r="J83" s="4545" t="s">
        <v>322</v>
      </c>
      <c r="K83" s="228" t="s">
        <v>12161</v>
      </c>
      <c r="L83" s="4059" t="s">
        <v>12162</v>
      </c>
      <c r="M83" s="2911"/>
      <c r="N83" s="2911"/>
      <c r="O83" s="2911"/>
      <c r="P83" s="4550" t="s">
        <v>12163</v>
      </c>
      <c r="Q83" s="4060" t="s">
        <v>9226</v>
      </c>
      <c r="R83" s="228"/>
      <c r="S83" s="228" t="s">
        <v>67</v>
      </c>
      <c r="T83" s="228"/>
      <c r="U83" s="228"/>
      <c r="V83" s="228"/>
      <c r="W83" s="228"/>
      <c r="X83" s="228"/>
      <c r="Y83" s="228"/>
      <c r="Z83" s="228"/>
    </row>
    <row r="84" spans="1:26">
      <c r="A84" s="5283" t="s">
        <v>4321</v>
      </c>
      <c r="B84" s="5926" t="s">
        <v>12164</v>
      </c>
      <c r="C84" s="5283" t="s">
        <v>28</v>
      </c>
      <c r="D84" s="5853">
        <v>45601</v>
      </c>
      <c r="E84" s="5911">
        <v>45610</v>
      </c>
      <c r="F84" s="5283" t="s">
        <v>56</v>
      </c>
      <c r="G84" s="5283" t="s">
        <v>46</v>
      </c>
      <c r="H84" s="5283"/>
      <c r="I84" s="5897"/>
      <c r="J84" s="5283" t="s">
        <v>32</v>
      </c>
      <c r="K84" s="5283" t="s">
        <v>10688</v>
      </c>
      <c r="L84" s="5283"/>
      <c r="M84" s="5283"/>
      <c r="N84" s="4874"/>
      <c r="O84" s="5283"/>
      <c r="P84" s="5283" t="s">
        <v>12165</v>
      </c>
      <c r="Q84" s="5283" t="s">
        <v>6852</v>
      </c>
      <c r="R84" s="5283"/>
      <c r="S84" s="5283"/>
      <c r="T84" s="5283"/>
      <c r="U84" s="5283"/>
      <c r="V84" s="5283"/>
      <c r="W84" s="5283"/>
      <c r="X84" s="5283"/>
      <c r="Y84" s="5283"/>
      <c r="Z84" s="5283"/>
    </row>
    <row r="85" spans="1:26">
      <c r="A85" s="5283" t="s">
        <v>2618</v>
      </c>
      <c r="B85" s="5283" t="s">
        <v>12166</v>
      </c>
      <c r="C85" s="5283" t="s">
        <v>451</v>
      </c>
      <c r="D85" s="5390">
        <v>45620</v>
      </c>
      <c r="E85" s="5390">
        <v>45620</v>
      </c>
      <c r="F85" s="5283" t="s">
        <v>151</v>
      </c>
      <c r="G85" s="5283" t="s">
        <v>582</v>
      </c>
      <c r="H85" s="5390"/>
      <c r="I85" s="5897"/>
      <c r="J85" s="5283"/>
      <c r="K85" s="5283"/>
      <c r="L85" s="5283"/>
      <c r="M85" s="5390"/>
      <c r="N85" s="4975"/>
      <c r="O85" s="5390"/>
      <c r="P85" s="5283" t="s">
        <v>12167</v>
      </c>
      <c r="Q85" s="5283" t="s">
        <v>9226</v>
      </c>
      <c r="R85" s="5283" t="s">
        <v>12168</v>
      </c>
      <c r="S85" s="4874" t="s">
        <v>1320</v>
      </c>
      <c r="T85" s="5283"/>
      <c r="U85" s="5283"/>
      <c r="V85" s="5283"/>
      <c r="W85" s="5283"/>
      <c r="X85" s="5283"/>
      <c r="Y85" s="5283"/>
      <c r="Z85" s="5283"/>
    </row>
    <row r="86" spans="1:26" s="106" customFormat="1">
      <c r="A86" s="5283" t="s">
        <v>2618</v>
      </c>
      <c r="B86" s="5283" t="s">
        <v>12169</v>
      </c>
      <c r="C86" s="5283" t="s">
        <v>200</v>
      </c>
      <c r="D86" s="5390">
        <v>45619</v>
      </c>
      <c r="E86" s="5390">
        <v>45619</v>
      </c>
      <c r="F86" s="5283" t="s">
        <v>151</v>
      </c>
      <c r="G86" s="5283" t="s">
        <v>582</v>
      </c>
      <c r="H86" s="5390"/>
      <c r="I86" s="5897"/>
      <c r="J86" s="5283"/>
      <c r="K86" s="5283"/>
      <c r="L86" s="5283"/>
      <c r="M86" s="5390"/>
      <c r="N86" s="4975"/>
      <c r="O86" s="5390"/>
      <c r="P86" s="5283" t="s">
        <v>12170</v>
      </c>
      <c r="Q86" s="5283" t="s">
        <v>9226</v>
      </c>
      <c r="R86" s="5283" t="s">
        <v>12171</v>
      </c>
      <c r="S86" s="4874" t="s">
        <v>1320</v>
      </c>
      <c r="T86" s="5283"/>
      <c r="U86" s="5283"/>
      <c r="V86" s="5283"/>
      <c r="W86" s="5283"/>
      <c r="X86" s="5283"/>
      <c r="Y86" s="5283"/>
      <c r="Z86" s="5283"/>
    </row>
    <row r="87" spans="1:26" s="106" customFormat="1">
      <c r="A87" s="5283" t="s">
        <v>3866</v>
      </c>
      <c r="B87" s="5283" t="s">
        <v>12172</v>
      </c>
      <c r="C87" s="5283" t="s">
        <v>28</v>
      </c>
      <c r="D87" s="5853">
        <v>45603</v>
      </c>
      <c r="E87" s="5853">
        <f>7+D87</f>
        <v>45610</v>
      </c>
      <c r="F87" s="5283" t="s">
        <v>45</v>
      </c>
      <c r="G87" s="5283" t="s">
        <v>46</v>
      </c>
      <c r="H87" s="5283"/>
      <c r="I87" s="5897"/>
      <c r="J87" s="5283" t="s">
        <v>32</v>
      </c>
      <c r="K87" s="5283" t="s">
        <v>10688</v>
      </c>
      <c r="L87" s="5283"/>
      <c r="M87" s="5283"/>
      <c r="N87" s="4874"/>
      <c r="O87" s="5283"/>
      <c r="P87" s="5283" t="s">
        <v>12173</v>
      </c>
      <c r="Q87" s="5283" t="s">
        <v>6852</v>
      </c>
      <c r="R87" s="5283"/>
      <c r="S87" s="5283"/>
      <c r="T87" s="5283"/>
      <c r="U87" s="5283"/>
      <c r="V87" s="5283"/>
      <c r="W87" s="5283"/>
      <c r="X87" s="5283"/>
      <c r="Y87" s="5283"/>
      <c r="Z87" s="5283"/>
    </row>
    <row r="88" spans="1:26">
      <c r="A88" s="4874" t="s">
        <v>409</v>
      </c>
      <c r="B88" s="5283" t="s">
        <v>12174</v>
      </c>
      <c r="C88" s="4874" t="s">
        <v>28</v>
      </c>
      <c r="D88" s="5853">
        <v>45603</v>
      </c>
      <c r="E88" s="5853">
        <f>7+D88</f>
        <v>45610</v>
      </c>
      <c r="F88" s="5283" t="s">
        <v>45</v>
      </c>
      <c r="G88" s="5283" t="s">
        <v>46</v>
      </c>
      <c r="H88" s="5283"/>
      <c r="I88" s="5897"/>
      <c r="J88" s="5283" t="s">
        <v>32</v>
      </c>
      <c r="K88" s="5283" t="s">
        <v>10688</v>
      </c>
      <c r="L88" s="5283"/>
      <c r="M88" s="5283"/>
      <c r="N88" s="4874"/>
      <c r="O88" s="5283"/>
      <c r="P88" s="5283" t="s">
        <v>12175</v>
      </c>
      <c r="Q88" s="5283" t="s">
        <v>6852</v>
      </c>
      <c r="R88" s="5283"/>
      <c r="S88" s="5283"/>
      <c r="T88" s="5283"/>
      <c r="U88" s="5283"/>
      <c r="V88" s="5283"/>
      <c r="W88" s="5283"/>
      <c r="X88" s="5283"/>
      <c r="Y88" s="5283"/>
      <c r="Z88" s="5283"/>
    </row>
    <row r="89" spans="1:26">
      <c r="A89" s="5283" t="s">
        <v>409</v>
      </c>
      <c r="B89" t="s">
        <v>12176</v>
      </c>
      <c r="C89" s="4874" t="s">
        <v>28</v>
      </c>
      <c r="D89" s="4975">
        <v>45614</v>
      </c>
      <c r="E89" s="4975">
        <v>45623</v>
      </c>
      <c r="F89" s="4874" t="s">
        <v>2225</v>
      </c>
      <c r="G89" s="5120" t="s">
        <v>12117</v>
      </c>
      <c r="H89" s="5390" t="s">
        <v>12177</v>
      </c>
      <c r="I89" s="5890" t="s">
        <v>12084</v>
      </c>
      <c r="J89" s="5283" t="s">
        <v>168</v>
      </c>
      <c r="K89" s="4874" t="s">
        <v>11000</v>
      </c>
      <c r="L89" s="5283"/>
      <c r="M89" s="5390"/>
      <c r="N89" s="4975"/>
      <c r="O89" s="5390"/>
      <c r="P89" s="5283" t="s">
        <v>12178</v>
      </c>
      <c r="Q89" s="5919" t="s">
        <v>11794</v>
      </c>
      <c r="R89" s="5283"/>
      <c r="S89" s="5283" t="s">
        <v>10279</v>
      </c>
      <c r="T89" s="5283"/>
      <c r="U89" s="5283"/>
      <c r="V89" s="5283"/>
      <c r="W89" s="5283"/>
      <c r="X89" s="5283"/>
      <c r="Y89" s="5283"/>
      <c r="Z89" s="5283"/>
    </row>
    <row r="90" spans="1:26">
      <c r="A90" s="5283" t="s">
        <v>2618</v>
      </c>
      <c r="B90" s="5283" t="s">
        <v>12179</v>
      </c>
      <c r="C90" s="5283" t="s">
        <v>451</v>
      </c>
      <c r="D90" s="5390">
        <v>45619</v>
      </c>
      <c r="E90" s="5390">
        <v>45619</v>
      </c>
      <c r="F90" s="5283" t="s">
        <v>260</v>
      </c>
      <c r="G90" s="5283" t="s">
        <v>11063</v>
      </c>
      <c r="H90" s="5390"/>
      <c r="I90" s="5897"/>
      <c r="J90" s="5283"/>
      <c r="K90" s="5283"/>
      <c r="L90" s="5283"/>
      <c r="M90" s="5390"/>
      <c r="N90" s="4975"/>
      <c r="O90" s="5390"/>
      <c r="P90" s="5283" t="s">
        <v>12180</v>
      </c>
      <c r="Q90" s="5283" t="s">
        <v>9226</v>
      </c>
      <c r="R90" s="5283" t="s">
        <v>12181</v>
      </c>
      <c r="S90" s="4874" t="s">
        <v>1320</v>
      </c>
      <c r="T90" s="5283"/>
      <c r="U90" s="5283"/>
      <c r="V90" s="5283"/>
      <c r="W90" s="5283"/>
      <c r="X90" s="5283"/>
      <c r="Y90" s="5283"/>
      <c r="Z90" s="5283"/>
    </row>
    <row r="91" spans="1:26" ht="30">
      <c r="A91" s="4874" t="s">
        <v>263</v>
      </c>
      <c r="B91" s="4971" t="s">
        <v>12182</v>
      </c>
      <c r="C91" s="4874" t="s">
        <v>44</v>
      </c>
      <c r="D91" s="4975">
        <v>45624</v>
      </c>
      <c r="E91" s="4975">
        <v>45624</v>
      </c>
      <c r="F91" s="4874" t="s">
        <v>151</v>
      </c>
      <c r="G91" s="5120" t="s">
        <v>12010</v>
      </c>
      <c r="H91" s="4975"/>
      <c r="I91" s="5890"/>
      <c r="J91" s="5516" t="s">
        <v>8758</v>
      </c>
      <c r="K91" s="4874" t="s">
        <v>9364</v>
      </c>
      <c r="L91" s="4971" t="s">
        <v>12183</v>
      </c>
      <c r="M91" s="4975"/>
      <c r="N91" s="4975"/>
      <c r="O91" s="4975"/>
      <c r="P91" s="4971" t="s">
        <v>12184</v>
      </c>
      <c r="Q91" s="4874" t="s">
        <v>75</v>
      </c>
      <c r="R91" s="4874"/>
      <c r="S91" s="4874" t="s">
        <v>67</v>
      </c>
      <c r="T91" s="4874"/>
      <c r="U91" s="4874"/>
      <c r="V91" s="4874"/>
      <c r="W91" s="4874"/>
      <c r="X91" s="4874"/>
      <c r="Y91" s="4874"/>
      <c r="Z91" s="4874"/>
    </row>
    <row r="92" spans="1:26">
      <c r="A92" s="5283" t="s">
        <v>2618</v>
      </c>
      <c r="B92" s="5283" t="s">
        <v>12185</v>
      </c>
      <c r="C92" s="5283" t="s">
        <v>200</v>
      </c>
      <c r="D92" s="5390">
        <v>45619</v>
      </c>
      <c r="E92" s="5390">
        <v>45619</v>
      </c>
      <c r="F92" s="5283" t="s">
        <v>260</v>
      </c>
      <c r="G92" s="5283" t="s">
        <v>11063</v>
      </c>
      <c r="H92" s="5390"/>
      <c r="I92" s="5897"/>
      <c r="J92" s="5283"/>
      <c r="K92" s="5283"/>
      <c r="L92" s="5283"/>
      <c r="M92" s="5390"/>
      <c r="N92" s="4975"/>
      <c r="O92" s="5390"/>
      <c r="P92" s="5283" t="s">
        <v>12180</v>
      </c>
      <c r="Q92" s="5283" t="s">
        <v>9226</v>
      </c>
      <c r="R92" s="5283" t="s">
        <v>12181</v>
      </c>
      <c r="S92" s="4874" t="s">
        <v>1320</v>
      </c>
      <c r="T92" s="5283"/>
      <c r="U92" s="5283"/>
      <c r="V92" s="5283"/>
      <c r="W92" s="5283"/>
      <c r="X92" s="5283"/>
      <c r="Y92" s="5283"/>
      <c r="Z92" s="5283"/>
    </row>
    <row r="93" spans="1:26">
      <c r="A93" s="5283" t="s">
        <v>11762</v>
      </c>
      <c r="B93" s="5283" t="s">
        <v>12186</v>
      </c>
      <c r="C93" s="5105" t="s">
        <v>55</v>
      </c>
      <c r="D93" s="4975">
        <v>45615</v>
      </c>
      <c r="E93" s="4975">
        <v>45621</v>
      </c>
      <c r="F93" s="5283" t="s">
        <v>11632</v>
      </c>
      <c r="G93" s="5283" t="s">
        <v>12187</v>
      </c>
      <c r="H93" s="5390"/>
      <c r="I93" s="5283"/>
      <c r="J93" s="5927" t="s">
        <v>3010</v>
      </c>
      <c r="K93" s="5283" t="s">
        <v>7364</v>
      </c>
      <c r="L93" s="5283"/>
      <c r="M93" s="5390"/>
      <c r="N93" s="4975"/>
      <c r="O93" s="5390"/>
      <c r="P93" s="5283" t="s">
        <v>12188</v>
      </c>
      <c r="Q93" s="4874" t="s">
        <v>9226</v>
      </c>
      <c r="R93" s="5283"/>
      <c r="S93" s="5283" t="s">
        <v>10279</v>
      </c>
      <c r="T93" s="5283"/>
      <c r="U93" s="5283"/>
      <c r="V93" s="5283"/>
      <c r="W93" s="5283"/>
      <c r="X93" s="5283"/>
      <c r="Y93" s="5283"/>
      <c r="Z93" s="5283"/>
    </row>
    <row r="94" spans="1:26" ht="17.25">
      <c r="A94" s="4874" t="s">
        <v>11762</v>
      </c>
      <c r="B94" s="5283" t="s">
        <v>12189</v>
      </c>
      <c r="C94" s="5283" t="s">
        <v>85</v>
      </c>
      <c r="D94" s="4975">
        <v>45615</v>
      </c>
      <c r="E94" s="4975">
        <v>45621</v>
      </c>
      <c r="F94" s="5283" t="s">
        <v>11632</v>
      </c>
      <c r="G94" s="5283" t="s">
        <v>12187</v>
      </c>
      <c r="H94" s="5390"/>
      <c r="I94" s="5897"/>
      <c r="J94" s="5927" t="s">
        <v>3010</v>
      </c>
      <c r="K94" s="5928" t="s">
        <v>7364</v>
      </c>
      <c r="L94" s="5283"/>
      <c r="M94" s="5390"/>
      <c r="N94" s="4975"/>
      <c r="O94" s="5390"/>
      <c r="P94" s="5283" t="s">
        <v>12190</v>
      </c>
      <c r="Q94" s="4874" t="s">
        <v>9226</v>
      </c>
      <c r="R94" s="5283"/>
      <c r="S94" s="4874" t="s">
        <v>10279</v>
      </c>
      <c r="T94" s="5283"/>
      <c r="U94" s="5283"/>
      <c r="V94" s="5283"/>
      <c r="W94" s="5283"/>
      <c r="X94" s="5283"/>
      <c r="Y94" s="5283"/>
      <c r="Z94" s="5283"/>
    </row>
    <row r="95" spans="1:26">
      <c r="A95" s="5283" t="s">
        <v>12191</v>
      </c>
      <c r="B95" s="5283" t="s">
        <v>12192</v>
      </c>
      <c r="C95" s="5283" t="s">
        <v>28</v>
      </c>
      <c r="D95" s="5390">
        <v>45628</v>
      </c>
      <c r="E95" s="4975">
        <v>45628</v>
      </c>
      <c r="F95" s="5283" t="s">
        <v>10309</v>
      </c>
      <c r="G95" s="5283" t="s">
        <v>12193</v>
      </c>
      <c r="H95" s="5929" t="s">
        <v>12129</v>
      </c>
      <c r="I95" s="5897"/>
      <c r="J95" s="5930"/>
      <c r="K95" s="5283" t="s">
        <v>12194</v>
      </c>
      <c r="L95" s="5283"/>
      <c r="M95" s="5390"/>
      <c r="N95" s="4975"/>
      <c r="O95" s="5390"/>
      <c r="P95" s="5283" t="s">
        <v>12195</v>
      </c>
      <c r="Q95" s="5919" t="s">
        <v>11794</v>
      </c>
      <c r="R95" s="5283"/>
      <c r="S95" s="4874" t="s">
        <v>10279</v>
      </c>
      <c r="T95" s="5283"/>
      <c r="U95" s="5283"/>
      <c r="V95" s="5283"/>
      <c r="W95" s="5283"/>
      <c r="X95" s="5283"/>
      <c r="Y95" s="5283"/>
      <c r="Z95" s="5283"/>
    </row>
    <row r="96" spans="1:26">
      <c r="A96" s="5283" t="s">
        <v>12191</v>
      </c>
      <c r="B96" s="5283" t="s">
        <v>12196</v>
      </c>
      <c r="C96" s="5283" t="s">
        <v>28</v>
      </c>
      <c r="D96" s="5390">
        <v>45628</v>
      </c>
      <c r="E96" s="4975">
        <v>45628</v>
      </c>
      <c r="F96" s="5283" t="s">
        <v>10309</v>
      </c>
      <c r="G96" s="5283" t="s">
        <v>12193</v>
      </c>
      <c r="H96" s="5929" t="s">
        <v>12129</v>
      </c>
      <c r="I96" s="5897"/>
      <c r="J96" s="5930"/>
      <c r="K96" s="5283" t="s">
        <v>12197</v>
      </c>
      <c r="L96" s="5283"/>
      <c r="M96" s="5390"/>
      <c r="N96" s="4975"/>
      <c r="O96" s="5390"/>
      <c r="P96" s="5283" t="s">
        <v>12195</v>
      </c>
      <c r="Q96" s="5919" t="s">
        <v>11794</v>
      </c>
      <c r="R96" s="5283"/>
      <c r="S96" s="4874" t="s">
        <v>10279</v>
      </c>
      <c r="T96" s="5283"/>
      <c r="U96" s="5283"/>
      <c r="V96" s="5283"/>
      <c r="W96" s="5283"/>
      <c r="X96" s="5283"/>
      <c r="Y96" s="5283"/>
      <c r="Z96" s="5283"/>
    </row>
    <row r="97" spans="1:26">
      <c r="A97" s="4874" t="s">
        <v>409</v>
      </c>
      <c r="B97" s="5283" t="s">
        <v>12198</v>
      </c>
      <c r="C97" s="4874" t="s">
        <v>28</v>
      </c>
      <c r="D97" s="5853">
        <v>45603</v>
      </c>
      <c r="E97" s="5853">
        <f>7+D97</f>
        <v>45610</v>
      </c>
      <c r="F97" s="5283" t="s">
        <v>45</v>
      </c>
      <c r="G97" s="5283" t="s">
        <v>46</v>
      </c>
      <c r="H97" s="5283"/>
      <c r="I97" s="5897"/>
      <c r="J97" s="5283" t="s">
        <v>32</v>
      </c>
      <c r="K97" s="5283" t="s">
        <v>10688</v>
      </c>
      <c r="L97" s="5283"/>
      <c r="M97" s="5283"/>
      <c r="N97" s="4874"/>
      <c r="O97" s="5283"/>
      <c r="P97" s="5283" t="s">
        <v>12199</v>
      </c>
      <c r="Q97" s="5283" t="s">
        <v>6852</v>
      </c>
      <c r="R97" s="5283"/>
      <c r="S97" s="5283"/>
      <c r="T97" s="5283"/>
      <c r="U97" s="5283"/>
      <c r="V97" s="5283"/>
      <c r="W97" s="5283"/>
      <c r="X97" s="5283"/>
      <c r="Y97" s="5283"/>
      <c r="Z97" s="5283"/>
    </row>
    <row r="98" spans="1:26">
      <c r="A98" s="4874" t="s">
        <v>7932</v>
      </c>
      <c r="B98" s="5283" t="s">
        <v>12200</v>
      </c>
      <c r="C98" s="5283" t="s">
        <v>12200</v>
      </c>
      <c r="D98" s="5390">
        <v>45629</v>
      </c>
      <c r="E98" s="4975">
        <v>45629</v>
      </c>
      <c r="F98" s="5283" t="s">
        <v>260</v>
      </c>
      <c r="G98" s="5283" t="s">
        <v>6204</v>
      </c>
      <c r="H98" s="5390"/>
      <c r="I98" s="5897"/>
      <c r="J98" s="5283" t="s">
        <v>11968</v>
      </c>
      <c r="K98" s="5283" t="s">
        <v>12145</v>
      </c>
      <c r="L98" s="5283"/>
      <c r="M98" s="5390"/>
      <c r="N98" s="4975"/>
      <c r="O98" s="5390"/>
      <c r="P98" s="5283" t="s">
        <v>12201</v>
      </c>
      <c r="Q98" s="5919" t="s">
        <v>11794</v>
      </c>
      <c r="R98" s="5283"/>
      <c r="S98" s="4874" t="s">
        <v>10279</v>
      </c>
      <c r="T98" s="5283"/>
      <c r="U98" s="5283"/>
      <c r="V98" s="5283"/>
      <c r="W98" s="5283"/>
      <c r="X98" s="5283"/>
      <c r="Y98" s="5283"/>
      <c r="Z98" s="5283"/>
    </row>
    <row r="99" spans="1:26">
      <c r="A99" s="5283" t="s">
        <v>2618</v>
      </c>
      <c r="B99" s="5283" t="s">
        <v>12202</v>
      </c>
      <c r="C99" s="5283" t="s">
        <v>451</v>
      </c>
      <c r="D99" s="5390">
        <v>45624</v>
      </c>
      <c r="E99" s="5390">
        <v>45624</v>
      </c>
      <c r="F99" s="5283" t="s">
        <v>151</v>
      </c>
      <c r="G99" s="5283" t="s">
        <v>12203</v>
      </c>
      <c r="H99" s="5390"/>
      <c r="I99" s="5897"/>
      <c r="J99" s="5283"/>
      <c r="K99" s="5283"/>
      <c r="L99" s="5283"/>
      <c r="M99" s="5390"/>
      <c r="N99" s="4975"/>
      <c r="O99" s="5390"/>
      <c r="P99" s="5283" t="s">
        <v>12204</v>
      </c>
      <c r="Q99" s="5283" t="s">
        <v>9226</v>
      </c>
      <c r="R99" s="5283" t="s">
        <v>12205</v>
      </c>
      <c r="S99" s="4874" t="s">
        <v>1320</v>
      </c>
      <c r="T99" s="5283"/>
      <c r="U99" s="5283"/>
      <c r="V99" s="5283"/>
      <c r="W99" s="5283"/>
      <c r="X99" s="5283"/>
      <c r="Y99" s="5283"/>
      <c r="Z99" s="5283"/>
    </row>
    <row r="100" spans="1:26">
      <c r="A100" s="4874" t="s">
        <v>263</v>
      </c>
      <c r="B100" s="4874" t="s">
        <v>12206</v>
      </c>
      <c r="C100" s="4874" t="s">
        <v>44</v>
      </c>
      <c r="D100" s="4975">
        <v>45631</v>
      </c>
      <c r="E100" s="5923">
        <v>45631</v>
      </c>
      <c r="F100" s="4874" t="s">
        <v>93</v>
      </c>
      <c r="G100" s="4874" t="s">
        <v>6295</v>
      </c>
      <c r="H100" s="4975"/>
      <c r="I100" s="5890"/>
      <c r="J100" s="5931"/>
      <c r="K100" s="4874" t="s">
        <v>9364</v>
      </c>
      <c r="L100" s="4874" t="s">
        <v>12207</v>
      </c>
      <c r="M100" s="4975"/>
      <c r="N100" s="4975"/>
      <c r="O100" s="4975"/>
      <c r="P100" s="4971" t="s">
        <v>12208</v>
      </c>
      <c r="Q100" s="4874" t="s">
        <v>75</v>
      </c>
      <c r="R100" s="4874"/>
      <c r="S100" s="4874" t="s">
        <v>67</v>
      </c>
      <c r="T100" s="4874"/>
      <c r="U100" s="4874"/>
      <c r="V100" s="4874"/>
      <c r="W100" s="4874"/>
      <c r="X100" s="4874"/>
      <c r="Y100" s="4874"/>
      <c r="Z100" s="4874"/>
    </row>
    <row r="101" spans="1:26">
      <c r="A101" s="4874" t="s">
        <v>11762</v>
      </c>
      <c r="B101" s="4971" t="s">
        <v>12209</v>
      </c>
      <c r="C101" s="4874" t="s">
        <v>28</v>
      </c>
      <c r="D101" s="5086">
        <v>45620</v>
      </c>
      <c r="E101" s="5086">
        <v>45624</v>
      </c>
      <c r="F101" s="4874" t="s">
        <v>45</v>
      </c>
      <c r="G101" s="4971" t="s">
        <v>4312</v>
      </c>
      <c r="H101" s="5086"/>
      <c r="I101" s="5916"/>
      <c r="J101" s="5891" t="s">
        <v>673</v>
      </c>
      <c r="K101" s="4971" t="s">
        <v>10439</v>
      </c>
      <c r="L101" s="4971"/>
      <c r="M101" s="5086"/>
      <c r="N101" s="5086"/>
      <c r="O101" s="5086"/>
      <c r="P101" s="4971" t="s">
        <v>12210</v>
      </c>
      <c r="Q101" s="4874" t="s">
        <v>9226</v>
      </c>
      <c r="R101" s="4874"/>
      <c r="S101" s="4874" t="s">
        <v>10279</v>
      </c>
      <c r="T101" s="4971"/>
      <c r="U101" s="4971"/>
      <c r="V101" s="4971"/>
      <c r="W101" s="4971"/>
      <c r="X101" s="5888"/>
      <c r="Y101" s="4971"/>
      <c r="Z101" s="4971"/>
    </row>
    <row r="102" spans="1:26">
      <c r="A102" s="4874" t="s">
        <v>409</v>
      </c>
      <c r="B102" s="52" t="s">
        <v>12211</v>
      </c>
      <c r="C102" s="4874" t="s">
        <v>28</v>
      </c>
      <c r="D102" s="5853">
        <v>45603</v>
      </c>
      <c r="E102" s="5853">
        <f>7+D102</f>
        <v>45610</v>
      </c>
      <c r="F102" s="5283" t="s">
        <v>45</v>
      </c>
      <c r="G102" s="5283" t="s">
        <v>46</v>
      </c>
      <c r="H102" s="5283"/>
      <c r="I102" s="5897"/>
      <c r="J102" s="5283" t="s">
        <v>32</v>
      </c>
      <c r="K102" s="5283" t="s">
        <v>10688</v>
      </c>
      <c r="L102" s="5283"/>
      <c r="M102" s="5283"/>
      <c r="N102" s="4874"/>
      <c r="O102" s="5283"/>
      <c r="P102" s="5283" t="s">
        <v>12212</v>
      </c>
      <c r="Q102" s="5283" t="s">
        <v>6852</v>
      </c>
      <c r="R102" s="5283"/>
      <c r="S102" s="5283"/>
      <c r="T102" s="5283"/>
      <c r="U102" s="5283"/>
      <c r="V102" s="5283"/>
      <c r="W102" s="5283"/>
      <c r="X102" s="5283"/>
      <c r="Y102" s="5283"/>
      <c r="Z102" s="5283"/>
    </row>
    <row r="103" spans="1:26" ht="30">
      <c r="A103" s="4971" t="s">
        <v>11674</v>
      </c>
      <c r="B103" s="4971" t="s">
        <v>12213</v>
      </c>
      <c r="C103" s="4971" t="s">
        <v>28</v>
      </c>
      <c r="D103" s="4975">
        <v>45631</v>
      </c>
      <c r="E103" s="4975">
        <v>45631</v>
      </c>
      <c r="F103" s="5853" t="s">
        <v>260</v>
      </c>
      <c r="G103" s="5283" t="s">
        <v>12214</v>
      </c>
      <c r="H103" s="5390"/>
      <c r="I103" s="5897"/>
      <c r="J103" s="5932"/>
      <c r="K103" s="5283" t="s">
        <v>12215</v>
      </c>
      <c r="L103" s="5283"/>
      <c r="M103" s="5390"/>
      <c r="N103" s="4975"/>
      <c r="O103" s="5390"/>
      <c r="P103" s="5283" t="s">
        <v>12216</v>
      </c>
      <c r="Q103" s="5483" t="s">
        <v>9226</v>
      </c>
      <c r="R103" s="5283"/>
      <c r="S103" s="5120" t="s">
        <v>11546</v>
      </c>
      <c r="T103" s="5283"/>
      <c r="U103" s="5283"/>
      <c r="V103" s="5283"/>
      <c r="W103" s="5283"/>
      <c r="X103" s="5283"/>
      <c r="Y103" s="5283"/>
      <c r="Z103" s="5283"/>
    </row>
    <row r="104" spans="1:26">
      <c r="A104" s="5283" t="s">
        <v>1353</v>
      </c>
      <c r="B104" s="5283" t="s">
        <v>12217</v>
      </c>
      <c r="C104" s="5283" t="s">
        <v>200</v>
      </c>
      <c r="D104" s="5853"/>
      <c r="E104" s="5850">
        <v>45600</v>
      </c>
      <c r="F104" s="5283" t="s">
        <v>151</v>
      </c>
      <c r="G104" s="5283"/>
      <c r="H104" s="5631">
        <v>45600</v>
      </c>
      <c r="I104" s="5897"/>
      <c r="J104" s="5283" t="s">
        <v>162</v>
      </c>
      <c r="K104" s="5283" t="s">
        <v>10688</v>
      </c>
      <c r="L104" s="5283"/>
      <c r="M104" s="5631"/>
      <c r="N104" s="5602">
        <v>45600</v>
      </c>
      <c r="O104" s="5283"/>
      <c r="P104" s="5283" t="s">
        <v>11892</v>
      </c>
      <c r="Q104" s="5283" t="s">
        <v>11887</v>
      </c>
      <c r="R104" s="5283"/>
      <c r="S104" s="5283"/>
      <c r="T104" s="5283"/>
      <c r="U104" s="5283"/>
      <c r="V104" s="5283"/>
      <c r="W104" s="5283"/>
      <c r="X104" s="5283"/>
      <c r="Y104" s="5283"/>
      <c r="Z104" s="5283"/>
    </row>
    <row r="105" spans="1:26">
      <c r="A105" s="3067" t="s">
        <v>1353</v>
      </c>
      <c r="B105" s="3067" t="s">
        <v>12218</v>
      </c>
      <c r="C105" s="3067" t="s">
        <v>200</v>
      </c>
      <c r="D105" s="4065"/>
      <c r="E105" s="4734">
        <v>45600</v>
      </c>
      <c r="F105" s="3067" t="s">
        <v>151</v>
      </c>
      <c r="G105" s="3067"/>
      <c r="H105" s="3882">
        <v>45600</v>
      </c>
      <c r="I105" s="3070"/>
      <c r="J105" s="3067" t="s">
        <v>162</v>
      </c>
      <c r="K105" s="3067" t="s">
        <v>10688</v>
      </c>
      <c r="L105" s="3067"/>
      <c r="M105" s="3882"/>
      <c r="N105" s="3553">
        <v>45600</v>
      </c>
      <c r="O105" s="3067"/>
      <c r="P105" s="3067" t="s">
        <v>11892</v>
      </c>
      <c r="Q105" s="3067" t="s">
        <v>11887</v>
      </c>
      <c r="R105" s="3067"/>
      <c r="S105" s="3067"/>
      <c r="T105" s="3067"/>
      <c r="U105" s="3067"/>
      <c r="V105" s="3067"/>
      <c r="W105" s="3067"/>
      <c r="X105" s="3067"/>
      <c r="Y105" s="3067"/>
      <c r="Z105" s="3067"/>
    </row>
    <row r="106" spans="1:26" s="681" customFormat="1">
      <c r="A106" s="681" t="s">
        <v>2966</v>
      </c>
      <c r="B106" s="681" t="s">
        <v>12219</v>
      </c>
      <c r="C106" s="681" t="s">
        <v>28</v>
      </c>
      <c r="D106" s="732">
        <v>45602</v>
      </c>
      <c r="E106" s="4732">
        <v>45611</v>
      </c>
      <c r="F106" s="681" t="s">
        <v>45</v>
      </c>
      <c r="G106" s="681" t="s">
        <v>11945</v>
      </c>
      <c r="H106" s="4733" t="s">
        <v>12129</v>
      </c>
      <c r="I106" s="3066"/>
      <c r="L106" s="681" t="s">
        <v>9917</v>
      </c>
      <c r="M106" s="732"/>
      <c r="N106" s="818"/>
      <c r="O106" s="732"/>
      <c r="P106" s="681" t="s">
        <v>12220</v>
      </c>
      <c r="Q106" s="681" t="s">
        <v>9226</v>
      </c>
      <c r="R106" s="681" t="s">
        <v>12221</v>
      </c>
      <c r="S106" s="93" t="s">
        <v>1320</v>
      </c>
    </row>
    <row r="107" spans="1:26">
      <c r="A107" s="4487" t="s">
        <v>3866</v>
      </c>
      <c r="B107" s="2908" t="s">
        <v>12222</v>
      </c>
      <c r="C107" s="2908" t="s">
        <v>28</v>
      </c>
      <c r="D107" s="2909">
        <v>45628</v>
      </c>
      <c r="E107" s="4078">
        <v>45634</v>
      </c>
      <c r="F107" s="4735" t="s">
        <v>260</v>
      </c>
      <c r="G107" s="2908" t="s">
        <v>12223</v>
      </c>
      <c r="H107" s="2909"/>
      <c r="I107" s="4736"/>
      <c r="J107" s="2908"/>
      <c r="K107" s="2908" t="s">
        <v>436</v>
      </c>
      <c r="L107" s="4487"/>
      <c r="M107" s="2909"/>
      <c r="N107" s="2911"/>
      <c r="O107" s="2909"/>
      <c r="P107" s="2908" t="s">
        <v>12224</v>
      </c>
      <c r="Q107" s="4487" t="s">
        <v>11794</v>
      </c>
      <c r="R107" s="2908"/>
      <c r="S107" s="228" t="s">
        <v>10279</v>
      </c>
      <c r="T107" s="2908"/>
      <c r="U107" s="2908"/>
      <c r="V107" s="2908"/>
      <c r="W107" s="2908"/>
      <c r="X107" s="2908"/>
      <c r="Y107" s="2908"/>
      <c r="Z107" s="2908"/>
    </row>
    <row r="108" spans="1:26">
      <c r="A108" s="4377" t="s">
        <v>263</v>
      </c>
      <c r="B108" s="3067" t="s">
        <v>12225</v>
      </c>
      <c r="C108" s="4874" t="s">
        <v>44</v>
      </c>
      <c r="D108" s="3068">
        <v>45630</v>
      </c>
      <c r="E108" s="3069">
        <v>45630</v>
      </c>
      <c r="F108" s="3067" t="s">
        <v>135</v>
      </c>
      <c r="G108" s="3067" t="s">
        <v>10388</v>
      </c>
      <c r="H108" s="3068"/>
      <c r="I108" s="3070"/>
      <c r="J108" s="3067"/>
      <c r="K108" s="3067" t="s">
        <v>12226</v>
      </c>
      <c r="L108" s="4377" t="s">
        <v>12227</v>
      </c>
      <c r="M108" s="3068"/>
      <c r="N108" s="3069"/>
      <c r="O108" s="3068"/>
      <c r="P108" s="3067" t="s">
        <v>12228</v>
      </c>
      <c r="Q108" s="4377" t="s">
        <v>75</v>
      </c>
      <c r="R108" s="3067"/>
      <c r="S108" s="4377" t="s">
        <v>67</v>
      </c>
      <c r="T108" s="3067"/>
      <c r="U108" s="3067"/>
      <c r="V108" s="3067"/>
      <c r="W108" s="3067"/>
      <c r="X108" s="3067"/>
      <c r="Y108" s="3067"/>
      <c r="Z108" s="3067"/>
    </row>
    <row r="109" spans="1:26" s="681" customFormat="1" ht="30">
      <c r="A109" s="4433" t="s">
        <v>3866</v>
      </c>
      <c r="B109" s="681" t="s">
        <v>12229</v>
      </c>
      <c r="C109" s="681" t="s">
        <v>28</v>
      </c>
      <c r="D109" s="732">
        <v>45628</v>
      </c>
      <c r="E109" s="3072">
        <v>45634</v>
      </c>
      <c r="F109" s="3071" t="s">
        <v>260</v>
      </c>
      <c r="G109" s="4011" t="s">
        <v>12223</v>
      </c>
      <c r="H109" s="732"/>
      <c r="I109" s="3066"/>
      <c r="K109" s="681" t="s">
        <v>436</v>
      </c>
      <c r="L109" s="4433"/>
      <c r="M109" s="732"/>
      <c r="N109" s="818"/>
      <c r="O109" s="732"/>
      <c r="P109" s="1206" t="s">
        <v>12230</v>
      </c>
      <c r="Q109" s="4433" t="s">
        <v>11794</v>
      </c>
      <c r="S109" s="4874" t="s">
        <v>10279</v>
      </c>
    </row>
    <row r="110" spans="1:26" s="705" customFormat="1">
      <c r="A110" s="705" t="s">
        <v>12191</v>
      </c>
      <c r="B110" s="705" t="s">
        <v>12231</v>
      </c>
      <c r="C110" s="705" t="s">
        <v>28</v>
      </c>
      <c r="D110" s="1208">
        <v>45292</v>
      </c>
      <c r="E110" s="3073">
        <v>45292</v>
      </c>
      <c r="F110" s="705" t="s">
        <v>245</v>
      </c>
      <c r="G110" s="52" t="s">
        <v>12193</v>
      </c>
      <c r="H110" s="4012" t="s">
        <v>12129</v>
      </c>
      <c r="I110" s="3074"/>
      <c r="J110" s="4013"/>
      <c r="K110" s="705" t="s">
        <v>6955</v>
      </c>
      <c r="M110" s="1208"/>
      <c r="N110" s="646"/>
      <c r="O110" s="1208"/>
      <c r="P110" s="705" t="s">
        <v>12232</v>
      </c>
      <c r="Q110" s="4014" t="s">
        <v>11794</v>
      </c>
      <c r="S110" s="3075" t="s">
        <v>10279</v>
      </c>
    </row>
    <row r="111" spans="1:26">
      <c r="A111" s="28" t="s">
        <v>3866</v>
      </c>
      <c r="B111" s="3204" t="s">
        <v>12233</v>
      </c>
      <c r="C111" s="3055" t="s">
        <v>28</v>
      </c>
      <c r="D111" s="3129">
        <v>45580</v>
      </c>
      <c r="E111" s="4015">
        <v>45597</v>
      </c>
      <c r="F111" s="28" t="s">
        <v>135</v>
      </c>
      <c r="G111" s="28" t="s">
        <v>57</v>
      </c>
      <c r="H111" s="28"/>
      <c r="I111" s="28"/>
      <c r="J111" s="28" t="s">
        <v>32</v>
      </c>
      <c r="K111" s="681" t="s">
        <v>10688</v>
      </c>
      <c r="L111" s="28">
        <v>1359924</v>
      </c>
      <c r="M111" s="3131">
        <v>45598</v>
      </c>
      <c r="N111" s="3131">
        <v>45597</v>
      </c>
      <c r="O111" s="3131">
        <v>45601</v>
      </c>
      <c r="P111" s="28" t="s">
        <v>12234</v>
      </c>
      <c r="Q111" s="4892" t="s">
        <v>6852</v>
      </c>
      <c r="R111" s="28"/>
      <c r="S111" s="28"/>
      <c r="T111" s="28"/>
      <c r="U111" s="28"/>
      <c r="V111" s="28"/>
      <c r="W111" s="28"/>
      <c r="X111" s="28"/>
      <c r="Y111" s="28"/>
      <c r="Z111" s="28"/>
    </row>
    <row r="112" spans="1:26">
      <c r="A112" s="681" t="s">
        <v>10857</v>
      </c>
      <c r="B112" s="3204" t="s">
        <v>12235</v>
      </c>
      <c r="C112" s="28" t="s">
        <v>28</v>
      </c>
      <c r="D112" s="3129">
        <v>45586</v>
      </c>
      <c r="E112" s="4015">
        <v>45597</v>
      </c>
      <c r="F112" s="28" t="s">
        <v>135</v>
      </c>
      <c r="G112" s="28" t="s">
        <v>57</v>
      </c>
      <c r="H112" s="28"/>
      <c r="I112" s="28"/>
      <c r="J112" s="28" t="s">
        <v>32</v>
      </c>
      <c r="K112" s="681" t="s">
        <v>10688</v>
      </c>
      <c r="L112" s="28">
        <v>1359907</v>
      </c>
      <c r="M112" s="3129">
        <v>45598</v>
      </c>
      <c r="N112" s="3131">
        <v>45597</v>
      </c>
      <c r="O112" s="3131">
        <v>45602</v>
      </c>
      <c r="P112" s="28" t="s">
        <v>12236</v>
      </c>
      <c r="Q112" s="28" t="s">
        <v>6852</v>
      </c>
      <c r="R112" s="28"/>
      <c r="S112" s="28"/>
      <c r="T112" s="28"/>
      <c r="U112" s="28"/>
      <c r="V112" s="28"/>
      <c r="W112" s="28"/>
      <c r="X112" s="4016"/>
      <c r="Y112" s="28"/>
      <c r="Z112" s="28"/>
    </row>
    <row r="113" spans="1:26">
      <c r="A113" s="93" t="s">
        <v>11762</v>
      </c>
      <c r="B113" s="681" t="s">
        <v>12237</v>
      </c>
      <c r="C113" s="93" t="s">
        <v>28</v>
      </c>
      <c r="D113" s="818">
        <v>45618</v>
      </c>
      <c r="E113" s="818">
        <v>45625</v>
      </c>
      <c r="F113" s="681" t="s">
        <v>167</v>
      </c>
      <c r="G113" s="681" t="s">
        <v>12238</v>
      </c>
      <c r="H113" s="732"/>
      <c r="I113" s="3066"/>
      <c r="J113" s="4043"/>
      <c r="K113" s="681" t="s">
        <v>7364</v>
      </c>
      <c r="L113" s="681"/>
      <c r="M113" s="732"/>
      <c r="N113" s="818"/>
      <c r="O113" s="732"/>
      <c r="P113" s="681" t="s">
        <v>12239</v>
      </c>
      <c r="Q113" s="681" t="s">
        <v>9226</v>
      </c>
      <c r="R113" s="681"/>
      <c r="S113" s="681" t="s">
        <v>10279</v>
      </c>
      <c r="T113" s="681"/>
      <c r="U113" s="681"/>
      <c r="V113" s="681"/>
      <c r="W113" s="681"/>
      <c r="X113" s="681"/>
      <c r="Y113" s="681"/>
      <c r="Z113" s="681"/>
    </row>
    <row r="114" spans="1:26">
      <c r="A114" s="681" t="s">
        <v>2618</v>
      </c>
      <c r="B114" s="681" t="s">
        <v>12240</v>
      </c>
      <c r="C114" s="681" t="s">
        <v>451</v>
      </c>
      <c r="D114" s="732">
        <v>45626</v>
      </c>
      <c r="E114" s="732">
        <v>45626</v>
      </c>
      <c r="F114" s="681" t="s">
        <v>260</v>
      </c>
      <c r="G114" s="681" t="s">
        <v>11063</v>
      </c>
      <c r="H114" s="732"/>
      <c r="I114" s="3066"/>
      <c r="J114" s="681"/>
      <c r="K114" s="681"/>
      <c r="L114" s="681"/>
      <c r="M114" s="732"/>
      <c r="N114" s="818"/>
      <c r="O114" s="732"/>
      <c r="P114" s="681" t="s">
        <v>12241</v>
      </c>
      <c r="Q114" s="681" t="s">
        <v>9226</v>
      </c>
      <c r="R114" s="681" t="s">
        <v>12242</v>
      </c>
      <c r="S114" s="93" t="s">
        <v>1320</v>
      </c>
      <c r="T114" s="681"/>
      <c r="U114" s="681"/>
      <c r="V114" s="681"/>
      <c r="W114" s="681"/>
      <c r="X114" s="681"/>
      <c r="Y114" s="681"/>
      <c r="Z114" s="681"/>
    </row>
    <row r="115" spans="1:26">
      <c r="A115" s="681" t="s">
        <v>409</v>
      </c>
      <c r="B115" s="3204" t="s">
        <v>12243</v>
      </c>
      <c r="C115" s="681" t="s">
        <v>28</v>
      </c>
      <c r="D115" s="3129">
        <v>45584</v>
      </c>
      <c r="E115" s="4015">
        <v>45600</v>
      </c>
      <c r="F115" s="28" t="s">
        <v>151</v>
      </c>
      <c r="G115" s="28" t="s">
        <v>46</v>
      </c>
      <c r="H115" s="28"/>
      <c r="I115" s="28"/>
      <c r="J115" s="28" t="s">
        <v>32</v>
      </c>
      <c r="K115" s="681" t="s">
        <v>10688</v>
      </c>
      <c r="L115" s="28" t="s">
        <v>12244</v>
      </c>
      <c r="M115" s="3129">
        <v>45601</v>
      </c>
      <c r="N115" s="3131">
        <v>45599</v>
      </c>
      <c r="O115" s="3131">
        <v>45601</v>
      </c>
      <c r="P115" s="28" t="s">
        <v>12245</v>
      </c>
      <c r="Q115" s="28" t="s">
        <v>6852</v>
      </c>
      <c r="R115" s="28"/>
      <c r="S115" s="28"/>
      <c r="T115" s="28"/>
      <c r="U115" s="28"/>
      <c r="V115" s="28"/>
      <c r="W115" s="28"/>
      <c r="X115" s="28"/>
      <c r="Y115" s="28"/>
      <c r="Z115" s="28"/>
    </row>
    <row r="116" spans="1:26">
      <c r="A116" s="681" t="s">
        <v>409</v>
      </c>
      <c r="B116" s="3204" t="s">
        <v>12246</v>
      </c>
      <c r="C116" s="681" t="s">
        <v>28</v>
      </c>
      <c r="D116" s="3129">
        <v>45584</v>
      </c>
      <c r="E116" s="4015">
        <v>45600</v>
      </c>
      <c r="F116" s="681" t="s">
        <v>45</v>
      </c>
      <c r="G116" s="28" t="s">
        <v>46</v>
      </c>
      <c r="H116" s="28"/>
      <c r="I116" s="28"/>
      <c r="J116" s="28" t="s">
        <v>32</v>
      </c>
      <c r="K116" s="681" t="s">
        <v>10688</v>
      </c>
      <c r="L116" s="28" t="s">
        <v>12247</v>
      </c>
      <c r="M116" s="3129">
        <v>45599</v>
      </c>
      <c r="N116" s="3131">
        <v>45597</v>
      </c>
      <c r="O116" s="3131">
        <v>45601</v>
      </c>
      <c r="P116" s="28" t="s">
        <v>12248</v>
      </c>
      <c r="Q116" s="28" t="s">
        <v>6852</v>
      </c>
      <c r="R116" s="28"/>
      <c r="S116" s="28"/>
      <c r="T116" s="28"/>
      <c r="U116" s="28"/>
      <c r="V116" s="28"/>
      <c r="W116" s="28"/>
      <c r="X116" s="28"/>
      <c r="Y116" s="28"/>
      <c r="Z116" s="28"/>
    </row>
    <row r="117" spans="1:26">
      <c r="A117" s="681" t="s">
        <v>409</v>
      </c>
      <c r="B117" s="4017" t="s">
        <v>12249</v>
      </c>
      <c r="C117" s="681" t="s">
        <v>28</v>
      </c>
      <c r="D117" s="3129">
        <v>45548</v>
      </c>
      <c r="E117" s="4018">
        <v>45601</v>
      </c>
      <c r="F117" s="28" t="s">
        <v>2225</v>
      </c>
      <c r="G117" s="28" t="s">
        <v>57</v>
      </c>
      <c r="H117" s="681"/>
      <c r="I117" s="681"/>
      <c r="J117" s="681" t="s">
        <v>32</v>
      </c>
      <c r="K117" s="681" t="s">
        <v>10688</v>
      </c>
      <c r="L117" s="1206">
        <v>2074155</v>
      </c>
      <c r="M117" s="4019">
        <v>45602</v>
      </c>
      <c r="N117" s="4020">
        <v>45601</v>
      </c>
      <c r="O117" s="4020">
        <v>45603</v>
      </c>
      <c r="P117" s="681" t="s">
        <v>12250</v>
      </c>
      <c r="Q117" s="681" t="s">
        <v>6852</v>
      </c>
      <c r="R117" s="28"/>
      <c r="S117" s="28"/>
      <c r="T117" s="28"/>
      <c r="U117" s="28"/>
      <c r="V117" s="28"/>
      <c r="W117" s="28"/>
      <c r="X117" s="28"/>
      <c r="Y117" s="28"/>
      <c r="Z117" s="28"/>
    </row>
    <row r="118" spans="1:26">
      <c r="A118" s="681" t="s">
        <v>409</v>
      </c>
      <c r="B118" s="3204" t="s">
        <v>12251</v>
      </c>
      <c r="C118" s="28" t="s">
        <v>28</v>
      </c>
      <c r="D118" s="3129">
        <v>45569</v>
      </c>
      <c r="E118" s="4015">
        <v>45601</v>
      </c>
      <c r="F118" s="28" t="s">
        <v>151</v>
      </c>
      <c r="G118" s="28" t="s">
        <v>46</v>
      </c>
      <c r="H118" s="28"/>
      <c r="I118" s="28"/>
      <c r="J118" s="28" t="s">
        <v>32</v>
      </c>
      <c r="K118" s="681" t="s">
        <v>10688</v>
      </c>
      <c r="L118" s="28" t="s">
        <v>12252</v>
      </c>
      <c r="M118" s="3131">
        <v>45602</v>
      </c>
      <c r="N118" s="3131">
        <v>45600</v>
      </c>
      <c r="O118" s="3131">
        <v>45602</v>
      </c>
      <c r="P118" s="28" t="s">
        <v>12253</v>
      </c>
      <c r="Q118" s="28" t="s">
        <v>6852</v>
      </c>
      <c r="R118" s="28"/>
      <c r="S118" s="28"/>
      <c r="T118" s="28"/>
      <c r="U118" s="28"/>
      <c r="V118" s="28"/>
      <c r="W118" s="28"/>
      <c r="X118" s="28"/>
      <c r="Y118" s="28"/>
      <c r="Z118" s="28"/>
    </row>
    <row r="119" spans="1:26">
      <c r="A119" s="705" t="s">
        <v>3866</v>
      </c>
      <c r="B119" s="4074" t="s">
        <v>12254</v>
      </c>
      <c r="C119" s="705" t="s">
        <v>28</v>
      </c>
      <c r="D119" s="4061">
        <v>45600</v>
      </c>
      <c r="E119" s="4067">
        <v>45613</v>
      </c>
      <c r="F119" s="705" t="s">
        <v>45</v>
      </c>
      <c r="G119" s="705" t="s">
        <v>46</v>
      </c>
      <c r="H119" s="705"/>
      <c r="I119" s="3074"/>
      <c r="J119" s="705" t="s">
        <v>32</v>
      </c>
      <c r="K119" s="705" t="s">
        <v>10688</v>
      </c>
      <c r="L119" s="705" t="s">
        <v>12255</v>
      </c>
      <c r="M119" s="705"/>
      <c r="N119" s="152"/>
      <c r="O119" s="705"/>
      <c r="P119" s="705" t="s">
        <v>12256</v>
      </c>
      <c r="Q119" s="705" t="s">
        <v>6852</v>
      </c>
      <c r="R119" s="705"/>
      <c r="S119" s="705"/>
      <c r="T119" s="705"/>
      <c r="U119" s="705"/>
      <c r="V119" s="705"/>
      <c r="W119" s="705"/>
      <c r="X119" s="705"/>
      <c r="Y119" s="705"/>
      <c r="Z119" s="705"/>
    </row>
    <row r="120" spans="1:26">
      <c r="A120" s="705" t="s">
        <v>409</v>
      </c>
      <c r="B120" s="4021" t="s">
        <v>12257</v>
      </c>
      <c r="C120" s="44" t="s">
        <v>44</v>
      </c>
      <c r="D120" s="3139">
        <v>45584</v>
      </c>
      <c r="E120" s="4022">
        <v>45602</v>
      </c>
      <c r="F120" s="705" t="s">
        <v>151</v>
      </c>
      <c r="G120" s="705" t="s">
        <v>46</v>
      </c>
      <c r="H120" s="44"/>
      <c r="I120" s="44"/>
      <c r="J120" s="44" t="s">
        <v>32</v>
      </c>
      <c r="K120" s="705" t="s">
        <v>10688</v>
      </c>
      <c r="L120" s="44" t="s">
        <v>12258</v>
      </c>
      <c r="M120" s="3139">
        <v>45603</v>
      </c>
      <c r="N120" s="3142">
        <v>45601</v>
      </c>
      <c r="O120" s="3142">
        <v>45603</v>
      </c>
      <c r="P120" s="44" t="s">
        <v>12259</v>
      </c>
      <c r="Q120" s="44" t="s">
        <v>6852</v>
      </c>
      <c r="R120" s="44"/>
      <c r="S120" s="44"/>
      <c r="T120" s="44"/>
      <c r="U120" s="44"/>
      <c r="V120" s="44"/>
      <c r="W120" s="44"/>
      <c r="X120" s="44"/>
      <c r="Y120" s="44"/>
      <c r="Z120" s="44"/>
    </row>
    <row r="121" spans="1:26">
      <c r="A121" s="705" t="s">
        <v>3866</v>
      </c>
      <c r="B121" s="705" t="s">
        <v>12260</v>
      </c>
      <c r="C121" s="705" t="s">
        <v>28</v>
      </c>
      <c r="D121" s="646">
        <v>45607</v>
      </c>
      <c r="E121" s="646">
        <f>7+D121</f>
        <v>45614</v>
      </c>
      <c r="F121" s="152" t="s">
        <v>45</v>
      </c>
      <c r="G121" s="705" t="s">
        <v>46</v>
      </c>
      <c r="H121" s="1208"/>
      <c r="I121" s="3074"/>
      <c r="J121" s="705" t="s">
        <v>32</v>
      </c>
      <c r="K121" s="705" t="s">
        <v>10688</v>
      </c>
      <c r="L121" s="705"/>
      <c r="M121" s="1208"/>
      <c r="N121" s="646"/>
      <c r="O121" s="1208"/>
      <c r="P121" s="705" t="s">
        <v>12261</v>
      </c>
      <c r="Q121" s="705" t="s">
        <v>6852</v>
      </c>
      <c r="R121" s="705"/>
      <c r="S121" s="705"/>
      <c r="T121" s="705"/>
      <c r="U121" s="705"/>
      <c r="V121" s="705"/>
      <c r="W121" s="705"/>
      <c r="X121" s="705"/>
      <c r="Y121" s="705"/>
      <c r="Z121" s="705"/>
    </row>
    <row r="122" spans="1:26" s="681" customFormat="1" ht="30">
      <c r="A122" s="681" t="s">
        <v>12262</v>
      </c>
      <c r="B122" s="28" t="s">
        <v>12263</v>
      </c>
      <c r="C122" s="681" t="s">
        <v>28</v>
      </c>
      <c r="D122" s="732">
        <v>45609</v>
      </c>
      <c r="E122" s="732">
        <v>45619</v>
      </c>
      <c r="F122" s="681" t="s">
        <v>45</v>
      </c>
      <c r="G122" s="681" t="s">
        <v>46</v>
      </c>
      <c r="H122" s="732"/>
      <c r="I122" s="3066"/>
      <c r="J122" s="3233" t="s">
        <v>4896</v>
      </c>
      <c r="K122" s="957" t="s">
        <v>12264</v>
      </c>
      <c r="M122" s="732"/>
      <c r="N122" s="818"/>
      <c r="O122" s="732"/>
      <c r="P122" s="681" t="s">
        <v>12265</v>
      </c>
      <c r="Q122" s="681" t="s">
        <v>9226</v>
      </c>
      <c r="S122" s="681" t="s">
        <v>10279</v>
      </c>
    </row>
    <row r="123" spans="1:26" ht="45.75">
      <c r="A123" s="2914" t="s">
        <v>622</v>
      </c>
      <c r="B123" s="4056" t="s">
        <v>12266</v>
      </c>
      <c r="C123" s="4057" t="s">
        <v>28</v>
      </c>
      <c r="D123" s="4581">
        <v>45615</v>
      </c>
      <c r="E123" s="2911">
        <v>45621</v>
      </c>
      <c r="F123" s="4545" t="s">
        <v>1357</v>
      </c>
      <c r="G123" s="4545" t="s">
        <v>12267</v>
      </c>
      <c r="H123" s="4547"/>
      <c r="I123" s="4039"/>
      <c r="J123" s="2914" t="s">
        <v>4896</v>
      </c>
      <c r="K123" s="4582" t="s">
        <v>1445</v>
      </c>
      <c r="L123" t="s">
        <v>12268</v>
      </c>
      <c r="M123" s="2911"/>
      <c r="N123" s="2911"/>
      <c r="O123" s="2911"/>
      <c r="P123" s="4550" t="s">
        <v>12269</v>
      </c>
      <c r="Q123" s="3001" t="s">
        <v>75</v>
      </c>
      <c r="R123" s="106"/>
      <c r="S123" s="147" t="s">
        <v>67</v>
      </c>
      <c r="T123" s="106"/>
      <c r="U123" s="106"/>
      <c r="V123" s="106"/>
      <c r="W123" s="106"/>
      <c r="X123" s="106"/>
      <c r="Y123" s="106"/>
      <c r="Z123" s="106"/>
    </row>
    <row r="124" spans="1:26">
      <c r="A124" s="106" t="s">
        <v>409</v>
      </c>
      <c r="B124" s="52" t="s">
        <v>12270</v>
      </c>
      <c r="C124" s="52" t="s">
        <v>28</v>
      </c>
      <c r="D124" s="144">
        <v>45613</v>
      </c>
      <c r="E124" s="144">
        <v>45623</v>
      </c>
      <c r="F124" s="52" t="s">
        <v>151</v>
      </c>
      <c r="G124" s="52" t="s">
        <v>46</v>
      </c>
      <c r="J124" s="52" t="s">
        <v>32</v>
      </c>
      <c r="K124" s="52" t="s">
        <v>10688</v>
      </c>
      <c r="L124">
        <v>2753514</v>
      </c>
      <c r="P124" s="52" t="s">
        <v>12271</v>
      </c>
      <c r="Q124" s="52" t="s">
        <v>6852</v>
      </c>
    </row>
    <row r="125" spans="1:26" s="681" customFormat="1">
      <c r="A125" s="681" t="s">
        <v>11380</v>
      </c>
      <c r="B125" s="681" t="s">
        <v>12272</v>
      </c>
      <c r="C125" s="681" t="s">
        <v>200</v>
      </c>
      <c r="D125" s="818">
        <v>45616</v>
      </c>
      <c r="E125" s="818">
        <v>45624</v>
      </c>
      <c r="F125" s="93" t="s">
        <v>10309</v>
      </c>
      <c r="G125" s="681" t="s">
        <v>46</v>
      </c>
      <c r="H125" s="732"/>
      <c r="I125" s="3066"/>
      <c r="K125" s="4580" t="s">
        <v>12273</v>
      </c>
      <c r="M125" s="732"/>
      <c r="N125" s="818"/>
      <c r="O125" s="732"/>
      <c r="P125" s="681" t="s">
        <v>12274</v>
      </c>
      <c r="Q125" s="681" t="s">
        <v>9226</v>
      </c>
      <c r="S125" s="93" t="s">
        <v>1320</v>
      </c>
    </row>
    <row r="126" spans="1:26" ht="45">
      <c r="A126" s="2914" t="s">
        <v>622</v>
      </c>
      <c r="B126" s="4056" t="s">
        <v>12275</v>
      </c>
      <c r="C126" s="228" t="s">
        <v>28</v>
      </c>
      <c r="D126" s="2911">
        <v>45616</v>
      </c>
      <c r="E126" s="2911">
        <v>45626</v>
      </c>
      <c r="F126" s="228" t="s">
        <v>45</v>
      </c>
      <c r="G126" s="4057" t="s">
        <v>302</v>
      </c>
      <c r="H126" s="4583" t="s">
        <v>12276</v>
      </c>
      <c r="I126" s="4039"/>
      <c r="J126" s="2914" t="s">
        <v>4896</v>
      </c>
      <c r="K126" s="4582" t="s">
        <v>1445</v>
      </c>
      <c r="L126" s="4059" t="s">
        <v>12277</v>
      </c>
      <c r="M126" s="4584"/>
      <c r="N126" s="2911"/>
      <c r="O126" s="2911"/>
      <c r="P126" s="4550" t="s">
        <v>12278</v>
      </c>
      <c r="Q126" s="3001" t="s">
        <v>75</v>
      </c>
      <c r="R126" s="106"/>
      <c r="S126" s="147" t="s">
        <v>67</v>
      </c>
      <c r="T126" s="106"/>
      <c r="U126" s="106"/>
      <c r="V126" s="106"/>
      <c r="W126" s="106"/>
      <c r="X126" s="886"/>
      <c r="Y126" s="106"/>
      <c r="Z126" s="106"/>
    </row>
    <row r="127" spans="1:26">
      <c r="A127" s="52" t="s">
        <v>409</v>
      </c>
      <c r="B127" s="4726" t="s">
        <v>12279</v>
      </c>
      <c r="C127" t="s">
        <v>28</v>
      </c>
      <c r="D127" s="3133">
        <v>45589</v>
      </c>
      <c r="E127" s="4023">
        <v>45607</v>
      </c>
      <c r="F127" t="s">
        <v>151</v>
      </c>
      <c r="G127" t="s">
        <v>46</v>
      </c>
      <c r="H127"/>
      <c r="I127" t="s">
        <v>847</v>
      </c>
      <c r="J127" t="s">
        <v>32</v>
      </c>
      <c r="K127" s="52" t="s">
        <v>10688</v>
      </c>
      <c r="L127" t="s">
        <v>12280</v>
      </c>
      <c r="M127" s="3133">
        <v>45606</v>
      </c>
      <c r="N127" s="3136">
        <v>45606</v>
      </c>
      <c r="O127"/>
      <c r="P127" t="s">
        <v>12281</v>
      </c>
      <c r="Q127" t="s">
        <v>6852</v>
      </c>
      <c r="R127"/>
      <c r="S127"/>
      <c r="T127"/>
      <c r="U127"/>
      <c r="V127"/>
      <c r="W127"/>
      <c r="X127"/>
      <c r="Y127"/>
      <c r="Z127"/>
    </row>
    <row r="128" spans="1:26" ht="45">
      <c r="A128" s="5471" t="s">
        <v>622</v>
      </c>
      <c r="B128" s="5428" t="s">
        <v>12282</v>
      </c>
      <c r="C128" s="5043" t="s">
        <v>28</v>
      </c>
      <c r="D128" s="4972">
        <v>45621</v>
      </c>
      <c r="E128" s="5086">
        <v>45630</v>
      </c>
      <c r="F128" s="4971" t="s">
        <v>1357</v>
      </c>
      <c r="G128" s="4971" t="s">
        <v>12267</v>
      </c>
      <c r="H128" s="5086" t="s">
        <v>12283</v>
      </c>
      <c r="I128" s="5916"/>
      <c r="J128" s="5471" t="s">
        <v>4896</v>
      </c>
      <c r="K128" s="5433" t="s">
        <v>1445</v>
      </c>
      <c r="L128" s="5049" t="s">
        <v>12284</v>
      </c>
      <c r="M128" s="5086"/>
      <c r="N128" s="5086"/>
      <c r="O128" s="5086"/>
      <c r="P128" s="5049" t="s">
        <v>12285</v>
      </c>
      <c r="Q128" s="106" t="s">
        <v>75</v>
      </c>
      <c r="R128" s="106"/>
      <c r="S128" s="106" t="s">
        <v>67</v>
      </c>
      <c r="T128" s="4152"/>
      <c r="U128" s="4152"/>
      <c r="V128" s="4152"/>
      <c r="W128" s="4152"/>
      <c r="X128" s="4152"/>
      <c r="Y128" s="4152"/>
      <c r="Z128" s="4152"/>
    </row>
    <row r="129" spans="1:26">
      <c r="A129" s="106" t="s">
        <v>409</v>
      </c>
      <c r="B129" s="4724" t="s">
        <v>12286</v>
      </c>
      <c r="C129" s="106" t="s">
        <v>28</v>
      </c>
      <c r="D129" s="2376">
        <v>45605</v>
      </c>
      <c r="E129" s="4725">
        <v>45611</v>
      </c>
      <c r="F129" s="52" t="s">
        <v>2225</v>
      </c>
      <c r="G129" s="52" t="s">
        <v>57</v>
      </c>
      <c r="H129" s="52"/>
      <c r="J129" s="52" t="s">
        <v>32</v>
      </c>
      <c r="K129" s="52" t="s">
        <v>10688</v>
      </c>
      <c r="L129" s="52">
        <v>2753514</v>
      </c>
      <c r="M129" s="52"/>
      <c r="N129" s="106"/>
      <c r="O129" s="52"/>
      <c r="P129" s="52" t="s">
        <v>12287</v>
      </c>
      <c r="Q129" s="52" t="s">
        <v>6852</v>
      </c>
    </row>
    <row r="130" spans="1:26">
      <c r="A130" s="681" t="s">
        <v>409</v>
      </c>
      <c r="B130" s="3231" t="s">
        <v>12288</v>
      </c>
      <c r="C130" s="28" t="s">
        <v>44</v>
      </c>
      <c r="D130" s="3129">
        <v>45582</v>
      </c>
      <c r="E130" s="4015">
        <v>45596</v>
      </c>
      <c r="F130" s="28" t="s">
        <v>2225</v>
      </c>
      <c r="G130" s="28" t="s">
        <v>57</v>
      </c>
      <c r="H130" s="28"/>
      <c r="I130" s="28"/>
      <c r="J130" s="28" t="s">
        <v>32</v>
      </c>
      <c r="K130" s="681" t="s">
        <v>10688</v>
      </c>
      <c r="L130" s="28">
        <v>1079798</v>
      </c>
      <c r="M130" s="3129">
        <v>45598</v>
      </c>
      <c r="N130" s="3131">
        <v>45597</v>
      </c>
      <c r="O130" s="3095">
        <v>45602</v>
      </c>
      <c r="P130" s="28" t="s">
        <v>12289</v>
      </c>
      <c r="Q130" s="28" t="s">
        <v>6852</v>
      </c>
      <c r="R130" s="28"/>
      <c r="S130" s="28"/>
      <c r="T130" s="28"/>
      <c r="U130" s="28"/>
      <c r="V130" s="28"/>
      <c r="W130" s="28"/>
      <c r="X130" s="28"/>
      <c r="Y130" s="28"/>
      <c r="Z130" s="28"/>
    </row>
    <row r="131" spans="1:26">
      <c r="A131" s="152" t="s">
        <v>409</v>
      </c>
      <c r="B131" s="4074" t="s">
        <v>12290</v>
      </c>
      <c r="C131" s="152" t="s">
        <v>28</v>
      </c>
      <c r="D131" s="4061">
        <v>45605</v>
      </c>
      <c r="E131" s="4067">
        <v>45611</v>
      </c>
      <c r="F131" s="705" t="s">
        <v>2225</v>
      </c>
      <c r="G131" s="705" t="s">
        <v>57</v>
      </c>
      <c r="H131" s="705"/>
      <c r="I131" s="3074"/>
      <c r="J131" s="705" t="s">
        <v>32</v>
      </c>
      <c r="K131" s="705" t="s">
        <v>10688</v>
      </c>
      <c r="L131" s="705">
        <v>2753573</v>
      </c>
      <c r="M131" s="705"/>
      <c r="N131" s="152"/>
      <c r="O131" s="705"/>
      <c r="P131" s="4437" t="s">
        <v>12291</v>
      </c>
      <c r="Q131" s="705" t="s">
        <v>6852</v>
      </c>
      <c r="R131" s="705"/>
      <c r="S131" s="705"/>
      <c r="T131" s="705"/>
      <c r="U131" s="705"/>
      <c r="V131" s="705"/>
      <c r="W131" s="705"/>
      <c r="X131" s="705"/>
      <c r="Y131" s="705"/>
      <c r="Z131" s="705"/>
    </row>
    <row r="132" spans="1:26">
      <c r="A132" s="110" t="s">
        <v>409</v>
      </c>
      <c r="B132" s="3099" t="s">
        <v>12292</v>
      </c>
      <c r="C132" s="2920" t="s">
        <v>28</v>
      </c>
      <c r="D132" s="2492">
        <v>45609</v>
      </c>
      <c r="E132" s="2492">
        <v>45616</v>
      </c>
      <c r="F132" s="2920" t="s">
        <v>167</v>
      </c>
      <c r="G132" s="2920" t="s">
        <v>11945</v>
      </c>
      <c r="H132" s="2972"/>
      <c r="I132" s="4063"/>
      <c r="J132" s="2920" t="s">
        <v>168</v>
      </c>
      <c r="K132" s="4551" t="s">
        <v>12293</v>
      </c>
      <c r="L132" s="2920"/>
      <c r="M132" s="2972"/>
      <c r="N132" s="2492"/>
      <c r="O132" s="2972"/>
      <c r="P132" s="4069" t="s">
        <v>12294</v>
      </c>
      <c r="Q132" s="4070" t="s">
        <v>11794</v>
      </c>
      <c r="R132" s="2920"/>
      <c r="S132" s="110" t="s">
        <v>10279</v>
      </c>
      <c r="T132" s="2920"/>
      <c r="U132" s="2920"/>
      <c r="V132" s="2920"/>
      <c r="W132" s="2920"/>
      <c r="X132" s="2920"/>
      <c r="Y132" s="2920"/>
      <c r="Z132" s="2920"/>
    </row>
    <row r="133" spans="1:26" s="681" customFormat="1" ht="45">
      <c r="A133" s="28" t="s">
        <v>2489</v>
      </c>
      <c r="B133" s="28" t="s">
        <v>12295</v>
      </c>
      <c r="C133" s="28" t="s">
        <v>28</v>
      </c>
      <c r="D133" s="2476">
        <v>45602</v>
      </c>
      <c r="E133" s="4047">
        <v>45602</v>
      </c>
      <c r="F133" s="28" t="s">
        <v>135</v>
      </c>
      <c r="G133" s="28" t="s">
        <v>12296</v>
      </c>
      <c r="H133" s="3131">
        <v>45609</v>
      </c>
      <c r="I133" s="28" t="s">
        <v>12297</v>
      </c>
      <c r="J133" s="28" t="s">
        <v>859</v>
      </c>
      <c r="K133" s="681" t="s">
        <v>12298</v>
      </c>
      <c r="L133" s="28"/>
      <c r="M133" s="4975">
        <v>45608</v>
      </c>
      <c r="N133" s="4739">
        <v>45607</v>
      </c>
      <c r="O133" s="28"/>
      <c r="P133" s="957" t="s">
        <v>12299</v>
      </c>
      <c r="Q133" s="28" t="s">
        <v>11794</v>
      </c>
      <c r="R133" s="28"/>
      <c r="S133" s="5283" t="s">
        <v>10279</v>
      </c>
      <c r="T133" s="28"/>
      <c r="U133" s="28"/>
      <c r="V133" s="28"/>
      <c r="W133" s="28"/>
      <c r="X133" s="28"/>
      <c r="Y133" s="28"/>
      <c r="Z133" s="28"/>
    </row>
    <row r="134" spans="1:26" s="705" customFormat="1" ht="30">
      <c r="A134" s="705" t="s">
        <v>2489</v>
      </c>
      <c r="B134" s="705" t="s">
        <v>12300</v>
      </c>
      <c r="C134" s="705" t="s">
        <v>28</v>
      </c>
      <c r="D134" s="646">
        <v>45603</v>
      </c>
      <c r="E134" s="4072">
        <v>45603</v>
      </c>
      <c r="F134" s="705" t="s">
        <v>11375</v>
      </c>
      <c r="G134" s="1246" t="s">
        <v>12301</v>
      </c>
      <c r="H134" s="3131">
        <v>45609</v>
      </c>
      <c r="I134" s="705" t="s">
        <v>8279</v>
      </c>
      <c r="J134" s="705" t="s">
        <v>859</v>
      </c>
      <c r="K134" s="681" t="s">
        <v>12298</v>
      </c>
      <c r="M134" s="4073">
        <v>45609</v>
      </c>
      <c r="P134" s="705" t="s">
        <v>12302</v>
      </c>
      <c r="Q134" s="705" t="s">
        <v>11794</v>
      </c>
      <c r="S134" s="3067" t="s">
        <v>10279</v>
      </c>
    </row>
    <row r="135" spans="1:26" s="681" customFormat="1">
      <c r="A135" s="681" t="s">
        <v>2618</v>
      </c>
      <c r="B135" s="681" t="s">
        <v>12303</v>
      </c>
      <c r="C135" s="681" t="s">
        <v>200</v>
      </c>
      <c r="D135" s="732">
        <v>45628</v>
      </c>
      <c r="E135" s="732">
        <v>45628</v>
      </c>
      <c r="F135" s="681" t="s">
        <v>151</v>
      </c>
      <c r="G135" s="681" t="s">
        <v>582</v>
      </c>
      <c r="H135" s="732" t="s">
        <v>12129</v>
      </c>
      <c r="I135" s="3066"/>
      <c r="M135" s="732"/>
      <c r="N135" s="818"/>
      <c r="O135" s="732"/>
      <c r="P135" s="681" t="s">
        <v>12304</v>
      </c>
      <c r="Q135" s="681" t="s">
        <v>9226</v>
      </c>
      <c r="R135" s="681" t="s">
        <v>12305</v>
      </c>
      <c r="S135" s="93" t="s">
        <v>1320</v>
      </c>
    </row>
    <row r="136" spans="1:26" s="705" customFormat="1">
      <c r="A136" s="705" t="s">
        <v>432</v>
      </c>
      <c r="B136" s="705" t="s">
        <v>12306</v>
      </c>
      <c r="C136" s="152" t="s">
        <v>28</v>
      </c>
      <c r="D136" s="646">
        <v>45630</v>
      </c>
      <c r="E136" s="646">
        <v>45630</v>
      </c>
      <c r="F136" s="705" t="s">
        <v>1671</v>
      </c>
      <c r="G136" s="705" t="s">
        <v>12307</v>
      </c>
      <c r="H136" s="1208"/>
      <c r="I136" s="3074"/>
      <c r="J136" s="4044"/>
      <c r="K136" s="705" t="s">
        <v>12308</v>
      </c>
      <c r="M136" s="1208"/>
      <c r="N136" s="646"/>
      <c r="O136" s="1208"/>
      <c r="P136" s="705" t="s">
        <v>12309</v>
      </c>
      <c r="Q136" s="705" t="s">
        <v>9226</v>
      </c>
      <c r="S136" s="152" t="s">
        <v>10279</v>
      </c>
    </row>
    <row r="137" spans="1:26" s="705" customFormat="1">
      <c r="A137" s="705" t="s">
        <v>2618</v>
      </c>
      <c r="B137" s="705" t="s">
        <v>12310</v>
      </c>
      <c r="C137" s="705" t="s">
        <v>200</v>
      </c>
      <c r="D137" s="1208">
        <v>45632</v>
      </c>
      <c r="E137" s="1208">
        <v>45632</v>
      </c>
      <c r="F137" s="705" t="s">
        <v>1357</v>
      </c>
      <c r="G137" s="705" t="s">
        <v>12311</v>
      </c>
      <c r="H137" s="1208"/>
      <c r="I137" s="3074"/>
      <c r="M137" s="1208"/>
      <c r="N137" s="646"/>
      <c r="O137" s="1208"/>
      <c r="P137" s="705" t="s">
        <v>12312</v>
      </c>
      <c r="Q137" s="705" t="s">
        <v>9226</v>
      </c>
      <c r="R137" s="705" t="s">
        <v>12313</v>
      </c>
      <c r="S137" s="152" t="s">
        <v>1320</v>
      </c>
    </row>
    <row r="138" spans="1:26" s="681" customFormat="1">
      <c r="A138" s="681" t="s">
        <v>12262</v>
      </c>
      <c r="B138" s="681" t="s">
        <v>12314</v>
      </c>
      <c r="C138" s="93" t="s">
        <v>28</v>
      </c>
      <c r="D138" s="818">
        <v>45623</v>
      </c>
      <c r="E138" s="818">
        <v>45633</v>
      </c>
      <c r="F138" s="681" t="s">
        <v>45</v>
      </c>
      <c r="G138" s="681" t="s">
        <v>12238</v>
      </c>
      <c r="H138" s="732"/>
      <c r="I138" s="3066"/>
      <c r="J138" s="4043"/>
      <c r="K138" s="681" t="s">
        <v>966</v>
      </c>
      <c r="M138" s="732"/>
      <c r="N138" s="818"/>
      <c r="O138" s="732"/>
      <c r="P138" s="681" t="s">
        <v>12315</v>
      </c>
      <c r="Q138" s="681" t="s">
        <v>9226</v>
      </c>
      <c r="S138" s="93" t="s">
        <v>10279</v>
      </c>
    </row>
    <row r="139" spans="1:26" s="2920" customFormat="1">
      <c r="A139" s="2920" t="s">
        <v>2618</v>
      </c>
      <c r="B139" s="2920" t="s">
        <v>12316</v>
      </c>
      <c r="C139" s="2920" t="s">
        <v>451</v>
      </c>
      <c r="D139" s="2492">
        <v>45633</v>
      </c>
      <c r="E139" s="2492">
        <v>45633</v>
      </c>
      <c r="F139" s="2920" t="s">
        <v>260</v>
      </c>
      <c r="G139" s="2920" t="s">
        <v>11063</v>
      </c>
      <c r="H139" s="3163"/>
      <c r="I139" s="4737"/>
      <c r="J139" s="3162"/>
      <c r="K139" s="3162"/>
      <c r="M139" s="2972"/>
      <c r="N139" s="2492"/>
      <c r="O139" s="2972"/>
      <c r="P139" s="2920" t="s">
        <v>12317</v>
      </c>
      <c r="Q139" s="2920" t="s">
        <v>9226</v>
      </c>
      <c r="S139" s="2920" t="s">
        <v>10279</v>
      </c>
    </row>
    <row r="140" spans="1:26" s="1350" customFormat="1">
      <c r="A140" s="1350" t="s">
        <v>125</v>
      </c>
      <c r="B140" s="1350" t="s">
        <v>12318</v>
      </c>
      <c r="C140" s="1350" t="s">
        <v>704</v>
      </c>
      <c r="D140" s="912">
        <v>45573</v>
      </c>
      <c r="E140" s="4048">
        <v>45579</v>
      </c>
      <c r="F140" s="1350" t="s">
        <v>382</v>
      </c>
      <c r="G140" s="1350" t="s">
        <v>12319</v>
      </c>
      <c r="H140" s="1416">
        <v>45579</v>
      </c>
      <c r="I140" s="4049"/>
      <c r="J140" s="1350" t="s">
        <v>12320</v>
      </c>
      <c r="K140" s="1350" t="s">
        <v>12321</v>
      </c>
      <c r="L140" s="1350" t="s">
        <v>738</v>
      </c>
      <c r="M140" s="1416">
        <v>45579</v>
      </c>
      <c r="N140" s="912">
        <v>45579</v>
      </c>
      <c r="O140" s="1416">
        <v>45603</v>
      </c>
      <c r="P140" s="1350" t="s">
        <v>12322</v>
      </c>
      <c r="Q140" s="1350" t="s">
        <v>50</v>
      </c>
      <c r="R140" s="1350" t="s">
        <v>51</v>
      </c>
    </row>
    <row r="141" spans="1:26" s="681" customFormat="1">
      <c r="A141" s="681" t="s">
        <v>409</v>
      </c>
      <c r="B141" s="681" t="s">
        <v>12323</v>
      </c>
      <c r="C141" s="93" t="s">
        <v>28</v>
      </c>
      <c r="D141" s="818">
        <v>45614</v>
      </c>
      <c r="E141" s="818">
        <v>45623</v>
      </c>
      <c r="F141" s="681" t="s">
        <v>2225</v>
      </c>
      <c r="G141" s="28" t="s">
        <v>12083</v>
      </c>
      <c r="H141" s="732"/>
      <c r="I141" s="3066"/>
      <c r="J141" s="681" t="s">
        <v>4896</v>
      </c>
      <c r="K141" s="681" t="s">
        <v>10688</v>
      </c>
      <c r="M141" s="732"/>
      <c r="N141" s="818"/>
      <c r="O141" s="732"/>
      <c r="P141" s="681" t="s">
        <v>12324</v>
      </c>
      <c r="Q141" s="28" t="s">
        <v>6852</v>
      </c>
    </row>
    <row r="142" spans="1:26" customFormat="1" ht="45">
      <c r="A142" s="681" t="s">
        <v>263</v>
      </c>
      <c r="B142" s="4433" t="s">
        <v>12325</v>
      </c>
      <c r="C142" s="681" t="s">
        <v>44</v>
      </c>
      <c r="D142" s="732">
        <v>45596</v>
      </c>
      <c r="E142" s="732">
        <v>45596</v>
      </c>
      <c r="F142" s="681" t="s">
        <v>4680</v>
      </c>
      <c r="G142" s="681" t="s">
        <v>12015</v>
      </c>
      <c r="H142" s="681"/>
      <c r="I142" s="681"/>
      <c r="J142" s="4433" t="s">
        <v>859</v>
      </c>
      <c r="K142" s="4435" t="s">
        <v>12326</v>
      </c>
      <c r="L142" s="4433" t="s">
        <v>12327</v>
      </c>
      <c r="O142" s="681"/>
      <c r="P142" s="4435" t="s">
        <v>12328</v>
      </c>
      <c r="Q142" s="5482" t="s">
        <v>75</v>
      </c>
      <c r="R142" s="681"/>
      <c r="S142" s="4435" t="s">
        <v>67</v>
      </c>
      <c r="T142" s="681"/>
      <c r="U142" s="681"/>
      <c r="V142" s="681"/>
      <c r="W142" s="681"/>
      <c r="X142" s="681"/>
      <c r="Y142" s="681"/>
      <c r="Z142" s="681"/>
    </row>
    <row r="143" spans="1:26">
      <c r="A143" s="681" t="s">
        <v>263</v>
      </c>
      <c r="B143" s="52" t="s">
        <v>12226</v>
      </c>
      <c r="C143" s="681" t="s">
        <v>44</v>
      </c>
      <c r="D143" s="144">
        <v>45644</v>
      </c>
      <c r="E143" s="144">
        <v>45644</v>
      </c>
      <c r="F143" s="52" t="s">
        <v>135</v>
      </c>
      <c r="G143" s="52" t="s">
        <v>10388</v>
      </c>
      <c r="K143" s="3067" t="s">
        <v>12226</v>
      </c>
      <c r="L143" s="52">
        <v>62834</v>
      </c>
      <c r="P143" s="52" t="s">
        <v>12329</v>
      </c>
      <c r="Q143" s="5482" t="s">
        <v>75</v>
      </c>
      <c r="S143" s="4435" t="s">
        <v>67</v>
      </c>
    </row>
    <row r="144" spans="1:26">
      <c r="A144" s="681" t="s">
        <v>263</v>
      </c>
      <c r="B144" s="52" t="s">
        <v>12226</v>
      </c>
      <c r="C144" s="681" t="s">
        <v>44</v>
      </c>
      <c r="D144" s="144">
        <v>45644</v>
      </c>
      <c r="E144" s="144">
        <v>45644</v>
      </c>
      <c r="F144" s="52" t="s">
        <v>135</v>
      </c>
      <c r="G144" s="52" t="s">
        <v>10388</v>
      </c>
      <c r="K144" s="3067" t="s">
        <v>12226</v>
      </c>
      <c r="L144" s="52">
        <v>62831</v>
      </c>
      <c r="P144" s="52" t="s">
        <v>12330</v>
      </c>
      <c r="Q144" s="5482" t="s">
        <v>75</v>
      </c>
      <c r="S144" s="4435" t="s">
        <v>67</v>
      </c>
    </row>
    <row r="145" spans="1:19">
      <c r="A145" s="681" t="s">
        <v>263</v>
      </c>
      <c r="B145" s="52" t="s">
        <v>12226</v>
      </c>
      <c r="C145" s="681" t="s">
        <v>44</v>
      </c>
      <c r="D145" s="144">
        <v>45644</v>
      </c>
      <c r="E145" s="144">
        <v>45644</v>
      </c>
      <c r="F145" s="52" t="s">
        <v>135</v>
      </c>
      <c r="G145" s="52" t="s">
        <v>10388</v>
      </c>
      <c r="K145" s="3067" t="s">
        <v>12226</v>
      </c>
      <c r="L145" s="52">
        <v>62833</v>
      </c>
      <c r="P145" s="52" t="s">
        <v>12331</v>
      </c>
      <c r="Q145" s="5482" t="s">
        <v>75</v>
      </c>
      <c r="S145" s="4435" t="s">
        <v>67</v>
      </c>
    </row>
    <row r="146" spans="1:19">
      <c r="A146" s="681" t="s">
        <v>263</v>
      </c>
      <c r="B146" s="52" t="s">
        <v>12226</v>
      </c>
      <c r="C146" s="681" t="s">
        <v>44</v>
      </c>
      <c r="D146" s="144">
        <v>45666</v>
      </c>
      <c r="E146" s="144">
        <v>45666</v>
      </c>
      <c r="F146" s="52" t="s">
        <v>151</v>
      </c>
      <c r="G146" s="52" t="s">
        <v>6295</v>
      </c>
      <c r="K146" s="52" t="s">
        <v>9364</v>
      </c>
      <c r="L146" s="52">
        <v>33684</v>
      </c>
      <c r="P146" s="52" t="s">
        <v>12332</v>
      </c>
      <c r="Q146" s="5482" t="s">
        <v>75</v>
      </c>
      <c r="S146" s="4435" t="s">
        <v>67</v>
      </c>
    </row>
    <row r="147" spans="1:19">
      <c r="A147" s="681" t="s">
        <v>263</v>
      </c>
      <c r="B147" s="52" t="s">
        <v>12226</v>
      </c>
      <c r="C147" s="681" t="s">
        <v>44</v>
      </c>
      <c r="D147" s="144">
        <v>45673</v>
      </c>
      <c r="E147" s="144">
        <v>45673</v>
      </c>
      <c r="F147" s="52" t="s">
        <v>151</v>
      </c>
      <c r="G147" s="52" t="s">
        <v>6295</v>
      </c>
      <c r="K147" s="52" t="s">
        <v>9364</v>
      </c>
      <c r="L147" s="52">
        <v>33223</v>
      </c>
      <c r="P147" s="52" t="s">
        <v>12333</v>
      </c>
      <c r="Q147" s="5482" t="s">
        <v>75</v>
      </c>
      <c r="S147" s="4435" t="s">
        <v>67</v>
      </c>
    </row>
    <row r="148" spans="1:19">
      <c r="A148" s="681" t="s">
        <v>263</v>
      </c>
      <c r="B148" s="52" t="s">
        <v>12226</v>
      </c>
      <c r="C148" s="681" t="s">
        <v>44</v>
      </c>
      <c r="D148" s="144">
        <v>45680</v>
      </c>
      <c r="E148" s="144">
        <v>45680</v>
      </c>
      <c r="F148" s="52" t="s">
        <v>151</v>
      </c>
      <c r="G148" s="52" t="s">
        <v>6295</v>
      </c>
      <c r="K148" s="52" t="s">
        <v>9364</v>
      </c>
      <c r="L148" s="52">
        <v>33683</v>
      </c>
      <c r="P148" s="52" t="s">
        <v>12334</v>
      </c>
      <c r="Q148" s="5482" t="s">
        <v>75</v>
      </c>
      <c r="S148" s="4435" t="s">
        <v>67</v>
      </c>
    </row>
    <row r="149" spans="1:19" s="705" customFormat="1" ht="30">
      <c r="A149" s="705" t="s">
        <v>1945</v>
      </c>
      <c r="B149" s="705" t="s">
        <v>12335</v>
      </c>
      <c r="C149" s="705" t="s">
        <v>85</v>
      </c>
      <c r="D149" s="646">
        <v>45635</v>
      </c>
      <c r="E149" s="646">
        <v>45635</v>
      </c>
      <c r="F149" s="152" t="s">
        <v>93</v>
      </c>
      <c r="G149" s="3473" t="s">
        <v>12336</v>
      </c>
      <c r="H149" s="1208"/>
      <c r="I149" s="3074"/>
      <c r="J149" s="1372" t="s">
        <v>12337</v>
      </c>
      <c r="K149" s="705" t="s">
        <v>12338</v>
      </c>
      <c r="L149" s="705" t="s">
        <v>12339</v>
      </c>
      <c r="M149" s="1208"/>
      <c r="N149" s="646"/>
      <c r="O149" s="1208"/>
      <c r="P149" s="705" t="s">
        <v>12340</v>
      </c>
      <c r="Q149" s="3067" t="s">
        <v>9226</v>
      </c>
      <c r="S149" s="705" t="s">
        <v>67</v>
      </c>
    </row>
    <row r="150" spans="1:19" s="681" customFormat="1">
      <c r="A150" s="681" t="s">
        <v>2618</v>
      </c>
      <c r="B150" s="681" t="s">
        <v>12341</v>
      </c>
      <c r="C150" s="681" t="s">
        <v>451</v>
      </c>
      <c r="D150" s="818">
        <v>45614</v>
      </c>
      <c r="E150" s="818">
        <v>45636</v>
      </c>
      <c r="F150" s="681" t="s">
        <v>245</v>
      </c>
      <c r="G150" s="681" t="s">
        <v>12342</v>
      </c>
      <c r="H150" s="3025"/>
      <c r="I150" s="2269"/>
      <c r="J150" s="1372"/>
      <c r="K150" s="2269"/>
      <c r="M150" s="732"/>
      <c r="N150" s="818"/>
      <c r="O150" s="732"/>
      <c r="P150" s="681" t="s">
        <v>12343</v>
      </c>
      <c r="Q150" s="93" t="s">
        <v>9226</v>
      </c>
      <c r="S150" s="93" t="s">
        <v>12344</v>
      </c>
    </row>
    <row r="151" spans="1:19" s="705" customFormat="1" ht="30">
      <c r="A151" s="705" t="s">
        <v>145</v>
      </c>
      <c r="B151" s="705" t="s">
        <v>12345</v>
      </c>
      <c r="C151" s="152" t="s">
        <v>28</v>
      </c>
      <c r="D151" s="646">
        <v>45639</v>
      </c>
      <c r="E151" s="646">
        <v>45639</v>
      </c>
      <c r="F151" s="705" t="s">
        <v>45</v>
      </c>
      <c r="G151" s="705" t="s">
        <v>12346</v>
      </c>
      <c r="H151" s="1208"/>
      <c r="I151" s="3074"/>
      <c r="J151" s="4044"/>
      <c r="K151" s="705" t="s">
        <v>12347</v>
      </c>
      <c r="M151" s="1208"/>
      <c r="N151" s="646"/>
      <c r="O151" s="1208"/>
      <c r="P151" s="705" t="s">
        <v>12348</v>
      </c>
      <c r="Q151" s="152" t="s">
        <v>9226</v>
      </c>
      <c r="R151" s="152"/>
      <c r="S151" s="994" t="s">
        <v>11546</v>
      </c>
    </row>
    <row r="152" spans="1:19" s="681" customFormat="1" ht="30">
      <c r="A152" s="681" t="s">
        <v>1945</v>
      </c>
      <c r="B152" s="681" t="s">
        <v>12349</v>
      </c>
      <c r="C152" s="681" t="s">
        <v>85</v>
      </c>
      <c r="D152" s="818">
        <v>45642</v>
      </c>
      <c r="E152" s="818">
        <v>45642</v>
      </c>
      <c r="F152" s="93" t="s">
        <v>93</v>
      </c>
      <c r="G152" s="1206" t="s">
        <v>12336</v>
      </c>
      <c r="H152" s="732"/>
      <c r="I152" s="3066"/>
      <c r="J152" s="2269" t="s">
        <v>12337</v>
      </c>
      <c r="K152" s="681" t="s">
        <v>12350</v>
      </c>
      <c r="L152" s="681" t="s">
        <v>12351</v>
      </c>
      <c r="M152" s="732"/>
      <c r="N152" s="818"/>
      <c r="O152" s="732"/>
      <c r="P152" s="681" t="s">
        <v>12352</v>
      </c>
      <c r="Q152" s="681" t="s">
        <v>9226</v>
      </c>
      <c r="S152" s="681" t="s">
        <v>67</v>
      </c>
    </row>
    <row r="153" spans="1:19" s="2920" customFormat="1">
      <c r="A153" s="2920" t="s">
        <v>2618</v>
      </c>
      <c r="B153" s="2920" t="s">
        <v>12353</v>
      </c>
      <c r="C153" s="2920" t="s">
        <v>200</v>
      </c>
      <c r="D153" s="2972">
        <v>45644</v>
      </c>
      <c r="E153" s="2972">
        <v>45644</v>
      </c>
      <c r="F153" s="2920" t="s">
        <v>245</v>
      </c>
      <c r="G153" s="2920" t="s">
        <v>6204</v>
      </c>
      <c r="H153" s="4738"/>
      <c r="I153" s="4063"/>
      <c r="M153" s="2972"/>
      <c r="N153" s="2492"/>
      <c r="O153" s="2972"/>
      <c r="P153" s="2920" t="s">
        <v>12354</v>
      </c>
      <c r="Q153" s="2920" t="s">
        <v>9226</v>
      </c>
      <c r="R153" s="2920" t="s">
        <v>12355</v>
      </c>
      <c r="S153" s="110" t="s">
        <v>1320</v>
      </c>
    </row>
    <row r="154" spans="1:19" s="681" customFormat="1">
      <c r="A154" s="28" t="s">
        <v>3866</v>
      </c>
      <c r="B154" s="28" t="s">
        <v>12356</v>
      </c>
      <c r="C154" s="3055" t="s">
        <v>28</v>
      </c>
      <c r="D154" s="732">
        <v>45634</v>
      </c>
      <c r="E154" s="732">
        <v>45639</v>
      </c>
      <c r="F154" s="28" t="s">
        <v>45</v>
      </c>
      <c r="G154" s="93" t="s">
        <v>11743</v>
      </c>
      <c r="H154" s="4683" t="s">
        <v>12129</v>
      </c>
      <c r="I154" s="3066"/>
      <c r="K154" s="681" t="s">
        <v>12145</v>
      </c>
      <c r="M154" s="732"/>
      <c r="N154" s="818"/>
      <c r="O154" s="732"/>
      <c r="P154" s="681" t="s">
        <v>12357</v>
      </c>
      <c r="Q154" s="5283" t="s">
        <v>11794</v>
      </c>
      <c r="S154" s="4874" t="s">
        <v>10279</v>
      </c>
    </row>
    <row r="155" spans="1:19" s="681" customFormat="1">
      <c r="A155" s="28" t="s">
        <v>3866</v>
      </c>
      <c r="B155" s="28" t="s">
        <v>12358</v>
      </c>
      <c r="C155" s="3055" t="s">
        <v>28</v>
      </c>
      <c r="D155" s="732">
        <v>45634</v>
      </c>
      <c r="E155" s="732">
        <v>45639</v>
      </c>
      <c r="F155" s="28" t="s">
        <v>45</v>
      </c>
      <c r="G155" s="93" t="s">
        <v>12359</v>
      </c>
      <c r="H155" s="4683" t="s">
        <v>12129</v>
      </c>
      <c r="I155" s="3066"/>
      <c r="K155" s="681" t="s">
        <v>12145</v>
      </c>
      <c r="M155" s="732"/>
      <c r="N155" s="818"/>
      <c r="O155" s="732"/>
      <c r="P155" s="681" t="s">
        <v>12360</v>
      </c>
      <c r="Q155" s="5283" t="s">
        <v>11794</v>
      </c>
      <c r="S155" s="4874" t="s">
        <v>10279</v>
      </c>
    </row>
    <row r="156" spans="1:19" s="681" customFormat="1">
      <c r="A156" s="28" t="s">
        <v>3866</v>
      </c>
      <c r="B156" s="681" t="s">
        <v>12361</v>
      </c>
      <c r="C156" s="3055" t="s">
        <v>28</v>
      </c>
      <c r="D156" s="732">
        <v>45634</v>
      </c>
      <c r="E156" s="732">
        <v>45639</v>
      </c>
      <c r="F156" s="28" t="s">
        <v>45</v>
      </c>
      <c r="G156" s="93" t="s">
        <v>12359</v>
      </c>
      <c r="H156" s="4683" t="s">
        <v>12129</v>
      </c>
      <c r="I156" s="3066"/>
      <c r="K156" s="681" t="s">
        <v>12145</v>
      </c>
      <c r="M156" s="732"/>
      <c r="N156" s="818"/>
      <c r="O156" s="732"/>
      <c r="P156" s="681" t="s">
        <v>12362</v>
      </c>
      <c r="Q156" s="5283" t="s">
        <v>11794</v>
      </c>
      <c r="S156" s="4874" t="s">
        <v>10279</v>
      </c>
    </row>
    <row r="157" spans="1:19" s="681" customFormat="1">
      <c r="A157" s="28" t="s">
        <v>3866</v>
      </c>
      <c r="B157" s="681" t="s">
        <v>12363</v>
      </c>
      <c r="C157" s="3055" t="s">
        <v>28</v>
      </c>
      <c r="D157" s="732">
        <v>45636</v>
      </c>
      <c r="E157" s="732">
        <v>45640</v>
      </c>
      <c r="F157" s="28" t="s">
        <v>45</v>
      </c>
      <c r="G157" s="93" t="s">
        <v>12359</v>
      </c>
      <c r="H157" s="4683" t="s">
        <v>12129</v>
      </c>
      <c r="I157" s="3066"/>
      <c r="K157" s="681" t="s">
        <v>12145</v>
      </c>
      <c r="M157" s="732"/>
      <c r="N157" s="818"/>
      <c r="O157" s="732"/>
      <c r="P157" s="681" t="s">
        <v>12364</v>
      </c>
      <c r="Q157" s="5283" t="s">
        <v>11794</v>
      </c>
      <c r="S157" s="4874" t="s">
        <v>10279</v>
      </c>
    </row>
    <row r="158" spans="1:19" s="681" customFormat="1">
      <c r="A158" s="28" t="s">
        <v>3866</v>
      </c>
      <c r="B158" s="28" t="s">
        <v>12365</v>
      </c>
      <c r="C158" s="3055" t="s">
        <v>28</v>
      </c>
      <c r="D158" s="732">
        <v>45627</v>
      </c>
      <c r="E158" s="732">
        <v>45632</v>
      </c>
      <c r="F158" s="28" t="s">
        <v>45</v>
      </c>
      <c r="G158" s="93" t="s">
        <v>12359</v>
      </c>
      <c r="H158" s="4683" t="s">
        <v>12129</v>
      </c>
      <c r="I158" s="3066"/>
      <c r="K158" s="681" t="s">
        <v>12145</v>
      </c>
      <c r="M158" s="732"/>
      <c r="N158" s="818"/>
      <c r="O158" s="732"/>
      <c r="P158" s="681" t="s">
        <v>12366</v>
      </c>
      <c r="Q158" s="5283" t="s">
        <v>11794</v>
      </c>
      <c r="S158" s="4874" t="s">
        <v>10279</v>
      </c>
    </row>
    <row r="159" spans="1:19" s="705" customFormat="1">
      <c r="A159" s="28" t="s">
        <v>3866</v>
      </c>
      <c r="B159" s="28" t="s">
        <v>12367</v>
      </c>
      <c r="C159" s="3055" t="s">
        <v>28</v>
      </c>
      <c r="D159" s="732">
        <v>45626</v>
      </c>
      <c r="E159" s="732">
        <v>45630</v>
      </c>
      <c r="F159" s="28" t="s">
        <v>45</v>
      </c>
      <c r="G159" s="93" t="s">
        <v>12359</v>
      </c>
      <c r="H159" s="4082" t="s">
        <v>12129</v>
      </c>
      <c r="I159" s="3074"/>
      <c r="K159" s="705" t="s">
        <v>12145</v>
      </c>
      <c r="M159" s="1208"/>
      <c r="N159" s="646"/>
      <c r="O159" s="1208"/>
      <c r="P159" s="705" t="s">
        <v>12368</v>
      </c>
      <c r="Q159" s="3067" t="s">
        <v>11794</v>
      </c>
      <c r="S159" s="3075" t="s">
        <v>10279</v>
      </c>
    </row>
    <row r="160" spans="1:19" s="681" customFormat="1">
      <c r="A160" s="93" t="s">
        <v>409</v>
      </c>
      <c r="B160" s="681" t="s">
        <v>12369</v>
      </c>
      <c r="C160" s="3055" t="s">
        <v>28</v>
      </c>
      <c r="D160" s="818">
        <v>45616</v>
      </c>
      <c r="E160" s="818">
        <f>7+D160</f>
        <v>45623</v>
      </c>
      <c r="F160" s="28" t="s">
        <v>45</v>
      </c>
      <c r="G160" s="28" t="s">
        <v>46</v>
      </c>
      <c r="H160" s="4081"/>
      <c r="I160" s="3066"/>
      <c r="J160" s="681" t="s">
        <v>11948</v>
      </c>
      <c r="K160" s="681" t="s">
        <v>10688</v>
      </c>
      <c r="M160" s="732"/>
      <c r="N160" s="818"/>
      <c r="O160" s="732"/>
      <c r="P160" s="681" t="s">
        <v>12370</v>
      </c>
      <c r="Q160" s="681" t="s">
        <v>6852</v>
      </c>
    </row>
    <row r="161" spans="1:19" s="681" customFormat="1">
      <c r="A161" s="93" t="s">
        <v>409</v>
      </c>
      <c r="B161" s="681" t="s">
        <v>12371</v>
      </c>
      <c r="C161" s="3055" t="s">
        <v>28</v>
      </c>
      <c r="D161" s="818">
        <v>45617</v>
      </c>
      <c r="E161" s="818">
        <v>45624</v>
      </c>
      <c r="F161" s="681" t="s">
        <v>151</v>
      </c>
      <c r="G161" s="28" t="s">
        <v>46</v>
      </c>
      <c r="H161" s="4081"/>
      <c r="I161" s="3066"/>
      <c r="K161" s="681" t="s">
        <v>10688</v>
      </c>
      <c r="M161" s="732"/>
      <c r="N161" s="818"/>
      <c r="O161" s="732"/>
      <c r="P161" s="681" t="s">
        <v>12372</v>
      </c>
      <c r="Q161" s="681" t="s">
        <v>6852</v>
      </c>
    </row>
    <row r="162" spans="1:19" s="705" customFormat="1">
      <c r="A162" s="152" t="s">
        <v>10764</v>
      </c>
      <c r="B162" s="705" t="s">
        <v>12373</v>
      </c>
      <c r="C162" s="1970" t="s">
        <v>28</v>
      </c>
      <c r="D162" s="646">
        <v>45613</v>
      </c>
      <c r="E162" s="646">
        <v>45619</v>
      </c>
      <c r="F162" s="705" t="s">
        <v>260</v>
      </c>
      <c r="G162" s="705" t="s">
        <v>46</v>
      </c>
      <c r="H162" s="4083"/>
      <c r="I162" s="3074"/>
      <c r="J162" s="705" t="s">
        <v>32</v>
      </c>
      <c r="K162" s="705" t="s">
        <v>10688</v>
      </c>
      <c r="M162" s="1208"/>
      <c r="N162" s="646"/>
      <c r="O162" s="1208"/>
      <c r="P162" s="705" t="s">
        <v>12374</v>
      </c>
      <c r="Q162" s="705" t="s">
        <v>6852</v>
      </c>
    </row>
    <row r="163" spans="1:19" s="705" customFormat="1">
      <c r="A163" s="152" t="s">
        <v>409</v>
      </c>
      <c r="B163" s="705" t="s">
        <v>12375</v>
      </c>
      <c r="C163" s="1970" t="s">
        <v>28</v>
      </c>
      <c r="D163" s="646">
        <v>45617</v>
      </c>
      <c r="E163" s="646">
        <v>45624</v>
      </c>
      <c r="F163" s="705" t="s">
        <v>151</v>
      </c>
      <c r="G163" s="44" t="s">
        <v>46</v>
      </c>
      <c r="H163" s="1208"/>
      <c r="I163" s="3074"/>
      <c r="J163" s="705" t="s">
        <v>11948</v>
      </c>
      <c r="K163" s="705" t="s">
        <v>10688</v>
      </c>
      <c r="M163" s="1208"/>
      <c r="N163" s="646"/>
      <c r="O163" s="1208"/>
      <c r="P163" s="705" t="s">
        <v>12376</v>
      </c>
      <c r="Q163" s="705" t="s">
        <v>6852</v>
      </c>
    </row>
    <row r="164" spans="1:19" s="705" customFormat="1" ht="30">
      <c r="A164" s="705" t="s">
        <v>2618</v>
      </c>
      <c r="B164" s="705" t="s">
        <v>12377</v>
      </c>
      <c r="C164" s="705" t="s">
        <v>200</v>
      </c>
      <c r="D164" s="646">
        <v>45620</v>
      </c>
      <c r="E164" s="646">
        <v>45620</v>
      </c>
      <c r="F164" s="705" t="s">
        <v>245</v>
      </c>
      <c r="G164" s="1246" t="s">
        <v>12378</v>
      </c>
      <c r="H164" s="3175"/>
      <c r="I164" s="4723"/>
      <c r="J164" s="1372"/>
      <c r="K164" s="1372"/>
      <c r="M164" s="1208"/>
      <c r="N164" s="646"/>
      <c r="O164" s="1208"/>
      <c r="P164" s="705" t="s">
        <v>12379</v>
      </c>
      <c r="Q164" s="705" t="s">
        <v>9226</v>
      </c>
      <c r="S164" s="152" t="s">
        <v>1320</v>
      </c>
    </row>
    <row r="165" spans="1:19" s="681" customFormat="1" ht="30">
      <c r="A165" s="93" t="s">
        <v>11762</v>
      </c>
      <c r="B165" s="681" t="s">
        <v>12380</v>
      </c>
      <c r="C165" s="681" t="s">
        <v>28</v>
      </c>
      <c r="D165" s="818">
        <v>45608</v>
      </c>
      <c r="E165" s="818">
        <v>45608</v>
      </c>
      <c r="F165" s="681" t="s">
        <v>2604</v>
      </c>
      <c r="G165" s="681" t="s">
        <v>12381</v>
      </c>
      <c r="H165" s="732">
        <v>45617</v>
      </c>
      <c r="I165" s="3066" t="s">
        <v>12382</v>
      </c>
      <c r="J165" s="3233" t="s">
        <v>12383</v>
      </c>
      <c r="K165" s="1206" t="s">
        <v>12384</v>
      </c>
      <c r="M165" s="732">
        <v>45614</v>
      </c>
      <c r="N165" s="818"/>
      <c r="O165" s="732"/>
      <c r="P165" s="681" t="s">
        <v>12385</v>
      </c>
      <c r="Q165" s="681" t="s">
        <v>9226</v>
      </c>
      <c r="S165" s="1206" t="s">
        <v>11546</v>
      </c>
    </row>
    <row r="166" spans="1:19" s="2920" customFormat="1">
      <c r="A166" s="2920" t="s">
        <v>10124</v>
      </c>
      <c r="B166" s="2920" t="s">
        <v>12386</v>
      </c>
      <c r="C166" s="2920" t="s">
        <v>28</v>
      </c>
      <c r="D166" s="2492">
        <v>45614</v>
      </c>
      <c r="E166" s="2492">
        <v>45624</v>
      </c>
      <c r="F166" s="228" t="s">
        <v>10309</v>
      </c>
      <c r="G166" s="2920" t="s">
        <v>11921</v>
      </c>
      <c r="H166" s="2972"/>
      <c r="I166" s="4063"/>
      <c r="J166" s="4731"/>
      <c r="K166" s="2920" t="s">
        <v>641</v>
      </c>
      <c r="M166" s="2972"/>
      <c r="N166" s="2492"/>
      <c r="O166" s="2972"/>
      <c r="P166" s="2920" t="s">
        <v>12387</v>
      </c>
      <c r="Q166" s="2920" t="s">
        <v>9226</v>
      </c>
      <c r="S166" s="2920" t="s">
        <v>10279</v>
      </c>
    </row>
    <row r="167" spans="1:19">
      <c r="D167" s="52"/>
    </row>
    <row r="168" spans="1:19" ht="13.5"/>
  </sheetData>
  <sheetProtection selectLockedCells="1" selectUnlockedCells="1"/>
  <autoFilter ref="A1:Z1" xr:uid="{F385FF51-6C51-4EFE-8F5F-993B8CE7B377}"/>
  <conditionalFormatting sqref="B1">
    <cfRule type="duplicateValues" dxfId="139" priority="1"/>
  </conditionalFormatting>
  <hyperlinks>
    <hyperlink ref="K125" r:id="rId1" xr:uid="{CBE5E6BD-5802-4C83-B891-6F5CC6B9C6BB}"/>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00F6E-854D-4C1D-A975-47F6B301917C}">
  <sheetPr codeName="Sheet15"/>
  <dimension ref="A1:K44"/>
  <sheetViews>
    <sheetView workbookViewId="0">
      <selection activeCell="B35" sqref="B35"/>
    </sheetView>
  </sheetViews>
  <sheetFormatPr defaultRowHeight="15"/>
  <cols>
    <col min="1" max="1" width="12" style="26" customWidth="1"/>
    <col min="2" max="2" width="36.125" style="26" customWidth="1"/>
    <col min="3" max="3" width="18.25" style="26" customWidth="1"/>
    <col min="4" max="4" width="19.25" style="26" customWidth="1"/>
    <col min="5" max="5" width="28.875" style="26" customWidth="1"/>
    <col min="6" max="6" width="15.25" style="26" customWidth="1"/>
    <col min="7" max="7" width="9" style="26"/>
    <col min="8" max="8" width="16.25" style="26" customWidth="1"/>
    <col min="9" max="9" width="11.875" style="26" customWidth="1"/>
    <col min="10" max="10" width="9" style="26"/>
  </cols>
  <sheetData>
    <row r="1" spans="1:11">
      <c r="A1" s="26" t="s">
        <v>12388</v>
      </c>
      <c r="B1" s="26" t="s">
        <v>12389</v>
      </c>
      <c r="C1" s="26" t="s">
        <v>12390</v>
      </c>
      <c r="D1" s="26" t="s">
        <v>12391</v>
      </c>
      <c r="E1" s="26" t="s">
        <v>12392</v>
      </c>
      <c r="F1" s="26" t="s">
        <v>12393</v>
      </c>
      <c r="G1" s="26" t="s">
        <v>12394</v>
      </c>
      <c r="H1" s="26" t="s">
        <v>12395</v>
      </c>
      <c r="I1" s="26" t="s">
        <v>4</v>
      </c>
      <c r="J1" s="26" t="s">
        <v>1</v>
      </c>
      <c r="K1" t="s">
        <v>12396</v>
      </c>
    </row>
    <row r="2" spans="1:11">
      <c r="A2" s="26" t="s">
        <v>12397</v>
      </c>
      <c r="B2" s="26" t="s">
        <v>12398</v>
      </c>
      <c r="E2" s="26" t="s">
        <v>12399</v>
      </c>
      <c r="F2" s="26">
        <v>29323135</v>
      </c>
      <c r="H2" s="26" t="s">
        <v>12400</v>
      </c>
      <c r="I2" s="153">
        <v>44495</v>
      </c>
    </row>
    <row r="3" spans="1:11">
      <c r="A3" t="s">
        <v>12397</v>
      </c>
      <c r="B3" s="4428" t="s">
        <v>12401</v>
      </c>
      <c r="I3" s="153">
        <v>44495</v>
      </c>
    </row>
    <row r="4" spans="1:11">
      <c r="A4" t="s">
        <v>12397</v>
      </c>
      <c r="B4" t="s">
        <v>12402</v>
      </c>
      <c r="I4" s="153">
        <v>44495</v>
      </c>
    </row>
    <row r="5" spans="1:11">
      <c r="A5" t="s">
        <v>12403</v>
      </c>
      <c r="B5"/>
      <c r="I5" s="153"/>
    </row>
    <row r="6" spans="1:11">
      <c r="A6" t="s">
        <v>12404</v>
      </c>
      <c r="B6"/>
      <c r="I6" s="153"/>
    </row>
    <row r="7" spans="1:11">
      <c r="A7"/>
      <c r="B7"/>
      <c r="I7" s="153"/>
    </row>
    <row r="8" spans="1:11">
      <c r="A8"/>
      <c r="B8"/>
      <c r="I8" s="153"/>
    </row>
    <row r="9" spans="1:11">
      <c r="B9" s="5933" t="s">
        <v>12405</v>
      </c>
      <c r="C9" s="326"/>
      <c r="D9" s="327" t="s">
        <v>12406</v>
      </c>
      <c r="E9" s="327"/>
      <c r="I9" s="153"/>
    </row>
    <row r="10" spans="1:11">
      <c r="A10"/>
      <c r="B10"/>
      <c r="I10" s="153"/>
    </row>
    <row r="11" spans="1:11">
      <c r="A11"/>
      <c r="B11"/>
      <c r="I11" s="153"/>
    </row>
    <row r="12" spans="1:11">
      <c r="A12" s="26" t="s">
        <v>12407</v>
      </c>
      <c r="B12" s="4180" t="s">
        <v>12408</v>
      </c>
      <c r="C12" s="26" t="s">
        <v>12409</v>
      </c>
      <c r="D12" s="4180" t="s">
        <v>15</v>
      </c>
      <c r="E12" s="26" t="s">
        <v>12410</v>
      </c>
    </row>
    <row r="13" spans="1:11">
      <c r="B13" s="4180" t="s">
        <v>12411</v>
      </c>
      <c r="C13" s="4180" t="s">
        <v>12412</v>
      </c>
    </row>
    <row r="14" spans="1:11">
      <c r="B14" s="4428" t="s">
        <v>12413</v>
      </c>
      <c r="C14" s="4428" t="s">
        <v>12414</v>
      </c>
      <c r="D14" s="4428" t="s">
        <v>12415</v>
      </c>
      <c r="E14"/>
    </row>
    <row r="15" spans="1:11">
      <c r="B15" s="4428" t="s">
        <v>12416</v>
      </c>
      <c r="C15" s="4428" t="s">
        <v>12417</v>
      </c>
      <c r="D15" s="4428" t="s">
        <v>12418</v>
      </c>
      <c r="E15"/>
    </row>
    <row r="16" spans="1:11">
      <c r="B16" s="4428" t="s">
        <v>12419</v>
      </c>
      <c r="C16" s="4428" t="s">
        <v>12420</v>
      </c>
      <c r="D16" s="4428" t="s">
        <v>12421</v>
      </c>
      <c r="E16"/>
    </row>
    <row r="17" spans="1:5">
      <c r="B17" s="4428" t="s">
        <v>12422</v>
      </c>
      <c r="C17" s="4428" t="s">
        <v>12423</v>
      </c>
      <c r="D17" s="4428" t="s">
        <v>12424</v>
      </c>
      <c r="E17"/>
    </row>
    <row r="18" spans="1:5">
      <c r="B18" s="4428" t="s">
        <v>12425</v>
      </c>
      <c r="C18" s="4428" t="s">
        <v>12426</v>
      </c>
      <c r="D18" s="4428" t="s">
        <v>12427</v>
      </c>
      <c r="E18"/>
    </row>
    <row r="19" spans="1:5">
      <c r="B19" s="4428" t="s">
        <v>12428</v>
      </c>
      <c r="C19" s="4428" t="s">
        <v>12429</v>
      </c>
      <c r="D19" s="4428" t="s">
        <v>12430</v>
      </c>
      <c r="E19"/>
    </row>
    <row r="20" spans="1:5">
      <c r="B20" s="4428" t="s">
        <v>12431</v>
      </c>
      <c r="C20" s="4428" t="s">
        <v>12432</v>
      </c>
      <c r="D20" s="4428" t="s">
        <v>12433</v>
      </c>
      <c r="E20"/>
    </row>
    <row r="21" spans="1:5">
      <c r="B21" s="4428" t="s">
        <v>12434</v>
      </c>
      <c r="C21" s="4428" t="s">
        <v>12435</v>
      </c>
      <c r="D21" s="4428" t="s">
        <v>12430</v>
      </c>
      <c r="E21"/>
    </row>
    <row r="22" spans="1:5">
      <c r="A22" s="4180" t="s">
        <v>12436</v>
      </c>
      <c r="B22" s="4428" t="s">
        <v>12401</v>
      </c>
      <c r="C22" s="4428" t="s">
        <v>12437</v>
      </c>
      <c r="D22" s="4428" t="s">
        <v>12438</v>
      </c>
      <c r="E22"/>
    </row>
    <row r="23" spans="1:5">
      <c r="B23" s="137" t="s">
        <v>1163</v>
      </c>
      <c r="C23"/>
      <c r="D23" s="137" t="s">
        <v>12439</v>
      </c>
      <c r="E23"/>
    </row>
    <row r="24" spans="1:5">
      <c r="B24" s="4428" t="s">
        <v>12440</v>
      </c>
      <c r="C24" s="137" t="s">
        <v>12441</v>
      </c>
      <c r="D24" s="4428" t="s">
        <v>12442</v>
      </c>
      <c r="E24"/>
    </row>
    <row r="25" spans="1:5">
      <c r="B25" t="s">
        <v>12443</v>
      </c>
      <c r="C25" t="s">
        <v>12444</v>
      </c>
      <c r="D25" s="4428" t="s">
        <v>12445</v>
      </c>
      <c r="E25" s="154" t="s">
        <v>12446</v>
      </c>
    </row>
    <row r="26" spans="1:5">
      <c r="B26" t="s">
        <v>12447</v>
      </c>
      <c r="C26" t="s">
        <v>12448</v>
      </c>
      <c r="D26" s="4428" t="s">
        <v>12445</v>
      </c>
      <c r="E26" s="154" t="s">
        <v>12449</v>
      </c>
    </row>
    <row r="27" spans="1:5">
      <c r="B27" t="s">
        <v>12450</v>
      </c>
      <c r="C27" t="s">
        <v>12451</v>
      </c>
      <c r="D27" s="4428" t="s">
        <v>12445</v>
      </c>
      <c r="E27" s="4" t="s">
        <v>12452</v>
      </c>
    </row>
    <row r="28" spans="1:5">
      <c r="B28" t="s">
        <v>12453</v>
      </c>
      <c r="C28" t="s">
        <v>12454</v>
      </c>
      <c r="D28" s="4428" t="s">
        <v>12455</v>
      </c>
      <c r="E28" t="s">
        <v>12456</v>
      </c>
    </row>
    <row r="29" spans="1:5">
      <c r="B29" t="s">
        <v>12457</v>
      </c>
      <c r="C29" t="s">
        <v>12458</v>
      </c>
      <c r="D29" s="4428" t="s">
        <v>12456</v>
      </c>
      <c r="E29"/>
    </row>
    <row r="30" spans="1:5">
      <c r="B30" t="s">
        <v>12459</v>
      </c>
      <c r="C30" t="s">
        <v>12460</v>
      </c>
      <c r="D30" s="4428" t="s">
        <v>12456</v>
      </c>
      <c r="E30"/>
    </row>
    <row r="31" spans="1:5">
      <c r="B31" t="s">
        <v>12461</v>
      </c>
      <c r="C31" t="s">
        <v>12462</v>
      </c>
      <c r="D31" s="4428" t="s">
        <v>12456</v>
      </c>
      <c r="E31"/>
    </row>
    <row r="32" spans="1:5">
      <c r="B32" t="s">
        <v>12463</v>
      </c>
      <c r="C32" t="s">
        <v>12464</v>
      </c>
      <c r="D32" s="4428" t="s">
        <v>12465</v>
      </c>
      <c r="E32"/>
    </row>
    <row r="33" spans="1:5">
      <c r="B33" t="s">
        <v>12466</v>
      </c>
      <c r="C33" t="s">
        <v>12467</v>
      </c>
      <c r="D33" s="4428" t="s">
        <v>12468</v>
      </c>
      <c r="E33"/>
    </row>
    <row r="34" spans="1:5">
      <c r="B34" t="s">
        <v>12469</v>
      </c>
      <c r="C34" s="26" t="s">
        <v>12458</v>
      </c>
      <c r="D34" t="s">
        <v>12468</v>
      </c>
    </row>
    <row r="35" spans="1:5">
      <c r="A35" s="155" t="s">
        <v>12470</v>
      </c>
      <c r="B35" s="4428" t="s">
        <v>12471</v>
      </c>
      <c r="C35" s="155" t="s">
        <v>12472</v>
      </c>
      <c r="D35" s="4180" t="s">
        <v>12473</v>
      </c>
      <c r="E35" s="155" t="s">
        <v>12474</v>
      </c>
    </row>
    <row r="36" spans="1:5">
      <c r="A36" s="155" t="s">
        <v>12470</v>
      </c>
      <c r="B36" s="4180" t="s">
        <v>12475</v>
      </c>
      <c r="C36" s="155" t="s">
        <v>12476</v>
      </c>
      <c r="D36" s="4180" t="s">
        <v>12473</v>
      </c>
    </row>
    <row r="37" spans="1:5">
      <c r="A37" s="4180" t="s">
        <v>12470</v>
      </c>
      <c r="B37" s="155" t="s">
        <v>12477</v>
      </c>
      <c r="C37" s="155" t="s">
        <v>12478</v>
      </c>
      <c r="D37" s="4180" t="s">
        <v>12473</v>
      </c>
    </row>
    <row r="38" spans="1:5">
      <c r="A38" s="155" t="s">
        <v>12470</v>
      </c>
      <c r="B38" s="4180" t="s">
        <v>12479</v>
      </c>
      <c r="C38" s="155" t="s">
        <v>12480</v>
      </c>
      <c r="D38" s="4180" t="s">
        <v>12481</v>
      </c>
    </row>
    <row r="39" spans="1:5">
      <c r="A39" s="155" t="s">
        <v>12470</v>
      </c>
      <c r="B39" s="155" t="s">
        <v>12482</v>
      </c>
      <c r="C39" s="4180" t="s">
        <v>12483</v>
      </c>
      <c r="D39" s="4180" t="s">
        <v>12473</v>
      </c>
      <c r="E39" s="155" t="s">
        <v>12474</v>
      </c>
    </row>
    <row r="40" spans="1:5">
      <c r="B40" s="26" t="s">
        <v>12484</v>
      </c>
      <c r="C40" s="26" t="s">
        <v>12485</v>
      </c>
      <c r="D40" s="4180" t="s">
        <v>12486</v>
      </c>
    </row>
    <row r="41" spans="1:5">
      <c r="B41" s="26" t="s">
        <v>12487</v>
      </c>
      <c r="C41" s="26" t="s">
        <v>12488</v>
      </c>
      <c r="D41" s="4180" t="s">
        <v>12442</v>
      </c>
      <c r="E41" s="26" t="s">
        <v>12489</v>
      </c>
    </row>
    <row r="42" spans="1:5">
      <c r="B42" s="26" t="s">
        <v>12490</v>
      </c>
      <c r="D42" s="4180" t="s">
        <v>12473</v>
      </c>
    </row>
    <row r="43" spans="1:5">
      <c r="B43" s="26" t="s">
        <v>12491</v>
      </c>
      <c r="C43" s="26" t="s">
        <v>12492</v>
      </c>
      <c r="D43" s="4180" t="s">
        <v>12473</v>
      </c>
      <c r="E43" s="26" t="s">
        <v>12493</v>
      </c>
    </row>
    <row r="44" spans="1:5">
      <c r="B44" s="26" t="s">
        <v>12494</v>
      </c>
      <c r="C44" s="26" t="s">
        <v>12495</v>
      </c>
      <c r="D44" s="4180" t="s">
        <v>12496</v>
      </c>
    </row>
  </sheetData>
  <pageMargins left="0.7" right="0.7" top="0.75" bottom="0.75" header="0.3" footer="0.3"/>
  <pageSetup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6291B-922A-4812-8046-A3BF704B8459}">
  <sheetPr codeName="Sheet14"/>
  <dimension ref="A1:U287"/>
  <sheetViews>
    <sheetView topLeftCell="A165" zoomScaleNormal="100" workbookViewId="0">
      <selection activeCell="F238" sqref="F238"/>
    </sheetView>
  </sheetViews>
  <sheetFormatPr defaultColWidth="9.125" defaultRowHeight="15"/>
  <cols>
    <col min="1" max="1" width="16" style="43" customWidth="1"/>
    <col min="2" max="2" width="18.25" style="43" customWidth="1"/>
    <col min="3" max="3" width="18.25" style="263" customWidth="1"/>
    <col min="4" max="4" width="15.125" style="43" customWidth="1"/>
    <col min="5" max="5" width="32.125" style="43" customWidth="1"/>
    <col min="6" max="6" width="10.25" style="43" customWidth="1"/>
    <col min="7" max="7" width="11.875" style="43" customWidth="1"/>
    <col min="8" max="8" width="13.25" style="43" customWidth="1"/>
    <col min="9" max="9" width="13.875" style="262" customWidth="1"/>
    <col min="10" max="10" width="14.875" style="43" customWidth="1"/>
    <col min="11" max="11" width="11.25" style="7" customWidth="1"/>
    <col min="12" max="12" width="9.125" style="262" customWidth="1"/>
    <col min="13" max="13" width="12.25" style="262" customWidth="1"/>
    <col min="14" max="14" width="11.25" style="262" customWidth="1"/>
    <col min="15" max="15" width="19.25" style="43" customWidth="1"/>
    <col min="16" max="16" width="9.125" style="43" customWidth="1"/>
    <col min="17" max="17" width="14.25" style="43" customWidth="1"/>
    <col min="18" max="18" width="15.875" style="265" customWidth="1"/>
    <col min="19" max="19" width="11.25" style="43" customWidth="1"/>
    <col min="20" max="20" width="12.875" style="264" customWidth="1"/>
    <col min="21" max="21" width="12.25" style="43" customWidth="1"/>
    <col min="22" max="16384" width="9.125" style="43"/>
  </cols>
  <sheetData>
    <row r="1" spans="1:19" ht="30">
      <c r="A1" s="4552" t="s">
        <v>0</v>
      </c>
      <c r="B1" s="4552" t="s">
        <v>1</v>
      </c>
      <c r="C1" s="43" t="s">
        <v>12497</v>
      </c>
      <c r="D1" s="4552" t="s">
        <v>12498</v>
      </c>
      <c r="E1" s="4552" t="s">
        <v>12499</v>
      </c>
      <c r="F1" s="4552" t="s">
        <v>16</v>
      </c>
      <c r="G1" s="4552" t="s">
        <v>12500</v>
      </c>
      <c r="H1" s="4552" t="s">
        <v>12501</v>
      </c>
      <c r="I1" s="4553" t="s">
        <v>7</v>
      </c>
      <c r="J1" s="4553" t="s">
        <v>12502</v>
      </c>
      <c r="K1" s="4552" t="s">
        <v>12503</v>
      </c>
      <c r="L1" s="4151" t="s">
        <v>15</v>
      </c>
      <c r="M1" s="4553" t="s">
        <v>12504</v>
      </c>
      <c r="N1" s="4554" t="s">
        <v>12505</v>
      </c>
      <c r="O1" s="4553" t="s">
        <v>12506</v>
      </c>
      <c r="P1" s="4552" t="s">
        <v>12507</v>
      </c>
      <c r="Q1" s="4552" t="s">
        <v>12508</v>
      </c>
      <c r="R1" s="4552" t="s">
        <v>12509</v>
      </c>
      <c r="S1" s="265" t="s">
        <v>12510</v>
      </c>
    </row>
    <row r="2" spans="1:19">
      <c r="A2" s="4151" t="s">
        <v>263</v>
      </c>
      <c r="B2" s="7" t="s">
        <v>12511</v>
      </c>
      <c r="C2" s="7" t="s">
        <v>12512</v>
      </c>
      <c r="D2" s="4151" t="s">
        <v>12513</v>
      </c>
      <c r="E2" s="347" t="s">
        <v>12514</v>
      </c>
      <c r="F2" s="347"/>
      <c r="G2" s="348">
        <v>44529</v>
      </c>
      <c r="H2" s="143"/>
      <c r="I2" s="126"/>
      <c r="J2" s="126" t="s">
        <v>12040</v>
      </c>
      <c r="K2" s="349">
        <v>44530</v>
      </c>
      <c r="L2" s="7"/>
      <c r="M2" s="127"/>
      <c r="N2" s="350"/>
      <c r="O2" s="126"/>
      <c r="P2" s="7" t="s">
        <v>12040</v>
      </c>
      <c r="Q2" s="350" t="s">
        <v>12040</v>
      </c>
      <c r="R2" s="7"/>
      <c r="S2" s="351"/>
    </row>
    <row r="3" spans="1:19">
      <c r="A3" s="4151" t="s">
        <v>263</v>
      </c>
      <c r="B3" s="7" t="s">
        <v>12515</v>
      </c>
      <c r="C3" s="7" t="s">
        <v>12512</v>
      </c>
      <c r="D3" s="4151" t="s">
        <v>12513</v>
      </c>
      <c r="E3" s="347" t="s">
        <v>12516</v>
      </c>
      <c r="F3" s="347"/>
      <c r="G3" s="348">
        <v>44529</v>
      </c>
      <c r="H3" s="126"/>
      <c r="I3" s="126"/>
      <c r="J3" s="126" t="s">
        <v>12040</v>
      </c>
      <c r="K3" s="349">
        <v>44530</v>
      </c>
      <c r="L3" s="7"/>
      <c r="M3" s="127"/>
      <c r="N3" s="350"/>
      <c r="O3" s="126"/>
      <c r="P3" s="7" t="s">
        <v>12040</v>
      </c>
      <c r="Q3" s="350" t="s">
        <v>12040</v>
      </c>
      <c r="R3" s="7"/>
      <c r="S3" s="351"/>
    </row>
    <row r="4" spans="1:19">
      <c r="A4" s="4151" t="s">
        <v>263</v>
      </c>
      <c r="B4" s="7" t="s">
        <v>12517</v>
      </c>
      <c r="C4" s="4151" t="s">
        <v>12512</v>
      </c>
      <c r="D4" s="4151" t="s">
        <v>12513</v>
      </c>
      <c r="E4" s="347" t="s">
        <v>12518</v>
      </c>
      <c r="F4" s="347"/>
      <c r="G4" s="348">
        <v>44529</v>
      </c>
      <c r="H4" s="126"/>
      <c r="I4" s="126"/>
      <c r="J4" s="126" t="s">
        <v>12040</v>
      </c>
      <c r="K4" s="349">
        <v>44530</v>
      </c>
      <c r="L4" s="7"/>
      <c r="M4" s="127"/>
      <c r="N4" s="350"/>
      <c r="O4" s="126"/>
      <c r="P4" s="7" t="s">
        <v>12040</v>
      </c>
      <c r="Q4" s="350" t="s">
        <v>12040</v>
      </c>
      <c r="R4" s="7"/>
      <c r="S4" s="351"/>
    </row>
    <row r="5" spans="1:19">
      <c r="A5" s="4151" t="s">
        <v>263</v>
      </c>
      <c r="B5" s="7" t="s">
        <v>12519</v>
      </c>
      <c r="C5" s="156" t="s">
        <v>12512</v>
      </c>
      <c r="D5" s="4151" t="s">
        <v>12513</v>
      </c>
      <c r="E5" s="347" t="s">
        <v>12518</v>
      </c>
      <c r="F5" s="4151"/>
      <c r="G5" s="348">
        <v>44529</v>
      </c>
      <c r="H5" s="126"/>
      <c r="I5" s="126"/>
      <c r="J5" s="126" t="s">
        <v>12040</v>
      </c>
      <c r="K5" s="349">
        <v>44530</v>
      </c>
      <c r="L5" s="7"/>
      <c r="M5" s="127"/>
      <c r="N5" s="350"/>
      <c r="O5" s="126"/>
      <c r="P5" s="7" t="s">
        <v>12040</v>
      </c>
      <c r="Q5" s="350"/>
      <c r="R5" s="7"/>
      <c r="S5" s="351"/>
    </row>
    <row r="6" spans="1:19">
      <c r="A6" s="4151" t="s">
        <v>263</v>
      </c>
      <c r="B6" s="7" t="s">
        <v>12520</v>
      </c>
      <c r="C6" s="7" t="s">
        <v>12512</v>
      </c>
      <c r="D6" s="4151" t="s">
        <v>12513</v>
      </c>
      <c r="E6" s="7"/>
      <c r="F6" s="4151"/>
      <c r="G6" s="7"/>
      <c r="H6" s="126"/>
      <c r="I6" s="126"/>
      <c r="J6" s="126" t="s">
        <v>12040</v>
      </c>
      <c r="K6" s="349">
        <v>44531</v>
      </c>
      <c r="L6" s="347" t="s">
        <v>12521</v>
      </c>
      <c r="M6" s="127"/>
      <c r="N6" s="350"/>
      <c r="O6" s="126"/>
      <c r="P6" s="7" t="s">
        <v>12040</v>
      </c>
      <c r="Q6" s="350" t="s">
        <v>12040</v>
      </c>
      <c r="R6" s="7"/>
      <c r="S6" s="351"/>
    </row>
    <row r="7" spans="1:19">
      <c r="A7" s="4151" t="s">
        <v>263</v>
      </c>
      <c r="B7" s="7" t="s">
        <v>12522</v>
      </c>
      <c r="C7" s="7" t="s">
        <v>12512</v>
      </c>
      <c r="D7" s="4151" t="s">
        <v>12513</v>
      </c>
      <c r="E7" s="7"/>
      <c r="F7" s="4151"/>
      <c r="G7" s="7"/>
      <c r="H7" s="126"/>
      <c r="I7" s="126"/>
      <c r="J7" s="126" t="s">
        <v>12040</v>
      </c>
      <c r="K7" s="349">
        <v>44531</v>
      </c>
      <c r="L7" s="347" t="s">
        <v>12523</v>
      </c>
      <c r="M7" s="127"/>
      <c r="N7" s="350"/>
      <c r="O7" s="126"/>
      <c r="P7" s="7" t="s">
        <v>12040</v>
      </c>
      <c r="Q7" s="350" t="s">
        <v>12040</v>
      </c>
      <c r="R7" s="7"/>
      <c r="S7" s="351"/>
    </row>
    <row r="8" spans="1:19">
      <c r="A8" s="4151" t="s">
        <v>263</v>
      </c>
      <c r="B8" s="7" t="s">
        <v>12524</v>
      </c>
      <c r="C8" s="7" t="s">
        <v>12512</v>
      </c>
      <c r="D8" s="4151" t="s">
        <v>12513</v>
      </c>
      <c r="E8" s="4151" t="s">
        <v>12518</v>
      </c>
      <c r="F8" s="4151"/>
      <c r="G8" s="338">
        <v>44531</v>
      </c>
      <c r="H8" s="126"/>
      <c r="I8" s="126"/>
      <c r="J8" s="126" t="s">
        <v>12040</v>
      </c>
      <c r="K8" s="349">
        <v>44532</v>
      </c>
      <c r="L8" s="7"/>
      <c r="M8" s="127"/>
      <c r="N8" s="350"/>
      <c r="O8" s="126"/>
      <c r="P8" s="7" t="s">
        <v>12040</v>
      </c>
      <c r="Q8" s="350" t="s">
        <v>12040</v>
      </c>
      <c r="R8" s="7"/>
      <c r="S8" s="351"/>
    </row>
    <row r="9" spans="1:19">
      <c r="A9" s="4151" t="s">
        <v>263</v>
      </c>
      <c r="B9" s="7" t="s">
        <v>12525</v>
      </c>
      <c r="C9" s="7" t="s">
        <v>12512</v>
      </c>
      <c r="D9" s="4151" t="s">
        <v>12513</v>
      </c>
      <c r="E9" s="4151" t="s">
        <v>12518</v>
      </c>
      <c r="F9" s="4151"/>
      <c r="G9" s="338">
        <v>44531</v>
      </c>
      <c r="H9" s="126"/>
      <c r="I9" s="126"/>
      <c r="J9" s="126" t="s">
        <v>12040</v>
      </c>
      <c r="K9" s="349">
        <v>44532</v>
      </c>
      <c r="L9" s="7"/>
      <c r="M9" s="127"/>
      <c r="N9" s="350"/>
      <c r="O9" s="126"/>
      <c r="P9" s="7" t="s">
        <v>12040</v>
      </c>
      <c r="Q9" s="350" t="s">
        <v>12040</v>
      </c>
      <c r="R9" s="7"/>
      <c r="S9" s="351"/>
    </row>
    <row r="10" spans="1:19">
      <c r="A10" s="4151" t="s">
        <v>263</v>
      </c>
      <c r="B10" s="7" t="s">
        <v>12526</v>
      </c>
      <c r="C10" s="7" t="s">
        <v>12512</v>
      </c>
      <c r="D10" s="4151" t="s">
        <v>12513</v>
      </c>
      <c r="E10" s="4151"/>
      <c r="F10" s="4151"/>
      <c r="G10" s="7"/>
      <c r="H10" s="126"/>
      <c r="I10" s="126"/>
      <c r="J10" s="126" t="s">
        <v>12040</v>
      </c>
      <c r="K10" s="349">
        <v>44531</v>
      </c>
      <c r="L10" s="347" t="s">
        <v>12527</v>
      </c>
      <c r="M10" s="127"/>
      <c r="N10" s="350"/>
      <c r="O10" s="126"/>
      <c r="P10" s="7" t="s">
        <v>12040</v>
      </c>
      <c r="Q10" s="350" t="s">
        <v>12040</v>
      </c>
      <c r="R10" s="7"/>
      <c r="S10" s="351"/>
    </row>
    <row r="11" spans="1:19">
      <c r="A11" s="4151" t="s">
        <v>263</v>
      </c>
      <c r="B11" s="7" t="s">
        <v>12528</v>
      </c>
      <c r="C11" s="7" t="s">
        <v>12512</v>
      </c>
      <c r="D11" s="4151" t="s">
        <v>12513</v>
      </c>
      <c r="E11" s="4151"/>
      <c r="F11" s="4151"/>
      <c r="G11" s="7"/>
      <c r="H11" s="126"/>
      <c r="I11" s="126"/>
      <c r="J11" s="126" t="s">
        <v>12040</v>
      </c>
      <c r="K11" s="349">
        <v>44531</v>
      </c>
      <c r="L11" s="347" t="s">
        <v>12527</v>
      </c>
      <c r="M11" s="127"/>
      <c r="N11" s="350"/>
      <c r="O11" s="126"/>
      <c r="P11" s="7" t="s">
        <v>12040</v>
      </c>
      <c r="Q11" s="350" t="s">
        <v>12040</v>
      </c>
      <c r="R11" s="7"/>
      <c r="S11" s="351"/>
    </row>
    <row r="12" spans="1:19">
      <c r="A12" s="4151" t="s">
        <v>263</v>
      </c>
      <c r="B12" s="7" t="s">
        <v>12529</v>
      </c>
      <c r="C12" s="7" t="s">
        <v>12512</v>
      </c>
      <c r="D12" s="4151" t="s">
        <v>12513</v>
      </c>
      <c r="E12" s="4151" t="s">
        <v>12530</v>
      </c>
      <c r="F12" s="4151"/>
      <c r="G12" s="338">
        <v>44531</v>
      </c>
      <c r="H12" s="126"/>
      <c r="I12" s="126"/>
      <c r="J12" s="126" t="s">
        <v>12040</v>
      </c>
      <c r="K12" s="349">
        <v>44532</v>
      </c>
      <c r="L12" s="347" t="s">
        <v>12531</v>
      </c>
      <c r="M12" s="127"/>
      <c r="N12" s="350"/>
      <c r="O12" s="126"/>
      <c r="P12" s="7" t="s">
        <v>12040</v>
      </c>
      <c r="Q12" s="350" t="s">
        <v>12040</v>
      </c>
      <c r="R12" s="7"/>
      <c r="S12" s="351"/>
    </row>
    <row r="13" spans="1:19">
      <c r="A13" s="4151" t="s">
        <v>263</v>
      </c>
      <c r="B13" s="7" t="s">
        <v>12532</v>
      </c>
      <c r="C13" s="7" t="s">
        <v>12533</v>
      </c>
      <c r="D13" s="4151" t="s">
        <v>12534</v>
      </c>
      <c r="E13" s="4151" t="s">
        <v>12535</v>
      </c>
      <c r="F13" s="357" t="s">
        <v>12536</v>
      </c>
      <c r="G13" s="338">
        <v>44530</v>
      </c>
      <c r="H13" s="126">
        <v>44530</v>
      </c>
      <c r="I13" s="126"/>
      <c r="J13" s="126">
        <v>44533</v>
      </c>
      <c r="K13" s="349">
        <v>44533</v>
      </c>
      <c r="L13" s="7"/>
      <c r="M13" s="355" t="s">
        <v>12537</v>
      </c>
      <c r="N13" s="352">
        <v>945</v>
      </c>
      <c r="O13" s="356" t="s">
        <v>12538</v>
      </c>
      <c r="P13" s="25">
        <v>1312144</v>
      </c>
      <c r="Q13" s="352">
        <v>790</v>
      </c>
      <c r="R13" s="373">
        <v>44543</v>
      </c>
      <c r="S13" s="354">
        <v>2250</v>
      </c>
    </row>
    <row r="14" spans="1:19">
      <c r="A14" s="4151" t="s">
        <v>263</v>
      </c>
      <c r="B14" s="7" t="s">
        <v>12539</v>
      </c>
      <c r="C14" s="7" t="s">
        <v>12512</v>
      </c>
      <c r="D14" s="4151" t="s">
        <v>12513</v>
      </c>
      <c r="E14" s="4151" t="s">
        <v>12518</v>
      </c>
      <c r="F14" s="4151"/>
      <c r="G14" s="338">
        <v>44531</v>
      </c>
      <c r="H14" s="126"/>
      <c r="I14" s="126"/>
      <c r="J14" s="126" t="s">
        <v>12040</v>
      </c>
      <c r="K14" s="349">
        <v>44532</v>
      </c>
      <c r="L14" s="347" t="s">
        <v>12540</v>
      </c>
      <c r="M14" s="127"/>
      <c r="N14" s="350"/>
      <c r="O14" s="126"/>
      <c r="P14" s="7" t="s">
        <v>12040</v>
      </c>
      <c r="Q14" s="350" t="s">
        <v>12040</v>
      </c>
      <c r="R14" s="7"/>
      <c r="S14" s="351"/>
    </row>
    <row r="15" spans="1:19">
      <c r="A15" s="4151" t="s">
        <v>263</v>
      </c>
      <c r="B15" s="7" t="s">
        <v>12541</v>
      </c>
      <c r="C15" s="7" t="s">
        <v>12512</v>
      </c>
      <c r="D15" s="4151" t="s">
        <v>12513</v>
      </c>
      <c r="E15" s="4151" t="s">
        <v>12518</v>
      </c>
      <c r="F15" s="4151"/>
      <c r="G15" s="338">
        <v>44531</v>
      </c>
      <c r="H15" s="126"/>
      <c r="I15" s="126"/>
      <c r="J15" s="126" t="s">
        <v>12040</v>
      </c>
      <c r="K15" s="349">
        <v>44532</v>
      </c>
      <c r="L15" s="347" t="s">
        <v>12542</v>
      </c>
      <c r="M15" s="127"/>
      <c r="N15" s="350"/>
      <c r="O15" s="126"/>
      <c r="P15" s="7" t="s">
        <v>12040</v>
      </c>
      <c r="Q15" s="350" t="s">
        <v>12040</v>
      </c>
      <c r="R15" s="7"/>
      <c r="S15" s="351"/>
    </row>
    <row r="16" spans="1:19">
      <c r="A16" s="4151" t="s">
        <v>263</v>
      </c>
      <c r="B16" s="7" t="s">
        <v>12543</v>
      </c>
      <c r="C16" s="7" t="s">
        <v>12512</v>
      </c>
      <c r="D16" s="4151" t="s">
        <v>12513</v>
      </c>
      <c r="E16" s="347" t="s">
        <v>12544</v>
      </c>
      <c r="F16" s="4151"/>
      <c r="G16" s="348">
        <v>44529</v>
      </c>
      <c r="H16" s="126"/>
      <c r="I16" s="126"/>
      <c r="J16" s="126" t="s">
        <v>12040</v>
      </c>
      <c r="K16" s="349">
        <v>44530</v>
      </c>
      <c r="L16" s="7"/>
      <c r="M16" s="127"/>
      <c r="N16" s="350"/>
      <c r="O16" s="126"/>
      <c r="P16" s="7" t="s">
        <v>12040</v>
      </c>
      <c r="Q16" s="350" t="s">
        <v>12040</v>
      </c>
      <c r="R16" s="7"/>
      <c r="S16" s="351"/>
    </row>
    <row r="17" spans="1:19">
      <c r="A17" s="4151" t="s">
        <v>263</v>
      </c>
      <c r="B17" s="7" t="s">
        <v>12545</v>
      </c>
      <c r="C17" s="7" t="s">
        <v>12512</v>
      </c>
      <c r="D17" s="4151" t="s">
        <v>12513</v>
      </c>
      <c r="E17" s="347" t="s">
        <v>12544</v>
      </c>
      <c r="F17" s="4151"/>
      <c r="G17" s="348">
        <v>44529</v>
      </c>
      <c r="H17" s="126"/>
      <c r="I17" s="126"/>
      <c r="J17" s="126" t="s">
        <v>12040</v>
      </c>
      <c r="K17" s="349">
        <v>44530</v>
      </c>
      <c r="L17" s="7"/>
      <c r="M17" s="127"/>
      <c r="N17" s="350"/>
      <c r="O17" s="126"/>
      <c r="P17" s="7" t="s">
        <v>12040</v>
      </c>
      <c r="Q17" s="350" t="s">
        <v>12040</v>
      </c>
      <c r="R17" s="7"/>
      <c r="S17" s="351"/>
    </row>
    <row r="18" spans="1:19">
      <c r="A18" s="4151" t="s">
        <v>263</v>
      </c>
      <c r="B18" s="7" t="s">
        <v>12546</v>
      </c>
      <c r="C18" s="7" t="s">
        <v>12512</v>
      </c>
      <c r="D18" s="4151" t="s">
        <v>12513</v>
      </c>
      <c r="E18" s="347" t="s">
        <v>12547</v>
      </c>
      <c r="F18" s="4151"/>
      <c r="G18" s="348">
        <v>44529</v>
      </c>
      <c r="H18" s="126"/>
      <c r="I18" s="126"/>
      <c r="J18" s="126" t="s">
        <v>12040</v>
      </c>
      <c r="K18" s="349">
        <v>44530</v>
      </c>
      <c r="L18" s="7"/>
      <c r="M18" s="127"/>
      <c r="N18" s="350"/>
      <c r="O18" s="126"/>
      <c r="P18" s="7" t="s">
        <v>12040</v>
      </c>
      <c r="Q18" s="350" t="s">
        <v>12040</v>
      </c>
      <c r="R18" s="7"/>
      <c r="S18" s="351"/>
    </row>
    <row r="19" spans="1:19">
      <c r="A19" s="4151" t="s">
        <v>263</v>
      </c>
      <c r="B19" s="7" t="s">
        <v>12548</v>
      </c>
      <c r="C19" s="7" t="s">
        <v>12512</v>
      </c>
      <c r="D19" s="4151" t="s">
        <v>12513</v>
      </c>
      <c r="E19" s="347" t="s">
        <v>12549</v>
      </c>
      <c r="F19" s="4151"/>
      <c r="G19" s="348">
        <v>44529</v>
      </c>
      <c r="H19" s="126"/>
      <c r="I19" s="126"/>
      <c r="J19" s="126" t="s">
        <v>12040</v>
      </c>
      <c r="K19" s="349">
        <v>44530</v>
      </c>
      <c r="L19" s="7"/>
      <c r="M19" s="127"/>
      <c r="N19" s="350"/>
      <c r="O19" s="126"/>
      <c r="P19" s="7" t="s">
        <v>12040</v>
      </c>
      <c r="Q19" s="350" t="s">
        <v>12040</v>
      </c>
      <c r="R19" s="7"/>
      <c r="S19" s="351"/>
    </row>
    <row r="20" spans="1:19">
      <c r="A20" s="4151" t="s">
        <v>263</v>
      </c>
      <c r="B20" s="156" t="s">
        <v>12550</v>
      </c>
      <c r="C20" s="7" t="s">
        <v>12512</v>
      </c>
      <c r="D20" s="4151" t="s">
        <v>12513</v>
      </c>
      <c r="E20" s="4202" t="s">
        <v>12551</v>
      </c>
      <c r="F20" s="4151"/>
      <c r="G20" s="7"/>
      <c r="H20" s="126"/>
      <c r="I20" s="126"/>
      <c r="J20" s="126" t="s">
        <v>12040</v>
      </c>
      <c r="K20" s="349" t="s">
        <v>12040</v>
      </c>
      <c r="L20" s="347" t="s">
        <v>12552</v>
      </c>
      <c r="M20" s="127"/>
      <c r="N20" s="350"/>
      <c r="O20" s="126"/>
      <c r="P20" s="7" t="s">
        <v>12040</v>
      </c>
      <c r="Q20" s="350" t="s">
        <v>12040</v>
      </c>
      <c r="R20" s="7"/>
      <c r="S20" s="351"/>
    </row>
    <row r="21" spans="1:19">
      <c r="A21" s="4151" t="s">
        <v>263</v>
      </c>
      <c r="B21" s="7" t="s">
        <v>12553</v>
      </c>
      <c r="C21" s="7" t="s">
        <v>12512</v>
      </c>
      <c r="D21" s="4151" t="s">
        <v>12513</v>
      </c>
      <c r="E21" s="4151" t="s">
        <v>12554</v>
      </c>
      <c r="F21" s="4151"/>
      <c r="G21" s="338">
        <v>44524</v>
      </c>
      <c r="H21" s="126"/>
      <c r="I21" s="126"/>
      <c r="J21" s="126" t="s">
        <v>12040</v>
      </c>
      <c r="K21" s="349">
        <v>44529</v>
      </c>
      <c r="L21" s="7"/>
      <c r="M21" s="127"/>
      <c r="N21" s="350"/>
      <c r="O21" s="126"/>
      <c r="P21" s="7" t="s">
        <v>12040</v>
      </c>
      <c r="Q21" s="350" t="s">
        <v>12040</v>
      </c>
      <c r="R21" s="7"/>
      <c r="S21" s="351"/>
    </row>
    <row r="22" spans="1:19">
      <c r="A22" s="4151" t="s">
        <v>263</v>
      </c>
      <c r="B22" s="7" t="s">
        <v>12555</v>
      </c>
      <c r="C22" s="7" t="s">
        <v>12512</v>
      </c>
      <c r="D22" s="4151" t="s">
        <v>12513</v>
      </c>
      <c r="E22" s="4151" t="s">
        <v>12554</v>
      </c>
      <c r="F22" s="4151"/>
      <c r="G22" s="338">
        <v>44526</v>
      </c>
      <c r="H22" s="126"/>
      <c r="I22" s="126"/>
      <c r="J22" s="126" t="s">
        <v>12040</v>
      </c>
      <c r="K22" s="349">
        <v>44529</v>
      </c>
      <c r="L22" s="7"/>
      <c r="M22" s="127"/>
      <c r="N22" s="350"/>
      <c r="O22" s="126"/>
      <c r="P22" s="7" t="s">
        <v>12040</v>
      </c>
      <c r="Q22" s="350" t="s">
        <v>12040</v>
      </c>
      <c r="R22" s="7"/>
      <c r="S22" s="351"/>
    </row>
    <row r="23" spans="1:19">
      <c r="A23" s="4151" t="s">
        <v>263</v>
      </c>
      <c r="B23" s="7" t="s">
        <v>12556</v>
      </c>
      <c r="C23" s="7" t="s">
        <v>12512</v>
      </c>
      <c r="D23" s="4151" t="s">
        <v>12513</v>
      </c>
      <c r="E23" s="4151" t="s">
        <v>12554</v>
      </c>
      <c r="F23" s="4151"/>
      <c r="G23" s="338">
        <v>44524</v>
      </c>
      <c r="H23" s="126"/>
      <c r="I23" s="126"/>
      <c r="J23" s="126" t="s">
        <v>12040</v>
      </c>
      <c r="K23" s="349">
        <v>44529</v>
      </c>
      <c r="L23" s="7"/>
      <c r="M23" s="127"/>
      <c r="N23" s="350"/>
      <c r="O23" s="126"/>
      <c r="P23" s="7" t="s">
        <v>12040</v>
      </c>
      <c r="Q23" s="350" t="s">
        <v>12040</v>
      </c>
      <c r="R23" s="7"/>
      <c r="S23" s="351"/>
    </row>
    <row r="24" spans="1:19">
      <c r="A24" s="4151" t="s">
        <v>263</v>
      </c>
      <c r="B24" s="7" t="s">
        <v>12557</v>
      </c>
      <c r="C24" s="7" t="s">
        <v>12512</v>
      </c>
      <c r="D24" s="4151" t="s">
        <v>12513</v>
      </c>
      <c r="E24" s="4151" t="s">
        <v>12554</v>
      </c>
      <c r="F24" s="4151"/>
      <c r="G24" s="338">
        <v>44524</v>
      </c>
      <c r="H24" s="126"/>
      <c r="I24" s="126"/>
      <c r="J24" s="126" t="s">
        <v>12040</v>
      </c>
      <c r="K24" s="349">
        <v>44529</v>
      </c>
      <c r="L24" s="7"/>
      <c r="M24" s="127"/>
      <c r="N24" s="350"/>
      <c r="O24" s="126"/>
      <c r="P24" s="7" t="s">
        <v>12040</v>
      </c>
      <c r="Q24" s="350" t="s">
        <v>12040</v>
      </c>
      <c r="R24" s="7"/>
      <c r="S24" s="351"/>
    </row>
    <row r="25" spans="1:19">
      <c r="A25" s="4151" t="s">
        <v>263</v>
      </c>
      <c r="B25" s="7" t="s">
        <v>12558</v>
      </c>
      <c r="C25" s="7" t="s">
        <v>12512</v>
      </c>
      <c r="D25" s="4151" t="s">
        <v>12513</v>
      </c>
      <c r="E25" s="4151" t="s">
        <v>12554</v>
      </c>
      <c r="F25" s="4151"/>
      <c r="G25" s="338">
        <v>44524</v>
      </c>
      <c r="H25" s="126"/>
      <c r="I25" s="126"/>
      <c r="J25" s="126" t="s">
        <v>12040</v>
      </c>
      <c r="K25" s="349">
        <v>44529</v>
      </c>
      <c r="L25" s="7"/>
      <c r="M25" s="127"/>
      <c r="N25" s="350"/>
      <c r="O25" s="126"/>
      <c r="P25" s="7" t="s">
        <v>12040</v>
      </c>
      <c r="Q25" s="350" t="s">
        <v>12040</v>
      </c>
      <c r="R25" s="7"/>
      <c r="S25" s="351"/>
    </row>
    <row r="26" spans="1:19">
      <c r="A26" s="4151" t="s">
        <v>263</v>
      </c>
      <c r="B26" s="7" t="s">
        <v>12559</v>
      </c>
      <c r="C26" s="7" t="s">
        <v>12512</v>
      </c>
      <c r="D26" s="4151" t="s">
        <v>12513</v>
      </c>
      <c r="E26" s="4151" t="s">
        <v>12554</v>
      </c>
      <c r="F26" s="4151"/>
      <c r="G26" s="338">
        <v>44524</v>
      </c>
      <c r="H26" s="126"/>
      <c r="I26" s="126"/>
      <c r="J26" s="126" t="s">
        <v>12040</v>
      </c>
      <c r="K26" s="349">
        <v>44529</v>
      </c>
      <c r="L26" s="7"/>
      <c r="M26" s="127"/>
      <c r="N26" s="350"/>
      <c r="O26" s="126"/>
      <c r="P26" s="7" t="s">
        <v>12040</v>
      </c>
      <c r="Q26" s="350" t="s">
        <v>12040</v>
      </c>
      <c r="R26" s="7"/>
      <c r="S26" s="351"/>
    </row>
    <row r="27" spans="1:19">
      <c r="A27" s="4151" t="s">
        <v>263</v>
      </c>
      <c r="B27" s="7" t="s">
        <v>12560</v>
      </c>
      <c r="C27" s="7" t="s">
        <v>12512</v>
      </c>
      <c r="D27" s="4151" t="s">
        <v>12513</v>
      </c>
      <c r="E27" s="4151" t="s">
        <v>12554</v>
      </c>
      <c r="F27" s="4151"/>
      <c r="G27" s="338">
        <v>44524</v>
      </c>
      <c r="H27" s="126"/>
      <c r="I27" s="126"/>
      <c r="J27" s="126" t="s">
        <v>12040</v>
      </c>
      <c r="K27" s="349">
        <v>44529</v>
      </c>
      <c r="L27" s="7"/>
      <c r="M27" s="127"/>
      <c r="N27" s="350"/>
      <c r="O27" s="126"/>
      <c r="P27" s="7" t="s">
        <v>12040</v>
      </c>
      <c r="Q27" s="350" t="s">
        <v>12040</v>
      </c>
      <c r="R27" s="7"/>
      <c r="S27" s="351"/>
    </row>
    <row r="28" spans="1:19">
      <c r="A28" s="4151" t="s">
        <v>263</v>
      </c>
      <c r="B28" s="7" t="s">
        <v>12561</v>
      </c>
      <c r="C28" s="7" t="s">
        <v>12512</v>
      </c>
      <c r="D28" s="4151" t="s">
        <v>12513</v>
      </c>
      <c r="E28" s="4151" t="s">
        <v>12554</v>
      </c>
      <c r="F28" s="4151"/>
      <c r="G28" s="338">
        <v>44524</v>
      </c>
      <c r="H28" s="126"/>
      <c r="I28" s="126"/>
      <c r="J28" s="126" t="s">
        <v>12040</v>
      </c>
      <c r="K28" s="349">
        <v>44529</v>
      </c>
      <c r="L28" s="7"/>
      <c r="M28" s="127"/>
      <c r="N28" s="350"/>
      <c r="O28" s="126"/>
      <c r="P28" s="7" t="s">
        <v>12040</v>
      </c>
      <c r="Q28" s="350" t="s">
        <v>12040</v>
      </c>
      <c r="R28" s="7"/>
      <c r="S28" s="351"/>
    </row>
    <row r="29" spans="1:19">
      <c r="A29" s="4151" t="s">
        <v>263</v>
      </c>
      <c r="B29" s="7" t="s">
        <v>12562</v>
      </c>
      <c r="C29" t="s">
        <v>12512</v>
      </c>
      <c r="D29" s="4151" t="s">
        <v>12513</v>
      </c>
      <c r="E29" s="4151" t="s">
        <v>12554</v>
      </c>
      <c r="F29" s="4151"/>
      <c r="G29" s="338">
        <v>44526</v>
      </c>
      <c r="H29" s="126"/>
      <c r="I29" s="126"/>
      <c r="J29" s="126" t="s">
        <v>12040</v>
      </c>
      <c r="K29" s="349">
        <v>44529</v>
      </c>
      <c r="L29" s="7"/>
      <c r="M29" s="127"/>
      <c r="N29" s="350"/>
      <c r="O29" s="126"/>
      <c r="P29" s="7" t="s">
        <v>12040</v>
      </c>
      <c r="Q29" s="350" t="s">
        <v>12040</v>
      </c>
      <c r="R29" s="7"/>
      <c r="S29" s="351"/>
    </row>
    <row r="30" spans="1:19">
      <c r="A30" s="4151" t="s">
        <v>263</v>
      </c>
      <c r="B30" s="7" t="s">
        <v>12563</v>
      </c>
      <c r="C30" s="7" t="s">
        <v>12533</v>
      </c>
      <c r="D30" s="4151" t="s">
        <v>12564</v>
      </c>
      <c r="E30" s="4151" t="s">
        <v>12565</v>
      </c>
      <c r="F30" s="4151" t="s">
        <v>12536</v>
      </c>
      <c r="G30" s="338">
        <v>44531</v>
      </c>
      <c r="H30" s="126">
        <v>44531</v>
      </c>
      <c r="I30" s="126"/>
      <c r="J30" s="126">
        <v>44533</v>
      </c>
      <c r="K30" s="349">
        <v>44533</v>
      </c>
      <c r="L30" s="7"/>
      <c r="M30" s="355" t="s">
        <v>12537</v>
      </c>
      <c r="N30" s="352">
        <v>945</v>
      </c>
      <c r="O30" s="356" t="s">
        <v>12538</v>
      </c>
      <c r="P30" s="25">
        <v>1311456</v>
      </c>
      <c r="Q30" s="352">
        <v>790</v>
      </c>
      <c r="R30" s="373">
        <v>44539</v>
      </c>
      <c r="S30" s="354">
        <v>2200</v>
      </c>
    </row>
    <row r="31" spans="1:19">
      <c r="A31" s="4151" t="s">
        <v>263</v>
      </c>
      <c r="B31" s="7" t="s">
        <v>12566</v>
      </c>
      <c r="C31" s="7" t="s">
        <v>12533</v>
      </c>
      <c r="D31" s="4151" t="s">
        <v>12534</v>
      </c>
      <c r="E31" s="4151" t="s">
        <v>12535</v>
      </c>
      <c r="F31" s="357" t="s">
        <v>12536</v>
      </c>
      <c r="G31" s="338">
        <v>44530</v>
      </c>
      <c r="H31" s="126">
        <v>44530</v>
      </c>
      <c r="I31" s="126"/>
      <c r="J31" s="126">
        <v>44533</v>
      </c>
      <c r="K31" s="349">
        <v>44533</v>
      </c>
      <c r="L31" s="7"/>
      <c r="M31" s="355" t="s">
        <v>12567</v>
      </c>
      <c r="N31" s="352">
        <v>945</v>
      </c>
      <c r="O31" s="353">
        <v>44537</v>
      </c>
      <c r="P31" s="25">
        <v>1312142</v>
      </c>
      <c r="Q31" s="352">
        <v>790</v>
      </c>
      <c r="R31" s="373">
        <v>44543</v>
      </c>
      <c r="S31" s="354">
        <v>2250</v>
      </c>
    </row>
    <row r="32" spans="1:19">
      <c r="A32" s="4151" t="s">
        <v>263</v>
      </c>
      <c r="B32" s="156" t="s">
        <v>12568</v>
      </c>
      <c r="C32" s="7" t="s">
        <v>12569</v>
      </c>
      <c r="D32" s="4151" t="s">
        <v>12536</v>
      </c>
      <c r="E32" s="361" t="s">
        <v>12551</v>
      </c>
      <c r="F32" s="4151" t="s">
        <v>12536</v>
      </c>
      <c r="G32" s="7"/>
      <c r="H32" s="143">
        <v>44533</v>
      </c>
      <c r="I32" s="126"/>
      <c r="J32" s="126" t="s">
        <v>12040</v>
      </c>
      <c r="K32" s="359">
        <v>44534</v>
      </c>
      <c r="L32" t="s">
        <v>12570</v>
      </c>
      <c r="M32" s="13" t="s">
        <v>12571</v>
      </c>
      <c r="N32" s="352">
        <v>1890</v>
      </c>
      <c r="O32" s="13" t="s">
        <v>12572</v>
      </c>
      <c r="P32" s="25">
        <v>1310883</v>
      </c>
      <c r="Q32" s="352">
        <v>790</v>
      </c>
      <c r="R32" s="373">
        <v>44538</v>
      </c>
      <c r="S32" s="354">
        <v>2200</v>
      </c>
    </row>
    <row r="33" spans="1:19">
      <c r="A33" s="4151" t="s">
        <v>263</v>
      </c>
      <c r="B33" s="7" t="s">
        <v>12573</v>
      </c>
      <c r="C33" s="7" t="s">
        <v>12574</v>
      </c>
      <c r="D33" s="4151" t="s">
        <v>12536</v>
      </c>
      <c r="E33" s="4151" t="s">
        <v>12535</v>
      </c>
      <c r="F33" s="4151" t="s">
        <v>12536</v>
      </c>
      <c r="G33" s="338">
        <v>44531</v>
      </c>
      <c r="H33" s="126">
        <v>44531</v>
      </c>
      <c r="I33" s="126"/>
      <c r="J33" s="126">
        <v>44533</v>
      </c>
      <c r="K33" s="349">
        <v>44533</v>
      </c>
      <c r="L33" s="7"/>
      <c r="M33" s="104" t="s">
        <v>12575</v>
      </c>
      <c r="N33" s="352">
        <v>945</v>
      </c>
      <c r="O33" s="353">
        <v>44538</v>
      </c>
      <c r="P33" s="25">
        <v>1312147</v>
      </c>
      <c r="Q33" s="352">
        <v>790</v>
      </c>
      <c r="R33" s="373">
        <v>44543</v>
      </c>
      <c r="S33" s="354">
        <v>2200</v>
      </c>
    </row>
    <row r="34" spans="1:19">
      <c r="A34" s="4151" t="s">
        <v>263</v>
      </c>
      <c r="B34" s="7" t="s">
        <v>12576</v>
      </c>
      <c r="C34" s="7" t="s">
        <v>12574</v>
      </c>
      <c r="D34" s="4151" t="s">
        <v>12536</v>
      </c>
      <c r="E34" s="4151" t="s">
        <v>12535</v>
      </c>
      <c r="F34" s="357" t="s">
        <v>12536</v>
      </c>
      <c r="G34" s="338">
        <v>44530</v>
      </c>
      <c r="H34" s="126">
        <v>44530</v>
      </c>
      <c r="I34" s="126"/>
      <c r="J34" s="126">
        <v>44531</v>
      </c>
      <c r="K34" s="349">
        <v>44531</v>
      </c>
      <c r="L34" s="7"/>
      <c r="M34" s="104" t="s">
        <v>12577</v>
      </c>
      <c r="N34" s="352">
        <v>945</v>
      </c>
      <c r="O34" s="353">
        <v>44539</v>
      </c>
      <c r="P34" s="25">
        <v>1312148</v>
      </c>
      <c r="Q34" s="352">
        <v>790</v>
      </c>
      <c r="R34" s="373">
        <v>44543</v>
      </c>
      <c r="S34" s="354">
        <v>2200</v>
      </c>
    </row>
    <row r="35" spans="1:19">
      <c r="A35" s="4151" t="s">
        <v>263</v>
      </c>
      <c r="B35" s="7" t="s">
        <v>12578</v>
      </c>
      <c r="C35" s="7" t="s">
        <v>12574</v>
      </c>
      <c r="D35" s="4151" t="s">
        <v>12536</v>
      </c>
      <c r="E35" s="4151"/>
      <c r="F35" s="4151" t="s">
        <v>12536</v>
      </c>
      <c r="G35" s="7"/>
      <c r="H35" s="126">
        <v>44531</v>
      </c>
      <c r="I35" s="126"/>
      <c r="J35" s="126">
        <v>44533</v>
      </c>
      <c r="K35" s="349">
        <v>44533</v>
      </c>
      <c r="L35" s="7"/>
      <c r="M35" s="104" t="s">
        <v>12579</v>
      </c>
      <c r="N35" s="352">
        <v>945</v>
      </c>
      <c r="O35" s="353">
        <v>44539</v>
      </c>
      <c r="P35" s="25">
        <v>1312146</v>
      </c>
      <c r="Q35" s="352">
        <v>790</v>
      </c>
      <c r="R35" s="373">
        <v>44543</v>
      </c>
      <c r="S35" s="354">
        <v>2200</v>
      </c>
    </row>
    <row r="36" spans="1:19">
      <c r="A36" s="4151" t="s">
        <v>263</v>
      </c>
      <c r="B36" s="7" t="s">
        <v>12580</v>
      </c>
      <c r="C36" s="7" t="s">
        <v>12533</v>
      </c>
      <c r="D36" s="4151" t="s">
        <v>12564</v>
      </c>
      <c r="E36" s="4151" t="s">
        <v>12565</v>
      </c>
      <c r="F36" s="4151" t="s">
        <v>12536</v>
      </c>
      <c r="G36" s="338">
        <v>44531</v>
      </c>
      <c r="H36" s="126">
        <v>44531</v>
      </c>
      <c r="I36" s="126"/>
      <c r="J36" s="126">
        <v>44533</v>
      </c>
      <c r="K36" s="349">
        <v>44533</v>
      </c>
      <c r="L36" s="7"/>
      <c r="M36" s="104" t="s">
        <v>12579</v>
      </c>
      <c r="N36" s="352">
        <v>945</v>
      </c>
      <c r="O36" s="353">
        <v>44539</v>
      </c>
      <c r="P36" s="25">
        <v>1311515</v>
      </c>
      <c r="Q36" s="352">
        <v>790</v>
      </c>
      <c r="R36" s="373">
        <v>44539</v>
      </c>
      <c r="S36" s="354">
        <v>2200</v>
      </c>
    </row>
    <row r="37" spans="1:19">
      <c r="A37" s="4151" t="s">
        <v>263</v>
      </c>
      <c r="B37" t="s">
        <v>12581</v>
      </c>
      <c r="C37" s="7" t="s">
        <v>12574</v>
      </c>
      <c r="D37" s="4151" t="s">
        <v>12536</v>
      </c>
      <c r="E37" s="4151" t="s">
        <v>12535</v>
      </c>
      <c r="F37" s="357" t="s">
        <v>12536</v>
      </c>
      <c r="G37" s="338">
        <v>44530</v>
      </c>
      <c r="H37" s="126">
        <v>44530</v>
      </c>
      <c r="I37" s="126"/>
      <c r="J37" s="126">
        <v>44531</v>
      </c>
      <c r="K37" s="349">
        <v>44532</v>
      </c>
      <c r="L37" s="7"/>
      <c r="M37" s="104" t="s">
        <v>12582</v>
      </c>
      <c r="N37" s="352">
        <v>945</v>
      </c>
      <c r="O37" s="353">
        <v>44533</v>
      </c>
      <c r="P37" s="25">
        <v>1312149</v>
      </c>
      <c r="Q37" s="352">
        <v>790</v>
      </c>
      <c r="R37" s="373">
        <v>44543</v>
      </c>
      <c r="S37" s="354">
        <v>2200</v>
      </c>
    </row>
    <row r="38" spans="1:19">
      <c r="A38" s="4151" t="s">
        <v>263</v>
      </c>
      <c r="B38" s="156" t="s">
        <v>12583</v>
      </c>
      <c r="C38" s="7" t="s">
        <v>12533</v>
      </c>
      <c r="D38" s="4151" t="s">
        <v>12564</v>
      </c>
      <c r="E38" s="4151" t="s">
        <v>12584</v>
      </c>
      <c r="F38" s="4151" t="s">
        <v>12536</v>
      </c>
      <c r="G38" s="338">
        <v>44531</v>
      </c>
      <c r="H38" s="126">
        <v>44531</v>
      </c>
      <c r="I38" s="126"/>
      <c r="J38" s="126">
        <v>44533</v>
      </c>
      <c r="K38" s="349">
        <v>44533</v>
      </c>
      <c r="L38" s="156" t="s">
        <v>12585</v>
      </c>
      <c r="M38" s="104" t="s">
        <v>12586</v>
      </c>
      <c r="N38" s="352">
        <v>945</v>
      </c>
      <c r="O38" s="353">
        <v>44538</v>
      </c>
      <c r="P38" s="25">
        <v>1309216</v>
      </c>
      <c r="Q38" s="352">
        <v>790</v>
      </c>
      <c r="R38" s="373">
        <v>44533</v>
      </c>
      <c r="S38" s="354">
        <v>2200</v>
      </c>
    </row>
    <row r="39" spans="1:19">
      <c r="A39" s="4151" t="s">
        <v>263</v>
      </c>
      <c r="B39" s="7" t="s">
        <v>12587</v>
      </c>
      <c r="C39" s="7" t="s">
        <v>12533</v>
      </c>
      <c r="D39" s="4151" t="s">
        <v>12564</v>
      </c>
      <c r="E39" s="4151" t="s">
        <v>12584</v>
      </c>
      <c r="F39" s="4151" t="s">
        <v>12536</v>
      </c>
      <c r="G39" s="338">
        <v>44531</v>
      </c>
      <c r="H39" s="126">
        <v>44531</v>
      </c>
      <c r="I39" s="126"/>
      <c r="J39" s="126">
        <v>44533</v>
      </c>
      <c r="K39" s="349">
        <v>44533</v>
      </c>
      <c r="L39" s="7"/>
      <c r="M39" s="104" t="s">
        <v>12586</v>
      </c>
      <c r="N39" s="352">
        <v>945</v>
      </c>
      <c r="O39" s="353">
        <v>44538</v>
      </c>
      <c r="P39" s="25">
        <v>1309214</v>
      </c>
      <c r="Q39" s="352">
        <v>790</v>
      </c>
      <c r="R39" s="373">
        <v>44533</v>
      </c>
      <c r="S39" s="354">
        <v>2200</v>
      </c>
    </row>
    <row r="40" spans="1:19">
      <c r="A40" s="4151" t="s">
        <v>263</v>
      </c>
      <c r="B40" s="7" t="s">
        <v>12588</v>
      </c>
      <c r="C40" s="7" t="s">
        <v>12533</v>
      </c>
      <c r="D40" s="4151" t="s">
        <v>12564</v>
      </c>
      <c r="E40" s="4151" t="s">
        <v>12584</v>
      </c>
      <c r="F40" s="4151" t="s">
        <v>12536</v>
      </c>
      <c r="G40" s="338">
        <v>44531</v>
      </c>
      <c r="H40" s="126">
        <v>44531</v>
      </c>
      <c r="I40" s="126"/>
      <c r="J40" s="126">
        <v>44532</v>
      </c>
      <c r="K40" s="349">
        <v>44532</v>
      </c>
      <c r="L40" s="7"/>
      <c r="M40" s="13" t="s">
        <v>12589</v>
      </c>
      <c r="N40" s="352">
        <v>945</v>
      </c>
      <c r="O40" s="353">
        <v>44533</v>
      </c>
      <c r="P40" s="25">
        <v>1309218</v>
      </c>
      <c r="Q40" s="352">
        <v>790</v>
      </c>
      <c r="R40" s="373">
        <v>44533</v>
      </c>
      <c r="S40" s="354">
        <v>2200</v>
      </c>
    </row>
    <row r="41" spans="1:19">
      <c r="A41" s="4555" t="s">
        <v>263</v>
      </c>
      <c r="B41" s="371" t="s">
        <v>12590</v>
      </c>
      <c r="C41" s="364" t="s">
        <v>12533</v>
      </c>
      <c r="D41" s="4555" t="s">
        <v>12534</v>
      </c>
      <c r="E41" s="4555" t="s">
        <v>12535</v>
      </c>
      <c r="F41" s="365" t="s">
        <v>12536</v>
      </c>
      <c r="G41" s="372">
        <v>44530</v>
      </c>
      <c r="H41" s="367">
        <v>44530</v>
      </c>
      <c r="I41" s="367"/>
      <c r="J41" s="367"/>
      <c r="K41" s="368" t="s">
        <v>12040</v>
      </c>
      <c r="L41" s="364" t="s">
        <v>12591</v>
      </c>
      <c r="M41" s="104" t="s">
        <v>12592</v>
      </c>
      <c r="N41" s="352">
        <v>945</v>
      </c>
      <c r="O41" s="353">
        <v>44925</v>
      </c>
      <c r="P41" s="25">
        <v>1312145</v>
      </c>
      <c r="Q41" s="352">
        <v>790</v>
      </c>
      <c r="R41" s="373">
        <v>44543</v>
      </c>
      <c r="S41" s="370">
        <v>2200</v>
      </c>
    </row>
    <row r="42" spans="1:19">
      <c r="A42" s="4151" t="s">
        <v>263</v>
      </c>
      <c r="B42" s="7" t="s">
        <v>12593</v>
      </c>
      <c r="C42" s="7" t="s">
        <v>12574</v>
      </c>
      <c r="D42" s="4151" t="s">
        <v>12536</v>
      </c>
      <c r="E42" s="4151"/>
      <c r="F42" s="4556" t="s">
        <v>12536</v>
      </c>
      <c r="G42" s="7"/>
      <c r="H42" s="126">
        <v>44529</v>
      </c>
      <c r="I42" s="126"/>
      <c r="J42" s="126"/>
      <c r="K42" s="349">
        <v>44530</v>
      </c>
      <c r="L42" s="7"/>
      <c r="M42" s="355" t="s">
        <v>12594</v>
      </c>
      <c r="N42" s="352">
        <v>945</v>
      </c>
      <c r="O42" s="353" t="s">
        <v>12595</v>
      </c>
      <c r="P42" s="25">
        <v>1309859</v>
      </c>
      <c r="Q42" s="352">
        <v>859</v>
      </c>
      <c r="R42" s="374" t="s">
        <v>12538</v>
      </c>
      <c r="S42" s="354">
        <v>2200</v>
      </c>
    </row>
    <row r="43" spans="1:19">
      <c r="A43" s="4151" t="s">
        <v>263</v>
      </c>
      <c r="B43" s="7" t="s">
        <v>12596</v>
      </c>
      <c r="C43" s="7" t="s">
        <v>12574</v>
      </c>
      <c r="D43" s="4151" t="s">
        <v>12536</v>
      </c>
      <c r="E43" s="4151" t="s">
        <v>12535</v>
      </c>
      <c r="F43" s="7" t="s">
        <v>12536</v>
      </c>
      <c r="G43" s="338">
        <v>44529</v>
      </c>
      <c r="H43" s="126">
        <v>44529</v>
      </c>
      <c r="I43" s="126"/>
      <c r="J43" s="126">
        <v>44530</v>
      </c>
      <c r="K43" s="349">
        <v>44530</v>
      </c>
      <c r="L43" s="7"/>
      <c r="M43" s="104" t="s">
        <v>12594</v>
      </c>
      <c r="N43" s="352">
        <v>945</v>
      </c>
      <c r="O43" s="353" t="s">
        <v>12595</v>
      </c>
      <c r="P43" s="25">
        <v>1312152</v>
      </c>
      <c r="Q43" s="352">
        <v>859</v>
      </c>
      <c r="R43" s="373">
        <v>44543</v>
      </c>
      <c r="S43" s="354">
        <v>2200</v>
      </c>
    </row>
    <row r="44" spans="1:19">
      <c r="A44" s="4151" t="s">
        <v>263</v>
      </c>
      <c r="B44" s="7" t="s">
        <v>12597</v>
      </c>
      <c r="C44" s="7" t="s">
        <v>12598</v>
      </c>
      <c r="D44" s="4151" t="s">
        <v>12536</v>
      </c>
      <c r="E44" s="4151" t="s">
        <v>12535</v>
      </c>
      <c r="F44" s="7" t="s">
        <v>12536</v>
      </c>
      <c r="G44" s="338">
        <v>44529</v>
      </c>
      <c r="H44" s="126">
        <v>44529</v>
      </c>
      <c r="I44" s="126"/>
      <c r="J44" s="126">
        <v>44530</v>
      </c>
      <c r="K44" s="349">
        <v>44530</v>
      </c>
      <c r="L44" s="7"/>
      <c r="M44" s="355" t="s">
        <v>12599</v>
      </c>
      <c r="N44" s="352">
        <v>945</v>
      </c>
      <c r="O44" s="356" t="s">
        <v>12600</v>
      </c>
      <c r="P44" s="25">
        <v>1312167</v>
      </c>
      <c r="Q44" s="352">
        <v>859</v>
      </c>
      <c r="R44" s="373">
        <v>44543</v>
      </c>
      <c r="S44" s="354">
        <v>2200</v>
      </c>
    </row>
    <row r="45" spans="1:19">
      <c r="A45" s="4151" t="s">
        <v>263</v>
      </c>
      <c r="B45" s="7" t="s">
        <v>12601</v>
      </c>
      <c r="C45" s="7" t="s">
        <v>12574</v>
      </c>
      <c r="D45" s="4151" t="s">
        <v>12536</v>
      </c>
      <c r="E45" s="4151" t="s">
        <v>12535</v>
      </c>
      <c r="F45" s="7" t="s">
        <v>12536</v>
      </c>
      <c r="G45" s="338">
        <v>44529</v>
      </c>
      <c r="H45" s="126">
        <v>44529</v>
      </c>
      <c r="I45" s="126"/>
      <c r="J45" s="126">
        <v>44530</v>
      </c>
      <c r="K45" s="349">
        <v>44530</v>
      </c>
      <c r="L45" s="7"/>
      <c r="M45" s="355" t="s">
        <v>12599</v>
      </c>
      <c r="N45" s="352">
        <v>945</v>
      </c>
      <c r="O45" s="356" t="s">
        <v>12600</v>
      </c>
      <c r="P45" s="25">
        <v>1312160</v>
      </c>
      <c r="Q45" s="352">
        <v>859</v>
      </c>
      <c r="R45" s="373">
        <v>44543</v>
      </c>
      <c r="S45" s="354">
        <v>2200</v>
      </c>
    </row>
    <row r="46" spans="1:19">
      <c r="A46" s="4151" t="s">
        <v>263</v>
      </c>
      <c r="B46" s="7" t="s">
        <v>12602</v>
      </c>
      <c r="C46" s="7" t="s">
        <v>12574</v>
      </c>
      <c r="D46" s="4151" t="s">
        <v>12536</v>
      </c>
      <c r="E46" s="4151"/>
      <c r="F46" s="4151" t="s">
        <v>12536</v>
      </c>
      <c r="G46" s="7"/>
      <c r="H46" s="126">
        <v>44533</v>
      </c>
      <c r="I46" s="126"/>
      <c r="J46" s="126">
        <v>44534</v>
      </c>
      <c r="K46" s="359">
        <v>44534</v>
      </c>
      <c r="L46" s="7"/>
      <c r="M46" s="104" t="s">
        <v>12603</v>
      </c>
      <c r="N46" s="352">
        <v>945</v>
      </c>
      <c r="O46" s="353" t="s">
        <v>12538</v>
      </c>
      <c r="P46" s="25">
        <v>1310882</v>
      </c>
      <c r="Q46" s="352">
        <v>859</v>
      </c>
      <c r="R46" s="373">
        <v>44538</v>
      </c>
      <c r="S46" s="354">
        <v>2200</v>
      </c>
    </row>
    <row r="47" spans="1:19">
      <c r="A47" s="4151" t="s">
        <v>263</v>
      </c>
      <c r="B47" s="156" t="s">
        <v>12604</v>
      </c>
      <c r="C47" s="7" t="s">
        <v>12598</v>
      </c>
      <c r="D47" s="4151" t="s">
        <v>12536</v>
      </c>
      <c r="E47" s="4202" t="s">
        <v>12551</v>
      </c>
      <c r="F47" s="4151" t="s">
        <v>12536</v>
      </c>
      <c r="G47" s="7"/>
      <c r="H47" s="126">
        <v>44530</v>
      </c>
      <c r="I47" s="126"/>
      <c r="J47" s="126">
        <v>44531</v>
      </c>
      <c r="K47" s="359">
        <v>44534</v>
      </c>
      <c r="L47" s="7" t="s">
        <v>12605</v>
      </c>
      <c r="M47" s="355" t="s">
        <v>12606</v>
      </c>
      <c r="N47" s="352">
        <v>945</v>
      </c>
      <c r="O47" s="356" t="s">
        <v>12538</v>
      </c>
      <c r="P47" s="25">
        <v>1310887</v>
      </c>
      <c r="Q47" s="352">
        <v>859</v>
      </c>
      <c r="R47" s="373">
        <v>44538</v>
      </c>
      <c r="S47" s="354">
        <v>2300</v>
      </c>
    </row>
    <row r="48" spans="1:19">
      <c r="A48" s="4151" t="s">
        <v>263</v>
      </c>
      <c r="B48" s="7" t="s">
        <v>12607</v>
      </c>
      <c r="C48" s="7" t="s">
        <v>12598</v>
      </c>
      <c r="D48" s="4151" t="s">
        <v>12536</v>
      </c>
      <c r="E48" s="357" t="s">
        <v>12608</v>
      </c>
      <c r="F48" s="357" t="s">
        <v>12536</v>
      </c>
      <c r="G48" s="348">
        <v>44530</v>
      </c>
      <c r="H48" s="126">
        <v>44530</v>
      </c>
      <c r="I48" s="126"/>
      <c r="J48" s="126">
        <v>44531</v>
      </c>
      <c r="K48" s="349">
        <v>44530</v>
      </c>
      <c r="L48" s="7"/>
      <c r="M48" s="355" t="s">
        <v>12609</v>
      </c>
      <c r="N48" s="352">
        <v>945</v>
      </c>
      <c r="O48" s="356" t="s">
        <v>12538</v>
      </c>
      <c r="P48" s="25">
        <v>1311463</v>
      </c>
      <c r="Q48" s="352">
        <v>859</v>
      </c>
      <c r="R48" s="373">
        <v>44539</v>
      </c>
      <c r="S48" s="354">
        <v>2200</v>
      </c>
    </row>
    <row r="49" spans="1:19">
      <c r="A49" s="4151" t="s">
        <v>263</v>
      </c>
      <c r="B49" s="7" t="s">
        <v>12610</v>
      </c>
      <c r="C49" s="7" t="s">
        <v>12574</v>
      </c>
      <c r="D49" s="4151" t="s">
        <v>12536</v>
      </c>
      <c r="E49" s="4151" t="s">
        <v>12535</v>
      </c>
      <c r="F49" s="7" t="s">
        <v>12536</v>
      </c>
      <c r="G49" s="338">
        <v>44529</v>
      </c>
      <c r="H49" s="126">
        <v>44529</v>
      </c>
      <c r="I49" s="126"/>
      <c r="J49" s="126">
        <v>44531</v>
      </c>
      <c r="K49" s="349">
        <v>44530</v>
      </c>
      <c r="L49" s="7"/>
      <c r="M49" s="355" t="s">
        <v>12609</v>
      </c>
      <c r="N49" s="352">
        <v>945</v>
      </c>
      <c r="O49" s="356" t="s">
        <v>12538</v>
      </c>
      <c r="P49" s="25">
        <v>1312153</v>
      </c>
      <c r="Q49" s="352">
        <v>859</v>
      </c>
      <c r="R49" s="373">
        <v>44543</v>
      </c>
      <c r="S49" s="354">
        <v>2200</v>
      </c>
    </row>
    <row r="50" spans="1:19">
      <c r="A50" s="4151" t="s">
        <v>263</v>
      </c>
      <c r="B50" s="7" t="s">
        <v>12611</v>
      </c>
      <c r="C50" s="7" t="s">
        <v>12574</v>
      </c>
      <c r="D50" s="4151" t="s">
        <v>12536</v>
      </c>
      <c r="E50" s="4151" t="s">
        <v>12535</v>
      </c>
      <c r="F50" s="7" t="s">
        <v>12536</v>
      </c>
      <c r="G50" s="338">
        <v>44529</v>
      </c>
      <c r="H50" s="126">
        <v>44529</v>
      </c>
      <c r="I50" s="126"/>
      <c r="J50" s="126"/>
      <c r="K50" s="349">
        <v>44536</v>
      </c>
      <c r="L50" s="7"/>
      <c r="M50" s="355" t="s">
        <v>12612</v>
      </c>
      <c r="N50" s="352">
        <v>945</v>
      </c>
      <c r="O50" s="356" t="s">
        <v>12538</v>
      </c>
      <c r="P50" s="25">
        <v>1312157</v>
      </c>
      <c r="Q50" s="352">
        <v>859</v>
      </c>
      <c r="R50" s="373">
        <v>44543</v>
      </c>
      <c r="S50" s="354">
        <v>2350</v>
      </c>
    </row>
    <row r="51" spans="1:19">
      <c r="A51" s="4151" t="s">
        <v>263</v>
      </c>
      <c r="B51" s="7" t="s">
        <v>12613</v>
      </c>
      <c r="C51" s="7" t="s">
        <v>12598</v>
      </c>
      <c r="D51" s="4151" t="s">
        <v>12536</v>
      </c>
      <c r="E51" s="347" t="s">
        <v>12608</v>
      </c>
      <c r="F51" s="347" t="s">
        <v>12536</v>
      </c>
      <c r="G51" s="348">
        <v>44530</v>
      </c>
      <c r="H51" s="126">
        <v>44530</v>
      </c>
      <c r="I51" s="126"/>
      <c r="J51" s="126">
        <v>44533</v>
      </c>
      <c r="K51" s="349">
        <v>44533</v>
      </c>
      <c r="L51" s="7"/>
      <c r="M51" s="355" t="s">
        <v>12567</v>
      </c>
      <c r="N51" s="352">
        <v>945</v>
      </c>
      <c r="O51" s="353">
        <v>44537</v>
      </c>
      <c r="P51" s="25">
        <v>1311464</v>
      </c>
      <c r="Q51" s="352">
        <v>859</v>
      </c>
      <c r="R51" s="373">
        <v>44539</v>
      </c>
      <c r="S51" s="354">
        <v>2250</v>
      </c>
    </row>
    <row r="52" spans="1:19">
      <c r="A52" s="4151" t="s">
        <v>263</v>
      </c>
      <c r="B52" s="7" t="s">
        <v>12614</v>
      </c>
      <c r="C52" s="7" t="s">
        <v>12574</v>
      </c>
      <c r="D52" s="4151" t="s">
        <v>12536</v>
      </c>
      <c r="E52" s="4151" t="s">
        <v>12535</v>
      </c>
      <c r="F52" s="7" t="s">
        <v>12536</v>
      </c>
      <c r="G52" s="338">
        <v>44529</v>
      </c>
      <c r="H52" s="126">
        <v>44529</v>
      </c>
      <c r="I52" s="126"/>
      <c r="J52" s="126">
        <v>44530</v>
      </c>
      <c r="K52" s="349">
        <v>44530</v>
      </c>
      <c r="L52" s="7"/>
      <c r="M52" s="355" t="s">
        <v>12615</v>
      </c>
      <c r="N52" s="352">
        <v>945</v>
      </c>
      <c r="O52" s="353">
        <v>44537</v>
      </c>
      <c r="P52" s="25">
        <v>1312165</v>
      </c>
      <c r="Q52" s="352">
        <v>859</v>
      </c>
      <c r="R52" s="373">
        <v>44543</v>
      </c>
      <c r="S52" s="354">
        <v>2200</v>
      </c>
    </row>
    <row r="53" spans="1:19">
      <c r="A53" s="4151" t="s">
        <v>263</v>
      </c>
      <c r="B53" s="7" t="s">
        <v>12616</v>
      </c>
      <c r="C53" s="7" t="s">
        <v>12574</v>
      </c>
      <c r="D53" s="4151" t="s">
        <v>12536</v>
      </c>
      <c r="E53" s="4151" t="s">
        <v>12535</v>
      </c>
      <c r="F53" s="7" t="s">
        <v>12536</v>
      </c>
      <c r="G53" s="338">
        <v>44529</v>
      </c>
      <c r="H53" s="126">
        <v>44529</v>
      </c>
      <c r="I53" s="126"/>
      <c r="J53" s="126">
        <v>44530</v>
      </c>
      <c r="K53" s="349">
        <v>44530</v>
      </c>
      <c r="L53" s="7"/>
      <c r="M53" s="355" t="s">
        <v>12615</v>
      </c>
      <c r="N53" s="352">
        <v>945</v>
      </c>
      <c r="O53" s="353">
        <v>44537</v>
      </c>
      <c r="P53" s="25">
        <v>1312155</v>
      </c>
      <c r="Q53" s="352">
        <v>859</v>
      </c>
      <c r="R53" s="373">
        <v>44543</v>
      </c>
      <c r="S53" s="354">
        <v>2200</v>
      </c>
    </row>
    <row r="54" spans="1:19">
      <c r="A54" s="4151" t="s">
        <v>263</v>
      </c>
      <c r="B54" s="7" t="s">
        <v>12617</v>
      </c>
      <c r="C54" s="7" t="s">
        <v>12598</v>
      </c>
      <c r="D54" s="4151" t="s">
        <v>12536</v>
      </c>
      <c r="E54" s="4151" t="s">
        <v>12535</v>
      </c>
      <c r="F54" s="7" t="s">
        <v>12536</v>
      </c>
      <c r="G54" s="338">
        <v>44529</v>
      </c>
      <c r="H54" s="126">
        <v>44530</v>
      </c>
      <c r="I54" s="126"/>
      <c r="J54" s="126">
        <v>44534</v>
      </c>
      <c r="K54" s="359">
        <v>44534</v>
      </c>
      <c r="L54" s="7"/>
      <c r="M54" s="13" t="s">
        <v>12618</v>
      </c>
      <c r="N54" s="352">
        <v>945</v>
      </c>
      <c r="O54" s="13" t="s">
        <v>12572</v>
      </c>
      <c r="P54" s="25">
        <v>1312169</v>
      </c>
      <c r="Q54" s="352">
        <v>859</v>
      </c>
      <c r="R54" s="373">
        <v>44543</v>
      </c>
      <c r="S54" s="354">
        <v>2300</v>
      </c>
    </row>
    <row r="55" spans="1:19">
      <c r="A55" s="4151" t="s">
        <v>263</v>
      </c>
      <c r="B55" s="7" t="s">
        <v>12619</v>
      </c>
      <c r="C55" s="7" t="s">
        <v>12574</v>
      </c>
      <c r="D55" s="4151" t="s">
        <v>12536</v>
      </c>
      <c r="E55" s="357" t="s">
        <v>12608</v>
      </c>
      <c r="F55" s="7" t="s">
        <v>12536</v>
      </c>
      <c r="G55" s="348">
        <v>44529</v>
      </c>
      <c r="H55" s="126">
        <v>44529</v>
      </c>
      <c r="I55" s="126"/>
      <c r="J55" s="126">
        <v>44534</v>
      </c>
      <c r="K55" s="359">
        <v>44534</v>
      </c>
      <c r="L55" s="7"/>
      <c r="M55" s="104" t="s">
        <v>12618</v>
      </c>
      <c r="N55" s="352">
        <v>945</v>
      </c>
      <c r="O55" s="353" t="s">
        <v>12572</v>
      </c>
      <c r="P55" s="25">
        <v>1312166</v>
      </c>
      <c r="Q55" s="352">
        <v>859</v>
      </c>
      <c r="R55" s="373">
        <v>44543</v>
      </c>
      <c r="S55" s="354">
        <v>2350</v>
      </c>
    </row>
    <row r="56" spans="1:19">
      <c r="A56" s="4151" t="s">
        <v>263</v>
      </c>
      <c r="B56" s="7" t="s">
        <v>12620</v>
      </c>
      <c r="C56" s="7" t="s">
        <v>12574</v>
      </c>
      <c r="D56" s="4151" t="s">
        <v>12536</v>
      </c>
      <c r="E56" s="4151" t="s">
        <v>12535</v>
      </c>
      <c r="F56" s="7" t="s">
        <v>12536</v>
      </c>
      <c r="G56" s="338">
        <v>44529</v>
      </c>
      <c r="H56" s="126">
        <v>44529</v>
      </c>
      <c r="I56" s="126"/>
      <c r="J56" s="126"/>
      <c r="K56" s="362">
        <v>44536</v>
      </c>
      <c r="L56" s="7"/>
      <c r="M56" s="13" t="s">
        <v>12621</v>
      </c>
      <c r="N56" s="352">
        <v>945</v>
      </c>
      <c r="O56" s="353">
        <v>44537</v>
      </c>
      <c r="P56" s="25">
        <v>1312162</v>
      </c>
      <c r="Q56" s="352">
        <v>859</v>
      </c>
      <c r="R56" s="373">
        <v>44543</v>
      </c>
      <c r="S56" s="354">
        <v>2350</v>
      </c>
    </row>
    <row r="57" spans="1:19">
      <c r="A57" s="4151" t="s">
        <v>263</v>
      </c>
      <c r="B57" s="7" t="s">
        <v>12622</v>
      </c>
      <c r="C57" s="7" t="s">
        <v>12574</v>
      </c>
      <c r="D57" s="4151" t="s">
        <v>12536</v>
      </c>
      <c r="E57" s="4151" t="s">
        <v>12535</v>
      </c>
      <c r="F57" s="7" t="s">
        <v>12536</v>
      </c>
      <c r="G57" s="338">
        <v>44529</v>
      </c>
      <c r="H57" s="126">
        <v>44529</v>
      </c>
      <c r="I57" s="126"/>
      <c r="J57" s="126"/>
      <c r="K57" s="362">
        <v>44536</v>
      </c>
      <c r="L57" s="7"/>
      <c r="M57" s="104" t="s">
        <v>12621</v>
      </c>
      <c r="N57" s="352">
        <v>945</v>
      </c>
      <c r="O57" s="353">
        <v>44537</v>
      </c>
      <c r="P57" s="25">
        <v>1312158</v>
      </c>
      <c r="Q57" s="352">
        <v>859</v>
      </c>
      <c r="R57" s="373">
        <v>44543</v>
      </c>
      <c r="S57" s="354">
        <v>2350</v>
      </c>
    </row>
    <row r="58" spans="1:19">
      <c r="A58" s="4151" t="s">
        <v>263</v>
      </c>
      <c r="B58" s="7" t="s">
        <v>12623</v>
      </c>
      <c r="C58" s="7" t="s">
        <v>12574</v>
      </c>
      <c r="D58" s="4151" t="s">
        <v>12536</v>
      </c>
      <c r="E58" s="4151" t="s">
        <v>12535</v>
      </c>
      <c r="F58" s="7" t="s">
        <v>12536</v>
      </c>
      <c r="G58" s="338">
        <v>44529</v>
      </c>
      <c r="H58" s="126">
        <v>44529</v>
      </c>
      <c r="I58" s="126"/>
      <c r="J58" s="126">
        <v>44533</v>
      </c>
      <c r="K58" s="349">
        <v>44533</v>
      </c>
      <c r="L58" s="7"/>
      <c r="M58" s="104" t="s">
        <v>12624</v>
      </c>
      <c r="N58" s="352">
        <v>945</v>
      </c>
      <c r="O58" s="353">
        <v>44538</v>
      </c>
      <c r="P58" s="25">
        <v>1312164</v>
      </c>
      <c r="Q58" s="352">
        <v>859</v>
      </c>
      <c r="R58" s="373">
        <v>44543</v>
      </c>
      <c r="S58" s="354">
        <v>2300</v>
      </c>
    </row>
    <row r="59" spans="1:19">
      <c r="A59" s="4151" t="s">
        <v>263</v>
      </c>
      <c r="B59" s="7" t="s">
        <v>12625</v>
      </c>
      <c r="C59" s="7" t="s">
        <v>12574</v>
      </c>
      <c r="D59" s="4151" t="s">
        <v>12536</v>
      </c>
      <c r="E59" s="4151" t="s">
        <v>12535</v>
      </c>
      <c r="F59" s="7" t="s">
        <v>12536</v>
      </c>
      <c r="G59" s="338">
        <v>44531</v>
      </c>
      <c r="H59" s="143">
        <v>44531</v>
      </c>
      <c r="I59" s="126"/>
      <c r="J59" s="126">
        <v>44530</v>
      </c>
      <c r="K59" s="349">
        <v>44533</v>
      </c>
      <c r="L59" s="7"/>
      <c r="M59" s="104" t="s">
        <v>12624</v>
      </c>
      <c r="N59" s="352">
        <v>945</v>
      </c>
      <c r="O59" s="353">
        <v>44538</v>
      </c>
      <c r="P59" s="25">
        <v>1311457</v>
      </c>
      <c r="Q59" s="352">
        <v>859</v>
      </c>
      <c r="R59" s="373">
        <v>44539</v>
      </c>
      <c r="S59" s="354">
        <v>2200</v>
      </c>
    </row>
    <row r="60" spans="1:19">
      <c r="A60" s="4151" t="s">
        <v>263</v>
      </c>
      <c r="B60" s="7" t="s">
        <v>12626</v>
      </c>
      <c r="C60" s="7" t="s">
        <v>12574</v>
      </c>
      <c r="D60" s="4151" t="s">
        <v>12536</v>
      </c>
      <c r="E60" s="4151" t="s">
        <v>12535</v>
      </c>
      <c r="F60" s="4151" t="s">
        <v>12536</v>
      </c>
      <c r="G60" s="338">
        <v>44531</v>
      </c>
      <c r="H60" s="126">
        <v>44531</v>
      </c>
      <c r="I60" s="126"/>
      <c r="J60" s="126">
        <v>44533</v>
      </c>
      <c r="K60" s="349">
        <v>44533</v>
      </c>
      <c r="L60" s="7"/>
      <c r="M60" s="104" t="s">
        <v>12575</v>
      </c>
      <c r="N60" s="352">
        <v>945</v>
      </c>
      <c r="O60" s="353">
        <v>44538</v>
      </c>
      <c r="P60" s="25">
        <v>1311458</v>
      </c>
      <c r="Q60" s="352">
        <v>859</v>
      </c>
      <c r="R60" s="373">
        <v>44539</v>
      </c>
      <c r="S60" s="354">
        <v>2200</v>
      </c>
    </row>
    <row r="61" spans="1:19">
      <c r="A61" s="4151" t="s">
        <v>263</v>
      </c>
      <c r="B61" s="7" t="s">
        <v>12627</v>
      </c>
      <c r="C61" s="7" t="s">
        <v>12574</v>
      </c>
      <c r="D61" s="4151" t="s">
        <v>12536</v>
      </c>
      <c r="E61" s="4151" t="s">
        <v>12535</v>
      </c>
      <c r="F61" s="7" t="s">
        <v>12536</v>
      </c>
      <c r="G61" s="338">
        <v>44529</v>
      </c>
      <c r="H61" s="126">
        <v>44529</v>
      </c>
      <c r="I61" s="126"/>
      <c r="J61" s="126"/>
      <c r="K61" s="349">
        <v>44536</v>
      </c>
      <c r="L61" s="7"/>
      <c r="M61" s="104" t="s">
        <v>12628</v>
      </c>
      <c r="N61" s="352">
        <v>945</v>
      </c>
      <c r="O61" s="353">
        <v>44538</v>
      </c>
      <c r="P61" s="25">
        <v>1312159</v>
      </c>
      <c r="Q61" s="352">
        <v>859</v>
      </c>
      <c r="R61" s="373">
        <v>44543</v>
      </c>
      <c r="S61" s="354">
        <v>2350</v>
      </c>
    </row>
    <row r="62" spans="1:19">
      <c r="A62" s="4151" t="s">
        <v>263</v>
      </c>
      <c r="B62" s="7" t="s">
        <v>12629</v>
      </c>
      <c r="C62" s="7" t="s">
        <v>12574</v>
      </c>
      <c r="D62" s="4151" t="s">
        <v>12536</v>
      </c>
      <c r="E62" s="4151" t="s">
        <v>12535</v>
      </c>
      <c r="F62" s="7" t="s">
        <v>12536</v>
      </c>
      <c r="G62" s="338">
        <v>44529</v>
      </c>
      <c r="H62" s="126">
        <v>44529</v>
      </c>
      <c r="I62" s="126"/>
      <c r="J62" s="126"/>
      <c r="K62" s="349">
        <v>44536</v>
      </c>
      <c r="L62" s="7"/>
      <c r="M62" s="104" t="s">
        <v>12628</v>
      </c>
      <c r="N62" s="352">
        <v>945</v>
      </c>
      <c r="O62" s="353">
        <v>44538</v>
      </c>
      <c r="P62" s="25">
        <v>1312154</v>
      </c>
      <c r="Q62" s="352">
        <v>859</v>
      </c>
      <c r="R62" s="373">
        <v>44543</v>
      </c>
      <c r="S62" s="354">
        <v>2350</v>
      </c>
    </row>
    <row r="63" spans="1:19">
      <c r="A63" s="4151" t="s">
        <v>263</v>
      </c>
      <c r="B63" s="7" t="s">
        <v>12630</v>
      </c>
      <c r="C63" s="7" t="s">
        <v>12598</v>
      </c>
      <c r="D63" s="4151" t="s">
        <v>12536</v>
      </c>
      <c r="E63" s="347" t="s">
        <v>12631</v>
      </c>
      <c r="F63" s="4151" t="s">
        <v>12536</v>
      </c>
      <c r="G63" s="348">
        <v>44530</v>
      </c>
      <c r="H63" s="126">
        <v>44530</v>
      </c>
      <c r="I63" s="126"/>
      <c r="J63" s="126" t="s">
        <v>12040</v>
      </c>
      <c r="K63" s="349">
        <v>44531</v>
      </c>
      <c r="L63" s="7"/>
      <c r="M63" s="104" t="s">
        <v>12632</v>
      </c>
      <c r="N63" s="352">
        <v>945</v>
      </c>
      <c r="O63" s="353">
        <v>44538</v>
      </c>
      <c r="P63" s="25">
        <v>1312179</v>
      </c>
      <c r="Q63" s="352">
        <v>859</v>
      </c>
      <c r="R63" s="373">
        <v>44543</v>
      </c>
      <c r="S63" s="354">
        <v>2200</v>
      </c>
    </row>
    <row r="64" spans="1:19">
      <c r="A64" s="4151" t="s">
        <v>263</v>
      </c>
      <c r="B64" s="7" t="s">
        <v>12633</v>
      </c>
      <c r="C64" s="7" t="s">
        <v>12574</v>
      </c>
      <c r="D64" s="4151" t="s">
        <v>12536</v>
      </c>
      <c r="E64" s="357" t="s">
        <v>12608</v>
      </c>
      <c r="F64" s="357" t="s">
        <v>12536</v>
      </c>
      <c r="G64" s="348">
        <v>44530</v>
      </c>
      <c r="H64" s="126">
        <v>44530</v>
      </c>
      <c r="I64" s="126"/>
      <c r="J64" s="126">
        <v>44531</v>
      </c>
      <c r="K64" s="349">
        <v>44531</v>
      </c>
      <c r="L64" s="7"/>
      <c r="M64" s="104" t="s">
        <v>12632</v>
      </c>
      <c r="N64" s="352">
        <v>945</v>
      </c>
      <c r="O64" s="353">
        <v>44538</v>
      </c>
      <c r="P64" s="25">
        <v>1312163</v>
      </c>
      <c r="Q64" s="352">
        <v>859</v>
      </c>
      <c r="R64" s="373">
        <v>44543</v>
      </c>
      <c r="S64" s="354">
        <v>2200</v>
      </c>
    </row>
    <row r="65" spans="1:19">
      <c r="A65" s="4151" t="s">
        <v>263</v>
      </c>
      <c r="B65" s="7" t="s">
        <v>12634</v>
      </c>
      <c r="C65" s="7" t="s">
        <v>12574</v>
      </c>
      <c r="D65" s="4151" t="s">
        <v>12536</v>
      </c>
      <c r="E65" s="4151" t="s">
        <v>12535</v>
      </c>
      <c r="F65" s="357" t="s">
        <v>12536</v>
      </c>
      <c r="G65" s="338">
        <v>44530</v>
      </c>
      <c r="H65" s="126">
        <v>44530</v>
      </c>
      <c r="I65" s="126"/>
      <c r="J65" s="126" t="s">
        <v>12040</v>
      </c>
      <c r="K65" s="349">
        <v>44531</v>
      </c>
      <c r="L65" t="s">
        <v>12635</v>
      </c>
      <c r="M65" s="13" t="s">
        <v>12577</v>
      </c>
      <c r="N65" s="352">
        <v>945</v>
      </c>
      <c r="O65" s="353">
        <v>44539</v>
      </c>
      <c r="P65" s="25">
        <v>1311460</v>
      </c>
      <c r="Q65" s="352">
        <v>859</v>
      </c>
      <c r="R65" s="373">
        <v>44539</v>
      </c>
      <c r="S65" s="354">
        <v>2200</v>
      </c>
    </row>
    <row r="66" spans="1:19">
      <c r="A66" s="4151" t="s">
        <v>263</v>
      </c>
      <c r="B66" s="7" t="s">
        <v>12636</v>
      </c>
      <c r="C66" s="7" t="s">
        <v>12574</v>
      </c>
      <c r="D66" s="4151" t="s">
        <v>12536</v>
      </c>
      <c r="E66" s="357" t="s">
        <v>12608</v>
      </c>
      <c r="F66" s="357" t="s">
        <v>12536</v>
      </c>
      <c r="G66" s="348">
        <v>44530</v>
      </c>
      <c r="H66" s="126">
        <v>44530</v>
      </c>
      <c r="I66" s="126"/>
      <c r="J66" s="126">
        <v>44533</v>
      </c>
      <c r="K66" s="349">
        <v>44533</v>
      </c>
      <c r="L66" s="7"/>
      <c r="M66" s="104" t="s">
        <v>12637</v>
      </c>
      <c r="N66" s="352">
        <v>945</v>
      </c>
      <c r="O66" s="353">
        <v>44539</v>
      </c>
      <c r="P66" s="25">
        <v>1311462</v>
      </c>
      <c r="Q66" s="352">
        <v>859</v>
      </c>
      <c r="R66" s="373">
        <v>44539</v>
      </c>
      <c r="S66" s="354">
        <v>2250</v>
      </c>
    </row>
    <row r="67" spans="1:19">
      <c r="A67" s="4151" t="s">
        <v>263</v>
      </c>
      <c r="B67" s="7" t="s">
        <v>12638</v>
      </c>
      <c r="C67" s="7" t="s">
        <v>12574</v>
      </c>
      <c r="D67" s="4151" t="s">
        <v>12536</v>
      </c>
      <c r="E67" s="4151" t="s">
        <v>12535</v>
      </c>
      <c r="F67" s="7" t="s">
        <v>12536</v>
      </c>
      <c r="G67" s="338">
        <v>44529</v>
      </c>
      <c r="H67" s="126">
        <v>44529</v>
      </c>
      <c r="I67" s="126"/>
      <c r="J67" s="126">
        <v>44533</v>
      </c>
      <c r="K67" s="349">
        <v>44533</v>
      </c>
      <c r="L67" s="7"/>
      <c r="M67" s="104" t="s">
        <v>12637</v>
      </c>
      <c r="N67" s="352">
        <v>945</v>
      </c>
      <c r="O67" s="353">
        <v>44539</v>
      </c>
      <c r="P67" s="25">
        <v>1312161</v>
      </c>
      <c r="Q67" s="352">
        <v>859</v>
      </c>
      <c r="R67" s="373">
        <v>44543</v>
      </c>
      <c r="S67" s="354">
        <v>2300</v>
      </c>
    </row>
    <row r="68" spans="1:19">
      <c r="A68" s="4151" t="s">
        <v>263</v>
      </c>
      <c r="B68" s="7" t="s">
        <v>12639</v>
      </c>
      <c r="C68" s="7" t="s">
        <v>12574</v>
      </c>
      <c r="D68" s="4151" t="s">
        <v>12536</v>
      </c>
      <c r="E68" s="4151" t="s">
        <v>12535</v>
      </c>
      <c r="F68" s="7" t="s">
        <v>12536</v>
      </c>
      <c r="G68" s="338">
        <v>44529</v>
      </c>
      <c r="H68" s="126">
        <v>44529</v>
      </c>
      <c r="I68" s="126"/>
      <c r="J68" s="126" t="s">
        <v>12040</v>
      </c>
      <c r="K68" s="349">
        <v>44531</v>
      </c>
      <c r="L68" s="7"/>
      <c r="M68" s="104" t="s">
        <v>12640</v>
      </c>
      <c r="N68" s="352">
        <v>945</v>
      </c>
      <c r="O68" s="353">
        <v>44544</v>
      </c>
      <c r="P68" s="25">
        <v>1310885</v>
      </c>
      <c r="Q68" s="352">
        <v>859</v>
      </c>
      <c r="R68" s="373">
        <v>44538</v>
      </c>
      <c r="S68" s="354">
        <v>2200</v>
      </c>
    </row>
    <row r="69" spans="1:19">
      <c r="A69" s="4151" t="s">
        <v>263</v>
      </c>
      <c r="B69" s="358" t="s">
        <v>12641</v>
      </c>
      <c r="C69" s="7" t="s">
        <v>12574</v>
      </c>
      <c r="D69" s="4151" t="s">
        <v>12536</v>
      </c>
      <c r="E69" s="4202" t="s">
        <v>12642</v>
      </c>
      <c r="F69" s="7" t="s">
        <v>12536</v>
      </c>
      <c r="G69" s="338">
        <v>44529</v>
      </c>
      <c r="H69" s="126">
        <v>44529</v>
      </c>
      <c r="I69" s="126"/>
      <c r="J69" s="126" t="s">
        <v>12040</v>
      </c>
      <c r="K69" s="349">
        <v>44531</v>
      </c>
      <c r="L69" s="7"/>
      <c r="M69" s="104" t="s">
        <v>12640</v>
      </c>
      <c r="N69" s="352">
        <v>945</v>
      </c>
      <c r="O69" s="353">
        <v>44544</v>
      </c>
      <c r="P69" s="25">
        <v>1310884</v>
      </c>
      <c r="Q69" s="352">
        <v>859</v>
      </c>
      <c r="R69" s="373">
        <v>44538</v>
      </c>
      <c r="S69" s="354">
        <v>2200</v>
      </c>
    </row>
    <row r="70" spans="1:19">
      <c r="A70" s="4151" t="s">
        <v>263</v>
      </c>
      <c r="B70" s="7" t="s">
        <v>12643</v>
      </c>
      <c r="C70" s="7" t="s">
        <v>12574</v>
      </c>
      <c r="D70" s="4151" t="s">
        <v>12536</v>
      </c>
      <c r="E70" s="4151" t="s">
        <v>12535</v>
      </c>
      <c r="F70" s="357" t="s">
        <v>12536</v>
      </c>
      <c r="G70" s="338">
        <v>44530</v>
      </c>
      <c r="H70" s="126">
        <v>44530</v>
      </c>
      <c r="I70" s="126"/>
      <c r="J70" s="126">
        <v>44532</v>
      </c>
      <c r="K70" s="349">
        <v>44532</v>
      </c>
      <c r="L70" s="7"/>
      <c r="M70" s="13" t="s">
        <v>12582</v>
      </c>
      <c r="N70" s="352">
        <v>945</v>
      </c>
      <c r="O70" s="353">
        <v>44533</v>
      </c>
      <c r="P70" s="25">
        <v>1312151</v>
      </c>
      <c r="Q70" s="352">
        <v>859</v>
      </c>
      <c r="R70" s="373">
        <v>44543</v>
      </c>
      <c r="S70" s="354">
        <v>2200</v>
      </c>
    </row>
    <row r="71" spans="1:19">
      <c r="A71" s="4151" t="s">
        <v>263</v>
      </c>
      <c r="B71" s="156" t="s">
        <v>12644</v>
      </c>
      <c r="C71" s="7" t="s">
        <v>12598</v>
      </c>
      <c r="D71" s="4151" t="s">
        <v>12536</v>
      </c>
      <c r="E71" s="357" t="s">
        <v>12645</v>
      </c>
      <c r="F71" s="4151" t="s">
        <v>12536</v>
      </c>
      <c r="G71" s="348">
        <v>44529</v>
      </c>
      <c r="H71" s="126">
        <v>44530</v>
      </c>
      <c r="I71" s="126"/>
      <c r="J71" s="126">
        <v>44532</v>
      </c>
      <c r="K71" s="349">
        <v>44532</v>
      </c>
      <c r="L71" s="7"/>
      <c r="M71" s="104" t="s">
        <v>12646</v>
      </c>
      <c r="N71" s="352">
        <v>945</v>
      </c>
      <c r="O71" s="353" t="s">
        <v>12647</v>
      </c>
      <c r="P71" s="25">
        <v>1309220</v>
      </c>
      <c r="Q71" s="352">
        <v>859</v>
      </c>
      <c r="R71" s="373">
        <v>44533</v>
      </c>
      <c r="S71" s="354">
        <v>2200</v>
      </c>
    </row>
    <row r="72" spans="1:19">
      <c r="A72" s="4151" t="s">
        <v>263</v>
      </c>
      <c r="B72" s="7" t="s">
        <v>12648</v>
      </c>
      <c r="C72" s="7" t="s">
        <v>12569</v>
      </c>
      <c r="D72" s="4151" t="s">
        <v>12536</v>
      </c>
      <c r="E72" s="4151" t="s">
        <v>12584</v>
      </c>
      <c r="F72" s="4151" t="s">
        <v>12536</v>
      </c>
      <c r="G72" s="338">
        <v>44524</v>
      </c>
      <c r="H72" s="126">
        <v>44524</v>
      </c>
      <c r="I72" s="126">
        <v>44530</v>
      </c>
      <c r="J72" s="126">
        <v>44530</v>
      </c>
      <c r="K72" s="349">
        <v>44530</v>
      </c>
      <c r="L72" s="7" t="s">
        <v>12649</v>
      </c>
      <c r="M72" s="355" t="s">
        <v>12650</v>
      </c>
      <c r="N72" s="352">
        <v>945</v>
      </c>
      <c r="O72" s="353">
        <v>44531</v>
      </c>
      <c r="P72" s="25">
        <v>1310890</v>
      </c>
      <c r="Q72" s="352">
        <v>899</v>
      </c>
      <c r="R72" s="373">
        <v>44538</v>
      </c>
      <c r="S72" s="354">
        <v>2400</v>
      </c>
    </row>
    <row r="73" spans="1:19">
      <c r="A73" s="4151" t="s">
        <v>263</v>
      </c>
      <c r="B73" s="7" t="s">
        <v>12651</v>
      </c>
      <c r="C73" s="7" t="s">
        <v>12569</v>
      </c>
      <c r="D73" s="4151" t="s">
        <v>12536</v>
      </c>
      <c r="E73" s="4151" t="s">
        <v>12584</v>
      </c>
      <c r="F73" s="4151" t="s">
        <v>12536</v>
      </c>
      <c r="G73" s="338">
        <v>44526</v>
      </c>
      <c r="H73" s="126">
        <v>44526</v>
      </c>
      <c r="I73" s="126">
        <v>44531</v>
      </c>
      <c r="J73" s="126">
        <v>44530</v>
      </c>
      <c r="K73" s="349">
        <v>44530</v>
      </c>
      <c r="L73" s="7"/>
      <c r="M73" s="355" t="s">
        <v>12652</v>
      </c>
      <c r="N73" s="352">
        <v>945</v>
      </c>
      <c r="O73" s="356" t="s">
        <v>12538</v>
      </c>
      <c r="P73" s="25">
        <v>1315006</v>
      </c>
      <c r="Q73" s="352">
        <v>899</v>
      </c>
      <c r="R73" s="373">
        <v>44550</v>
      </c>
      <c r="S73" s="354">
        <v>2300</v>
      </c>
    </row>
    <row r="74" spans="1:19">
      <c r="A74" s="4151" t="s">
        <v>263</v>
      </c>
      <c r="B74" s="156" t="s">
        <v>12653</v>
      </c>
      <c r="C74" s="7" t="s">
        <v>12598</v>
      </c>
      <c r="D74" s="4151" t="s">
        <v>12536</v>
      </c>
      <c r="E74" s="4202" t="s">
        <v>12551</v>
      </c>
      <c r="F74" s="4151" t="s">
        <v>12536</v>
      </c>
      <c r="G74" s="7"/>
      <c r="H74" s="126">
        <v>44532</v>
      </c>
      <c r="I74" s="126">
        <v>44532</v>
      </c>
      <c r="J74" s="126">
        <v>44537</v>
      </c>
      <c r="K74" s="349">
        <v>44537</v>
      </c>
      <c r="L74" s="7"/>
      <c r="M74" s="104" t="s">
        <v>12654</v>
      </c>
      <c r="N74" s="352">
        <v>945</v>
      </c>
      <c r="O74" s="353">
        <v>44539</v>
      </c>
      <c r="P74" s="25">
        <v>1310889</v>
      </c>
      <c r="Q74" s="352">
        <v>899</v>
      </c>
      <c r="R74" s="373">
        <v>44538</v>
      </c>
      <c r="S74" s="354">
        <v>2300</v>
      </c>
    </row>
    <row r="75" spans="1:19">
      <c r="A75" s="4151" t="s">
        <v>263</v>
      </c>
      <c r="B75" s="7" t="s">
        <v>12655</v>
      </c>
      <c r="C75" s="7" t="s">
        <v>12569</v>
      </c>
      <c r="D75" s="4151" t="s">
        <v>12536</v>
      </c>
      <c r="E75" s="4151" t="s">
        <v>12584</v>
      </c>
      <c r="F75" s="7" t="s">
        <v>12536</v>
      </c>
      <c r="G75" s="338">
        <v>44529</v>
      </c>
      <c r="H75" s="143">
        <v>44529</v>
      </c>
      <c r="I75" s="126">
        <v>44532</v>
      </c>
      <c r="J75" s="126">
        <v>44530</v>
      </c>
      <c r="K75" s="349">
        <v>44530</v>
      </c>
      <c r="L75" s="7" t="s">
        <v>12656</v>
      </c>
      <c r="M75" s="13" t="s">
        <v>12657</v>
      </c>
      <c r="N75" s="352">
        <v>945</v>
      </c>
      <c r="O75" s="353">
        <v>44530</v>
      </c>
      <c r="P75" s="25">
        <v>1309858</v>
      </c>
      <c r="Q75" s="352">
        <v>899</v>
      </c>
      <c r="R75" s="374" t="s">
        <v>12538</v>
      </c>
      <c r="S75" s="354">
        <v>2200</v>
      </c>
    </row>
    <row r="76" spans="1:19">
      <c r="A76" s="4151" t="s">
        <v>263</v>
      </c>
      <c r="B76" s="7" t="s">
        <v>12658</v>
      </c>
      <c r="C76" s="7" t="s">
        <v>12598</v>
      </c>
      <c r="D76" s="4151" t="s">
        <v>12536</v>
      </c>
      <c r="E76" s="357" t="s">
        <v>12645</v>
      </c>
      <c r="F76" s="4151" t="s">
        <v>12536</v>
      </c>
      <c r="G76" s="348">
        <v>44530</v>
      </c>
      <c r="H76" s="126">
        <v>44530</v>
      </c>
      <c r="I76" s="126"/>
      <c r="J76" s="126">
        <v>44532</v>
      </c>
      <c r="K76" s="349">
        <v>44532</v>
      </c>
      <c r="L76" s="7"/>
      <c r="M76" s="13" t="s">
        <v>12659</v>
      </c>
      <c r="N76" s="352">
        <v>945</v>
      </c>
      <c r="O76" s="353">
        <v>44532</v>
      </c>
      <c r="P76" s="25">
        <v>1310888</v>
      </c>
      <c r="Q76" s="352">
        <v>899</v>
      </c>
      <c r="R76" s="373">
        <v>44538</v>
      </c>
      <c r="S76" s="354">
        <v>2200</v>
      </c>
    </row>
    <row r="77" spans="1:19">
      <c r="A77" s="4151" t="s">
        <v>263</v>
      </c>
      <c r="B77" s="156" t="s">
        <v>12660</v>
      </c>
      <c r="C77" s="7" t="s">
        <v>12598</v>
      </c>
      <c r="D77" s="4151" t="s">
        <v>12536</v>
      </c>
      <c r="E77" s="357" t="s">
        <v>12645</v>
      </c>
      <c r="F77" s="7" t="s">
        <v>12536</v>
      </c>
      <c r="G77" s="348">
        <v>44529</v>
      </c>
      <c r="H77" s="126">
        <v>44529</v>
      </c>
      <c r="I77" s="126">
        <v>44533</v>
      </c>
      <c r="J77" s="126">
        <v>0</v>
      </c>
      <c r="K77" s="349">
        <v>44533</v>
      </c>
      <c r="L77" s="7"/>
      <c r="M77" s="355" t="s">
        <v>12661</v>
      </c>
      <c r="N77" s="352">
        <v>945</v>
      </c>
      <c r="O77" s="353">
        <v>44901</v>
      </c>
      <c r="P77" s="25">
        <v>1315005</v>
      </c>
      <c r="Q77" s="352">
        <v>899</v>
      </c>
      <c r="R77" s="373">
        <v>44550</v>
      </c>
      <c r="S77" s="354">
        <v>2300</v>
      </c>
    </row>
    <row r="78" spans="1:19">
      <c r="A78" s="4151" t="s">
        <v>263</v>
      </c>
      <c r="B78" s="7" t="s">
        <v>12662</v>
      </c>
      <c r="C78" s="7" t="s">
        <v>12598</v>
      </c>
      <c r="D78" s="4151" t="s">
        <v>12536</v>
      </c>
      <c r="E78" s="357" t="s">
        <v>12645</v>
      </c>
      <c r="F78" s="7" t="s">
        <v>12536</v>
      </c>
      <c r="G78" s="348">
        <v>44529</v>
      </c>
      <c r="H78" s="126">
        <v>44529</v>
      </c>
      <c r="I78" s="126"/>
      <c r="J78" s="126">
        <v>44532</v>
      </c>
      <c r="K78" s="349">
        <v>44532</v>
      </c>
      <c r="L78" s="7"/>
      <c r="M78" s="104" t="s">
        <v>12663</v>
      </c>
      <c r="N78" s="352">
        <v>945</v>
      </c>
      <c r="O78" s="353">
        <v>44533</v>
      </c>
      <c r="P78" s="25">
        <v>1315004</v>
      </c>
      <c r="Q78" s="352">
        <v>899</v>
      </c>
      <c r="R78" s="373">
        <v>44550</v>
      </c>
      <c r="S78" s="354">
        <v>2250</v>
      </c>
    </row>
    <row r="79" spans="1:19">
      <c r="A79" s="4151" t="s">
        <v>263</v>
      </c>
      <c r="B79" s="156" t="s">
        <v>12664</v>
      </c>
      <c r="C79" s="7" t="s">
        <v>12569</v>
      </c>
      <c r="D79" s="4151" t="s">
        <v>12536</v>
      </c>
      <c r="E79" s="4151" t="s">
        <v>12584</v>
      </c>
      <c r="F79" s="4151" t="s">
        <v>12536</v>
      </c>
      <c r="G79" s="338">
        <v>44529</v>
      </c>
      <c r="H79" s="143">
        <v>44529</v>
      </c>
      <c r="I79" s="126">
        <v>44531</v>
      </c>
      <c r="J79" s="126">
        <v>44530</v>
      </c>
      <c r="K79" s="349">
        <v>44530</v>
      </c>
      <c r="L79" s="7" t="s">
        <v>12656</v>
      </c>
      <c r="M79" s="104">
        <v>1307586</v>
      </c>
      <c r="N79" s="352">
        <v>945</v>
      </c>
      <c r="O79" s="353" t="s">
        <v>12595</v>
      </c>
      <c r="P79" s="25">
        <v>1309239</v>
      </c>
      <c r="Q79" s="352">
        <v>899</v>
      </c>
      <c r="R79" s="373">
        <v>44533</v>
      </c>
      <c r="S79" s="354">
        <v>2200</v>
      </c>
    </row>
    <row r="80" spans="1:19">
      <c r="A80" s="4151" t="s">
        <v>263</v>
      </c>
      <c r="B80" s="7" t="s">
        <v>12665</v>
      </c>
      <c r="C80" s="7" t="s">
        <v>12598</v>
      </c>
      <c r="D80" s="4151" t="s">
        <v>12536</v>
      </c>
      <c r="E80" s="357" t="s">
        <v>12645</v>
      </c>
      <c r="F80" s="4151" t="s">
        <v>12536</v>
      </c>
      <c r="G80" s="348">
        <v>44530</v>
      </c>
      <c r="H80" s="126">
        <v>44530</v>
      </c>
      <c r="I80" s="126"/>
      <c r="J80" s="126">
        <v>44533</v>
      </c>
      <c r="K80" s="349">
        <v>44533</v>
      </c>
      <c r="L80" s="7"/>
      <c r="M80" s="25">
        <v>1312461</v>
      </c>
      <c r="N80" s="352">
        <v>945</v>
      </c>
      <c r="O80" s="373">
        <v>44543</v>
      </c>
      <c r="P80" s="25">
        <v>1309224</v>
      </c>
      <c r="Q80" s="352">
        <v>899</v>
      </c>
      <c r="R80" s="373">
        <v>44533</v>
      </c>
      <c r="S80" s="354">
        <v>2250</v>
      </c>
    </row>
    <row r="81" spans="1:19">
      <c r="A81" s="4151" t="s">
        <v>263</v>
      </c>
      <c r="B81" s="7" t="s">
        <v>12666</v>
      </c>
      <c r="C81" s="7" t="s">
        <v>12569</v>
      </c>
      <c r="D81" s="4151" t="s">
        <v>12536</v>
      </c>
      <c r="E81" s="4151" t="s">
        <v>12584</v>
      </c>
      <c r="F81" s="4151" t="s">
        <v>12536</v>
      </c>
      <c r="G81" s="338">
        <v>44526</v>
      </c>
      <c r="H81" s="126">
        <v>44526</v>
      </c>
      <c r="I81" s="126">
        <v>44531</v>
      </c>
      <c r="J81" s="126">
        <v>44530</v>
      </c>
      <c r="K81" s="349">
        <v>44530</v>
      </c>
      <c r="L81" s="7"/>
      <c r="M81" s="104" t="s">
        <v>12667</v>
      </c>
      <c r="N81" s="352">
        <v>945</v>
      </c>
      <c r="O81" s="353" t="s">
        <v>12595</v>
      </c>
      <c r="P81" s="25">
        <v>1309247</v>
      </c>
      <c r="Q81" s="352">
        <v>899</v>
      </c>
      <c r="R81" s="373">
        <v>44533</v>
      </c>
      <c r="S81" s="354">
        <v>2300</v>
      </c>
    </row>
    <row r="82" spans="1:19">
      <c r="A82" s="4151" t="s">
        <v>263</v>
      </c>
      <c r="B82" s="7" t="s">
        <v>12668</v>
      </c>
      <c r="C82" s="7" t="s">
        <v>12569</v>
      </c>
      <c r="D82" s="4151" t="s">
        <v>12536</v>
      </c>
      <c r="E82" s="4151" t="s">
        <v>12584</v>
      </c>
      <c r="F82" s="4151" t="s">
        <v>12536</v>
      </c>
      <c r="G82" s="338">
        <v>44526</v>
      </c>
      <c r="H82" s="126">
        <v>44526</v>
      </c>
      <c r="I82" s="126">
        <v>44531</v>
      </c>
      <c r="J82" s="126">
        <v>44530</v>
      </c>
      <c r="K82" s="349">
        <v>44530</v>
      </c>
      <c r="L82" s="7"/>
      <c r="M82" s="104" t="s">
        <v>12667</v>
      </c>
      <c r="N82" s="352">
        <v>945</v>
      </c>
      <c r="O82" s="353" t="s">
        <v>12595</v>
      </c>
      <c r="P82" s="25">
        <v>1309244</v>
      </c>
      <c r="Q82" s="352">
        <v>899</v>
      </c>
      <c r="R82" s="373">
        <v>44533</v>
      </c>
      <c r="S82" s="354">
        <v>2300</v>
      </c>
    </row>
    <row r="83" spans="1:19">
      <c r="A83" s="4151" t="s">
        <v>263</v>
      </c>
      <c r="B83" s="7" t="s">
        <v>12669</v>
      </c>
      <c r="C83" s="7" t="s">
        <v>12569</v>
      </c>
      <c r="D83" s="4151" t="s">
        <v>12536</v>
      </c>
      <c r="E83" s="4151" t="s">
        <v>12584</v>
      </c>
      <c r="F83" s="4151" t="s">
        <v>12536</v>
      </c>
      <c r="G83" s="338">
        <v>44526</v>
      </c>
      <c r="H83" s="126">
        <v>44526</v>
      </c>
      <c r="I83" s="126">
        <v>44530</v>
      </c>
      <c r="J83" t="s">
        <v>532</v>
      </c>
      <c r="K83" s="349">
        <v>44530</v>
      </c>
      <c r="L83" s="7"/>
      <c r="M83" s="104" t="s">
        <v>12670</v>
      </c>
      <c r="N83" s="352">
        <v>945</v>
      </c>
      <c r="O83" s="353" t="s">
        <v>12595</v>
      </c>
      <c r="P83" s="25">
        <v>1309259</v>
      </c>
      <c r="Q83" s="352">
        <v>899</v>
      </c>
      <c r="R83" s="373">
        <v>44533</v>
      </c>
      <c r="S83" s="354">
        <v>2300</v>
      </c>
    </row>
    <row r="84" spans="1:19">
      <c r="A84" s="4151" t="s">
        <v>263</v>
      </c>
      <c r="B84" s="7" t="s">
        <v>12671</v>
      </c>
      <c r="C84" s="7" t="s">
        <v>12569</v>
      </c>
      <c r="D84" s="4151" t="s">
        <v>12536</v>
      </c>
      <c r="E84" s="4151" t="s">
        <v>12584</v>
      </c>
      <c r="F84" s="4151" t="s">
        <v>12536</v>
      </c>
      <c r="G84" s="338">
        <v>44524</v>
      </c>
      <c r="H84" s="126">
        <v>44526</v>
      </c>
      <c r="I84" s="126">
        <v>44530</v>
      </c>
      <c r="J84" s="126">
        <v>44530</v>
      </c>
      <c r="K84" s="349">
        <v>44530</v>
      </c>
      <c r="L84" s="7" t="s">
        <v>12649</v>
      </c>
      <c r="M84" s="104" t="s">
        <v>12670</v>
      </c>
      <c r="N84" s="352">
        <v>945</v>
      </c>
      <c r="O84" s="353" t="s">
        <v>12595</v>
      </c>
      <c r="P84" s="25">
        <v>1309243</v>
      </c>
      <c r="Q84" s="352">
        <v>899</v>
      </c>
      <c r="R84" s="373">
        <v>44533</v>
      </c>
      <c r="S84" s="354">
        <v>2300</v>
      </c>
    </row>
    <row r="85" spans="1:19">
      <c r="A85" s="4151" t="s">
        <v>263</v>
      </c>
      <c r="B85" s="7" t="s">
        <v>12672</v>
      </c>
      <c r="C85" s="7" t="s">
        <v>12569</v>
      </c>
      <c r="D85" s="4151" t="s">
        <v>12536</v>
      </c>
      <c r="E85" s="4151" t="s">
        <v>12584</v>
      </c>
      <c r="F85" s="4151" t="s">
        <v>12536</v>
      </c>
      <c r="G85" s="338">
        <v>44524</v>
      </c>
      <c r="H85" s="126">
        <v>44524</v>
      </c>
      <c r="I85" s="126">
        <v>44530</v>
      </c>
      <c r="J85" s="126">
        <v>44530</v>
      </c>
      <c r="K85" s="349">
        <v>44530</v>
      </c>
      <c r="L85" s="7" t="s">
        <v>12649</v>
      </c>
      <c r="M85" s="104" t="s">
        <v>12673</v>
      </c>
      <c r="N85" s="352">
        <v>945</v>
      </c>
      <c r="O85" s="353" t="s">
        <v>12595</v>
      </c>
      <c r="P85" s="25">
        <v>1309264</v>
      </c>
      <c r="Q85" s="352">
        <v>899</v>
      </c>
      <c r="R85" s="373">
        <v>44533</v>
      </c>
      <c r="S85" s="354">
        <v>2400</v>
      </c>
    </row>
    <row r="86" spans="1:19">
      <c r="A86" s="4151" t="s">
        <v>263</v>
      </c>
      <c r="B86" s="7" t="s">
        <v>12674</v>
      </c>
      <c r="C86" s="7" t="s">
        <v>12569</v>
      </c>
      <c r="D86" s="4151" t="s">
        <v>12536</v>
      </c>
      <c r="E86" s="4151" t="s">
        <v>12584</v>
      </c>
      <c r="F86" s="4151" t="s">
        <v>12536</v>
      </c>
      <c r="G86" s="338">
        <v>44524</v>
      </c>
      <c r="H86" s="126">
        <v>44524</v>
      </c>
      <c r="I86" s="126">
        <v>44530</v>
      </c>
      <c r="J86" s="126">
        <v>44530</v>
      </c>
      <c r="K86" s="349">
        <v>44530</v>
      </c>
      <c r="L86" s="156" t="s">
        <v>12649</v>
      </c>
      <c r="M86" s="104" t="s">
        <v>12673</v>
      </c>
      <c r="N86" s="352">
        <v>945</v>
      </c>
      <c r="O86" s="353" t="s">
        <v>12595</v>
      </c>
      <c r="P86" s="25">
        <v>1309260</v>
      </c>
      <c r="Q86" s="352">
        <v>899</v>
      </c>
      <c r="R86" s="373">
        <v>44533</v>
      </c>
      <c r="S86" s="354">
        <v>2400</v>
      </c>
    </row>
    <row r="87" spans="1:19">
      <c r="A87" s="4151" t="s">
        <v>263</v>
      </c>
      <c r="B87" s="156" t="s">
        <v>12675</v>
      </c>
      <c r="C87" s="7" t="s">
        <v>12569</v>
      </c>
      <c r="D87" s="4151" t="s">
        <v>12536</v>
      </c>
      <c r="E87" s="4151" t="s">
        <v>12584</v>
      </c>
      <c r="F87" s="7" t="s">
        <v>12536</v>
      </c>
      <c r="G87" s="338">
        <v>44529</v>
      </c>
      <c r="H87" s="126">
        <v>44529</v>
      </c>
      <c r="I87" s="126">
        <v>44532</v>
      </c>
      <c r="J87" s="126">
        <v>44530</v>
      </c>
      <c r="K87" s="349">
        <v>44530</v>
      </c>
      <c r="L87" s="7"/>
      <c r="M87" s="355" t="s">
        <v>12650</v>
      </c>
      <c r="N87" s="352">
        <v>945</v>
      </c>
      <c r="O87" s="356" t="s">
        <v>12600</v>
      </c>
      <c r="P87" s="25">
        <v>1309248</v>
      </c>
      <c r="Q87" s="352">
        <v>899</v>
      </c>
      <c r="R87" s="373">
        <v>44533</v>
      </c>
      <c r="S87" s="354">
        <v>2200</v>
      </c>
    </row>
    <row r="88" spans="1:19">
      <c r="A88" s="4151" t="s">
        <v>263</v>
      </c>
      <c r="B88" s="7" t="s">
        <v>12676</v>
      </c>
      <c r="C88" s="7" t="s">
        <v>12598</v>
      </c>
      <c r="D88" s="4151" t="s">
        <v>12536</v>
      </c>
      <c r="E88" s="357" t="s">
        <v>12645</v>
      </c>
      <c r="F88" s="7" t="s">
        <v>12536</v>
      </c>
      <c r="G88" s="348">
        <v>44529</v>
      </c>
      <c r="H88" s="126">
        <v>44529</v>
      </c>
      <c r="I88" s="126"/>
      <c r="J88" s="126">
        <v>44532</v>
      </c>
      <c r="K88" s="349">
        <v>44532</v>
      </c>
      <c r="L88" s="7"/>
      <c r="M88" s="104" t="s">
        <v>12646</v>
      </c>
      <c r="N88" s="352">
        <v>945</v>
      </c>
      <c r="O88" s="353" t="s">
        <v>12647</v>
      </c>
      <c r="P88" s="25">
        <v>1309223</v>
      </c>
      <c r="Q88" s="352">
        <v>899</v>
      </c>
      <c r="R88" s="373">
        <v>44533</v>
      </c>
      <c r="S88" s="354">
        <v>2250</v>
      </c>
    </row>
    <row r="89" spans="1:19">
      <c r="A89" s="4151" t="s">
        <v>263</v>
      </c>
      <c r="B89" s="7" t="s">
        <v>12677</v>
      </c>
      <c r="C89" s="156" t="s">
        <v>12569</v>
      </c>
      <c r="D89" s="4151" t="s">
        <v>12536</v>
      </c>
      <c r="E89" s="357" t="s">
        <v>12645</v>
      </c>
      <c r="F89" s="4151" t="s">
        <v>12536</v>
      </c>
      <c r="G89" s="348">
        <v>44530</v>
      </c>
      <c r="H89" s="126">
        <v>44530</v>
      </c>
      <c r="I89" s="126"/>
      <c r="J89" s="126">
        <v>44532</v>
      </c>
      <c r="K89" s="349">
        <v>44532</v>
      </c>
      <c r="L89" s="7"/>
      <c r="M89" s="104" t="s">
        <v>12678</v>
      </c>
      <c r="N89" s="352">
        <v>945</v>
      </c>
      <c r="O89" s="353">
        <v>44533</v>
      </c>
      <c r="P89" s="25">
        <v>1309242</v>
      </c>
      <c r="Q89" s="352">
        <v>899</v>
      </c>
      <c r="R89" s="373">
        <v>44533</v>
      </c>
      <c r="S89" s="354">
        <v>2200</v>
      </c>
    </row>
    <row r="90" spans="1:19">
      <c r="A90" s="4151" t="s">
        <v>263</v>
      </c>
      <c r="B90" s="7" t="s">
        <v>12679</v>
      </c>
      <c r="C90" s="7" t="s">
        <v>12569</v>
      </c>
      <c r="D90" s="4151" t="s">
        <v>12536</v>
      </c>
      <c r="E90" s="4151" t="s">
        <v>12584</v>
      </c>
      <c r="F90" s="7" t="s">
        <v>12536</v>
      </c>
      <c r="G90" s="338">
        <v>44526</v>
      </c>
      <c r="H90" s="126">
        <v>44526</v>
      </c>
      <c r="I90" s="126">
        <v>44531</v>
      </c>
      <c r="J90" s="126">
        <v>44530</v>
      </c>
      <c r="K90" s="349">
        <v>44530</v>
      </c>
      <c r="L90" s="7"/>
      <c r="M90" s="355" t="s">
        <v>12652</v>
      </c>
      <c r="N90" s="352">
        <v>945</v>
      </c>
      <c r="O90" s="356" t="s">
        <v>12538</v>
      </c>
      <c r="P90" s="25">
        <v>1309238</v>
      </c>
      <c r="Q90" s="352">
        <v>899</v>
      </c>
      <c r="R90" s="373">
        <v>44533</v>
      </c>
      <c r="S90" s="354">
        <v>2300</v>
      </c>
    </row>
    <row r="91" spans="1:19">
      <c r="A91" s="4151" t="s">
        <v>263</v>
      </c>
      <c r="B91" s="7" t="s">
        <v>12680</v>
      </c>
      <c r="C91" s="7" t="s">
        <v>12569</v>
      </c>
      <c r="D91" s="4151" t="s">
        <v>12536</v>
      </c>
      <c r="E91" s="357" t="s">
        <v>12645</v>
      </c>
      <c r="F91" s="4151" t="s">
        <v>12536</v>
      </c>
      <c r="G91" s="348">
        <v>44529</v>
      </c>
      <c r="H91" s="126">
        <v>44529</v>
      </c>
      <c r="I91" s="126">
        <v>44532</v>
      </c>
      <c r="J91" s="126">
        <v>44531</v>
      </c>
      <c r="K91" s="349">
        <v>44532</v>
      </c>
      <c r="L91" s="7"/>
      <c r="M91" s="355" t="s">
        <v>12681</v>
      </c>
      <c r="N91" s="352">
        <v>945</v>
      </c>
      <c r="O91" s="353">
        <v>44536</v>
      </c>
      <c r="P91" s="25">
        <v>1309252</v>
      </c>
      <c r="Q91" s="352">
        <v>899</v>
      </c>
      <c r="R91" s="373">
        <v>44533</v>
      </c>
      <c r="S91" s="354">
        <v>2250</v>
      </c>
    </row>
    <row r="92" spans="1:19">
      <c r="A92" s="4151" t="s">
        <v>263</v>
      </c>
      <c r="B92" s="7" t="s">
        <v>12682</v>
      </c>
      <c r="C92" s="7" t="s">
        <v>12598</v>
      </c>
      <c r="D92" s="4151" t="s">
        <v>12536</v>
      </c>
      <c r="E92" s="347" t="s">
        <v>12645</v>
      </c>
      <c r="F92" s="7" t="s">
        <v>12536</v>
      </c>
      <c r="G92" s="348">
        <v>44529</v>
      </c>
      <c r="H92" s="126">
        <v>44529</v>
      </c>
      <c r="I92" s="126">
        <v>44532</v>
      </c>
      <c r="J92" s="126">
        <v>44531</v>
      </c>
      <c r="K92" s="349">
        <v>44532</v>
      </c>
      <c r="L92" s="7"/>
      <c r="M92" s="355" t="s">
        <v>12681</v>
      </c>
      <c r="N92" s="352">
        <v>945</v>
      </c>
      <c r="O92" s="353">
        <v>44536</v>
      </c>
      <c r="P92" s="25">
        <v>1309236</v>
      </c>
      <c r="Q92" s="352">
        <v>899</v>
      </c>
      <c r="R92" s="373">
        <v>44533</v>
      </c>
      <c r="S92" s="354">
        <v>2250</v>
      </c>
    </row>
    <row r="93" spans="1:19">
      <c r="A93" s="4151" t="s">
        <v>263</v>
      </c>
      <c r="B93" s="7" t="s">
        <v>12683</v>
      </c>
      <c r="C93" s="7" t="s">
        <v>12598</v>
      </c>
      <c r="D93" s="4151" t="s">
        <v>12536</v>
      </c>
      <c r="E93" s="357" t="s">
        <v>12645</v>
      </c>
      <c r="F93" s="7" t="s">
        <v>12536</v>
      </c>
      <c r="G93" s="348">
        <v>44529</v>
      </c>
      <c r="H93" s="126">
        <v>44529</v>
      </c>
      <c r="I93" s="126">
        <v>44532</v>
      </c>
      <c r="J93" s="126">
        <v>44531</v>
      </c>
      <c r="K93" s="349">
        <v>44531</v>
      </c>
      <c r="L93" s="7"/>
      <c r="M93" s="355" t="s">
        <v>12684</v>
      </c>
      <c r="N93" s="352">
        <v>945</v>
      </c>
      <c r="O93" s="353">
        <v>44537</v>
      </c>
      <c r="P93" s="25">
        <v>1309229</v>
      </c>
      <c r="Q93" s="352">
        <v>899</v>
      </c>
      <c r="R93" s="373">
        <v>44533</v>
      </c>
      <c r="S93" s="354">
        <v>2200</v>
      </c>
    </row>
    <row r="94" spans="1:19">
      <c r="A94" s="4151" t="s">
        <v>263</v>
      </c>
      <c r="B94" s="7" t="s">
        <v>12685</v>
      </c>
      <c r="C94" s="156" t="s">
        <v>12598</v>
      </c>
      <c r="D94" s="4151" t="s">
        <v>12536</v>
      </c>
      <c r="E94" s="357" t="s">
        <v>12645</v>
      </c>
      <c r="F94" s="7" t="s">
        <v>12536</v>
      </c>
      <c r="G94" s="348">
        <v>44529</v>
      </c>
      <c r="H94" s="126">
        <v>44529</v>
      </c>
      <c r="I94" s="126">
        <v>44533</v>
      </c>
      <c r="J94" s="126">
        <v>44531</v>
      </c>
      <c r="K94" s="349">
        <v>44531</v>
      </c>
      <c r="L94" s="7"/>
      <c r="M94" s="355" t="s">
        <v>12684</v>
      </c>
      <c r="N94" s="352">
        <v>945</v>
      </c>
      <c r="O94" s="353">
        <v>44537</v>
      </c>
      <c r="P94" s="25">
        <v>1309227</v>
      </c>
      <c r="Q94" s="352">
        <v>899</v>
      </c>
      <c r="R94" s="373">
        <v>44533</v>
      </c>
      <c r="S94" s="354">
        <v>2200</v>
      </c>
    </row>
    <row r="95" spans="1:19">
      <c r="A95" s="4151" t="s">
        <v>263</v>
      </c>
      <c r="B95" s="7" t="s">
        <v>12686</v>
      </c>
      <c r="C95" s="7" t="s">
        <v>12569</v>
      </c>
      <c r="D95" s="4151" t="s">
        <v>12536</v>
      </c>
      <c r="E95" s="4151" t="s">
        <v>12584</v>
      </c>
      <c r="F95" s="4151" t="s">
        <v>12536</v>
      </c>
      <c r="G95" s="338">
        <v>44526</v>
      </c>
      <c r="H95" s="126">
        <v>44526</v>
      </c>
      <c r="I95" s="126">
        <v>44531</v>
      </c>
      <c r="J95" s="126">
        <v>44532</v>
      </c>
      <c r="K95" s="349">
        <v>44532</v>
      </c>
      <c r="L95" s="7"/>
      <c r="M95" s="104" t="s">
        <v>12687</v>
      </c>
      <c r="N95" s="352">
        <v>945</v>
      </c>
      <c r="O95" s="353">
        <v>44539</v>
      </c>
      <c r="P95" s="25">
        <v>1309250</v>
      </c>
      <c r="Q95" s="352">
        <v>899</v>
      </c>
      <c r="R95" s="373">
        <v>44533</v>
      </c>
      <c r="S95" s="354">
        <v>2400</v>
      </c>
    </row>
    <row r="96" spans="1:19">
      <c r="A96" s="4151" t="s">
        <v>263</v>
      </c>
      <c r="B96" s="7" t="s">
        <v>12688</v>
      </c>
      <c r="C96" s="7" t="s">
        <v>12598</v>
      </c>
      <c r="D96" s="4151" t="s">
        <v>12536</v>
      </c>
      <c r="E96" s="357" t="s">
        <v>12645</v>
      </c>
      <c r="F96" s="4151" t="s">
        <v>12536</v>
      </c>
      <c r="G96" s="348">
        <v>44530</v>
      </c>
      <c r="H96" s="126">
        <v>44530</v>
      </c>
      <c r="I96" s="126"/>
      <c r="J96" s="126">
        <v>44532</v>
      </c>
      <c r="K96" s="349">
        <v>44532</v>
      </c>
      <c r="L96" s="7" t="s">
        <v>12689</v>
      </c>
      <c r="M96" s="104" t="s">
        <v>12687</v>
      </c>
      <c r="N96" s="352">
        <v>945</v>
      </c>
      <c r="O96" s="353">
        <v>44539</v>
      </c>
      <c r="P96" s="25">
        <v>1309221</v>
      </c>
      <c r="Q96" s="352">
        <v>899</v>
      </c>
      <c r="R96" s="373">
        <v>44533</v>
      </c>
      <c r="S96" s="354">
        <v>2200</v>
      </c>
    </row>
    <row r="97" spans="1:19">
      <c r="A97" s="4151" t="s">
        <v>263</v>
      </c>
      <c r="B97" s="7" t="s">
        <v>12690</v>
      </c>
      <c r="C97" s="7" t="s">
        <v>12569</v>
      </c>
      <c r="D97" s="4151" t="s">
        <v>12536</v>
      </c>
      <c r="E97" s="4151" t="s">
        <v>12584</v>
      </c>
      <c r="F97" s="4151" t="s">
        <v>12536</v>
      </c>
      <c r="G97" s="338">
        <v>44526</v>
      </c>
      <c r="H97" s="126">
        <v>44526</v>
      </c>
      <c r="I97" s="126">
        <v>44531</v>
      </c>
      <c r="J97" s="126">
        <v>44530</v>
      </c>
      <c r="K97" s="349">
        <v>44530</v>
      </c>
      <c r="L97" s="361" t="s">
        <v>12691</v>
      </c>
      <c r="M97" s="13" t="s">
        <v>12657</v>
      </c>
      <c r="N97" s="352">
        <v>945</v>
      </c>
      <c r="O97" s="353">
        <v>44530</v>
      </c>
      <c r="P97" s="25">
        <v>1309255</v>
      </c>
      <c r="Q97" s="352">
        <v>899</v>
      </c>
      <c r="R97" s="373">
        <v>44533</v>
      </c>
      <c r="S97" s="354">
        <v>2300</v>
      </c>
    </row>
    <row r="98" spans="1:19">
      <c r="A98" s="4151" t="s">
        <v>263</v>
      </c>
      <c r="B98" s="7" t="s">
        <v>12692</v>
      </c>
      <c r="C98" s="7" t="s">
        <v>12598</v>
      </c>
      <c r="D98" s="4151" t="s">
        <v>12536</v>
      </c>
      <c r="E98" s="357" t="s">
        <v>12645</v>
      </c>
      <c r="F98" s="7" t="s">
        <v>12536</v>
      </c>
      <c r="G98" s="348">
        <v>44529</v>
      </c>
      <c r="H98" s="126">
        <v>44529</v>
      </c>
      <c r="I98" s="126">
        <v>44532</v>
      </c>
      <c r="J98" s="126">
        <v>44532</v>
      </c>
      <c r="K98" s="349">
        <v>44532</v>
      </c>
      <c r="L98" s="7"/>
      <c r="M98" s="13" t="s">
        <v>12693</v>
      </c>
      <c r="N98" s="352">
        <v>945</v>
      </c>
      <c r="O98" s="353">
        <v>44533</v>
      </c>
      <c r="P98" s="25">
        <v>1309232</v>
      </c>
      <c r="Q98" s="352">
        <v>899</v>
      </c>
      <c r="R98" s="373">
        <v>44533</v>
      </c>
      <c r="S98" s="354">
        <v>2250</v>
      </c>
    </row>
    <row r="99" spans="1:19">
      <c r="A99" s="4151" t="s">
        <v>263</v>
      </c>
      <c r="B99" s="7" t="s">
        <v>12694</v>
      </c>
      <c r="C99" s="7" t="s">
        <v>12533</v>
      </c>
      <c r="D99" s="4151" t="s">
        <v>12564</v>
      </c>
      <c r="E99" s="4151" t="s">
        <v>12584</v>
      </c>
      <c r="F99" s="4151" t="s">
        <v>12536</v>
      </c>
      <c r="G99" s="338">
        <v>44531</v>
      </c>
      <c r="H99" s="126">
        <v>44531</v>
      </c>
      <c r="I99" s="126"/>
      <c r="J99" s="126">
        <v>44532</v>
      </c>
      <c r="K99" s="349">
        <v>44532</v>
      </c>
      <c r="L99" s="7"/>
      <c r="M99" s="104" t="s">
        <v>12693</v>
      </c>
      <c r="N99" s="352">
        <v>945</v>
      </c>
      <c r="O99" s="353">
        <v>44533</v>
      </c>
      <c r="P99" s="25">
        <v>1309212</v>
      </c>
      <c r="Q99" s="352">
        <v>899</v>
      </c>
      <c r="R99" s="373">
        <v>44533</v>
      </c>
      <c r="S99" s="354">
        <v>2200</v>
      </c>
    </row>
    <row r="100" spans="1:19">
      <c r="A100" s="4151" t="s">
        <v>263</v>
      </c>
      <c r="B100" s="7" t="s">
        <v>12695</v>
      </c>
      <c r="C100" s="7" t="s">
        <v>12598</v>
      </c>
      <c r="D100" s="4151" t="s">
        <v>12536</v>
      </c>
      <c r="E100" s="4151" t="s">
        <v>12535</v>
      </c>
      <c r="F100" s="360" t="s">
        <v>12536</v>
      </c>
      <c r="G100" s="338">
        <v>44524</v>
      </c>
      <c r="H100" s="126">
        <v>44524</v>
      </c>
      <c r="I100" s="126">
        <v>44531</v>
      </c>
      <c r="J100" s="126"/>
      <c r="K100" s="349">
        <v>44536</v>
      </c>
      <c r="L100" s="7"/>
      <c r="M100" s="355" t="s">
        <v>12696</v>
      </c>
      <c r="N100" s="352">
        <v>945</v>
      </c>
      <c r="O100" s="356" t="s">
        <v>12538</v>
      </c>
      <c r="P100" s="25">
        <v>1312168</v>
      </c>
      <c r="Q100" s="352">
        <v>979</v>
      </c>
      <c r="R100" s="373">
        <v>44543</v>
      </c>
      <c r="S100" s="354">
        <v>2450</v>
      </c>
    </row>
    <row r="101" spans="1:19">
      <c r="A101" s="4151" t="s">
        <v>263</v>
      </c>
      <c r="B101" s="7" t="s">
        <v>12697</v>
      </c>
      <c r="C101" s="7" t="s">
        <v>12598</v>
      </c>
      <c r="D101" s="4151" t="s">
        <v>12536</v>
      </c>
      <c r="E101" s="4151" t="s">
        <v>12535</v>
      </c>
      <c r="F101" s="360" t="s">
        <v>12536</v>
      </c>
      <c r="G101" s="338">
        <v>44524</v>
      </c>
      <c r="H101" s="126">
        <v>44524</v>
      </c>
      <c r="I101" s="126">
        <v>44531</v>
      </c>
      <c r="J101" s="126">
        <v>44534</v>
      </c>
      <c r="K101" s="359">
        <v>44534</v>
      </c>
      <c r="L101" s="7"/>
      <c r="M101" s="104" t="s">
        <v>12603</v>
      </c>
      <c r="N101" s="352">
        <v>945</v>
      </c>
      <c r="O101" s="353" t="s">
        <v>12538</v>
      </c>
      <c r="P101" s="25">
        <v>1312170</v>
      </c>
      <c r="Q101" s="352">
        <v>959</v>
      </c>
      <c r="R101" s="373">
        <v>44543</v>
      </c>
      <c r="S101" s="354">
        <v>2500</v>
      </c>
    </row>
    <row r="102" spans="1:19">
      <c r="A102" s="4151" t="s">
        <v>263</v>
      </c>
      <c r="B102" s="7" t="s">
        <v>12698</v>
      </c>
      <c r="C102" s="7" t="s">
        <v>12598</v>
      </c>
      <c r="D102" s="4151" t="s">
        <v>12536</v>
      </c>
      <c r="E102" s="4151" t="s">
        <v>12535</v>
      </c>
      <c r="F102" s="4151" t="s">
        <v>12536</v>
      </c>
      <c r="G102" s="338">
        <v>44526</v>
      </c>
      <c r="H102" s="143">
        <v>44524</v>
      </c>
      <c r="I102" s="126">
        <v>44532</v>
      </c>
      <c r="J102" s="126"/>
      <c r="K102" s="328">
        <v>44536</v>
      </c>
      <c r="L102" s="7"/>
      <c r="M102" s="355" t="s">
        <v>12699</v>
      </c>
      <c r="N102" s="352">
        <v>945</v>
      </c>
      <c r="O102" s="356" t="s">
        <v>12538</v>
      </c>
      <c r="P102" s="25">
        <v>1312171</v>
      </c>
      <c r="Q102" s="352">
        <v>919</v>
      </c>
      <c r="R102" s="373">
        <v>44543</v>
      </c>
      <c r="S102" s="354">
        <v>2450</v>
      </c>
    </row>
    <row r="103" spans="1:19">
      <c r="A103" s="4151" t="s">
        <v>263</v>
      </c>
      <c r="B103" s="7" t="s">
        <v>12700</v>
      </c>
      <c r="C103" s="7" t="s">
        <v>12598</v>
      </c>
      <c r="D103" s="4151" t="s">
        <v>12536</v>
      </c>
      <c r="E103" s="4151" t="s">
        <v>12535</v>
      </c>
      <c r="F103" s="4151" t="s">
        <v>12536</v>
      </c>
      <c r="G103" s="338">
        <v>44526</v>
      </c>
      <c r="H103" s="126">
        <v>44526</v>
      </c>
      <c r="I103" s="126">
        <v>44532</v>
      </c>
      <c r="J103" s="126">
        <v>44534</v>
      </c>
      <c r="K103" s="359">
        <v>44534</v>
      </c>
      <c r="L103" s="7"/>
      <c r="M103" s="104" t="s">
        <v>12701</v>
      </c>
      <c r="N103" s="352">
        <v>945</v>
      </c>
      <c r="O103" s="353" t="s">
        <v>12538</v>
      </c>
      <c r="P103" s="25">
        <v>1312172</v>
      </c>
      <c r="Q103" s="352">
        <v>919</v>
      </c>
      <c r="R103" s="373">
        <v>44543</v>
      </c>
      <c r="S103" s="354">
        <v>2400</v>
      </c>
    </row>
    <row r="104" spans="1:19">
      <c r="A104" s="4151" t="s">
        <v>263</v>
      </c>
      <c r="B104" s="7" t="s">
        <v>12702</v>
      </c>
      <c r="C104" s="7" t="s">
        <v>12598</v>
      </c>
      <c r="D104" s="4151" t="s">
        <v>12536</v>
      </c>
      <c r="E104" s="4151" t="s">
        <v>12535</v>
      </c>
      <c r="F104" s="4151" t="s">
        <v>12536</v>
      </c>
      <c r="G104" s="338">
        <v>44526</v>
      </c>
      <c r="H104" s="126">
        <v>44526</v>
      </c>
      <c r="I104" s="126">
        <v>44532</v>
      </c>
      <c r="J104" s="126"/>
      <c r="K104" s="349">
        <v>44536</v>
      </c>
      <c r="L104" s="7"/>
      <c r="M104" s="355" t="s">
        <v>12699</v>
      </c>
      <c r="N104" s="352">
        <v>945</v>
      </c>
      <c r="O104" s="356" t="s">
        <v>12538</v>
      </c>
      <c r="P104" s="25">
        <v>1312173</v>
      </c>
      <c r="Q104" s="352">
        <v>919</v>
      </c>
      <c r="R104" s="373">
        <v>44543</v>
      </c>
      <c r="S104" s="354">
        <v>2400</v>
      </c>
    </row>
    <row r="105" spans="1:19">
      <c r="A105" s="4151" t="s">
        <v>263</v>
      </c>
      <c r="B105" s="7" t="s">
        <v>12703</v>
      </c>
      <c r="C105" s="7" t="s">
        <v>12569</v>
      </c>
      <c r="D105" s="4151" t="s">
        <v>12536</v>
      </c>
      <c r="E105" s="4151" t="s">
        <v>12584</v>
      </c>
      <c r="F105" s="4151" t="s">
        <v>12536</v>
      </c>
      <c r="G105" s="338">
        <v>44524</v>
      </c>
      <c r="H105" s="126">
        <v>44524</v>
      </c>
      <c r="I105" s="126">
        <v>44530</v>
      </c>
      <c r="J105" s="126">
        <v>44530</v>
      </c>
      <c r="K105" s="349">
        <v>44530</v>
      </c>
      <c r="L105" s="7" t="s">
        <v>12649</v>
      </c>
      <c r="M105" s="104">
        <v>1307586</v>
      </c>
      <c r="N105" s="352">
        <v>945</v>
      </c>
      <c r="O105" s="25" t="s">
        <v>12595</v>
      </c>
      <c r="P105" s="25">
        <v>1316645</v>
      </c>
      <c r="Q105" s="545">
        <v>939</v>
      </c>
      <c r="R105" s="373">
        <v>44552</v>
      </c>
      <c r="S105" s="354">
        <v>2400</v>
      </c>
    </row>
    <row r="106" spans="1:19">
      <c r="A106" s="4151" t="s">
        <v>263</v>
      </c>
      <c r="B106" s="7" t="s">
        <v>12704</v>
      </c>
      <c r="C106" s="7" t="s">
        <v>12598</v>
      </c>
      <c r="D106" s="4151" t="s">
        <v>12536</v>
      </c>
      <c r="E106" s="4151" t="s">
        <v>12535</v>
      </c>
      <c r="F106" s="360" t="s">
        <v>12536</v>
      </c>
      <c r="G106" s="338">
        <v>44524</v>
      </c>
      <c r="H106" s="126">
        <v>44524</v>
      </c>
      <c r="I106" s="126">
        <v>44531</v>
      </c>
      <c r="J106" s="126" t="s">
        <v>12040</v>
      </c>
      <c r="K106" s="359">
        <v>44534</v>
      </c>
      <c r="L106" s="7"/>
      <c r="M106" s="355" t="s">
        <v>12606</v>
      </c>
      <c r="N106" s="352">
        <v>945</v>
      </c>
      <c r="O106" s="356" t="s">
        <v>12538</v>
      </c>
      <c r="P106" s="25">
        <v>1312174</v>
      </c>
      <c r="Q106" s="352">
        <v>959</v>
      </c>
      <c r="R106" s="373">
        <v>44543</v>
      </c>
      <c r="S106" s="354">
        <v>2500</v>
      </c>
    </row>
    <row r="107" spans="1:19">
      <c r="A107" s="4151" t="s">
        <v>263</v>
      </c>
      <c r="B107" s="7" t="s">
        <v>12705</v>
      </c>
      <c r="C107" s="7" t="s">
        <v>12598</v>
      </c>
      <c r="D107" s="4151" t="s">
        <v>12536</v>
      </c>
      <c r="E107" s="4151" t="s">
        <v>12535</v>
      </c>
      <c r="F107" s="360" t="s">
        <v>12536</v>
      </c>
      <c r="G107" s="338">
        <v>44524</v>
      </c>
      <c r="H107" s="126">
        <v>44524</v>
      </c>
      <c r="I107" s="126">
        <v>44531</v>
      </c>
      <c r="J107" s="126">
        <v>44534</v>
      </c>
      <c r="K107" s="359">
        <v>44534</v>
      </c>
      <c r="L107" s="7"/>
      <c r="M107" s="104" t="s">
        <v>12701</v>
      </c>
      <c r="N107" s="352">
        <v>945</v>
      </c>
      <c r="O107" s="353" t="s">
        <v>12538</v>
      </c>
      <c r="P107" s="25">
        <v>1312175</v>
      </c>
      <c r="Q107" s="352">
        <v>959</v>
      </c>
      <c r="R107" s="373">
        <v>44543</v>
      </c>
      <c r="S107" s="354">
        <v>2500</v>
      </c>
    </row>
    <row r="108" spans="1:19">
      <c r="A108" s="4151" t="s">
        <v>263</v>
      </c>
      <c r="B108" t="s">
        <v>12706</v>
      </c>
      <c r="C108" s="7" t="s">
        <v>12598</v>
      </c>
      <c r="D108" s="4151" t="s">
        <v>12536</v>
      </c>
      <c r="E108" s="4151" t="s">
        <v>12535</v>
      </c>
      <c r="F108" s="4557" t="s">
        <v>12536</v>
      </c>
      <c r="G108" s="338">
        <v>44524</v>
      </c>
      <c r="H108" s="126">
        <v>44524</v>
      </c>
      <c r="I108" s="126">
        <v>44531</v>
      </c>
      <c r="J108" s="126"/>
      <c r="K108" s="349">
        <v>44536</v>
      </c>
      <c r="L108" s="7"/>
      <c r="M108" s="355" t="s">
        <v>12696</v>
      </c>
      <c r="N108" s="352">
        <v>945</v>
      </c>
      <c r="O108" s="356" t="s">
        <v>12538</v>
      </c>
      <c r="P108" s="25">
        <v>1312176</v>
      </c>
      <c r="Q108" s="352">
        <v>959</v>
      </c>
      <c r="R108" s="373">
        <v>44543</v>
      </c>
      <c r="S108" s="354">
        <v>2450</v>
      </c>
    </row>
    <row r="109" spans="1:19">
      <c r="A109" s="4151" t="s">
        <v>263</v>
      </c>
      <c r="B109" s="7" t="s">
        <v>12707</v>
      </c>
      <c r="C109" s="7" t="s">
        <v>12598</v>
      </c>
      <c r="D109" s="4151" t="s">
        <v>12536</v>
      </c>
      <c r="E109" s="4151" t="s">
        <v>12535</v>
      </c>
      <c r="F109" s="4151" t="s">
        <v>12536</v>
      </c>
      <c r="G109" s="338">
        <v>44526</v>
      </c>
      <c r="H109" s="126">
        <v>44526</v>
      </c>
      <c r="I109" s="126">
        <v>44532</v>
      </c>
      <c r="J109" s="126" t="s">
        <v>12040</v>
      </c>
      <c r="K109" s="349">
        <v>44536</v>
      </c>
      <c r="L109" s="7"/>
      <c r="M109" s="355" t="s">
        <v>12612</v>
      </c>
      <c r="N109" s="352">
        <v>945</v>
      </c>
      <c r="O109" s="356" t="s">
        <v>12538</v>
      </c>
      <c r="P109" s="25">
        <v>1312177</v>
      </c>
      <c r="Q109" s="352">
        <v>919</v>
      </c>
      <c r="R109" s="373">
        <v>44543</v>
      </c>
      <c r="S109" s="354">
        <v>2400</v>
      </c>
    </row>
    <row r="110" spans="1:19">
      <c r="A110" s="4151" t="s">
        <v>263</v>
      </c>
      <c r="B110" t="s">
        <v>12708</v>
      </c>
      <c r="C110" s="7" t="s">
        <v>12533</v>
      </c>
      <c r="D110" s="4151" t="s">
        <v>12536</v>
      </c>
      <c r="E110" s="4151" t="s">
        <v>12709</v>
      </c>
      <c r="F110" s="4151" t="s">
        <v>12536</v>
      </c>
      <c r="G110" s="338">
        <v>44529</v>
      </c>
      <c r="H110" s="126">
        <v>44531</v>
      </c>
      <c r="I110" s="126"/>
      <c r="J110" s="126">
        <v>44537</v>
      </c>
      <c r="K110" s="349">
        <v>44537</v>
      </c>
      <c r="L110" s="7"/>
      <c r="M110" s="104" t="s">
        <v>12654</v>
      </c>
      <c r="N110" s="352">
        <v>945</v>
      </c>
      <c r="O110" s="353">
        <v>44539</v>
      </c>
      <c r="P110" s="25">
        <v>1316634</v>
      </c>
      <c r="Q110" s="352">
        <v>919</v>
      </c>
      <c r="R110" s="373">
        <v>44552</v>
      </c>
      <c r="S110" s="354">
        <v>2300</v>
      </c>
    </row>
    <row r="111" spans="1:19">
      <c r="A111" s="4555" t="s">
        <v>263</v>
      </c>
      <c r="B111" s="516" t="s">
        <v>12710</v>
      </c>
      <c r="C111" s="364" t="s">
        <v>12574</v>
      </c>
      <c r="D111" s="4555" t="s">
        <v>12536</v>
      </c>
      <c r="E111" s="365" t="s">
        <v>12608</v>
      </c>
      <c r="F111" s="365" t="s">
        <v>12536</v>
      </c>
      <c r="G111" s="366">
        <v>44530</v>
      </c>
      <c r="H111" s="367">
        <v>44530</v>
      </c>
      <c r="I111" s="367"/>
      <c r="J111" s="367" t="s">
        <v>542</v>
      </c>
      <c r="K111" s="368" t="s">
        <v>12040</v>
      </c>
      <c r="L111" s="369" t="s">
        <v>12591</v>
      </c>
      <c r="M111" s="104" t="s">
        <v>12592</v>
      </c>
      <c r="N111" s="352">
        <v>945</v>
      </c>
      <c r="O111" s="353">
        <v>44925</v>
      </c>
      <c r="P111" s="25">
        <v>1316642</v>
      </c>
      <c r="Q111" s="352">
        <v>939</v>
      </c>
      <c r="R111" s="373">
        <v>44552</v>
      </c>
      <c r="S111" s="370">
        <v>2200</v>
      </c>
    </row>
    <row r="112" spans="1:19">
      <c r="A112" s="4151" t="s">
        <v>263</v>
      </c>
      <c r="B112" s="7" t="s">
        <v>12711</v>
      </c>
      <c r="C112" s="7" t="s">
        <v>12598</v>
      </c>
      <c r="D112" s="4151" t="s">
        <v>12536</v>
      </c>
      <c r="E112" s="4151" t="s">
        <v>12584</v>
      </c>
      <c r="F112" s="4151" t="s">
        <v>12536</v>
      </c>
      <c r="G112" s="338">
        <v>44524</v>
      </c>
      <c r="H112" s="126">
        <v>44524</v>
      </c>
      <c r="I112" s="126">
        <v>44530</v>
      </c>
      <c r="J112" s="126">
        <v>44534</v>
      </c>
      <c r="K112" s="359">
        <v>44534</v>
      </c>
      <c r="L112" s="7" t="s">
        <v>12649</v>
      </c>
      <c r="M112" s="104" t="s">
        <v>12712</v>
      </c>
      <c r="N112" s="352">
        <v>945</v>
      </c>
      <c r="O112" s="353">
        <v>44538</v>
      </c>
      <c r="P112" s="25">
        <v>1316643</v>
      </c>
      <c r="Q112" s="352">
        <v>999</v>
      </c>
      <c r="R112" s="373">
        <v>44552</v>
      </c>
      <c r="S112" s="354">
        <v>2500</v>
      </c>
    </row>
    <row r="113" spans="1:19">
      <c r="A113" s="4151" t="s">
        <v>263</v>
      </c>
      <c r="B113" s="7" t="s">
        <v>12713</v>
      </c>
      <c r="C113" s="7" t="s">
        <v>12569</v>
      </c>
      <c r="D113" s="4151" t="s">
        <v>12536</v>
      </c>
      <c r="E113" s="4151" t="s">
        <v>12584</v>
      </c>
      <c r="F113" s="4151" t="s">
        <v>12536</v>
      </c>
      <c r="G113" s="338">
        <v>44524</v>
      </c>
      <c r="H113" s="126">
        <v>44524</v>
      </c>
      <c r="I113" s="126">
        <v>44530</v>
      </c>
      <c r="J113" s="126">
        <v>44533</v>
      </c>
      <c r="K113" s="349">
        <v>44533</v>
      </c>
      <c r="L113" s="7" t="s">
        <v>12649</v>
      </c>
      <c r="M113" s="25">
        <v>1312461</v>
      </c>
      <c r="N113" s="352">
        <v>945</v>
      </c>
      <c r="O113" s="373">
        <v>44543</v>
      </c>
      <c r="P113" s="25">
        <v>1316647</v>
      </c>
      <c r="Q113" s="352">
        <v>979</v>
      </c>
      <c r="R113" s="373">
        <v>44552</v>
      </c>
      <c r="S113" s="354">
        <v>2500</v>
      </c>
    </row>
    <row r="114" spans="1:19">
      <c r="A114" s="4151" t="s">
        <v>263</v>
      </c>
      <c r="B114" s="7" t="s">
        <v>12714</v>
      </c>
      <c r="C114" s="7" t="s">
        <v>12533</v>
      </c>
      <c r="D114" s="4151" t="s">
        <v>12536</v>
      </c>
      <c r="E114" s="4151"/>
      <c r="F114" s="4151"/>
      <c r="G114" s="7"/>
      <c r="H114" s="126"/>
      <c r="I114" s="126"/>
      <c r="J114" s="126" t="s">
        <v>12040</v>
      </c>
      <c r="K114" s="349">
        <v>44533</v>
      </c>
      <c r="L114" s="7"/>
      <c r="M114" s="127"/>
      <c r="N114" s="350"/>
      <c r="O114" s="126"/>
      <c r="P114" s="7" t="s">
        <v>12040</v>
      </c>
      <c r="Q114" s="350" t="s">
        <v>12040</v>
      </c>
      <c r="R114" s="7"/>
      <c r="S114" s="351"/>
    </row>
    <row r="115" spans="1:19">
      <c r="A115" s="4151" t="s">
        <v>263</v>
      </c>
      <c r="B115" s="7" t="s">
        <v>12715</v>
      </c>
      <c r="C115" s="7" t="s">
        <v>12533</v>
      </c>
      <c r="D115" s="4151" t="s">
        <v>12536</v>
      </c>
      <c r="E115" s="4151" t="s">
        <v>12709</v>
      </c>
      <c r="F115" s="4151"/>
      <c r="G115" s="338">
        <v>44529</v>
      </c>
      <c r="H115" s="126"/>
      <c r="I115" s="126"/>
      <c r="J115" s="126" t="s">
        <v>12040</v>
      </c>
      <c r="K115" s="349">
        <v>44533</v>
      </c>
      <c r="L115" s="7"/>
      <c r="M115" s="127"/>
      <c r="N115" s="350"/>
      <c r="O115" s="126"/>
      <c r="P115" s="7" t="s">
        <v>12040</v>
      </c>
      <c r="Q115" s="350" t="s">
        <v>12040</v>
      </c>
      <c r="R115" s="7"/>
      <c r="S115" s="351"/>
    </row>
    <row r="116" spans="1:19">
      <c r="A116" s="4151" t="s">
        <v>263</v>
      </c>
      <c r="B116" s="7" t="s">
        <v>12716</v>
      </c>
      <c r="C116" s="7" t="s">
        <v>12533</v>
      </c>
      <c r="D116" s="4151" t="s">
        <v>12536</v>
      </c>
      <c r="E116" s="4151" t="s">
        <v>12709</v>
      </c>
      <c r="F116" s="4151"/>
      <c r="G116" s="338">
        <v>44529</v>
      </c>
      <c r="H116" s="126"/>
      <c r="I116" s="126"/>
      <c r="J116" s="126" t="s">
        <v>12040</v>
      </c>
      <c r="K116" s="349">
        <v>44533</v>
      </c>
      <c r="L116" s="7"/>
      <c r="M116" s="127"/>
      <c r="N116" s="350"/>
      <c r="O116" s="126"/>
      <c r="P116" s="7" t="s">
        <v>12040</v>
      </c>
      <c r="Q116" s="350" t="s">
        <v>12040</v>
      </c>
      <c r="R116" s="7"/>
      <c r="S116" s="351"/>
    </row>
    <row r="117" spans="1:19">
      <c r="A117" s="4151" t="s">
        <v>263</v>
      </c>
      <c r="B117" s="7" t="s">
        <v>12717</v>
      </c>
      <c r="C117" s="7" t="s">
        <v>12533</v>
      </c>
      <c r="D117" s="4151" t="s">
        <v>12536</v>
      </c>
      <c r="E117" s="4151" t="s">
        <v>12709</v>
      </c>
      <c r="F117" s="4151"/>
      <c r="G117" s="338">
        <v>44529</v>
      </c>
      <c r="H117" s="126"/>
      <c r="I117" s="126"/>
      <c r="J117" s="126" t="s">
        <v>12040</v>
      </c>
      <c r="K117" s="349">
        <v>44532</v>
      </c>
      <c r="L117" s="7"/>
      <c r="M117" s="127"/>
      <c r="N117" s="350"/>
      <c r="O117" s="126"/>
      <c r="P117" s="7" t="s">
        <v>12040</v>
      </c>
      <c r="Q117" s="350" t="s">
        <v>12040</v>
      </c>
      <c r="R117" s="7"/>
      <c r="S117" s="351"/>
    </row>
    <row r="118" spans="1:19">
      <c r="A118" s="4151" t="s">
        <v>263</v>
      </c>
      <c r="B118" t="s">
        <v>12718</v>
      </c>
      <c r="C118" s="7" t="s">
        <v>12512</v>
      </c>
      <c r="D118" s="4151" t="s">
        <v>12513</v>
      </c>
      <c r="E118" s="7" t="s">
        <v>12584</v>
      </c>
      <c r="F118" s="4151" t="s">
        <v>12536</v>
      </c>
      <c r="G118" s="338">
        <v>44524</v>
      </c>
      <c r="H118" s="126">
        <v>44524</v>
      </c>
      <c r="I118" s="126">
        <v>44530</v>
      </c>
      <c r="J118" s="126">
        <v>44532</v>
      </c>
      <c r="K118" s="349">
        <v>44532</v>
      </c>
      <c r="L118" s="7" t="s">
        <v>12649</v>
      </c>
      <c r="M118" s="13">
        <v>1309193</v>
      </c>
      <c r="N118" s="352">
        <v>945</v>
      </c>
      <c r="O118" s="353">
        <v>44533</v>
      </c>
      <c r="P118" s="25">
        <v>1316650</v>
      </c>
      <c r="Q118" s="352">
        <v>959</v>
      </c>
      <c r="R118" s="373">
        <v>44552</v>
      </c>
      <c r="S118" s="354">
        <v>2500</v>
      </c>
    </row>
    <row r="119" spans="1:19">
      <c r="A119" s="4151" t="s">
        <v>263</v>
      </c>
      <c r="B119" s="7" t="s">
        <v>12719</v>
      </c>
      <c r="C119" s="7" t="s">
        <v>12533</v>
      </c>
      <c r="D119" s="4151" t="s">
        <v>12536</v>
      </c>
      <c r="E119" s="4151" t="s">
        <v>12709</v>
      </c>
      <c r="F119" s="4151"/>
      <c r="G119" s="338">
        <v>44529</v>
      </c>
      <c r="H119" s="126"/>
      <c r="I119" s="126"/>
      <c r="J119" s="126" t="s">
        <v>12040</v>
      </c>
      <c r="K119" s="349">
        <v>44533</v>
      </c>
      <c r="L119" s="7"/>
      <c r="M119" s="127"/>
      <c r="N119" s="350"/>
      <c r="O119" s="126"/>
      <c r="P119" s="7" t="s">
        <v>12040</v>
      </c>
      <c r="Q119" s="350" t="s">
        <v>12040</v>
      </c>
      <c r="R119" s="7"/>
      <c r="S119" s="351"/>
    </row>
    <row r="120" spans="1:19">
      <c r="A120" s="4151" t="s">
        <v>263</v>
      </c>
      <c r="B120" s="7" t="s">
        <v>12720</v>
      </c>
      <c r="C120" s="7" t="s">
        <v>12533</v>
      </c>
      <c r="D120" s="4151" t="s">
        <v>12536</v>
      </c>
      <c r="E120" s="4151" t="s">
        <v>12709</v>
      </c>
      <c r="F120" s="4151"/>
      <c r="G120" s="338">
        <v>44529</v>
      </c>
      <c r="H120" s="126"/>
      <c r="I120" s="126"/>
      <c r="J120" s="126" t="s">
        <v>12040</v>
      </c>
      <c r="K120" s="349">
        <v>44532</v>
      </c>
      <c r="L120" s="7"/>
      <c r="M120" s="127"/>
      <c r="N120" s="350"/>
      <c r="O120" s="126"/>
      <c r="P120" s="7" t="s">
        <v>12040</v>
      </c>
      <c r="Q120" s="350" t="s">
        <v>12040</v>
      </c>
      <c r="R120" s="7"/>
      <c r="S120" s="351"/>
    </row>
    <row r="121" spans="1:19">
      <c r="A121" s="4151" t="s">
        <v>263</v>
      </c>
      <c r="B121" s="7" t="s">
        <v>12721</v>
      </c>
      <c r="C121" s="7" t="s">
        <v>12533</v>
      </c>
      <c r="D121" s="4151" t="s">
        <v>12536</v>
      </c>
      <c r="E121" s="4151" t="s">
        <v>12535</v>
      </c>
      <c r="F121" s="4151"/>
      <c r="G121" s="338">
        <v>44530</v>
      </c>
      <c r="H121" s="126"/>
      <c r="I121" s="126"/>
      <c r="J121" s="126" t="s">
        <v>12040</v>
      </c>
      <c r="K121" s="349">
        <v>44532</v>
      </c>
      <c r="L121" s="7"/>
      <c r="M121" s="127"/>
      <c r="N121" s="350"/>
      <c r="O121" s="126"/>
      <c r="P121" s="7" t="s">
        <v>12040</v>
      </c>
      <c r="Q121" s="350" t="s">
        <v>12040</v>
      </c>
      <c r="R121" s="7"/>
      <c r="S121" s="351"/>
    </row>
    <row r="122" spans="1:19">
      <c r="A122" s="4151" t="s">
        <v>263</v>
      </c>
      <c r="B122" s="7" t="s">
        <v>12722</v>
      </c>
      <c r="C122" s="7" t="s">
        <v>12533</v>
      </c>
      <c r="D122" s="4151" t="s">
        <v>12534</v>
      </c>
      <c r="E122" s="4151" t="s">
        <v>12709</v>
      </c>
      <c r="F122" s="4151"/>
      <c r="G122" s="338">
        <v>44530</v>
      </c>
      <c r="H122" s="126"/>
      <c r="I122" s="126"/>
      <c r="J122" s="126" t="s">
        <v>12040</v>
      </c>
      <c r="K122" s="349">
        <v>44532</v>
      </c>
      <c r="L122" s="7"/>
      <c r="M122" s="127"/>
      <c r="N122" s="350"/>
      <c r="O122" s="126"/>
      <c r="P122" s="7" t="s">
        <v>12040</v>
      </c>
      <c r="Q122" s="350" t="s">
        <v>12040</v>
      </c>
      <c r="R122" s="7"/>
      <c r="S122" s="351"/>
    </row>
    <row r="123" spans="1:19">
      <c r="A123" s="4151" t="s">
        <v>263</v>
      </c>
      <c r="B123" s="7" t="s">
        <v>12723</v>
      </c>
      <c r="C123" s="7" t="s">
        <v>12533</v>
      </c>
      <c r="D123" s="4151" t="s">
        <v>12534</v>
      </c>
      <c r="E123" s="4151" t="s">
        <v>12709</v>
      </c>
      <c r="F123" s="4151"/>
      <c r="G123" s="338">
        <v>44530</v>
      </c>
      <c r="H123" s="126"/>
      <c r="I123" s="126"/>
      <c r="J123" s="126" t="s">
        <v>12040</v>
      </c>
      <c r="K123" s="349">
        <v>44532</v>
      </c>
      <c r="L123" s="7"/>
      <c r="M123" s="127"/>
      <c r="N123" s="350"/>
      <c r="O123" s="126"/>
      <c r="P123" s="7" t="s">
        <v>12040</v>
      </c>
      <c r="Q123" s="350" t="s">
        <v>12040</v>
      </c>
      <c r="R123" s="7"/>
      <c r="S123" s="351"/>
    </row>
    <row r="124" spans="1:19">
      <c r="A124" s="4151" t="s">
        <v>263</v>
      </c>
      <c r="B124" s="7" t="s">
        <v>12724</v>
      </c>
      <c r="C124" s="7" t="s">
        <v>12533</v>
      </c>
      <c r="D124" s="4151" t="s">
        <v>12534</v>
      </c>
      <c r="E124" s="4151" t="s">
        <v>12709</v>
      </c>
      <c r="F124" s="4151"/>
      <c r="G124" s="338">
        <v>44530</v>
      </c>
      <c r="H124" s="126"/>
      <c r="I124" s="126"/>
      <c r="J124" s="126" t="s">
        <v>12040</v>
      </c>
      <c r="K124" s="349">
        <v>44532</v>
      </c>
      <c r="L124" s="7"/>
      <c r="M124" s="127"/>
      <c r="N124" s="350"/>
      <c r="O124" s="126"/>
      <c r="P124" s="7" t="s">
        <v>12040</v>
      </c>
      <c r="Q124" s="350" t="s">
        <v>12040</v>
      </c>
      <c r="R124" s="7"/>
      <c r="S124" s="351"/>
    </row>
    <row r="125" spans="1:19">
      <c r="A125" s="4151" t="s">
        <v>263</v>
      </c>
      <c r="B125" s="7" t="s">
        <v>12725</v>
      </c>
      <c r="C125" s="7" t="s">
        <v>12533</v>
      </c>
      <c r="D125" s="4151" t="s">
        <v>12534</v>
      </c>
      <c r="E125" s="4151" t="s">
        <v>12709</v>
      </c>
      <c r="F125" s="4151"/>
      <c r="G125" s="338">
        <v>44530</v>
      </c>
      <c r="H125" s="126"/>
      <c r="I125" s="126"/>
      <c r="J125" s="126" t="s">
        <v>12040</v>
      </c>
      <c r="K125" s="349">
        <v>44532</v>
      </c>
      <c r="L125" s="7"/>
      <c r="M125" s="127"/>
      <c r="N125" s="350"/>
      <c r="O125" s="126"/>
      <c r="P125" s="7" t="s">
        <v>12040</v>
      </c>
      <c r="Q125" s="350" t="s">
        <v>12040</v>
      </c>
      <c r="R125" s="7"/>
      <c r="S125" s="351"/>
    </row>
    <row r="126" spans="1:19">
      <c r="A126" s="4151" t="s">
        <v>263</v>
      </c>
      <c r="B126" s="7" t="s">
        <v>12726</v>
      </c>
      <c r="C126" s="7" t="s">
        <v>12533</v>
      </c>
      <c r="D126" s="4151" t="s">
        <v>12534</v>
      </c>
      <c r="E126" s="4151" t="s">
        <v>12709</v>
      </c>
      <c r="F126" s="4151"/>
      <c r="G126" s="338">
        <v>44530</v>
      </c>
      <c r="H126" s="126"/>
      <c r="I126" s="126"/>
      <c r="J126" s="126" t="s">
        <v>12040</v>
      </c>
      <c r="K126" s="349">
        <v>44532</v>
      </c>
      <c r="L126" s="7"/>
      <c r="M126" s="127"/>
      <c r="N126" s="350"/>
      <c r="O126" s="126"/>
      <c r="P126" s="7" t="s">
        <v>12040</v>
      </c>
      <c r="Q126" s="350" t="s">
        <v>12040</v>
      </c>
      <c r="R126" s="7"/>
      <c r="S126" s="351"/>
    </row>
    <row r="127" spans="1:19">
      <c r="A127" s="4151" t="s">
        <v>263</v>
      </c>
      <c r="B127" s="137" t="s">
        <v>12727</v>
      </c>
      <c r="C127" s="7" t="s">
        <v>12569</v>
      </c>
      <c r="D127" s="4151" t="s">
        <v>12536</v>
      </c>
      <c r="E127" s="4151" t="s">
        <v>12584</v>
      </c>
      <c r="F127" s="4151" t="s">
        <v>12536</v>
      </c>
      <c r="G127" s="338">
        <v>44526</v>
      </c>
      <c r="H127" s="126">
        <v>44526</v>
      </c>
      <c r="I127" s="126">
        <v>44531</v>
      </c>
      <c r="J127" s="126">
        <v>0</v>
      </c>
      <c r="K127" s="349">
        <v>44533</v>
      </c>
      <c r="L127" s="7"/>
      <c r="M127" s="515" t="s">
        <v>12661</v>
      </c>
      <c r="N127" s="352">
        <v>945</v>
      </c>
      <c r="O127" s="353">
        <v>44901</v>
      </c>
      <c r="P127" s="25">
        <v>1316652</v>
      </c>
      <c r="Q127" s="352">
        <v>959</v>
      </c>
      <c r="R127" s="373">
        <v>44552</v>
      </c>
      <c r="S127" s="354">
        <v>2450</v>
      </c>
    </row>
    <row r="128" spans="1:19">
      <c r="A128" s="4151" t="s">
        <v>263</v>
      </c>
      <c r="B128" s="7" t="s">
        <v>12728</v>
      </c>
      <c r="C128" s="7" t="s">
        <v>12569</v>
      </c>
      <c r="D128" s="4151" t="s">
        <v>12536</v>
      </c>
      <c r="E128" s="4151" t="s">
        <v>12584</v>
      </c>
      <c r="F128" s="4151" t="s">
        <v>12536</v>
      </c>
      <c r="G128" s="338">
        <v>44524</v>
      </c>
      <c r="H128" s="126">
        <v>44524</v>
      </c>
      <c r="I128" s="126">
        <v>44530</v>
      </c>
      <c r="J128" s="126">
        <v>44532</v>
      </c>
      <c r="K128" s="349">
        <v>44532</v>
      </c>
      <c r="L128" s="7" t="s">
        <v>12649</v>
      </c>
      <c r="M128" s="13" t="s">
        <v>12663</v>
      </c>
      <c r="N128" s="352">
        <v>945</v>
      </c>
      <c r="O128" s="353">
        <v>44533</v>
      </c>
      <c r="P128" s="25">
        <v>1316654</v>
      </c>
      <c r="Q128" s="352">
        <v>959</v>
      </c>
      <c r="R128" s="373">
        <v>44552</v>
      </c>
      <c r="S128" s="354">
        <v>2500</v>
      </c>
    </row>
    <row r="129" spans="1:19">
      <c r="A129" s="4151" t="s">
        <v>263</v>
      </c>
      <c r="B129" s="7" t="s">
        <v>12729</v>
      </c>
      <c r="C129" s="7" t="s">
        <v>12569</v>
      </c>
      <c r="D129" s="4151" t="s">
        <v>12536</v>
      </c>
      <c r="E129" s="4151" t="s">
        <v>12584</v>
      </c>
      <c r="F129" s="4151" t="s">
        <v>12536</v>
      </c>
      <c r="G129" s="338">
        <v>44524</v>
      </c>
      <c r="H129" s="126">
        <v>44524</v>
      </c>
      <c r="I129" s="126">
        <v>44530</v>
      </c>
      <c r="J129" s="126">
        <v>44532</v>
      </c>
      <c r="K129" s="349">
        <v>44532</v>
      </c>
      <c r="L129" s="7" t="s">
        <v>12649</v>
      </c>
      <c r="M129" s="13" t="s">
        <v>12589</v>
      </c>
      <c r="N129" s="352">
        <v>945</v>
      </c>
      <c r="O129" s="353">
        <v>44533</v>
      </c>
      <c r="P129" s="25">
        <v>1316656</v>
      </c>
      <c r="Q129" s="352">
        <v>959</v>
      </c>
      <c r="R129" s="373">
        <v>44552</v>
      </c>
      <c r="S129" s="354">
        <v>2500</v>
      </c>
    </row>
    <row r="130" spans="1:19">
      <c r="A130" s="4151" t="s">
        <v>263</v>
      </c>
      <c r="B130" s="7" t="s">
        <v>12730</v>
      </c>
      <c r="C130" s="7" t="s">
        <v>12533</v>
      </c>
      <c r="D130" s="4151" t="s">
        <v>12564</v>
      </c>
      <c r="E130" s="4151" t="s">
        <v>12709</v>
      </c>
      <c r="F130" s="4151"/>
      <c r="G130" s="338">
        <v>44530</v>
      </c>
      <c r="H130" s="126"/>
      <c r="I130" s="126"/>
      <c r="J130" s="126" t="s">
        <v>12040</v>
      </c>
      <c r="K130" s="363">
        <v>44532</v>
      </c>
      <c r="L130" s="7"/>
      <c r="M130" s="127"/>
      <c r="N130" s="350"/>
      <c r="O130" s="126"/>
      <c r="P130" s="7" t="s">
        <v>12040</v>
      </c>
      <c r="Q130" s="350" t="s">
        <v>12040</v>
      </c>
      <c r="R130" s="7"/>
      <c r="S130" s="351"/>
    </row>
    <row r="131" spans="1:19">
      <c r="A131" s="4151" t="s">
        <v>263</v>
      </c>
      <c r="B131" s="7" t="s">
        <v>12731</v>
      </c>
      <c r="C131" s="7" t="s">
        <v>12533</v>
      </c>
      <c r="D131" s="4151" t="s">
        <v>12564</v>
      </c>
      <c r="E131" s="4151" t="s">
        <v>12709</v>
      </c>
      <c r="F131" s="4151"/>
      <c r="G131" s="338">
        <v>44530</v>
      </c>
      <c r="H131" s="126"/>
      <c r="I131" s="126"/>
      <c r="J131" s="126"/>
      <c r="K131" s="349">
        <v>44532</v>
      </c>
      <c r="L131" s="7"/>
      <c r="M131" s="127"/>
      <c r="N131" s="350"/>
      <c r="O131" s="126"/>
      <c r="P131" s="7" t="s">
        <v>12040</v>
      </c>
      <c r="Q131" s="350" t="s">
        <v>12040</v>
      </c>
      <c r="R131" s="7"/>
      <c r="S131" s="351"/>
    </row>
    <row r="132" spans="1:19">
      <c r="A132" s="4151" t="s">
        <v>263</v>
      </c>
      <c r="B132" s="7" t="s">
        <v>12732</v>
      </c>
      <c r="C132" s="7" t="s">
        <v>12533</v>
      </c>
      <c r="D132" s="4151" t="s">
        <v>12564</v>
      </c>
      <c r="E132" s="4151" t="s">
        <v>12733</v>
      </c>
      <c r="F132" s="4151"/>
      <c r="G132" s="338">
        <v>44531</v>
      </c>
      <c r="H132" s="126"/>
      <c r="I132" s="126"/>
      <c r="J132" s="126" t="s">
        <v>12040</v>
      </c>
      <c r="K132" s="349">
        <v>44532</v>
      </c>
      <c r="L132" s="7"/>
      <c r="M132" s="127"/>
      <c r="N132" s="350"/>
      <c r="O132" s="126"/>
      <c r="P132" s="7" t="s">
        <v>12040</v>
      </c>
      <c r="Q132" s="350" t="s">
        <v>12040</v>
      </c>
      <c r="R132" s="7"/>
      <c r="S132" s="351"/>
    </row>
    <row r="133" spans="1:19">
      <c r="A133" s="4151" t="s">
        <v>263</v>
      </c>
      <c r="B133" s="7" t="s">
        <v>12734</v>
      </c>
      <c r="C133" s="7" t="s">
        <v>12533</v>
      </c>
      <c r="D133" s="4151" t="s">
        <v>12564</v>
      </c>
      <c r="E133" s="4151" t="s">
        <v>12733</v>
      </c>
      <c r="F133" s="4151"/>
      <c r="G133" s="338">
        <v>44531</v>
      </c>
      <c r="H133" s="126"/>
      <c r="I133" s="126"/>
      <c r="J133" s="126" t="s">
        <v>12040</v>
      </c>
      <c r="K133" s="349">
        <v>44532</v>
      </c>
      <c r="L133" s="7"/>
      <c r="M133" s="127"/>
      <c r="N133" s="350"/>
      <c r="O133" s="126"/>
      <c r="P133" s="7" t="s">
        <v>12040</v>
      </c>
      <c r="Q133" s="350" t="s">
        <v>12040</v>
      </c>
      <c r="R133" s="7"/>
      <c r="S133" s="351"/>
    </row>
    <row r="134" spans="1:19">
      <c r="A134" s="4151" t="s">
        <v>263</v>
      </c>
      <c r="B134" s="7" t="s">
        <v>12735</v>
      </c>
      <c r="C134" s="7" t="s">
        <v>12569</v>
      </c>
      <c r="D134" s="4151" t="s">
        <v>12536</v>
      </c>
      <c r="E134" s="4151" t="s">
        <v>12584</v>
      </c>
      <c r="F134" s="4151" t="s">
        <v>12536</v>
      </c>
      <c r="G134" s="338">
        <v>44524</v>
      </c>
      <c r="H134" s="126">
        <v>44524</v>
      </c>
      <c r="I134" s="126">
        <v>44530</v>
      </c>
      <c r="J134" s="126">
        <v>44532</v>
      </c>
      <c r="K134" s="349">
        <v>44532</v>
      </c>
      <c r="L134" s="7" t="s">
        <v>12649</v>
      </c>
      <c r="M134" s="13" t="s">
        <v>12659</v>
      </c>
      <c r="N134" s="352">
        <v>945</v>
      </c>
      <c r="O134" s="353">
        <v>44532</v>
      </c>
      <c r="P134" s="25">
        <v>1316658</v>
      </c>
      <c r="Q134" s="352">
        <v>959</v>
      </c>
      <c r="R134" s="373">
        <v>44552</v>
      </c>
      <c r="S134" s="354">
        <v>2500</v>
      </c>
    </row>
    <row r="135" spans="1:19">
      <c r="A135" s="4151" t="s">
        <v>263</v>
      </c>
      <c r="B135" s="7" t="s">
        <v>12736</v>
      </c>
      <c r="C135" s="7" t="s">
        <v>12533</v>
      </c>
      <c r="D135" s="4151" t="s">
        <v>12564</v>
      </c>
      <c r="E135" s="4151" t="s">
        <v>12733</v>
      </c>
      <c r="F135" s="4151"/>
      <c r="G135" s="338">
        <v>44531</v>
      </c>
      <c r="H135" s="126"/>
      <c r="I135" s="126"/>
      <c r="J135" s="126" t="s">
        <v>12040</v>
      </c>
      <c r="K135" s="349">
        <v>44532</v>
      </c>
      <c r="L135" s="7"/>
      <c r="M135" s="127"/>
      <c r="N135" s="350"/>
      <c r="O135" s="126"/>
      <c r="P135" s="7" t="s">
        <v>12040</v>
      </c>
      <c r="Q135" s="350" t="s">
        <v>12040</v>
      </c>
      <c r="R135" s="7"/>
      <c r="S135" s="351"/>
    </row>
    <row r="136" spans="1:19">
      <c r="A136" s="4151" t="s">
        <v>263</v>
      </c>
      <c r="B136" s="7" t="s">
        <v>12737</v>
      </c>
      <c r="C136" s="7" t="s">
        <v>12569</v>
      </c>
      <c r="D136" s="4151" t="s">
        <v>12536</v>
      </c>
      <c r="E136" s="4151" t="s">
        <v>12584</v>
      </c>
      <c r="F136" s="4151" t="s">
        <v>12536</v>
      </c>
      <c r="G136" s="338">
        <v>44524</v>
      </c>
      <c r="H136" s="126">
        <v>44524</v>
      </c>
      <c r="I136" s="126">
        <v>44530</v>
      </c>
      <c r="J136" s="126">
        <v>44534</v>
      </c>
      <c r="K136" s="359">
        <v>44534</v>
      </c>
      <c r="L136" s="7" t="s">
        <v>12649</v>
      </c>
      <c r="M136" s="104" t="s">
        <v>12712</v>
      </c>
      <c r="N136" s="352">
        <v>945</v>
      </c>
      <c r="O136" s="353">
        <v>44538</v>
      </c>
      <c r="P136" s="25">
        <v>1316660</v>
      </c>
      <c r="Q136" s="352">
        <v>999</v>
      </c>
      <c r="R136" s="373">
        <v>44552</v>
      </c>
      <c r="S136" s="354">
        <v>2500</v>
      </c>
    </row>
    <row r="137" spans="1:19">
      <c r="A137" s="4151" t="s">
        <v>263</v>
      </c>
      <c r="B137" s="7" t="s">
        <v>12738</v>
      </c>
      <c r="C137" s="7" t="s">
        <v>12569</v>
      </c>
      <c r="D137" s="4151" t="s">
        <v>12536</v>
      </c>
      <c r="E137" s="4151" t="s">
        <v>12584</v>
      </c>
      <c r="F137" s="4151" t="s">
        <v>12536</v>
      </c>
      <c r="G137" s="338">
        <v>44524</v>
      </c>
      <c r="H137" s="126">
        <v>44524</v>
      </c>
      <c r="I137" s="126">
        <v>44530</v>
      </c>
      <c r="J137" s="126">
        <v>44537</v>
      </c>
      <c r="K137" s="349">
        <v>44537</v>
      </c>
      <c r="L137" s="7" t="s">
        <v>12649</v>
      </c>
      <c r="M137" s="104" t="s">
        <v>12739</v>
      </c>
      <c r="N137" s="352">
        <v>945</v>
      </c>
      <c r="O137" s="353">
        <v>44538</v>
      </c>
      <c r="P137" s="25">
        <v>1316661</v>
      </c>
      <c r="Q137" s="352">
        <v>1059</v>
      </c>
      <c r="R137" s="373">
        <v>44552</v>
      </c>
      <c r="S137" s="354">
        <v>2450</v>
      </c>
    </row>
    <row r="138" spans="1:19">
      <c r="A138" s="4151" t="s">
        <v>263</v>
      </c>
      <c r="B138" s="7" t="s">
        <v>12740</v>
      </c>
      <c r="C138" s="7" t="s">
        <v>12569</v>
      </c>
      <c r="D138" s="4151" t="s">
        <v>12536</v>
      </c>
      <c r="E138" s="4151" t="s">
        <v>12584</v>
      </c>
      <c r="F138" s="4151" t="s">
        <v>12536</v>
      </c>
      <c r="G138" s="338">
        <v>44524</v>
      </c>
      <c r="H138" s="126">
        <v>44524</v>
      </c>
      <c r="I138" s="126">
        <v>44530</v>
      </c>
      <c r="J138" s="126">
        <v>44534</v>
      </c>
      <c r="K138" s="359">
        <v>44534</v>
      </c>
      <c r="L138" s="7" t="s">
        <v>12649</v>
      </c>
      <c r="M138" s="355" t="s">
        <v>12741</v>
      </c>
      <c r="N138" s="352">
        <v>945</v>
      </c>
      <c r="O138" s="353">
        <v>44536</v>
      </c>
      <c r="P138" s="25">
        <v>1316664</v>
      </c>
      <c r="Q138" s="352">
        <v>999</v>
      </c>
      <c r="R138" s="373">
        <v>44552</v>
      </c>
      <c r="S138" s="354">
        <v>2500</v>
      </c>
    </row>
    <row r="139" spans="1:19">
      <c r="A139" s="4151" t="s">
        <v>263</v>
      </c>
      <c r="B139" s="7" t="s">
        <v>12742</v>
      </c>
      <c r="C139" s="7" t="s">
        <v>12533</v>
      </c>
      <c r="D139" s="4151" t="s">
        <v>12564</v>
      </c>
      <c r="E139" s="4151"/>
      <c r="F139" s="4151"/>
      <c r="G139" s="7"/>
      <c r="H139" s="126"/>
      <c r="I139" s="126"/>
      <c r="J139" s="126" t="s">
        <v>12040</v>
      </c>
      <c r="K139" s="349">
        <v>44532</v>
      </c>
      <c r="L139" s="7"/>
      <c r="M139" s="127"/>
      <c r="N139" s="350"/>
      <c r="O139" s="126"/>
      <c r="P139" s="7" t="s">
        <v>12040</v>
      </c>
      <c r="Q139" s="350" t="s">
        <v>12040</v>
      </c>
      <c r="R139" s="7"/>
      <c r="S139" s="351"/>
    </row>
    <row r="140" spans="1:19">
      <c r="A140" s="4151" t="s">
        <v>263</v>
      </c>
      <c r="B140" t="s">
        <v>12743</v>
      </c>
      <c r="C140" s="7" t="s">
        <v>12569</v>
      </c>
      <c r="D140" s="4151" t="s">
        <v>12536</v>
      </c>
      <c r="E140" s="4151" t="s">
        <v>12584</v>
      </c>
      <c r="F140" s="4151" t="s">
        <v>12536</v>
      </c>
      <c r="G140" s="338">
        <v>44524</v>
      </c>
      <c r="H140" s="126">
        <v>44524</v>
      </c>
      <c r="I140" s="126">
        <v>44530</v>
      </c>
      <c r="J140" s="126">
        <v>44537</v>
      </c>
      <c r="K140" s="349">
        <v>44537</v>
      </c>
      <c r="L140" s="7" t="s">
        <v>12649</v>
      </c>
      <c r="M140" s="104" t="s">
        <v>12739</v>
      </c>
      <c r="N140" s="352">
        <v>945</v>
      </c>
      <c r="O140" s="353">
        <v>44538</v>
      </c>
      <c r="P140" s="25">
        <v>1316666</v>
      </c>
      <c r="Q140" s="352">
        <v>1059</v>
      </c>
      <c r="R140" s="373">
        <v>44552</v>
      </c>
      <c r="S140" s="354">
        <v>2450</v>
      </c>
    </row>
    <row r="141" spans="1:19">
      <c r="A141" s="4151" t="s">
        <v>263</v>
      </c>
      <c r="B141" s="7" t="s">
        <v>12744</v>
      </c>
      <c r="C141" s="7" t="s">
        <v>12569</v>
      </c>
      <c r="D141" s="4151" t="s">
        <v>12536</v>
      </c>
      <c r="E141" s="4151" t="s">
        <v>12584</v>
      </c>
      <c r="F141" s="4151" t="s">
        <v>12536</v>
      </c>
      <c r="G141" s="338">
        <v>44524</v>
      </c>
      <c r="H141" s="126">
        <v>44524</v>
      </c>
      <c r="I141" s="126">
        <v>44530</v>
      </c>
      <c r="J141" s="126">
        <v>44534</v>
      </c>
      <c r="K141" s="359">
        <v>44534</v>
      </c>
      <c r="L141" s="7" t="s">
        <v>12649</v>
      </c>
      <c r="M141" s="355" t="s">
        <v>12741</v>
      </c>
      <c r="N141" s="352">
        <v>945</v>
      </c>
      <c r="O141" s="353">
        <v>44536</v>
      </c>
      <c r="P141" s="25">
        <v>1316667</v>
      </c>
      <c r="Q141" s="352">
        <v>999</v>
      </c>
      <c r="R141" s="373">
        <v>44552</v>
      </c>
      <c r="S141" s="354">
        <v>2500</v>
      </c>
    </row>
    <row r="151" spans="1:21" ht="30">
      <c r="A151" s="201" t="s">
        <v>12745</v>
      </c>
      <c r="B151" s="149" t="s">
        <v>1</v>
      </c>
      <c r="C151" s="150" t="s">
        <v>12746</v>
      </c>
      <c r="D151" s="149" t="s">
        <v>2</v>
      </c>
      <c r="E151" s="149" t="s">
        <v>12747</v>
      </c>
      <c r="F151" s="149" t="s">
        <v>12409</v>
      </c>
      <c r="G151" s="149" t="s">
        <v>3</v>
      </c>
      <c r="H151" s="149" t="s">
        <v>9</v>
      </c>
      <c r="I151" s="149" t="s">
        <v>12408</v>
      </c>
      <c r="J151" s="266" t="s">
        <v>12</v>
      </c>
      <c r="K151" s="151" t="s">
        <v>13</v>
      </c>
      <c r="L151" s="201" t="s">
        <v>12501</v>
      </c>
      <c r="M151" s="201" t="s">
        <v>7</v>
      </c>
      <c r="N151" s="201" t="s">
        <v>12748</v>
      </c>
      <c r="O151" s="267" t="s">
        <v>15</v>
      </c>
      <c r="P151" s="267" t="s">
        <v>12749</v>
      </c>
      <c r="Q151" s="267" t="s">
        <v>16</v>
      </c>
      <c r="R151" s="267" t="s">
        <v>12504</v>
      </c>
      <c r="S151" s="265" t="s">
        <v>12750</v>
      </c>
      <c r="T151" s="4552" t="s">
        <v>12507</v>
      </c>
      <c r="U151" s="4554" t="s">
        <v>12751</v>
      </c>
    </row>
    <row r="152" spans="1:21" customFormat="1">
      <c r="A152" s="5289" t="s">
        <v>263</v>
      </c>
      <c r="B152" s="5934" t="s">
        <v>12752</v>
      </c>
      <c r="C152" s="5273" t="s">
        <v>12753</v>
      </c>
      <c r="D152" s="4895" t="s">
        <v>200</v>
      </c>
      <c r="E152" s="4895"/>
      <c r="F152" s="4895"/>
      <c r="G152" s="5169">
        <v>44491</v>
      </c>
      <c r="H152" s="5289" t="s">
        <v>12536</v>
      </c>
      <c r="I152" s="5935" t="s">
        <v>12709</v>
      </c>
      <c r="J152" s="4895"/>
      <c r="K152" s="5169">
        <v>44495</v>
      </c>
      <c r="L152" s="5169"/>
      <c r="M152" s="5169"/>
      <c r="N152" s="5169">
        <v>44496</v>
      </c>
      <c r="O152" s="4895"/>
      <c r="P152" s="5936"/>
      <c r="Q152" s="4895" t="s">
        <v>12754</v>
      </c>
      <c r="R152" s="4895"/>
      <c r="S152" s="5937"/>
      <c r="T152" s="16"/>
      <c r="U152" s="157"/>
    </row>
    <row r="153" spans="1:21" customFormat="1">
      <c r="A153" s="5289" t="s">
        <v>263</v>
      </c>
      <c r="B153" s="5934" t="s">
        <v>12755</v>
      </c>
      <c r="C153" s="5273" t="s">
        <v>12756</v>
      </c>
      <c r="D153" s="4895" t="s">
        <v>200</v>
      </c>
      <c r="E153" s="4895"/>
      <c r="F153" s="4895"/>
      <c r="G153" s="5169">
        <v>44491</v>
      </c>
      <c r="H153" s="5289" t="s">
        <v>12536</v>
      </c>
      <c r="I153" s="5935" t="s">
        <v>12757</v>
      </c>
      <c r="J153" s="4895"/>
      <c r="K153" s="5041">
        <v>44496</v>
      </c>
      <c r="L153" s="5041">
        <v>44495</v>
      </c>
      <c r="M153" s="5041">
        <v>44496</v>
      </c>
      <c r="N153" s="5041">
        <v>44496</v>
      </c>
      <c r="O153" s="5934" t="s">
        <v>12758</v>
      </c>
      <c r="P153" s="5938" t="s">
        <v>12759</v>
      </c>
      <c r="Q153" s="5289" t="s">
        <v>12536</v>
      </c>
      <c r="R153" s="4979">
        <v>1296188</v>
      </c>
      <c r="S153" s="5939">
        <v>945</v>
      </c>
      <c r="T153" s="4895"/>
      <c r="U153" s="5939"/>
    </row>
    <row r="154" spans="1:21" customFormat="1">
      <c r="A154" s="5289" t="s">
        <v>263</v>
      </c>
      <c r="B154" s="5934" t="s">
        <v>12760</v>
      </c>
      <c r="C154" s="5273" t="s">
        <v>12761</v>
      </c>
      <c r="D154" s="4895" t="s">
        <v>200</v>
      </c>
      <c r="E154" s="4895"/>
      <c r="F154" s="4895"/>
      <c r="G154" s="5169">
        <v>44491</v>
      </c>
      <c r="H154" s="5289" t="s">
        <v>12536</v>
      </c>
      <c r="I154" s="5935" t="s">
        <v>12757</v>
      </c>
      <c r="J154" s="4895"/>
      <c r="K154" s="5041">
        <v>44496</v>
      </c>
      <c r="L154" s="5041">
        <v>44495</v>
      </c>
      <c r="M154" s="5041">
        <v>44496</v>
      </c>
      <c r="N154" s="5041">
        <v>44496</v>
      </c>
      <c r="O154" s="5934" t="s">
        <v>12758</v>
      </c>
      <c r="P154" s="159" t="s">
        <v>12759</v>
      </c>
      <c r="Q154" s="156" t="s">
        <v>12536</v>
      </c>
      <c r="R154" s="4979">
        <v>1296188</v>
      </c>
      <c r="S154" s="5937">
        <v>945</v>
      </c>
      <c r="T154" s="4895"/>
      <c r="U154" s="5937"/>
    </row>
    <row r="155" spans="1:21" customFormat="1">
      <c r="A155" s="5289" t="s">
        <v>263</v>
      </c>
      <c r="B155" s="5934" t="s">
        <v>12762</v>
      </c>
      <c r="C155" s="5273" t="s">
        <v>12763</v>
      </c>
      <c r="D155" s="4895" t="s">
        <v>200</v>
      </c>
      <c r="E155" s="4895"/>
      <c r="F155" s="4895"/>
      <c r="G155" s="5169">
        <v>44491</v>
      </c>
      <c r="H155" s="5289" t="s">
        <v>12536</v>
      </c>
      <c r="I155" s="5935" t="s">
        <v>12709</v>
      </c>
      <c r="J155" s="4895"/>
      <c r="K155" s="5169">
        <v>44495</v>
      </c>
      <c r="L155" s="5169"/>
      <c r="M155" s="5169"/>
      <c r="N155" s="5169">
        <v>44496</v>
      </c>
      <c r="O155" s="4895"/>
      <c r="P155" s="5936"/>
      <c r="Q155" s="4895" t="s">
        <v>12754</v>
      </c>
      <c r="R155" s="4895"/>
      <c r="S155" s="5937"/>
      <c r="T155" s="4895"/>
      <c r="U155" s="5937"/>
    </row>
    <row r="156" spans="1:21" customFormat="1">
      <c r="A156" s="5289" t="s">
        <v>263</v>
      </c>
      <c r="B156" s="5934" t="s">
        <v>12764</v>
      </c>
      <c r="C156" s="5273" t="s">
        <v>12765</v>
      </c>
      <c r="D156" s="4895" t="s">
        <v>200</v>
      </c>
      <c r="E156" s="4895"/>
      <c r="F156" s="4895"/>
      <c r="G156" s="5169">
        <v>44491</v>
      </c>
      <c r="H156" s="5289" t="s">
        <v>12536</v>
      </c>
      <c r="I156" s="5935"/>
      <c r="J156" s="4895"/>
      <c r="K156" s="5169"/>
      <c r="L156" s="5169">
        <v>44496</v>
      </c>
      <c r="M156" s="5169">
        <v>44497</v>
      </c>
      <c r="N156" s="5169">
        <v>44497</v>
      </c>
      <c r="O156" s="4895">
        <v>1</v>
      </c>
      <c r="P156" s="5938" t="s">
        <v>12759</v>
      </c>
      <c r="Q156" s="5289" t="s">
        <v>12536</v>
      </c>
      <c r="R156" s="4848">
        <v>1296636</v>
      </c>
      <c r="S156" s="5937">
        <v>945</v>
      </c>
      <c r="T156" s="4895"/>
      <c r="U156" s="5937"/>
    </row>
    <row r="157" spans="1:21" customFormat="1">
      <c r="A157" s="5289" t="s">
        <v>263</v>
      </c>
      <c r="B157" s="5934" t="s">
        <v>12766</v>
      </c>
      <c r="C157" s="5273" t="s">
        <v>12767</v>
      </c>
      <c r="D157" s="4895" t="s">
        <v>200</v>
      </c>
      <c r="E157" s="4895"/>
      <c r="F157" s="4895"/>
      <c r="G157" s="5169">
        <v>44491</v>
      </c>
      <c r="H157" s="5289" t="s">
        <v>12536</v>
      </c>
      <c r="I157" s="5935" t="s">
        <v>12554</v>
      </c>
      <c r="J157" s="4895"/>
      <c r="K157" s="5169">
        <v>44495</v>
      </c>
      <c r="L157" s="5169"/>
      <c r="M157" s="5169"/>
      <c r="N157" s="5169">
        <v>44496</v>
      </c>
      <c r="O157" s="4895"/>
      <c r="P157" s="5936"/>
      <c r="Q157" s="4895" t="s">
        <v>12754</v>
      </c>
      <c r="R157" s="4895"/>
      <c r="S157" s="5937"/>
      <c r="T157" s="4895"/>
      <c r="U157" s="5937"/>
    </row>
    <row r="158" spans="1:21" customFormat="1">
      <c r="A158" s="5289" t="s">
        <v>263</v>
      </c>
      <c r="B158" s="5934" t="s">
        <v>12768</v>
      </c>
      <c r="C158" s="5273" t="s">
        <v>12769</v>
      </c>
      <c r="D158" s="4895" t="s">
        <v>200</v>
      </c>
      <c r="E158" s="4895"/>
      <c r="F158" s="4895"/>
      <c r="G158" s="5169">
        <v>44491</v>
      </c>
      <c r="H158" s="5289" t="s">
        <v>12564</v>
      </c>
      <c r="I158" s="5935"/>
      <c r="J158" s="4895"/>
      <c r="K158" s="5169"/>
      <c r="L158" s="5169">
        <v>44496</v>
      </c>
      <c r="M158" s="5169">
        <v>44497</v>
      </c>
      <c r="N158" s="5169">
        <v>44497</v>
      </c>
      <c r="O158" s="5289" t="s">
        <v>12770</v>
      </c>
      <c r="P158" s="5938" t="s">
        <v>12759</v>
      </c>
      <c r="Q158" s="5289" t="s">
        <v>12536</v>
      </c>
      <c r="R158" s="4848">
        <v>1296636</v>
      </c>
      <c r="S158" s="5937">
        <v>945</v>
      </c>
      <c r="T158" s="4895"/>
      <c r="U158" s="5937"/>
    </row>
    <row r="159" spans="1:21" customFormat="1">
      <c r="A159" s="5289" t="s">
        <v>263</v>
      </c>
      <c r="B159" s="5934" t="s">
        <v>12771</v>
      </c>
      <c r="C159" s="5273" t="s">
        <v>12772</v>
      </c>
      <c r="D159" s="4895" t="s">
        <v>200</v>
      </c>
      <c r="E159" s="4895"/>
      <c r="F159" s="4895"/>
      <c r="G159" s="5169">
        <v>44491</v>
      </c>
      <c r="H159" s="5289" t="s">
        <v>12536</v>
      </c>
      <c r="I159" s="5935" t="s">
        <v>12554</v>
      </c>
      <c r="J159" s="4895"/>
      <c r="K159" s="5169">
        <v>44495</v>
      </c>
      <c r="L159" s="5169"/>
      <c r="M159" s="5169"/>
      <c r="N159" s="5169">
        <v>44496</v>
      </c>
      <c r="O159" s="4895"/>
      <c r="P159" s="5936"/>
      <c r="Q159" s="4895" t="s">
        <v>12754</v>
      </c>
      <c r="R159" s="4895"/>
      <c r="S159" s="5937"/>
      <c r="T159" s="4895"/>
      <c r="U159" s="5937"/>
    </row>
    <row r="160" spans="1:21" customFormat="1">
      <c r="A160" s="5289" t="s">
        <v>263</v>
      </c>
      <c r="B160" s="5934" t="s">
        <v>12773</v>
      </c>
      <c r="C160" s="5273" t="s">
        <v>12774</v>
      </c>
      <c r="D160" s="4895" t="s">
        <v>200</v>
      </c>
      <c r="E160" s="4895"/>
      <c r="F160" s="4895"/>
      <c r="G160" s="5169">
        <v>44491</v>
      </c>
      <c r="H160" s="5289" t="s">
        <v>12536</v>
      </c>
      <c r="I160" s="5935" t="s">
        <v>12775</v>
      </c>
      <c r="J160" s="4895"/>
      <c r="K160" s="5041">
        <v>44497</v>
      </c>
      <c r="L160" s="5041">
        <v>44495</v>
      </c>
      <c r="M160" s="5041">
        <v>44496</v>
      </c>
      <c r="N160" s="5041">
        <v>44496</v>
      </c>
      <c r="O160" s="5934"/>
      <c r="P160" s="159" t="s">
        <v>12759</v>
      </c>
      <c r="Q160" s="5289" t="s">
        <v>12536</v>
      </c>
      <c r="R160" s="4979">
        <v>1296866</v>
      </c>
      <c r="S160" s="5937">
        <v>945</v>
      </c>
      <c r="T160" s="4895"/>
      <c r="U160" s="5937"/>
    </row>
    <row r="161" spans="1:21">
      <c r="A161" s="5288" t="s">
        <v>263</v>
      </c>
      <c r="B161" s="5940" t="s">
        <v>12776</v>
      </c>
      <c r="C161" s="5941" t="s">
        <v>12777</v>
      </c>
      <c r="D161" s="5122" t="s">
        <v>200</v>
      </c>
      <c r="E161" s="5122"/>
      <c r="F161" s="5122"/>
      <c r="G161" s="5291">
        <v>44491</v>
      </c>
      <c r="H161" s="5288" t="s">
        <v>12536</v>
      </c>
      <c r="I161" s="5942" t="s">
        <v>12778</v>
      </c>
      <c r="J161" s="5122"/>
      <c r="K161" s="5169">
        <v>44495</v>
      </c>
      <c r="L161" s="5291">
        <v>44495</v>
      </c>
      <c r="M161" s="5291">
        <v>44496</v>
      </c>
      <c r="N161" s="5291">
        <v>44496</v>
      </c>
      <c r="O161" s="5122"/>
      <c r="P161" s="5943" t="s">
        <v>12759</v>
      </c>
      <c r="Q161" s="5288" t="s">
        <v>12564</v>
      </c>
      <c r="R161" s="5122">
        <v>332006</v>
      </c>
      <c r="S161" s="5944">
        <v>950</v>
      </c>
      <c r="T161" s="5122"/>
      <c r="U161" s="5944"/>
    </row>
    <row r="162" spans="1:21">
      <c r="A162" s="5288" t="s">
        <v>263</v>
      </c>
      <c r="B162" s="5940" t="s">
        <v>12779</v>
      </c>
      <c r="C162" s="5941" t="s">
        <v>12780</v>
      </c>
      <c r="D162" s="5122" t="s">
        <v>200</v>
      </c>
      <c r="E162" s="5122"/>
      <c r="F162" s="5122"/>
      <c r="G162" s="5291">
        <v>44491</v>
      </c>
      <c r="H162" s="5288" t="s">
        <v>12536</v>
      </c>
      <c r="I162" s="5942" t="s">
        <v>12781</v>
      </c>
      <c r="J162" s="5122"/>
      <c r="K162" s="5169">
        <v>44498</v>
      </c>
      <c r="L162" s="5291">
        <v>44498</v>
      </c>
      <c r="M162" s="5291">
        <v>44499</v>
      </c>
      <c r="N162" s="5291">
        <v>44499</v>
      </c>
      <c r="O162" s="5122"/>
      <c r="P162" s="5943" t="s">
        <v>12759</v>
      </c>
      <c r="Q162" s="5122" t="s">
        <v>12564</v>
      </c>
      <c r="R162" s="5122">
        <v>332513</v>
      </c>
      <c r="S162" s="5944">
        <v>950</v>
      </c>
      <c r="T162" s="5122"/>
      <c r="U162" s="5944"/>
    </row>
    <row r="163" spans="1:21">
      <c r="A163" s="5288" t="s">
        <v>263</v>
      </c>
      <c r="B163" s="5940" t="s">
        <v>12782</v>
      </c>
      <c r="C163" s="5941" t="s">
        <v>12783</v>
      </c>
      <c r="D163" s="5122" t="s">
        <v>200</v>
      </c>
      <c r="E163" s="5122"/>
      <c r="F163" s="5122"/>
      <c r="G163" s="5291">
        <v>44491</v>
      </c>
      <c r="H163" s="5288" t="s">
        <v>12564</v>
      </c>
      <c r="I163" s="268" t="s">
        <v>12781</v>
      </c>
      <c r="J163" s="5122"/>
      <c r="K163" s="5169">
        <v>44498</v>
      </c>
      <c r="L163" s="5291">
        <v>44498</v>
      </c>
      <c r="M163" s="5291">
        <v>44499</v>
      </c>
      <c r="N163" s="5291">
        <v>44499</v>
      </c>
      <c r="O163" s="5122"/>
      <c r="P163" s="5943" t="s">
        <v>12759</v>
      </c>
      <c r="Q163" s="43" t="s">
        <v>12564</v>
      </c>
      <c r="R163" s="5122">
        <v>332513</v>
      </c>
      <c r="S163" s="5944">
        <v>950</v>
      </c>
      <c r="T163" s="5122"/>
      <c r="U163" s="5944"/>
    </row>
    <row r="164" spans="1:21" customFormat="1">
      <c r="A164" s="5289" t="s">
        <v>263</v>
      </c>
      <c r="B164" s="5934" t="s">
        <v>12784</v>
      </c>
      <c r="C164" s="5273" t="s">
        <v>12785</v>
      </c>
      <c r="D164" s="4895" t="s">
        <v>200</v>
      </c>
      <c r="E164" s="4895"/>
      <c r="F164" s="4895"/>
      <c r="G164" s="5169">
        <v>44491</v>
      </c>
      <c r="H164" s="5289" t="s">
        <v>12536</v>
      </c>
      <c r="I164" s="5935" t="s">
        <v>12554</v>
      </c>
      <c r="J164" s="4895"/>
      <c r="K164" s="5041">
        <v>44495</v>
      </c>
      <c r="L164" s="5041"/>
      <c r="M164" s="5041"/>
      <c r="N164" s="5041">
        <v>44496</v>
      </c>
      <c r="O164" s="5934"/>
      <c r="P164" s="5936"/>
      <c r="Q164" s="4895" t="s">
        <v>12754</v>
      </c>
      <c r="R164" s="4895"/>
      <c r="S164" s="5937"/>
      <c r="T164" s="4895"/>
      <c r="U164" s="5937"/>
    </row>
    <row r="165" spans="1:21" customFormat="1">
      <c r="A165" s="5289" t="s">
        <v>263</v>
      </c>
      <c r="B165" s="5934" t="s">
        <v>12786</v>
      </c>
      <c r="C165" s="5273" t="s">
        <v>12787</v>
      </c>
      <c r="D165" s="4895" t="s">
        <v>200</v>
      </c>
      <c r="E165" s="4895"/>
      <c r="F165" s="4895"/>
      <c r="G165" s="5169">
        <v>44491</v>
      </c>
      <c r="H165" s="5289" t="s">
        <v>12564</v>
      </c>
      <c r="I165" s="5935" t="s">
        <v>12775</v>
      </c>
      <c r="J165" s="4895"/>
      <c r="K165" s="5169">
        <v>44495</v>
      </c>
      <c r="L165" s="5169">
        <v>44495</v>
      </c>
      <c r="M165" s="5169">
        <v>44496</v>
      </c>
      <c r="N165" s="5169">
        <v>44496</v>
      </c>
      <c r="O165" s="5289" t="s">
        <v>12788</v>
      </c>
      <c r="P165" s="159" t="s">
        <v>12759</v>
      </c>
      <c r="Q165" s="5289" t="s">
        <v>12536</v>
      </c>
      <c r="R165" s="4979">
        <v>1296866</v>
      </c>
      <c r="S165" s="5937">
        <v>945</v>
      </c>
      <c r="T165" s="4895"/>
      <c r="U165" s="5937"/>
    </row>
    <row r="166" spans="1:21" customFormat="1">
      <c r="A166" s="5289" t="s">
        <v>263</v>
      </c>
      <c r="B166" s="5934" t="s">
        <v>12789</v>
      </c>
      <c r="C166" s="5273" t="s">
        <v>12790</v>
      </c>
      <c r="D166" s="4895" t="s">
        <v>200</v>
      </c>
      <c r="E166" s="4895"/>
      <c r="F166" s="4895"/>
      <c r="G166" s="5169">
        <v>44491</v>
      </c>
      <c r="H166" s="5289" t="s">
        <v>12536</v>
      </c>
      <c r="I166" s="5935" t="s">
        <v>12791</v>
      </c>
      <c r="J166" s="4895"/>
      <c r="K166" s="5041">
        <v>44495</v>
      </c>
      <c r="L166" s="5041">
        <v>44495</v>
      </c>
      <c r="M166" s="5041"/>
      <c r="N166" s="5041">
        <v>44496</v>
      </c>
      <c r="O166" s="5934"/>
      <c r="P166" s="5938"/>
      <c r="Q166" s="4895" t="s">
        <v>12754</v>
      </c>
      <c r="R166" s="4895"/>
      <c r="S166" s="5939"/>
      <c r="T166" s="4895"/>
      <c r="U166" s="5939"/>
    </row>
    <row r="167" spans="1:21" customFormat="1">
      <c r="A167" s="4895" t="s">
        <v>263</v>
      </c>
      <c r="B167" s="5934" t="s">
        <v>12792</v>
      </c>
      <c r="C167" s="5273" t="s">
        <v>12793</v>
      </c>
      <c r="D167" s="4895"/>
      <c r="E167" s="4895"/>
      <c r="F167" s="4895"/>
      <c r="G167" s="5169"/>
      <c r="H167" s="4872" t="s">
        <v>12794</v>
      </c>
      <c r="I167" s="5935" t="s">
        <v>12795</v>
      </c>
      <c r="J167" s="4895"/>
      <c r="K167" s="5169">
        <v>44498</v>
      </c>
      <c r="L167" s="5169">
        <v>44498</v>
      </c>
      <c r="M167" s="5169"/>
      <c r="N167" s="5169">
        <v>44501</v>
      </c>
      <c r="O167" s="4895"/>
      <c r="P167" s="5936" t="s">
        <v>12796</v>
      </c>
      <c r="Q167" s="4842" t="s">
        <v>12797</v>
      </c>
      <c r="R167" s="5945" t="s">
        <v>12798</v>
      </c>
      <c r="S167" s="5946">
        <v>3028.5</v>
      </c>
      <c r="T167" s="4895"/>
      <c r="U167" s="5937"/>
    </row>
    <row r="168" spans="1:21" customFormat="1">
      <c r="A168" s="5289" t="s">
        <v>263</v>
      </c>
      <c r="B168" s="5934" t="s">
        <v>12799</v>
      </c>
      <c r="C168" s="5273" t="s">
        <v>12800</v>
      </c>
      <c r="D168" s="4895" t="s">
        <v>200</v>
      </c>
      <c r="E168" s="4895"/>
      <c r="F168" s="4895"/>
      <c r="G168" s="5169">
        <v>44491</v>
      </c>
      <c r="H168" s="5289" t="s">
        <v>12536</v>
      </c>
      <c r="I168" s="5935"/>
      <c r="J168" s="4895"/>
      <c r="K168" s="5169"/>
      <c r="L168" s="5169">
        <v>44495</v>
      </c>
      <c r="M168" s="5169">
        <v>44496</v>
      </c>
      <c r="N168" s="5169">
        <v>44496</v>
      </c>
      <c r="O168" s="5289">
        <v>1</v>
      </c>
      <c r="P168" s="5938" t="s">
        <v>12759</v>
      </c>
      <c r="Q168" s="5289" t="s">
        <v>12536</v>
      </c>
      <c r="R168" s="4979">
        <v>1296875</v>
      </c>
      <c r="S168" s="5937">
        <v>945</v>
      </c>
      <c r="T168" s="4895"/>
      <c r="U168" s="5937"/>
    </row>
    <row r="169" spans="1:21" customFormat="1">
      <c r="A169" s="5289" t="s">
        <v>263</v>
      </c>
      <c r="B169" s="5947" t="s">
        <v>12801</v>
      </c>
      <c r="C169" s="5273" t="s">
        <v>12802</v>
      </c>
      <c r="D169" s="4895" t="s">
        <v>200</v>
      </c>
      <c r="E169" s="4895"/>
      <c r="F169" s="4895"/>
      <c r="G169" s="5169">
        <v>44491</v>
      </c>
      <c r="H169" s="5289" t="s">
        <v>12536</v>
      </c>
      <c r="I169" s="5935" t="s">
        <v>12518</v>
      </c>
      <c r="J169" s="4895"/>
      <c r="K169" s="5948">
        <v>44496</v>
      </c>
      <c r="L169" s="5041"/>
      <c r="M169" s="5041"/>
      <c r="N169" s="5041">
        <v>44497</v>
      </c>
      <c r="O169" s="5934"/>
      <c r="P169" s="5936"/>
      <c r="Q169" s="4895" t="s">
        <v>12754</v>
      </c>
      <c r="R169" s="4895"/>
      <c r="S169" s="5937"/>
      <c r="T169" s="4895"/>
      <c r="U169" s="5937"/>
    </row>
    <row r="170" spans="1:21" customFormat="1">
      <c r="A170" s="5289" t="s">
        <v>263</v>
      </c>
      <c r="B170" s="5934" t="s">
        <v>12803</v>
      </c>
      <c r="C170" s="5949" t="s">
        <v>12804</v>
      </c>
      <c r="D170" s="4895" t="s">
        <v>200</v>
      </c>
      <c r="E170" s="4895"/>
      <c r="F170" s="4895"/>
      <c r="G170" s="5169">
        <v>44491</v>
      </c>
      <c r="H170" s="5289" t="s">
        <v>12564</v>
      </c>
      <c r="I170" s="5935"/>
      <c r="J170" s="4895"/>
      <c r="K170" s="5169"/>
      <c r="L170" s="5169">
        <v>44495</v>
      </c>
      <c r="M170" s="5169">
        <v>44496</v>
      </c>
      <c r="N170" s="5169">
        <v>44496</v>
      </c>
      <c r="O170" s="5289">
        <v>1</v>
      </c>
      <c r="P170" s="5938" t="s">
        <v>12759</v>
      </c>
      <c r="Q170" s="5289" t="s">
        <v>12536</v>
      </c>
      <c r="R170" s="4979">
        <v>1296875</v>
      </c>
      <c r="S170" s="5937">
        <v>945</v>
      </c>
      <c r="T170" s="4895"/>
      <c r="U170" s="5937"/>
    </row>
    <row r="171" spans="1:21" customFormat="1">
      <c r="A171" s="5289" t="s">
        <v>263</v>
      </c>
      <c r="B171" s="5934" t="s">
        <v>12805</v>
      </c>
      <c r="C171" s="5273" t="s">
        <v>12806</v>
      </c>
      <c r="D171" s="4895" t="s">
        <v>200</v>
      </c>
      <c r="E171" s="4895"/>
      <c r="F171" s="4895"/>
      <c r="G171" s="5169">
        <v>44491</v>
      </c>
      <c r="H171" s="5289" t="s">
        <v>12536</v>
      </c>
      <c r="I171" s="5935" t="s">
        <v>12757</v>
      </c>
      <c r="J171" s="4895"/>
      <c r="K171" s="5169">
        <v>44497</v>
      </c>
      <c r="L171" s="5169" t="s">
        <v>12807</v>
      </c>
      <c r="M171" s="5169">
        <v>44498</v>
      </c>
      <c r="N171" s="5169">
        <v>44498</v>
      </c>
      <c r="O171" s="4895" t="s">
        <v>12808</v>
      </c>
      <c r="P171" s="5938" t="s">
        <v>12759</v>
      </c>
      <c r="Q171" s="4895" t="s">
        <v>12536</v>
      </c>
      <c r="R171" s="4848">
        <v>1297583</v>
      </c>
      <c r="S171" s="5937">
        <v>945</v>
      </c>
      <c r="T171" s="4895"/>
      <c r="U171" s="5937"/>
    </row>
    <row r="172" spans="1:21" customFormat="1">
      <c r="A172" s="5289" t="s">
        <v>263</v>
      </c>
      <c r="B172" s="5934" t="s">
        <v>12809</v>
      </c>
      <c r="C172" s="5273" t="s">
        <v>12810</v>
      </c>
      <c r="D172" s="4895" t="s">
        <v>200</v>
      </c>
      <c r="E172" s="4895"/>
      <c r="F172" s="4895"/>
      <c r="G172" s="5169">
        <v>44491</v>
      </c>
      <c r="H172" s="5289" t="s">
        <v>12536</v>
      </c>
      <c r="I172" s="5935" t="s">
        <v>12795</v>
      </c>
      <c r="J172" s="4895"/>
      <c r="K172" s="5041">
        <v>44497</v>
      </c>
      <c r="L172" s="5041"/>
      <c r="M172" s="5041"/>
      <c r="N172" s="5041">
        <v>44498</v>
      </c>
      <c r="O172" s="5934"/>
      <c r="P172" s="5936"/>
      <c r="Q172" s="4895" t="s">
        <v>12754</v>
      </c>
      <c r="R172" s="4895"/>
      <c r="S172" s="5937"/>
      <c r="T172" s="4895"/>
      <c r="U172" s="5937"/>
    </row>
    <row r="173" spans="1:21">
      <c r="A173" s="5288" t="s">
        <v>263</v>
      </c>
      <c r="B173" s="5940" t="s">
        <v>12811</v>
      </c>
      <c r="C173" s="5941" t="s">
        <v>12812</v>
      </c>
      <c r="D173" s="5122" t="s">
        <v>200</v>
      </c>
      <c r="E173" s="5122"/>
      <c r="F173" s="5122"/>
      <c r="G173" s="5291">
        <v>44491</v>
      </c>
      <c r="H173" s="5122" t="s">
        <v>12536</v>
      </c>
      <c r="I173" s="5291"/>
      <c r="J173" s="5122"/>
      <c r="K173" s="5041"/>
      <c r="L173" s="5950">
        <v>44501</v>
      </c>
      <c r="M173" s="5950">
        <v>44502</v>
      </c>
      <c r="N173" s="5950"/>
      <c r="O173" s="5940" t="s">
        <v>12813</v>
      </c>
      <c r="P173" s="5943" t="s">
        <v>12759</v>
      </c>
      <c r="Q173" s="5122" t="s">
        <v>12564</v>
      </c>
      <c r="R173" s="5122">
        <v>332405</v>
      </c>
      <c r="S173" s="5944">
        <v>1075</v>
      </c>
      <c r="T173" s="5122"/>
      <c r="U173" s="5944"/>
    </row>
    <row r="174" spans="1:21" customFormat="1">
      <c r="A174" s="5289" t="s">
        <v>263</v>
      </c>
      <c r="B174" s="5934" t="s">
        <v>12814</v>
      </c>
      <c r="C174" s="5273" t="s">
        <v>12815</v>
      </c>
      <c r="D174" s="4895" t="s">
        <v>200</v>
      </c>
      <c r="E174" s="4895"/>
      <c r="F174" s="4895"/>
      <c r="G174" s="5169">
        <v>44491</v>
      </c>
      <c r="H174" s="5289" t="s">
        <v>12536</v>
      </c>
      <c r="I174" s="232" t="s">
        <v>12816</v>
      </c>
      <c r="J174" s="4895"/>
      <c r="K174" s="5041">
        <v>44495</v>
      </c>
      <c r="L174" s="5041">
        <v>44495</v>
      </c>
      <c r="M174" s="5041">
        <v>44496</v>
      </c>
      <c r="N174" s="5041">
        <v>44496</v>
      </c>
      <c r="O174" s="5951" t="s">
        <v>12817</v>
      </c>
      <c r="P174" s="5938" t="s">
        <v>12759</v>
      </c>
      <c r="Q174" s="5952" t="s">
        <v>12397</v>
      </c>
      <c r="R174" s="5953">
        <v>2645257717</v>
      </c>
      <c r="S174" s="5954">
        <v>1278.5</v>
      </c>
      <c r="T174" s="4895"/>
      <c r="U174" s="5937"/>
    </row>
    <row r="175" spans="1:21" customFormat="1">
      <c r="A175" s="5289" t="s">
        <v>263</v>
      </c>
      <c r="B175" s="5934" t="s">
        <v>12818</v>
      </c>
      <c r="C175" s="5273" t="s">
        <v>12819</v>
      </c>
      <c r="D175" s="4895" t="s">
        <v>200</v>
      </c>
      <c r="E175" s="4895"/>
      <c r="F175" s="4895"/>
      <c r="G175" s="5169">
        <v>44491</v>
      </c>
      <c r="H175" s="5289" t="s">
        <v>12536</v>
      </c>
      <c r="I175" s="5935" t="s">
        <v>12518</v>
      </c>
      <c r="J175" s="4895"/>
      <c r="K175" s="5041">
        <v>44501</v>
      </c>
      <c r="L175" s="5041"/>
      <c r="M175" s="5041"/>
      <c r="N175" s="5041">
        <v>44502</v>
      </c>
      <c r="O175" s="5934"/>
      <c r="P175" s="158"/>
      <c r="Q175" s="2" t="s">
        <v>12754</v>
      </c>
      <c r="R175" s="4895"/>
      <c r="S175" s="5937"/>
      <c r="T175" s="4895"/>
      <c r="U175" s="5937"/>
    </row>
    <row r="176" spans="1:21" customFormat="1">
      <c r="A176" s="4895" t="s">
        <v>263</v>
      </c>
      <c r="B176" s="5934" t="s">
        <v>12820</v>
      </c>
      <c r="C176" s="5273" t="s">
        <v>12793</v>
      </c>
      <c r="D176" s="4895"/>
      <c r="E176" s="4895"/>
      <c r="F176" s="4895"/>
      <c r="G176" s="5169"/>
      <c r="H176" s="4895" t="s">
        <v>12794</v>
      </c>
      <c r="I176" s="232" t="s">
        <v>12554</v>
      </c>
      <c r="J176" s="4895"/>
      <c r="K176" s="5041">
        <v>44495</v>
      </c>
      <c r="L176" s="5041"/>
      <c r="M176" s="5041"/>
      <c r="N176" s="5041">
        <v>44496</v>
      </c>
      <c r="O176" s="5934"/>
      <c r="P176" s="5936"/>
      <c r="Q176" s="4895" t="s">
        <v>12754</v>
      </c>
      <c r="R176" s="4895"/>
      <c r="S176" s="5937"/>
      <c r="T176" s="4895"/>
      <c r="U176" s="5937"/>
    </row>
    <row r="177" spans="1:21" customFormat="1">
      <c r="A177" s="5289" t="s">
        <v>263</v>
      </c>
      <c r="B177" s="5934" t="s">
        <v>12821</v>
      </c>
      <c r="C177" s="5273" t="s">
        <v>12822</v>
      </c>
      <c r="D177" s="4895" t="s">
        <v>200</v>
      </c>
      <c r="E177" s="4895"/>
      <c r="F177" s="4895"/>
      <c r="G177" s="5169">
        <v>44491</v>
      </c>
      <c r="H177" s="5289" t="s">
        <v>12536</v>
      </c>
      <c r="I177" s="5935" t="s">
        <v>12791</v>
      </c>
      <c r="J177" s="4895"/>
      <c r="K177" s="5041">
        <v>44495</v>
      </c>
      <c r="L177" s="5041"/>
      <c r="M177" s="5041"/>
      <c r="N177" s="5041">
        <v>44496</v>
      </c>
      <c r="O177" s="5934"/>
      <c r="P177" s="5936"/>
      <c r="Q177" s="4895" t="s">
        <v>12754</v>
      </c>
      <c r="R177" s="4895"/>
      <c r="S177" s="5937"/>
      <c r="T177" s="4895"/>
      <c r="U177" s="5937"/>
    </row>
    <row r="178" spans="1:21" customFormat="1">
      <c r="A178" s="5289" t="s">
        <v>263</v>
      </c>
      <c r="B178" s="5934" t="s">
        <v>12823</v>
      </c>
      <c r="C178" s="5273" t="s">
        <v>12824</v>
      </c>
      <c r="D178" s="4895" t="s">
        <v>200</v>
      </c>
      <c r="E178" s="4895"/>
      <c r="F178" s="4895"/>
      <c r="G178" s="5169">
        <v>44491</v>
      </c>
      <c r="H178" s="5289" t="s">
        <v>12397</v>
      </c>
      <c r="I178" s="5935" t="s">
        <v>12757</v>
      </c>
      <c r="J178" s="4895"/>
      <c r="K178" s="5169">
        <v>44497</v>
      </c>
      <c r="L178" s="5935" t="s">
        <v>12807</v>
      </c>
      <c r="M178" s="5169">
        <v>44498</v>
      </c>
      <c r="N178" s="5169">
        <v>44498</v>
      </c>
      <c r="O178" s="4895"/>
      <c r="P178" s="5938" t="s">
        <v>12759</v>
      </c>
      <c r="Q178" s="4895" t="s">
        <v>12536</v>
      </c>
      <c r="R178" s="4848">
        <v>1297583</v>
      </c>
      <c r="S178" s="5937">
        <v>945</v>
      </c>
      <c r="T178" s="4895"/>
      <c r="U178" s="5937"/>
    </row>
    <row r="179" spans="1:21" customFormat="1">
      <c r="A179" s="5289" t="s">
        <v>263</v>
      </c>
      <c r="B179" s="5934" t="s">
        <v>12825</v>
      </c>
      <c r="C179" s="5273" t="s">
        <v>12826</v>
      </c>
      <c r="D179" s="4895" t="s">
        <v>200</v>
      </c>
      <c r="E179" s="4895"/>
      <c r="F179" s="4895"/>
      <c r="G179" s="5169">
        <v>44491</v>
      </c>
      <c r="H179" s="5289" t="s">
        <v>12536</v>
      </c>
      <c r="I179" s="5935"/>
      <c r="J179" s="4895"/>
      <c r="K179" s="5041"/>
      <c r="L179" s="5041">
        <v>44495</v>
      </c>
      <c r="M179" s="5041">
        <v>44496</v>
      </c>
      <c r="N179" s="5041">
        <v>44496</v>
      </c>
      <c r="O179" s="5934" t="s">
        <v>12827</v>
      </c>
      <c r="P179" s="5938" t="s">
        <v>12759</v>
      </c>
      <c r="Q179" s="5289" t="s">
        <v>12536</v>
      </c>
      <c r="R179" s="4848">
        <v>1297584</v>
      </c>
      <c r="S179" s="5937">
        <v>945</v>
      </c>
      <c r="T179" s="4895"/>
      <c r="U179" s="5937"/>
    </row>
    <row r="180" spans="1:21" customFormat="1">
      <c r="A180" s="4895" t="s">
        <v>263</v>
      </c>
      <c r="B180" s="5934" t="s">
        <v>12828</v>
      </c>
      <c r="C180" s="5273" t="s">
        <v>12793</v>
      </c>
      <c r="D180" s="4895"/>
      <c r="E180" s="4895"/>
      <c r="F180" s="4895"/>
      <c r="G180" s="5169"/>
      <c r="H180" s="4895" t="s">
        <v>12794</v>
      </c>
      <c r="I180" s="232" t="s">
        <v>12795</v>
      </c>
      <c r="J180" s="4895"/>
      <c r="K180" s="5169">
        <v>44497</v>
      </c>
      <c r="L180" s="5169">
        <v>44497</v>
      </c>
      <c r="M180" s="5169">
        <v>44498</v>
      </c>
      <c r="N180" s="5169">
        <v>44498</v>
      </c>
      <c r="O180" s="4895"/>
      <c r="P180" s="5936" t="s">
        <v>12796</v>
      </c>
      <c r="Q180" s="4872" t="s">
        <v>12797</v>
      </c>
      <c r="R180" s="520" t="s">
        <v>12829</v>
      </c>
      <c r="S180" s="5937">
        <v>2958.5</v>
      </c>
      <c r="T180" s="4895"/>
      <c r="U180" s="5937"/>
    </row>
    <row r="181" spans="1:21" customFormat="1">
      <c r="A181" s="5289" t="s">
        <v>263</v>
      </c>
      <c r="B181" s="5934" t="s">
        <v>12830</v>
      </c>
      <c r="C181" s="5273" t="s">
        <v>12831</v>
      </c>
      <c r="D181" s="4895" t="s">
        <v>200</v>
      </c>
      <c r="E181" s="4895"/>
      <c r="F181" s="4895"/>
      <c r="G181" s="5169">
        <v>44491</v>
      </c>
      <c r="H181" s="5289" t="s">
        <v>12536</v>
      </c>
      <c r="I181" s="5935" t="s">
        <v>12832</v>
      </c>
      <c r="J181" s="4895"/>
      <c r="K181" s="5169">
        <v>44501</v>
      </c>
      <c r="L181" s="5169">
        <v>44495</v>
      </c>
      <c r="M181" s="5169">
        <v>44496</v>
      </c>
      <c r="N181" s="5169">
        <v>44496</v>
      </c>
      <c r="O181" s="5289"/>
      <c r="P181" s="5938" t="s">
        <v>12759</v>
      </c>
      <c r="Q181" s="5289" t="s">
        <v>12536</v>
      </c>
      <c r="R181" s="4848">
        <v>1297584</v>
      </c>
      <c r="S181" s="5937">
        <v>945</v>
      </c>
      <c r="T181" s="4895"/>
      <c r="U181" s="5937"/>
    </row>
    <row r="182" spans="1:21" customFormat="1">
      <c r="A182" s="5289" t="s">
        <v>263</v>
      </c>
      <c r="B182" s="5934" t="s">
        <v>12833</v>
      </c>
      <c r="C182" s="5273" t="s">
        <v>12834</v>
      </c>
      <c r="D182" s="4895" t="s">
        <v>200</v>
      </c>
      <c r="E182" s="4895"/>
      <c r="F182" s="4895"/>
      <c r="G182" s="5169">
        <v>44491</v>
      </c>
      <c r="H182" s="5289" t="s">
        <v>12536</v>
      </c>
      <c r="I182" s="5935" t="s">
        <v>12775</v>
      </c>
      <c r="J182" s="4895"/>
      <c r="K182" s="5169">
        <v>44495</v>
      </c>
      <c r="L182" s="5169">
        <v>44501</v>
      </c>
      <c r="M182" s="5169">
        <v>44502</v>
      </c>
      <c r="N182" s="5169">
        <v>44502</v>
      </c>
      <c r="O182" s="4895"/>
      <c r="P182" s="5938" t="s">
        <v>12759</v>
      </c>
      <c r="Q182" s="5289" t="s">
        <v>12536</v>
      </c>
      <c r="R182" s="4848">
        <v>1299034</v>
      </c>
      <c r="S182" s="5937">
        <v>945</v>
      </c>
      <c r="T182" s="4895"/>
      <c r="U182" s="5937"/>
    </row>
    <row r="183" spans="1:21" customFormat="1">
      <c r="A183" s="5289" t="s">
        <v>263</v>
      </c>
      <c r="B183" s="5934" t="s">
        <v>12835</v>
      </c>
      <c r="C183" s="5273" t="s">
        <v>12836</v>
      </c>
      <c r="D183" s="4895" t="s">
        <v>200</v>
      </c>
      <c r="E183" s="4895"/>
      <c r="F183" s="4895"/>
      <c r="G183" s="5169">
        <v>44491</v>
      </c>
      <c r="H183" s="5289" t="s">
        <v>12536</v>
      </c>
      <c r="I183" s="5935" t="s">
        <v>12816</v>
      </c>
      <c r="J183" s="4895"/>
      <c r="K183" s="5169">
        <v>44495</v>
      </c>
      <c r="L183" s="5169">
        <v>44495</v>
      </c>
      <c r="M183" s="5169">
        <v>44496</v>
      </c>
      <c r="N183" s="5169">
        <v>44496</v>
      </c>
      <c r="O183" s="5952" t="s">
        <v>12817</v>
      </c>
      <c r="P183" s="5938" t="s">
        <v>12759</v>
      </c>
      <c r="Q183" s="5952" t="s">
        <v>12397</v>
      </c>
      <c r="R183" s="5953">
        <v>2645257717</v>
      </c>
      <c r="S183" s="5955">
        <v>1278.5</v>
      </c>
      <c r="T183" s="4895"/>
      <c r="U183" s="5937"/>
    </row>
    <row r="184" spans="1:21" customFormat="1">
      <c r="A184" s="5289" t="s">
        <v>263</v>
      </c>
      <c r="B184" s="5934" t="s">
        <v>12837</v>
      </c>
      <c r="C184" s="5273" t="s">
        <v>12838</v>
      </c>
      <c r="D184" s="4895" t="s">
        <v>200</v>
      </c>
      <c r="E184" s="4895"/>
      <c r="F184" s="4895"/>
      <c r="G184" s="5169">
        <v>44491</v>
      </c>
      <c r="H184" s="5289" t="s">
        <v>12536</v>
      </c>
      <c r="I184" s="5500" t="s">
        <v>12839</v>
      </c>
      <c r="J184" s="4895"/>
      <c r="K184" s="5169">
        <v>44498</v>
      </c>
      <c r="L184" s="5169">
        <v>44498</v>
      </c>
      <c r="M184" s="5169"/>
      <c r="N184" s="5169">
        <v>44501</v>
      </c>
      <c r="O184" s="4895" t="s">
        <v>12840</v>
      </c>
      <c r="P184" s="158" t="s">
        <v>12796</v>
      </c>
      <c r="Q184" s="5289" t="s">
        <v>12797</v>
      </c>
      <c r="R184" s="5945" t="s">
        <v>12841</v>
      </c>
      <c r="S184" s="5946">
        <v>3028.5</v>
      </c>
      <c r="T184" s="4895"/>
      <c r="U184" s="5937"/>
    </row>
    <row r="185" spans="1:21">
      <c r="A185" s="5288" t="s">
        <v>263</v>
      </c>
      <c r="B185" s="5940" t="s">
        <v>12842</v>
      </c>
      <c r="C185" s="5941" t="s">
        <v>12843</v>
      </c>
      <c r="D185" s="5122" t="s">
        <v>200</v>
      </c>
      <c r="E185" s="5122"/>
      <c r="F185" s="5122"/>
      <c r="G185" s="5291">
        <v>44491</v>
      </c>
      <c r="H185" s="5288" t="s">
        <v>12564</v>
      </c>
      <c r="I185" s="268" t="s">
        <v>12778</v>
      </c>
      <c r="J185" s="5122"/>
      <c r="K185" s="5169">
        <v>44495</v>
      </c>
      <c r="L185" s="5291">
        <v>44495</v>
      </c>
      <c r="M185" s="5291">
        <v>44496</v>
      </c>
      <c r="N185" s="5291">
        <v>44496</v>
      </c>
      <c r="O185" s="5122"/>
      <c r="P185" s="5943" t="s">
        <v>12759</v>
      </c>
      <c r="Q185" s="5288" t="s">
        <v>12564</v>
      </c>
      <c r="R185" s="5122">
        <v>332006</v>
      </c>
      <c r="S185" s="5944">
        <v>950</v>
      </c>
      <c r="T185" s="5122"/>
      <c r="U185" s="5944"/>
    </row>
    <row r="186" spans="1:21" customFormat="1">
      <c r="A186" s="5289" t="s">
        <v>263</v>
      </c>
      <c r="B186" s="5934" t="s">
        <v>12844</v>
      </c>
      <c r="C186" s="5273" t="s">
        <v>12845</v>
      </c>
      <c r="D186" s="4895" t="s">
        <v>200</v>
      </c>
      <c r="E186" s="4895"/>
      <c r="F186" s="4895"/>
      <c r="G186" s="5169">
        <v>44491</v>
      </c>
      <c r="H186" s="5289" t="s">
        <v>12536</v>
      </c>
      <c r="I186" s="5935" t="s">
        <v>12518</v>
      </c>
      <c r="J186" s="4895"/>
      <c r="K186" s="5169">
        <v>44501</v>
      </c>
      <c r="L186" s="5169"/>
      <c r="M186" s="5169"/>
      <c r="N186" s="5169">
        <v>44501</v>
      </c>
      <c r="O186" s="4895"/>
      <c r="P186" s="5936"/>
      <c r="Q186" s="4895" t="s">
        <v>12754</v>
      </c>
      <c r="R186" s="4895"/>
      <c r="S186" s="5937"/>
      <c r="T186" s="4895"/>
      <c r="U186" s="5937"/>
    </row>
    <row r="187" spans="1:21" customFormat="1">
      <c r="A187" s="5289" t="s">
        <v>263</v>
      </c>
      <c r="B187" s="5934" t="s">
        <v>12846</v>
      </c>
      <c r="C187" s="5273" t="s">
        <v>12847</v>
      </c>
      <c r="D187" s="4895" t="s">
        <v>200</v>
      </c>
      <c r="E187" s="4895"/>
      <c r="F187" s="4895"/>
      <c r="G187" s="5169">
        <v>44491</v>
      </c>
      <c r="H187" s="5289" t="s">
        <v>12536</v>
      </c>
      <c r="I187" s="5935" t="s">
        <v>12757</v>
      </c>
      <c r="J187" s="4895"/>
      <c r="K187" s="5169">
        <v>44501</v>
      </c>
      <c r="L187" s="5169">
        <v>44501</v>
      </c>
      <c r="M187" s="5169">
        <v>44502</v>
      </c>
      <c r="N187" s="5169">
        <v>44502</v>
      </c>
      <c r="O187" s="4895"/>
      <c r="P187" s="5938" t="s">
        <v>12759</v>
      </c>
      <c r="Q187" s="5289" t="s">
        <v>12536</v>
      </c>
      <c r="R187" s="4848">
        <v>1299034</v>
      </c>
      <c r="S187" s="5937">
        <v>945</v>
      </c>
      <c r="T187" s="4895"/>
      <c r="U187" s="5937"/>
    </row>
    <row r="188" spans="1:21" customFormat="1">
      <c r="A188" s="5289" t="s">
        <v>263</v>
      </c>
      <c r="B188" s="5934" t="s">
        <v>12848</v>
      </c>
      <c r="C188" s="5273" t="s">
        <v>12849</v>
      </c>
      <c r="D188" s="4895" t="s">
        <v>200</v>
      </c>
      <c r="E188" s="4895"/>
      <c r="F188" s="4895"/>
      <c r="G188" s="5169">
        <v>44491</v>
      </c>
      <c r="H188" s="5289" t="s">
        <v>12536</v>
      </c>
      <c r="I188" s="5935" t="s">
        <v>12554</v>
      </c>
      <c r="J188" s="4895"/>
      <c r="K188" s="5169">
        <v>44496</v>
      </c>
      <c r="L188" s="5169"/>
      <c r="M188" s="5169"/>
      <c r="N188" s="5169">
        <v>44497</v>
      </c>
      <c r="O188" s="4895"/>
      <c r="P188" s="5936"/>
      <c r="Q188" s="4895" t="s">
        <v>12754</v>
      </c>
      <c r="R188" s="4895"/>
      <c r="S188" s="5937"/>
      <c r="T188" s="4895"/>
      <c r="U188" s="5937"/>
    </row>
    <row r="189" spans="1:21" customFormat="1">
      <c r="A189" s="5289" t="s">
        <v>263</v>
      </c>
      <c r="B189" s="5934" t="s">
        <v>12850</v>
      </c>
      <c r="C189" s="5273" t="s">
        <v>12851</v>
      </c>
      <c r="D189" s="4895" t="s">
        <v>200</v>
      </c>
      <c r="E189" s="4895"/>
      <c r="F189" s="4895"/>
      <c r="G189" s="5169">
        <v>44491</v>
      </c>
      <c r="H189" s="5289" t="s">
        <v>12536</v>
      </c>
      <c r="I189" s="5935" t="s">
        <v>12584</v>
      </c>
      <c r="J189" s="4895"/>
      <c r="K189" s="5169">
        <v>44495</v>
      </c>
      <c r="L189" s="5169">
        <v>44495</v>
      </c>
      <c r="M189" s="5169">
        <v>44496</v>
      </c>
      <c r="N189" s="5169">
        <v>44496</v>
      </c>
      <c r="O189" s="5289"/>
      <c r="P189" s="5938" t="s">
        <v>12470</v>
      </c>
      <c r="Q189" s="5289" t="s">
        <v>12536</v>
      </c>
      <c r="R189" s="4979">
        <v>1296395</v>
      </c>
      <c r="S189" s="5946">
        <v>945</v>
      </c>
      <c r="T189" s="4848">
        <v>1297067</v>
      </c>
      <c r="U189" s="5937">
        <v>898.74</v>
      </c>
    </row>
    <row r="190" spans="1:21" customFormat="1">
      <c r="A190" s="5289" t="s">
        <v>263</v>
      </c>
      <c r="B190" s="5934" t="s">
        <v>12852</v>
      </c>
      <c r="C190" s="5273" t="s">
        <v>12853</v>
      </c>
      <c r="D190" s="4895" t="s">
        <v>200</v>
      </c>
      <c r="E190" s="4895"/>
      <c r="F190" s="4895"/>
      <c r="G190" s="5169">
        <v>44491</v>
      </c>
      <c r="H190" s="5289" t="s">
        <v>12536</v>
      </c>
      <c r="I190" s="5935" t="s">
        <v>12795</v>
      </c>
      <c r="J190" s="4895"/>
      <c r="K190" s="5041">
        <v>44497</v>
      </c>
      <c r="L190" s="5041">
        <v>44497</v>
      </c>
      <c r="M190" s="5041">
        <v>44498</v>
      </c>
      <c r="N190" s="5041">
        <v>44498</v>
      </c>
      <c r="O190" s="5934" t="s">
        <v>12854</v>
      </c>
      <c r="P190" s="5936" t="s">
        <v>12796</v>
      </c>
      <c r="Q190" s="5289" t="s">
        <v>12797</v>
      </c>
      <c r="R190" s="5945" t="s">
        <v>12855</v>
      </c>
      <c r="S190" s="5946">
        <v>2958.5</v>
      </c>
      <c r="T190" s="4895"/>
      <c r="U190" s="5939"/>
    </row>
    <row r="191" spans="1:21" customFormat="1">
      <c r="A191" s="5289" t="s">
        <v>263</v>
      </c>
      <c r="B191" s="5934" t="s">
        <v>12856</v>
      </c>
      <c r="C191" s="5273" t="s">
        <v>12857</v>
      </c>
      <c r="D191" s="4895" t="s">
        <v>200</v>
      </c>
      <c r="E191" s="4895"/>
      <c r="F191" s="4895"/>
      <c r="G191" s="5169">
        <v>44491</v>
      </c>
      <c r="H191" s="5289" t="s">
        <v>12536</v>
      </c>
      <c r="I191" s="232" t="s">
        <v>12584</v>
      </c>
      <c r="J191" s="4895"/>
      <c r="K191" s="5041">
        <v>44495</v>
      </c>
      <c r="L191" s="5041">
        <v>44495</v>
      </c>
      <c r="M191" s="5041">
        <v>44496</v>
      </c>
      <c r="N191" s="5041">
        <v>44496</v>
      </c>
      <c r="O191" s="5934"/>
      <c r="P191" s="5938" t="s">
        <v>12470</v>
      </c>
      <c r="Q191" s="5289" t="s">
        <v>12536</v>
      </c>
      <c r="R191" s="4979">
        <v>1296395</v>
      </c>
      <c r="S191" s="5946">
        <v>945</v>
      </c>
      <c r="T191" s="4848">
        <v>1297068</v>
      </c>
      <c r="U191" s="5937">
        <v>898.74</v>
      </c>
    </row>
    <row r="192" spans="1:21" customFormat="1">
      <c r="A192" s="4895" t="s">
        <v>263</v>
      </c>
      <c r="B192" s="5934" t="s">
        <v>12858</v>
      </c>
      <c r="C192" s="5273" t="s">
        <v>12793</v>
      </c>
      <c r="D192" s="4895"/>
      <c r="E192" s="4895"/>
      <c r="F192" s="4895"/>
      <c r="G192" s="5169"/>
      <c r="H192" s="4895" t="s">
        <v>12794</v>
      </c>
      <c r="I192" s="5935" t="s">
        <v>12518</v>
      </c>
      <c r="J192" s="4895"/>
      <c r="K192" s="5169">
        <v>44496</v>
      </c>
      <c r="L192" s="5169"/>
      <c r="M192" s="5169"/>
      <c r="N192" s="5169">
        <v>44497</v>
      </c>
      <c r="O192" s="4895"/>
      <c r="P192" s="5936"/>
      <c r="Q192" s="4895" t="s">
        <v>12754</v>
      </c>
      <c r="R192" s="4895"/>
      <c r="S192" s="5937"/>
      <c r="T192" s="4895"/>
      <c r="U192" s="5937"/>
    </row>
    <row r="193" spans="1:21" customFormat="1">
      <c r="A193" s="4895" t="s">
        <v>263</v>
      </c>
      <c r="B193" s="5934" t="s">
        <v>12859</v>
      </c>
      <c r="C193" s="5273" t="s">
        <v>12793</v>
      </c>
      <c r="D193" s="4895"/>
      <c r="E193" s="4895"/>
      <c r="F193" s="4895"/>
      <c r="G193" s="5169"/>
      <c r="H193" s="4895" t="s">
        <v>12794</v>
      </c>
      <c r="I193" s="5935" t="s">
        <v>12584</v>
      </c>
      <c r="J193" s="4895"/>
      <c r="K193" s="5169">
        <v>44495</v>
      </c>
      <c r="L193" s="5169">
        <v>44495</v>
      </c>
      <c r="M193" s="5935">
        <v>44497</v>
      </c>
      <c r="N193" s="5169">
        <v>44497</v>
      </c>
      <c r="O193" s="5289" t="s">
        <v>12860</v>
      </c>
      <c r="P193" s="5938" t="s">
        <v>12470</v>
      </c>
      <c r="Q193" s="5289" t="s">
        <v>12536</v>
      </c>
      <c r="R193" s="4848">
        <v>1296635</v>
      </c>
      <c r="S193" s="5946">
        <v>945</v>
      </c>
      <c r="T193" s="4848">
        <v>1297576</v>
      </c>
      <c r="U193" s="5937">
        <v>898.74</v>
      </c>
    </row>
    <row r="194" spans="1:21" customFormat="1">
      <c r="A194" s="5289" t="s">
        <v>263</v>
      </c>
      <c r="B194" s="5934" t="s">
        <v>12861</v>
      </c>
      <c r="C194" s="5273" t="s">
        <v>12862</v>
      </c>
      <c r="D194" s="4895" t="s">
        <v>200</v>
      </c>
      <c r="E194" s="4895"/>
      <c r="F194" s="4895"/>
      <c r="G194" s="5169">
        <v>44491</v>
      </c>
      <c r="H194" s="5289" t="s">
        <v>12536</v>
      </c>
      <c r="I194" s="5956" t="s">
        <v>12518</v>
      </c>
      <c r="J194" s="4895"/>
      <c r="K194" s="5169">
        <v>44496</v>
      </c>
      <c r="L194" s="5169"/>
      <c r="M194" s="5169"/>
      <c r="N194" s="5169">
        <v>44497</v>
      </c>
      <c r="O194" s="4895"/>
      <c r="P194" s="5936"/>
      <c r="Q194" s="4895" t="s">
        <v>12754</v>
      </c>
      <c r="R194" s="4895"/>
      <c r="S194" s="5937"/>
      <c r="T194" s="4895"/>
      <c r="U194" s="5937"/>
    </row>
    <row r="195" spans="1:21" customFormat="1">
      <c r="A195" s="5289" t="s">
        <v>263</v>
      </c>
      <c r="B195" s="5934" t="s">
        <v>12863</v>
      </c>
      <c r="C195" s="5273" t="s">
        <v>12864</v>
      </c>
      <c r="D195" s="4895" t="s">
        <v>200</v>
      </c>
      <c r="E195" s="4895"/>
      <c r="F195" s="4895"/>
      <c r="G195" s="5169">
        <v>44491</v>
      </c>
      <c r="H195" s="5289" t="s">
        <v>12536</v>
      </c>
      <c r="I195" s="5956" t="s">
        <v>12839</v>
      </c>
      <c r="J195" s="4895"/>
      <c r="K195" s="5169">
        <v>44498</v>
      </c>
      <c r="L195" s="5169">
        <v>44498</v>
      </c>
      <c r="M195" s="5169">
        <v>44501</v>
      </c>
      <c r="N195" s="5169">
        <v>44501</v>
      </c>
      <c r="O195" s="4895"/>
      <c r="P195" s="5936" t="s">
        <v>12796</v>
      </c>
      <c r="Q195" s="5289" t="s">
        <v>12797</v>
      </c>
      <c r="R195" s="5945" t="s">
        <v>12865</v>
      </c>
      <c r="S195" s="5946">
        <v>3028.5</v>
      </c>
      <c r="T195" s="4895"/>
      <c r="U195" s="5937"/>
    </row>
    <row r="196" spans="1:21" customFormat="1">
      <c r="A196" s="5289" t="s">
        <v>263</v>
      </c>
      <c r="B196" s="5934" t="s">
        <v>12866</v>
      </c>
      <c r="C196" s="5273" t="s">
        <v>12867</v>
      </c>
      <c r="D196" s="4895" t="s">
        <v>200</v>
      </c>
      <c r="E196" s="4895"/>
      <c r="F196" s="4895"/>
      <c r="G196" s="5169">
        <v>44491</v>
      </c>
      <c r="H196" s="5289" t="s">
        <v>12536</v>
      </c>
      <c r="I196" s="5935" t="s">
        <v>12584</v>
      </c>
      <c r="J196" s="4895"/>
      <c r="K196" s="5169">
        <v>44495</v>
      </c>
      <c r="L196" s="5169">
        <v>44495</v>
      </c>
      <c r="M196" s="5935">
        <v>44497</v>
      </c>
      <c r="N196" s="5169">
        <v>44497</v>
      </c>
      <c r="O196" s="5289" t="s">
        <v>12470</v>
      </c>
      <c r="P196" s="5938" t="s">
        <v>12470</v>
      </c>
      <c r="Q196" s="5289" t="s">
        <v>12536</v>
      </c>
      <c r="R196" s="4848">
        <v>1296635</v>
      </c>
      <c r="S196" s="5946">
        <v>945</v>
      </c>
      <c r="T196" s="4848">
        <v>1297577</v>
      </c>
      <c r="U196" s="5937">
        <v>898.74</v>
      </c>
    </row>
    <row r="197" spans="1:21" customFormat="1">
      <c r="A197" s="5289" t="s">
        <v>263</v>
      </c>
      <c r="B197" s="5934" t="s">
        <v>12868</v>
      </c>
      <c r="C197" s="5273" t="s">
        <v>12869</v>
      </c>
      <c r="D197" s="4895" t="s">
        <v>200</v>
      </c>
      <c r="E197" s="4895"/>
      <c r="F197" s="4895"/>
      <c r="G197" s="5169">
        <v>44491</v>
      </c>
      <c r="H197" s="5289" t="s">
        <v>12536</v>
      </c>
      <c r="I197" s="5935" t="s">
        <v>12870</v>
      </c>
      <c r="J197" s="4895"/>
      <c r="K197" s="5169">
        <v>44498</v>
      </c>
      <c r="L197" s="5169"/>
      <c r="M197" s="5169"/>
      <c r="N197" s="5169">
        <v>44502</v>
      </c>
      <c r="O197" s="4895"/>
      <c r="P197" s="5936"/>
      <c r="Q197" s="4872" t="s">
        <v>12754</v>
      </c>
      <c r="R197" s="4895"/>
      <c r="S197" s="5937"/>
      <c r="T197" s="4895"/>
      <c r="U197" s="5937"/>
    </row>
    <row r="198" spans="1:21" customFormat="1">
      <c r="A198" s="5289" t="s">
        <v>263</v>
      </c>
      <c r="B198" s="5934" t="s">
        <v>12871</v>
      </c>
      <c r="C198" s="5273" t="s">
        <v>12872</v>
      </c>
      <c r="D198" s="4895" t="s">
        <v>200</v>
      </c>
      <c r="E198" s="4895"/>
      <c r="F198" s="4895"/>
      <c r="G198" s="5169">
        <v>44491</v>
      </c>
      <c r="H198" s="5289" t="s">
        <v>12536</v>
      </c>
      <c r="I198" s="5935" t="s">
        <v>12584</v>
      </c>
      <c r="J198" s="4895"/>
      <c r="K198" s="5169">
        <v>44495</v>
      </c>
      <c r="L198" s="5169">
        <v>44495</v>
      </c>
      <c r="M198" s="5169">
        <v>44496</v>
      </c>
      <c r="N198" s="5169">
        <v>44496</v>
      </c>
      <c r="O198" s="5289" t="s">
        <v>12470</v>
      </c>
      <c r="P198" s="5938" t="s">
        <v>12470</v>
      </c>
      <c r="Q198" s="5289" t="s">
        <v>12536</v>
      </c>
      <c r="R198" s="4848">
        <v>1296927</v>
      </c>
      <c r="S198" s="5946">
        <v>945</v>
      </c>
      <c r="T198" s="4848">
        <v>1297578</v>
      </c>
      <c r="U198" s="5937">
        <v>898.74</v>
      </c>
    </row>
    <row r="199" spans="1:21" customFormat="1">
      <c r="A199" s="5289" t="s">
        <v>263</v>
      </c>
      <c r="B199" s="5934" t="s">
        <v>12873</v>
      </c>
      <c r="C199" s="5273" t="s">
        <v>12874</v>
      </c>
      <c r="D199" s="4895" t="s">
        <v>200</v>
      </c>
      <c r="E199" s="4895"/>
      <c r="F199" s="4895"/>
      <c r="G199" s="5169">
        <v>44491</v>
      </c>
      <c r="H199" s="5289" t="s">
        <v>12564</v>
      </c>
      <c r="I199" s="5935"/>
      <c r="J199" s="4895"/>
      <c r="K199" s="5169"/>
      <c r="L199" s="5169"/>
      <c r="M199" s="5169"/>
      <c r="N199" s="5169">
        <v>44502</v>
      </c>
      <c r="O199" s="4895">
        <v>1</v>
      </c>
      <c r="P199" s="5936"/>
      <c r="Q199" s="4895" t="s">
        <v>12754</v>
      </c>
      <c r="R199" s="4895"/>
      <c r="S199" s="5937"/>
      <c r="T199" s="4895"/>
      <c r="U199" s="5937"/>
    </row>
    <row r="200" spans="1:21" customFormat="1">
      <c r="A200" s="5289" t="s">
        <v>263</v>
      </c>
      <c r="B200" s="5934" t="s">
        <v>12875</v>
      </c>
      <c r="C200" s="5273" t="s">
        <v>12876</v>
      </c>
      <c r="D200" s="4895" t="s">
        <v>200</v>
      </c>
      <c r="E200" s="4895"/>
      <c r="F200" s="4895"/>
      <c r="G200" s="5169">
        <v>44491</v>
      </c>
      <c r="H200" s="5289" t="s">
        <v>12564</v>
      </c>
      <c r="I200" s="5935" t="s">
        <v>12584</v>
      </c>
      <c r="J200" s="4895"/>
      <c r="K200" s="5169">
        <v>44495</v>
      </c>
      <c r="L200" s="5169">
        <v>44495</v>
      </c>
      <c r="M200" s="5169">
        <v>44496</v>
      </c>
      <c r="N200" s="5169">
        <v>44496</v>
      </c>
      <c r="O200" s="5289" t="s">
        <v>12877</v>
      </c>
      <c r="P200" s="5938" t="s">
        <v>12470</v>
      </c>
      <c r="Q200" s="5289" t="s">
        <v>12536</v>
      </c>
      <c r="R200" s="4848">
        <v>1296927</v>
      </c>
      <c r="S200" s="5946">
        <v>945</v>
      </c>
      <c r="T200" s="4848">
        <v>1297579</v>
      </c>
      <c r="U200" s="5937">
        <v>898.74</v>
      </c>
    </row>
    <row r="201" spans="1:21" customFormat="1">
      <c r="A201" s="5289" t="s">
        <v>263</v>
      </c>
      <c r="B201" s="5934" t="s">
        <v>12878</v>
      </c>
      <c r="C201" s="5273" t="s">
        <v>12879</v>
      </c>
      <c r="D201" s="4895" t="s">
        <v>200</v>
      </c>
      <c r="E201" s="4895"/>
      <c r="F201" s="4895"/>
      <c r="G201" s="5169">
        <v>44491</v>
      </c>
      <c r="H201" s="5289" t="s">
        <v>12536</v>
      </c>
      <c r="I201" s="5935" t="s">
        <v>12584</v>
      </c>
      <c r="J201" s="4895"/>
      <c r="K201" s="5169">
        <v>44496</v>
      </c>
      <c r="L201" s="5169">
        <v>44496</v>
      </c>
      <c r="M201" s="5169">
        <v>44501</v>
      </c>
      <c r="N201" s="5169">
        <v>44498</v>
      </c>
      <c r="O201" s="4895" t="s">
        <v>12470</v>
      </c>
      <c r="P201" s="5938" t="s">
        <v>12470</v>
      </c>
      <c r="Q201" s="4895" t="s">
        <v>12536</v>
      </c>
      <c r="R201" s="4848">
        <v>1297580</v>
      </c>
      <c r="S201" s="5946">
        <v>945</v>
      </c>
      <c r="T201" s="4848">
        <v>1298879</v>
      </c>
      <c r="U201" s="5937">
        <v>898.74</v>
      </c>
    </row>
    <row r="202" spans="1:21" customFormat="1">
      <c r="A202" s="5289" t="s">
        <v>263</v>
      </c>
      <c r="B202" s="5934" t="s">
        <v>12880</v>
      </c>
      <c r="C202" s="5273" t="s">
        <v>12881</v>
      </c>
      <c r="D202" s="4895" t="s">
        <v>200</v>
      </c>
      <c r="E202" s="4895"/>
      <c r="F202" s="4895"/>
      <c r="G202" s="5169">
        <v>44491</v>
      </c>
      <c r="H202" s="5289" t="s">
        <v>12536</v>
      </c>
      <c r="I202" s="5935" t="s">
        <v>12839</v>
      </c>
      <c r="J202" s="4895"/>
      <c r="K202" s="5169">
        <v>44497</v>
      </c>
      <c r="L202" s="5169">
        <v>44497</v>
      </c>
      <c r="M202" s="5169">
        <v>44498</v>
      </c>
      <c r="N202" s="5169">
        <v>44498</v>
      </c>
      <c r="O202" s="4895"/>
      <c r="P202" s="158" t="s">
        <v>12796</v>
      </c>
      <c r="Q202" s="156" t="s">
        <v>12797</v>
      </c>
      <c r="R202" s="5945" t="s">
        <v>12882</v>
      </c>
      <c r="S202" s="5946">
        <v>2958.5</v>
      </c>
      <c r="T202" s="4895"/>
      <c r="U202" s="5937"/>
    </row>
    <row r="203" spans="1:21" customFormat="1">
      <c r="A203" s="5289" t="s">
        <v>263</v>
      </c>
      <c r="B203" s="5934" t="s">
        <v>12883</v>
      </c>
      <c r="C203" s="5273" t="s">
        <v>12884</v>
      </c>
      <c r="D203" s="4895" t="s">
        <v>200</v>
      </c>
      <c r="E203" s="4895"/>
      <c r="F203" s="4895"/>
      <c r="G203" s="5169">
        <v>44491</v>
      </c>
      <c r="H203" s="5289" t="s">
        <v>12536</v>
      </c>
      <c r="I203" s="5935" t="s">
        <v>12554</v>
      </c>
      <c r="J203" s="4895"/>
      <c r="K203" s="5169">
        <v>44497</v>
      </c>
      <c r="L203" s="5169"/>
      <c r="M203" s="5169"/>
      <c r="N203" s="5169">
        <v>44501</v>
      </c>
      <c r="O203" s="4895"/>
      <c r="P203" s="5936"/>
      <c r="Q203" s="4895" t="s">
        <v>12754</v>
      </c>
      <c r="R203" s="4895"/>
      <c r="S203" s="5937"/>
      <c r="T203" s="4895"/>
      <c r="U203" s="5937"/>
    </row>
    <row r="204" spans="1:21" customFormat="1">
      <c r="A204" s="5289" t="s">
        <v>263</v>
      </c>
      <c r="B204" s="5934" t="s">
        <v>12885</v>
      </c>
      <c r="C204" s="5273" t="s">
        <v>12886</v>
      </c>
      <c r="D204" s="4895" t="s">
        <v>200</v>
      </c>
      <c r="E204" s="4895"/>
      <c r="F204" s="4895"/>
      <c r="G204" s="5169">
        <v>44491</v>
      </c>
      <c r="H204" s="5289" t="s">
        <v>12536</v>
      </c>
      <c r="I204" s="5935" t="s">
        <v>12584</v>
      </c>
      <c r="J204" s="4895"/>
      <c r="K204" s="5169">
        <v>44496</v>
      </c>
      <c r="L204" s="5169">
        <v>44496</v>
      </c>
      <c r="M204" s="5169">
        <v>44501</v>
      </c>
      <c r="N204" s="5169">
        <v>44498</v>
      </c>
      <c r="O204" s="4895" t="s">
        <v>12470</v>
      </c>
      <c r="P204" s="5938" t="s">
        <v>12470</v>
      </c>
      <c r="Q204" s="4895" t="s">
        <v>12536</v>
      </c>
      <c r="R204" s="4848">
        <v>1297580</v>
      </c>
      <c r="S204" s="5946">
        <v>945</v>
      </c>
      <c r="T204" s="4848">
        <v>1298880</v>
      </c>
      <c r="U204" s="5937">
        <v>898.74</v>
      </c>
    </row>
    <row r="205" spans="1:21" customFormat="1">
      <c r="A205" s="5289" t="s">
        <v>263</v>
      </c>
      <c r="B205" s="5934" t="s">
        <v>12887</v>
      </c>
      <c r="C205" s="5273" t="s">
        <v>12888</v>
      </c>
      <c r="D205" s="4895" t="s">
        <v>200</v>
      </c>
      <c r="E205" s="4895"/>
      <c r="F205" s="4895"/>
      <c r="G205" s="5169">
        <v>44491</v>
      </c>
      <c r="H205" s="5289" t="s">
        <v>12536</v>
      </c>
      <c r="I205" s="5935"/>
      <c r="J205" s="4895"/>
      <c r="K205" s="5169"/>
      <c r="L205" s="5169"/>
      <c r="M205" s="5169"/>
      <c r="N205" s="5169">
        <v>44499</v>
      </c>
      <c r="O205" s="5289" t="s">
        <v>12807</v>
      </c>
      <c r="P205" s="5938"/>
      <c r="Q205" s="4895" t="s">
        <v>12754</v>
      </c>
      <c r="R205" s="4895"/>
      <c r="S205" s="5937"/>
      <c r="T205" s="4895"/>
      <c r="U205" s="5937"/>
    </row>
    <row r="206" spans="1:21" customFormat="1">
      <c r="A206" s="5289" t="s">
        <v>263</v>
      </c>
      <c r="B206" s="5934" t="s">
        <v>12889</v>
      </c>
      <c r="C206" s="5273" t="s">
        <v>12890</v>
      </c>
      <c r="D206" s="4895" t="s">
        <v>200</v>
      </c>
      <c r="E206" s="4895"/>
      <c r="F206" s="4895"/>
      <c r="G206" s="5169">
        <v>44491</v>
      </c>
      <c r="H206" s="5289" t="s">
        <v>12536</v>
      </c>
      <c r="I206" s="5935" t="s">
        <v>12554</v>
      </c>
      <c r="J206" s="4895"/>
      <c r="K206" s="5169">
        <v>44497</v>
      </c>
      <c r="L206" s="5169"/>
      <c r="M206" s="5169"/>
      <c r="N206" s="5169">
        <v>44501</v>
      </c>
      <c r="O206" s="4895"/>
      <c r="P206" s="5936"/>
      <c r="Q206" s="4895" t="s">
        <v>12754</v>
      </c>
      <c r="R206" s="4895"/>
      <c r="S206" s="5937"/>
      <c r="T206" s="4895"/>
      <c r="U206" s="5937"/>
    </row>
    <row r="207" spans="1:21" customFormat="1">
      <c r="A207" s="5289" t="s">
        <v>263</v>
      </c>
      <c r="B207" s="5934" t="s">
        <v>12891</v>
      </c>
      <c r="C207" s="5273" t="s">
        <v>12892</v>
      </c>
      <c r="D207" s="4895" t="s">
        <v>200</v>
      </c>
      <c r="E207" s="4895"/>
      <c r="F207" s="4895"/>
      <c r="G207" s="5169">
        <v>44491</v>
      </c>
      <c r="H207" s="5289" t="s">
        <v>12536</v>
      </c>
      <c r="I207" s="5935" t="s">
        <v>12795</v>
      </c>
      <c r="J207" s="4895"/>
      <c r="K207" s="5169">
        <v>44498</v>
      </c>
      <c r="L207" s="5169">
        <v>44498</v>
      </c>
      <c r="M207" s="5169">
        <v>44501</v>
      </c>
      <c r="N207" s="5169">
        <v>44501</v>
      </c>
      <c r="O207" s="4895" t="s">
        <v>12840</v>
      </c>
      <c r="P207" s="5936" t="s">
        <v>12796</v>
      </c>
      <c r="Q207" s="5289" t="s">
        <v>12797</v>
      </c>
      <c r="R207" s="5945" t="s">
        <v>12893</v>
      </c>
      <c r="S207" s="5946">
        <v>3028.5</v>
      </c>
      <c r="T207" s="4895"/>
      <c r="U207" s="5937"/>
    </row>
    <row r="208" spans="1:21" customFormat="1">
      <c r="A208" s="5289" t="s">
        <v>263</v>
      </c>
      <c r="B208" s="5934" t="s">
        <v>12894</v>
      </c>
      <c r="C208" s="5273" t="s">
        <v>12895</v>
      </c>
      <c r="D208" s="4895" t="s">
        <v>200</v>
      </c>
      <c r="E208" s="4895"/>
      <c r="F208" s="4895"/>
      <c r="G208" s="5169">
        <v>44491</v>
      </c>
      <c r="H208" s="5289" t="s">
        <v>12536</v>
      </c>
      <c r="I208" s="232" t="s">
        <v>12839</v>
      </c>
      <c r="J208" s="4895"/>
      <c r="K208" s="5169">
        <v>44498</v>
      </c>
      <c r="L208" s="5169">
        <v>44498</v>
      </c>
      <c r="M208" s="5169">
        <v>44502</v>
      </c>
      <c r="N208" s="5169">
        <v>44502</v>
      </c>
      <c r="O208" s="4895"/>
      <c r="P208" s="158" t="s">
        <v>12796</v>
      </c>
      <c r="Q208" s="5289" t="s">
        <v>12797</v>
      </c>
      <c r="R208" s="5945" t="s">
        <v>12896</v>
      </c>
      <c r="S208" s="5946">
        <v>2993.5</v>
      </c>
      <c r="T208" s="4895"/>
      <c r="U208" s="5937"/>
    </row>
    <row r="209" spans="1:21">
      <c r="A209" s="5288" t="s">
        <v>263</v>
      </c>
      <c r="B209" s="5940" t="s">
        <v>12897</v>
      </c>
      <c r="C209" s="5941" t="s">
        <v>12898</v>
      </c>
      <c r="D209" s="5122" t="s">
        <v>200</v>
      </c>
      <c r="E209" s="5122"/>
      <c r="F209" s="5122"/>
      <c r="G209" s="5291">
        <v>44491</v>
      </c>
      <c r="H209" s="5288" t="s">
        <v>12536</v>
      </c>
      <c r="I209" s="5942" t="s">
        <v>12832</v>
      </c>
      <c r="J209" s="5122"/>
      <c r="K209" s="5169">
        <v>44501</v>
      </c>
      <c r="L209" s="5291">
        <v>44496</v>
      </c>
      <c r="M209" s="5291">
        <v>44497</v>
      </c>
      <c r="N209" s="5291">
        <v>44497</v>
      </c>
      <c r="O209" s="5122"/>
      <c r="P209" s="5943" t="s">
        <v>12759</v>
      </c>
      <c r="Q209" s="5288" t="s">
        <v>12564</v>
      </c>
      <c r="R209" s="5122">
        <v>332200</v>
      </c>
      <c r="S209" s="5944">
        <v>950</v>
      </c>
      <c r="T209" s="5122"/>
      <c r="U209" s="5944"/>
    </row>
    <row r="210" spans="1:21" customFormat="1">
      <c r="A210" s="5289" t="s">
        <v>263</v>
      </c>
      <c r="B210" s="5934" t="s">
        <v>12899</v>
      </c>
      <c r="C210" s="5273" t="s">
        <v>12900</v>
      </c>
      <c r="D210" s="4895" t="s">
        <v>200</v>
      </c>
      <c r="E210" s="4895"/>
      <c r="F210" s="4895"/>
      <c r="G210" s="5169">
        <v>44491</v>
      </c>
      <c r="H210" s="5289" t="s">
        <v>12564</v>
      </c>
      <c r="I210" s="5935" t="s">
        <v>12554</v>
      </c>
      <c r="J210" s="4895"/>
      <c r="K210" s="5169">
        <v>44497</v>
      </c>
      <c r="L210" s="5169"/>
      <c r="M210" s="5169"/>
      <c r="N210" s="5169">
        <v>44498</v>
      </c>
      <c r="O210" s="4895"/>
      <c r="P210" s="5936"/>
      <c r="Q210" s="4895" t="s">
        <v>12754</v>
      </c>
      <c r="R210" s="4895"/>
      <c r="S210" s="5937"/>
      <c r="T210" s="4895"/>
      <c r="U210" s="5937"/>
    </row>
    <row r="211" spans="1:21">
      <c r="A211" s="5288" t="s">
        <v>263</v>
      </c>
      <c r="B211" s="5940" t="s">
        <v>12901</v>
      </c>
      <c r="C211" s="5941" t="s">
        <v>12902</v>
      </c>
      <c r="D211" s="5122" t="s">
        <v>200</v>
      </c>
      <c r="E211" s="5122"/>
      <c r="F211" s="5122"/>
      <c r="G211" s="5291">
        <v>44491</v>
      </c>
      <c r="H211" s="5288" t="s">
        <v>12536</v>
      </c>
      <c r="I211" s="5942"/>
      <c r="J211" s="5122"/>
      <c r="K211" s="5169"/>
      <c r="L211" s="5291">
        <v>44496</v>
      </c>
      <c r="M211" s="5291">
        <v>44497</v>
      </c>
      <c r="N211" s="5291">
        <v>44497</v>
      </c>
      <c r="O211" s="5122">
        <v>1</v>
      </c>
      <c r="P211" s="5943" t="s">
        <v>12759</v>
      </c>
      <c r="Q211" s="5288" t="s">
        <v>12564</v>
      </c>
      <c r="R211" s="5122">
        <v>332200</v>
      </c>
      <c r="S211" s="5944">
        <v>950</v>
      </c>
      <c r="T211" s="5122"/>
      <c r="U211" s="5944"/>
    </row>
    <row r="212" spans="1:21" customFormat="1">
      <c r="A212" s="4895" t="s">
        <v>263</v>
      </c>
      <c r="B212" s="5934" t="s">
        <v>12903</v>
      </c>
      <c r="C212" s="5273" t="s">
        <v>12793</v>
      </c>
      <c r="D212" s="4895"/>
      <c r="E212" s="4895"/>
      <c r="F212" s="4895"/>
      <c r="G212" s="5169"/>
      <c r="H212" s="4895" t="s">
        <v>12794</v>
      </c>
      <c r="I212" s="5935" t="s">
        <v>12584</v>
      </c>
      <c r="J212" s="4895"/>
      <c r="K212" s="5169">
        <v>44496</v>
      </c>
      <c r="L212" s="5169">
        <v>44496</v>
      </c>
      <c r="M212" s="5169">
        <v>44501</v>
      </c>
      <c r="N212" s="5169">
        <v>44498</v>
      </c>
      <c r="O212" s="4895" t="s">
        <v>12470</v>
      </c>
      <c r="P212" s="5938" t="s">
        <v>12470</v>
      </c>
      <c r="Q212" s="4895" t="s">
        <v>12536</v>
      </c>
      <c r="R212" s="4848">
        <v>1297581</v>
      </c>
      <c r="S212" s="5946">
        <v>945</v>
      </c>
      <c r="T212" s="4848">
        <v>1298881</v>
      </c>
      <c r="U212" s="5937">
        <v>898.74</v>
      </c>
    </row>
    <row r="213" spans="1:21" customFormat="1">
      <c r="A213" s="5289" t="s">
        <v>263</v>
      </c>
      <c r="B213" s="5934" t="s">
        <v>12904</v>
      </c>
      <c r="C213" s="5273" t="s">
        <v>12905</v>
      </c>
      <c r="D213" s="4895" t="s">
        <v>200</v>
      </c>
      <c r="E213" s="4895"/>
      <c r="F213" s="4895"/>
      <c r="G213" s="5169">
        <v>44491</v>
      </c>
      <c r="H213" s="5289" t="s">
        <v>12536</v>
      </c>
      <c r="I213" s="5935" t="s">
        <v>12795</v>
      </c>
      <c r="J213" s="4895"/>
      <c r="K213" s="5169">
        <v>44497</v>
      </c>
      <c r="L213" s="5169">
        <v>44497</v>
      </c>
      <c r="M213" s="5169">
        <v>44498</v>
      </c>
      <c r="N213" s="5169">
        <v>44498</v>
      </c>
      <c r="O213" s="4895"/>
      <c r="P213" s="5936" t="s">
        <v>12796</v>
      </c>
      <c r="Q213" s="156" t="s">
        <v>12797</v>
      </c>
      <c r="R213" s="520" t="s">
        <v>12906</v>
      </c>
      <c r="S213" s="5937">
        <v>2958.5</v>
      </c>
      <c r="T213" s="4895"/>
      <c r="U213" s="5937"/>
    </row>
    <row r="214" spans="1:21" customFormat="1">
      <c r="A214" s="5289" t="s">
        <v>263</v>
      </c>
      <c r="B214" s="5934" t="s">
        <v>12907</v>
      </c>
      <c r="C214" s="5273" t="s">
        <v>12908</v>
      </c>
      <c r="D214" s="4895" t="s">
        <v>200</v>
      </c>
      <c r="E214" s="4895"/>
      <c r="F214" s="4895"/>
      <c r="G214" s="5169">
        <v>44491</v>
      </c>
      <c r="H214" s="5289" t="s">
        <v>12536</v>
      </c>
      <c r="I214" s="5935" t="s">
        <v>12584</v>
      </c>
      <c r="J214" s="4895"/>
      <c r="K214" s="5169">
        <v>44496</v>
      </c>
      <c r="L214" s="5169">
        <v>44496</v>
      </c>
      <c r="M214" s="5169">
        <v>44501</v>
      </c>
      <c r="N214" s="5169">
        <v>44498</v>
      </c>
      <c r="O214" s="4895" t="s">
        <v>12470</v>
      </c>
      <c r="P214" s="5938" t="s">
        <v>12470</v>
      </c>
      <c r="Q214" s="4895" t="s">
        <v>12536</v>
      </c>
      <c r="R214" s="4895">
        <v>1297581</v>
      </c>
      <c r="S214" s="5946">
        <v>945</v>
      </c>
      <c r="T214" s="4895">
        <v>1298882</v>
      </c>
      <c r="U214" s="5937">
        <v>898.74</v>
      </c>
    </row>
    <row r="215" spans="1:21" customFormat="1">
      <c r="A215" s="5289" t="s">
        <v>263</v>
      </c>
      <c r="B215" s="5934" t="s">
        <v>12909</v>
      </c>
      <c r="C215" s="5273" t="s">
        <v>12910</v>
      </c>
      <c r="D215" s="4895" t="s">
        <v>200</v>
      </c>
      <c r="E215" s="4895"/>
      <c r="F215" s="4895"/>
      <c r="G215" s="5169">
        <v>44491</v>
      </c>
      <c r="H215" s="5289" t="s">
        <v>12564</v>
      </c>
      <c r="I215" s="5500" t="s">
        <v>12584</v>
      </c>
      <c r="J215" s="4895"/>
      <c r="K215" s="5169">
        <v>44498</v>
      </c>
      <c r="L215" s="5169">
        <v>44498</v>
      </c>
      <c r="M215" s="5169">
        <v>44502</v>
      </c>
      <c r="N215" s="5169">
        <v>44502</v>
      </c>
      <c r="O215" s="5289" t="s">
        <v>12911</v>
      </c>
      <c r="P215" s="5938" t="s">
        <v>12470</v>
      </c>
      <c r="Q215" s="4895" t="s">
        <v>12536</v>
      </c>
      <c r="R215" s="4848">
        <v>1298914</v>
      </c>
      <c r="S215" s="5946">
        <v>945</v>
      </c>
      <c r="T215" s="4848">
        <v>1300889</v>
      </c>
      <c r="U215" s="5937">
        <v>978.74</v>
      </c>
    </row>
    <row r="216" spans="1:21" customFormat="1">
      <c r="A216" s="5289" t="s">
        <v>263</v>
      </c>
      <c r="B216" s="5934" t="s">
        <v>12912</v>
      </c>
      <c r="C216" s="5273" t="s">
        <v>12913</v>
      </c>
      <c r="D216" s="4895" t="s">
        <v>200</v>
      </c>
      <c r="E216" s="4895"/>
      <c r="F216" s="4895"/>
      <c r="G216" s="5169">
        <v>44491</v>
      </c>
      <c r="H216" s="5289" t="s">
        <v>12397</v>
      </c>
      <c r="I216" s="5935" t="s">
        <v>12554</v>
      </c>
      <c r="J216" s="4895"/>
      <c r="K216" s="5169">
        <v>44497</v>
      </c>
      <c r="L216" s="5169"/>
      <c r="M216" s="5169"/>
      <c r="N216" s="5169">
        <v>44497</v>
      </c>
      <c r="O216" s="4895"/>
      <c r="P216" s="5936"/>
      <c r="Q216" s="4895" t="s">
        <v>12754</v>
      </c>
      <c r="R216" s="4895"/>
      <c r="S216" s="5937"/>
      <c r="T216" s="4895"/>
      <c r="U216" s="5937"/>
    </row>
    <row r="217" spans="1:21">
      <c r="A217" s="5288" t="s">
        <v>263</v>
      </c>
      <c r="B217" s="5940" t="s">
        <v>12914</v>
      </c>
      <c r="C217" s="5941" t="s">
        <v>12915</v>
      </c>
      <c r="D217" s="5122" t="s">
        <v>200</v>
      </c>
      <c r="E217" s="5122"/>
      <c r="F217" s="5122"/>
      <c r="G217" s="5291">
        <v>44491</v>
      </c>
      <c r="H217" s="5288" t="s">
        <v>12536</v>
      </c>
      <c r="I217" s="5942"/>
      <c r="J217" s="5122"/>
      <c r="K217" s="5169"/>
      <c r="L217" s="5291">
        <v>44501</v>
      </c>
      <c r="M217" s="5291">
        <v>44502</v>
      </c>
      <c r="N217" s="5291"/>
      <c r="O217" s="5957" t="s">
        <v>12813</v>
      </c>
      <c r="P217" s="5943" t="s">
        <v>12759</v>
      </c>
      <c r="Q217" s="5122" t="s">
        <v>12564</v>
      </c>
      <c r="R217" s="5122">
        <v>332405</v>
      </c>
      <c r="S217" s="5944">
        <v>1075</v>
      </c>
      <c r="T217" s="5122"/>
      <c r="U217" s="5944"/>
    </row>
    <row r="218" spans="1:21" customFormat="1">
      <c r="A218" s="5289" t="s">
        <v>263</v>
      </c>
      <c r="B218" s="5934" t="s">
        <v>12916</v>
      </c>
      <c r="C218" s="5273" t="s">
        <v>12917</v>
      </c>
      <c r="D218" s="4895" t="s">
        <v>200</v>
      </c>
      <c r="E218" s="4895"/>
      <c r="F218" s="4895"/>
      <c r="G218" s="5169">
        <v>44491</v>
      </c>
      <c r="H218" s="5289" t="s">
        <v>12397</v>
      </c>
      <c r="I218" s="5935" t="s">
        <v>12554</v>
      </c>
      <c r="J218" s="4895"/>
      <c r="K218" s="5169">
        <v>44497</v>
      </c>
      <c r="L218" s="5169"/>
      <c r="M218" s="5169"/>
      <c r="N218" s="5169">
        <v>44498</v>
      </c>
      <c r="O218" s="4895"/>
      <c r="P218" s="5936"/>
      <c r="Q218" s="4895" t="s">
        <v>12754</v>
      </c>
      <c r="R218" s="4895"/>
      <c r="S218" s="5937"/>
      <c r="T218" s="4895"/>
      <c r="U218" s="5937"/>
    </row>
    <row r="219" spans="1:21" customFormat="1">
      <c r="A219" s="5289" t="s">
        <v>263</v>
      </c>
      <c r="B219" s="5934" t="s">
        <v>12918</v>
      </c>
      <c r="C219" s="5273" t="s">
        <v>12919</v>
      </c>
      <c r="D219" s="4895" t="s">
        <v>200</v>
      </c>
      <c r="E219" s="4895"/>
      <c r="F219" s="4895"/>
      <c r="G219" s="5169">
        <v>44491</v>
      </c>
      <c r="H219" s="5289" t="s">
        <v>12536</v>
      </c>
      <c r="I219" s="232" t="s">
        <v>12839</v>
      </c>
      <c r="J219" s="4895"/>
      <c r="K219" s="5169">
        <v>44498</v>
      </c>
      <c r="L219" s="5169">
        <v>44498</v>
      </c>
      <c r="M219" s="5169">
        <v>44501</v>
      </c>
      <c r="N219" s="5169">
        <v>44501</v>
      </c>
      <c r="O219" s="4895"/>
      <c r="P219" s="5936" t="s">
        <v>12796</v>
      </c>
      <c r="Q219" s="5289" t="s">
        <v>12797</v>
      </c>
      <c r="R219" s="438" t="s">
        <v>12920</v>
      </c>
      <c r="S219" s="5946">
        <v>3028.5</v>
      </c>
      <c r="T219" s="4895"/>
      <c r="U219" s="5937"/>
    </row>
    <row r="220" spans="1:21" customFormat="1">
      <c r="A220" s="5289" t="s">
        <v>263</v>
      </c>
      <c r="B220" s="5934" t="s">
        <v>12921</v>
      </c>
      <c r="C220" s="5273" t="s">
        <v>12922</v>
      </c>
      <c r="D220" s="4895" t="s">
        <v>200</v>
      </c>
      <c r="E220" s="4895"/>
      <c r="F220" s="4895"/>
      <c r="G220" s="5169">
        <v>44491</v>
      </c>
      <c r="H220" s="5289" t="s">
        <v>12536</v>
      </c>
      <c r="I220" s="5935" t="s">
        <v>12554</v>
      </c>
      <c r="J220" s="4895"/>
      <c r="K220" s="5169">
        <v>44497</v>
      </c>
      <c r="L220" s="5169"/>
      <c r="M220" s="5169"/>
      <c r="N220" s="5169">
        <v>44501</v>
      </c>
      <c r="O220" s="4895"/>
      <c r="P220" s="5936"/>
      <c r="Q220" s="4895" t="s">
        <v>12754</v>
      </c>
      <c r="R220" s="4895"/>
      <c r="S220" s="5937"/>
      <c r="T220" s="4895"/>
      <c r="U220" s="5937"/>
    </row>
    <row r="221" spans="1:21" customFormat="1">
      <c r="A221" s="5289" t="s">
        <v>263</v>
      </c>
      <c r="B221" s="5934" t="s">
        <v>12923</v>
      </c>
      <c r="C221" s="5273" t="s">
        <v>12924</v>
      </c>
      <c r="D221" s="4895" t="s">
        <v>200</v>
      </c>
      <c r="E221" s="4895"/>
      <c r="F221" s="4895"/>
      <c r="G221" s="5169">
        <v>44491</v>
      </c>
      <c r="H221" s="5289" t="s">
        <v>12397</v>
      </c>
      <c r="I221" s="5935"/>
      <c r="J221" s="4895"/>
      <c r="K221" s="5169"/>
      <c r="L221" s="5169"/>
      <c r="M221" s="5169"/>
      <c r="N221" s="5169">
        <v>44502</v>
      </c>
      <c r="O221" s="4895">
        <v>1</v>
      </c>
      <c r="P221" s="158"/>
      <c r="Q221" s="7" t="s">
        <v>12754</v>
      </c>
      <c r="R221" s="4895"/>
      <c r="S221" s="5937"/>
      <c r="T221" s="4895"/>
      <c r="U221" s="5937"/>
    </row>
    <row r="222" spans="1:21" customFormat="1">
      <c r="A222" s="5289" t="s">
        <v>263</v>
      </c>
      <c r="B222" s="5934" t="s">
        <v>12925</v>
      </c>
      <c r="C222" s="5273" t="s">
        <v>12926</v>
      </c>
      <c r="D222" s="4895" t="s">
        <v>200</v>
      </c>
      <c r="E222" s="4895"/>
      <c r="F222" s="4895"/>
      <c r="G222" s="5169">
        <v>44491</v>
      </c>
      <c r="H222" s="5289" t="s">
        <v>12397</v>
      </c>
      <c r="I222" s="232" t="s">
        <v>12584</v>
      </c>
      <c r="J222" s="4895"/>
      <c r="K222" s="5169">
        <v>44498</v>
      </c>
      <c r="L222" s="5169">
        <v>44498</v>
      </c>
      <c r="M222" s="5169">
        <v>44502</v>
      </c>
      <c r="N222" s="5169">
        <v>44502</v>
      </c>
      <c r="O222" s="5289" t="s">
        <v>12911</v>
      </c>
      <c r="P222" s="5938" t="s">
        <v>12470</v>
      </c>
      <c r="Q222" s="4895" t="s">
        <v>12536</v>
      </c>
      <c r="R222" s="4848">
        <v>1298914</v>
      </c>
      <c r="S222" s="5946">
        <v>945</v>
      </c>
      <c r="T222" s="4848">
        <v>1300888</v>
      </c>
      <c r="U222" s="5937">
        <v>978.74</v>
      </c>
    </row>
    <row r="223" spans="1:21" customFormat="1">
      <c r="A223" s="5289" t="s">
        <v>263</v>
      </c>
      <c r="B223" s="5934" t="s">
        <v>12927</v>
      </c>
      <c r="C223" s="5273" t="s">
        <v>12928</v>
      </c>
      <c r="D223" s="4895" t="s">
        <v>200</v>
      </c>
      <c r="E223" s="4895"/>
      <c r="F223" s="4895"/>
      <c r="G223" s="5169">
        <v>44491</v>
      </c>
      <c r="H223" s="5289" t="s">
        <v>12536</v>
      </c>
      <c r="I223" s="6" t="s">
        <v>12839</v>
      </c>
      <c r="J223" s="4895"/>
      <c r="K223" s="5169">
        <v>44498</v>
      </c>
      <c r="L223" s="5169">
        <v>44498</v>
      </c>
      <c r="M223" s="5169"/>
      <c r="N223" s="5169">
        <v>44501</v>
      </c>
      <c r="O223" s="4895"/>
      <c r="P223" s="5936" t="s">
        <v>12796</v>
      </c>
      <c r="Q223" s="4895" t="s">
        <v>12797</v>
      </c>
      <c r="R223" s="5945" t="s">
        <v>12929</v>
      </c>
      <c r="S223" s="5946">
        <v>3028.5</v>
      </c>
      <c r="T223" s="4895"/>
      <c r="U223" s="5937"/>
    </row>
    <row r="224" spans="1:21" customFormat="1">
      <c r="A224" s="5289" t="s">
        <v>263</v>
      </c>
      <c r="B224" s="5934" t="s">
        <v>12930</v>
      </c>
      <c r="C224" s="5273" t="s">
        <v>12931</v>
      </c>
      <c r="D224" s="4895" t="s">
        <v>200</v>
      </c>
      <c r="E224" s="4895"/>
      <c r="F224" s="4895"/>
      <c r="G224" s="5169">
        <v>44491</v>
      </c>
      <c r="H224" s="5289" t="s">
        <v>12536</v>
      </c>
      <c r="I224" s="5935" t="s">
        <v>12839</v>
      </c>
      <c r="J224" s="4895"/>
      <c r="K224" s="5169">
        <v>44497</v>
      </c>
      <c r="L224" s="5169">
        <v>44497</v>
      </c>
      <c r="M224" s="5169">
        <v>44498</v>
      </c>
      <c r="N224" s="5169">
        <v>44498</v>
      </c>
      <c r="O224" s="4895"/>
      <c r="P224" s="5936" t="s">
        <v>12796</v>
      </c>
      <c r="Q224" s="5289" t="s">
        <v>12797</v>
      </c>
      <c r="R224" s="5958" t="s">
        <v>12932</v>
      </c>
      <c r="S224" s="5946">
        <v>2958.5</v>
      </c>
      <c r="T224" s="4895"/>
      <c r="U224" s="5937"/>
    </row>
    <row r="225" spans="1:21" customFormat="1">
      <c r="A225" s="5289" t="s">
        <v>263</v>
      </c>
      <c r="B225" s="5934" t="s">
        <v>12933</v>
      </c>
      <c r="C225" s="5273" t="s">
        <v>12934</v>
      </c>
      <c r="D225" s="4895" t="s">
        <v>200</v>
      </c>
      <c r="E225" s="4895"/>
      <c r="F225" s="4895"/>
      <c r="G225" s="5169">
        <v>44491</v>
      </c>
      <c r="H225" s="5289" t="s">
        <v>12536</v>
      </c>
      <c r="I225" s="5935" t="s">
        <v>12795</v>
      </c>
      <c r="J225" s="4895"/>
      <c r="K225" s="5169">
        <v>44497</v>
      </c>
      <c r="L225" s="5935">
        <v>44497</v>
      </c>
      <c r="M225" s="5169">
        <v>44498</v>
      </c>
      <c r="N225" s="5169">
        <v>44498</v>
      </c>
      <c r="O225" s="4895" t="s">
        <v>12854</v>
      </c>
      <c r="P225" s="158" t="s">
        <v>12796</v>
      </c>
      <c r="Q225" s="5289" t="s">
        <v>12797</v>
      </c>
      <c r="R225" s="5945" t="s">
        <v>12935</v>
      </c>
      <c r="S225" s="5946">
        <v>2958</v>
      </c>
      <c r="T225" s="4895"/>
      <c r="U225" s="5937"/>
    </row>
    <row r="226" spans="1:21" customFormat="1">
      <c r="A226" s="5289" t="s">
        <v>263</v>
      </c>
      <c r="B226" s="5934" t="s">
        <v>12936</v>
      </c>
      <c r="C226" s="5273" t="s">
        <v>12937</v>
      </c>
      <c r="D226" s="4895" t="s">
        <v>200</v>
      </c>
      <c r="E226" s="4895"/>
      <c r="F226" s="4895"/>
      <c r="G226" s="5169">
        <v>44491</v>
      </c>
      <c r="H226" s="5289" t="s">
        <v>12536</v>
      </c>
      <c r="I226" s="5935" t="s">
        <v>12554</v>
      </c>
      <c r="J226" s="4895"/>
      <c r="K226" s="5169">
        <v>44497</v>
      </c>
      <c r="L226" s="5169"/>
      <c r="M226" s="5169"/>
      <c r="N226" s="5169">
        <v>44498</v>
      </c>
      <c r="O226" s="4895"/>
      <c r="P226" s="5936"/>
      <c r="Q226" s="4895" t="s">
        <v>12754</v>
      </c>
      <c r="R226" s="4895"/>
      <c r="S226" s="5937"/>
      <c r="T226" s="4895"/>
      <c r="U226" s="5937"/>
    </row>
    <row r="227" spans="1:21" customFormat="1">
      <c r="A227" s="5289" t="s">
        <v>263</v>
      </c>
      <c r="B227" s="5934" t="s">
        <v>12938</v>
      </c>
      <c r="C227" s="5273" t="s">
        <v>12939</v>
      </c>
      <c r="D227" s="4895" t="s">
        <v>200</v>
      </c>
      <c r="E227" s="4895"/>
      <c r="F227" s="4895"/>
      <c r="G227" s="5169">
        <v>44491</v>
      </c>
      <c r="H227" s="5289" t="s">
        <v>12536</v>
      </c>
      <c r="I227" s="5500" t="s">
        <v>12839</v>
      </c>
      <c r="J227" s="4895"/>
      <c r="K227" s="5169">
        <v>44498</v>
      </c>
      <c r="L227" s="5169">
        <v>44498</v>
      </c>
      <c r="M227" s="5169"/>
      <c r="N227" s="5169">
        <v>44501</v>
      </c>
      <c r="O227" s="4895"/>
      <c r="P227" s="5936" t="s">
        <v>12796</v>
      </c>
      <c r="Q227" s="4895" t="s">
        <v>12797</v>
      </c>
      <c r="R227" s="5945" t="s">
        <v>12940</v>
      </c>
      <c r="S227" s="5946">
        <v>3028.5</v>
      </c>
      <c r="T227" s="4895"/>
      <c r="U227" s="5937"/>
    </row>
    <row r="228" spans="1:21" customFormat="1">
      <c r="A228" s="5289" t="s">
        <v>263</v>
      </c>
      <c r="B228" s="5934" t="s">
        <v>12941</v>
      </c>
      <c r="C228" s="5273" t="s">
        <v>12942</v>
      </c>
      <c r="D228" s="4895" t="s">
        <v>200</v>
      </c>
      <c r="E228" s="4895"/>
      <c r="F228" s="4895"/>
      <c r="G228" s="5169">
        <v>44491</v>
      </c>
      <c r="H228" s="5289" t="s">
        <v>12564</v>
      </c>
      <c r="I228" s="5935" t="s">
        <v>12584</v>
      </c>
      <c r="J228" s="4895"/>
      <c r="K228" s="5169">
        <v>44498</v>
      </c>
      <c r="L228" s="5169">
        <v>44498</v>
      </c>
      <c r="M228" s="5169">
        <v>44502</v>
      </c>
      <c r="N228" s="5169">
        <v>44502</v>
      </c>
      <c r="O228" s="5289" t="s">
        <v>12911</v>
      </c>
      <c r="P228" s="159" t="s">
        <v>12470</v>
      </c>
      <c r="Q228" s="4895" t="s">
        <v>12536</v>
      </c>
      <c r="R228" s="4848">
        <v>1299031</v>
      </c>
      <c r="S228" s="5946">
        <v>945</v>
      </c>
      <c r="T228" s="4848">
        <v>1300886</v>
      </c>
      <c r="U228" s="5937">
        <v>978.74</v>
      </c>
    </row>
    <row r="229" spans="1:21" customFormat="1">
      <c r="A229" s="5289" t="s">
        <v>263</v>
      </c>
      <c r="B229" s="5934" t="s">
        <v>12943</v>
      </c>
      <c r="C229" s="5273" t="s">
        <v>12944</v>
      </c>
      <c r="D229" s="4895" t="s">
        <v>200</v>
      </c>
      <c r="E229" s="4895"/>
      <c r="F229" s="4895"/>
      <c r="G229" s="5169">
        <v>44491</v>
      </c>
      <c r="H229" s="5289" t="s">
        <v>12564</v>
      </c>
      <c r="I229" s="5935" t="s">
        <v>12584</v>
      </c>
      <c r="J229" s="4895"/>
      <c r="K229" s="5169">
        <v>44498</v>
      </c>
      <c r="L229" s="5169">
        <v>44498</v>
      </c>
      <c r="M229" s="5169">
        <v>44502</v>
      </c>
      <c r="N229" s="5169">
        <v>44502</v>
      </c>
      <c r="O229" s="5289" t="s">
        <v>12911</v>
      </c>
      <c r="P229" s="159" t="s">
        <v>12470</v>
      </c>
      <c r="Q229" s="7" t="s">
        <v>12536</v>
      </c>
      <c r="R229" s="4848">
        <v>1299031</v>
      </c>
      <c r="S229" s="5946">
        <v>945</v>
      </c>
      <c r="T229" s="4848">
        <v>1300887</v>
      </c>
      <c r="U229" s="5937">
        <v>978.74</v>
      </c>
    </row>
    <row r="230" spans="1:21" customFormat="1">
      <c r="A230" s="4895" t="s">
        <v>263</v>
      </c>
      <c r="B230" s="5934" t="s">
        <v>12945</v>
      </c>
      <c r="C230" s="5273" t="s">
        <v>12793</v>
      </c>
      <c r="D230" s="4895"/>
      <c r="E230" s="4895"/>
      <c r="F230" s="4895"/>
      <c r="G230" s="5169"/>
      <c r="H230" s="4895" t="s">
        <v>12794</v>
      </c>
      <c r="I230" s="5935" t="s">
        <v>12584</v>
      </c>
      <c r="J230" s="4895"/>
      <c r="K230" s="5169">
        <v>44498</v>
      </c>
      <c r="L230" s="5169">
        <v>44498</v>
      </c>
      <c r="M230" s="5169">
        <v>44502</v>
      </c>
      <c r="N230" s="5169">
        <v>44502</v>
      </c>
      <c r="O230" s="5289" t="s">
        <v>12911</v>
      </c>
      <c r="P230" s="159" t="s">
        <v>12470</v>
      </c>
      <c r="Q230" s="4872" t="s">
        <v>12536</v>
      </c>
      <c r="R230" s="4848">
        <v>1299037</v>
      </c>
      <c r="S230" s="5946">
        <v>945</v>
      </c>
      <c r="T230" s="4848">
        <v>1300871</v>
      </c>
      <c r="U230" s="5937">
        <v>978.74</v>
      </c>
    </row>
    <row r="231" spans="1:21" customFormat="1">
      <c r="A231" s="5289" t="s">
        <v>263</v>
      </c>
      <c r="B231" s="5934" t="s">
        <v>12946</v>
      </c>
      <c r="C231" s="5273" t="s">
        <v>12947</v>
      </c>
      <c r="D231" s="4895" t="s">
        <v>200</v>
      </c>
      <c r="E231" s="4895"/>
      <c r="F231" s="4895"/>
      <c r="G231" s="5169">
        <v>44491</v>
      </c>
      <c r="H231" s="5289" t="s">
        <v>12536</v>
      </c>
      <c r="I231" s="5935" t="s">
        <v>12584</v>
      </c>
      <c r="J231" s="4895"/>
      <c r="K231" s="5169">
        <v>44498</v>
      </c>
      <c r="L231" s="5169">
        <v>44497</v>
      </c>
      <c r="M231" s="5169">
        <v>44502</v>
      </c>
      <c r="N231" s="5169"/>
      <c r="O231" s="5289" t="s">
        <v>12840</v>
      </c>
      <c r="P231" s="5938" t="s">
        <v>12470</v>
      </c>
      <c r="Q231" s="4895" t="s">
        <v>12536</v>
      </c>
      <c r="R231" s="4848">
        <v>1299353</v>
      </c>
      <c r="S231" s="5946">
        <v>945</v>
      </c>
      <c r="T231" s="4848">
        <v>1300881</v>
      </c>
      <c r="U231" s="5937">
        <v>1018.74</v>
      </c>
    </row>
    <row r="232" spans="1:21" customFormat="1">
      <c r="A232" s="5289" t="s">
        <v>263</v>
      </c>
      <c r="B232" s="5934" t="s">
        <v>12948</v>
      </c>
      <c r="C232" s="5273" t="s">
        <v>12949</v>
      </c>
      <c r="D232" s="4895" t="s">
        <v>200</v>
      </c>
      <c r="E232" s="4895"/>
      <c r="F232" s="4895"/>
      <c r="G232" s="5169">
        <v>44491</v>
      </c>
      <c r="H232" s="5289" t="s">
        <v>12536</v>
      </c>
      <c r="I232" s="5500" t="s">
        <v>12839</v>
      </c>
      <c r="J232" s="4895"/>
      <c r="K232" s="5169">
        <v>44497</v>
      </c>
      <c r="L232" s="5169">
        <v>44498</v>
      </c>
      <c r="M232" s="5169">
        <v>44501</v>
      </c>
      <c r="N232" s="5169">
        <v>44501</v>
      </c>
      <c r="O232" s="4895" t="s">
        <v>12840</v>
      </c>
      <c r="P232" s="5936" t="s">
        <v>12796</v>
      </c>
      <c r="Q232" s="5289" t="s">
        <v>12797</v>
      </c>
      <c r="R232" s="5945" t="s">
        <v>12950</v>
      </c>
      <c r="S232" s="5946">
        <v>3028.5</v>
      </c>
      <c r="T232" s="4895"/>
      <c r="U232" s="5937"/>
    </row>
    <row r="233" spans="1:21" customFormat="1">
      <c r="A233" s="5289" t="s">
        <v>263</v>
      </c>
      <c r="B233" s="5934" t="s">
        <v>12951</v>
      </c>
      <c r="C233" s="5273" t="s">
        <v>12952</v>
      </c>
      <c r="D233" s="4895" t="s">
        <v>200</v>
      </c>
      <c r="E233" s="4895"/>
      <c r="F233" s="4895"/>
      <c r="G233" s="5169">
        <v>44491</v>
      </c>
      <c r="H233" s="5289" t="s">
        <v>12564</v>
      </c>
      <c r="I233" s="232" t="s">
        <v>12775</v>
      </c>
      <c r="J233" s="4895"/>
      <c r="K233" s="5169">
        <v>44495</v>
      </c>
      <c r="L233" s="5169">
        <v>44498</v>
      </c>
      <c r="M233" s="5169">
        <v>44502</v>
      </c>
      <c r="N233" s="5169"/>
      <c r="O233" s="5289" t="s">
        <v>12911</v>
      </c>
      <c r="P233" s="159" t="s">
        <v>12470</v>
      </c>
      <c r="Q233" s="5289" t="s">
        <v>12536</v>
      </c>
      <c r="R233" s="4848">
        <v>1299353</v>
      </c>
      <c r="S233" s="5946">
        <v>945</v>
      </c>
      <c r="T233" s="4848">
        <v>1300879</v>
      </c>
      <c r="U233" s="5937">
        <v>978.74</v>
      </c>
    </row>
    <row r="234" spans="1:21" customFormat="1">
      <c r="A234" s="5289" t="s">
        <v>263</v>
      </c>
      <c r="B234" s="5934" t="s">
        <v>12953</v>
      </c>
      <c r="C234" s="5273" t="s">
        <v>12954</v>
      </c>
      <c r="D234" s="4895" t="s">
        <v>200</v>
      </c>
      <c r="E234" s="4895"/>
      <c r="F234" s="4895"/>
      <c r="G234" s="5169">
        <v>44491</v>
      </c>
      <c r="H234" s="5289" t="s">
        <v>12536</v>
      </c>
      <c r="I234" s="5935" t="s">
        <v>12584</v>
      </c>
      <c r="J234" s="4895"/>
      <c r="K234" s="5169">
        <v>44497</v>
      </c>
      <c r="L234" s="5169">
        <v>44497</v>
      </c>
      <c r="M234" s="5169">
        <v>44501</v>
      </c>
      <c r="N234" s="5169">
        <v>44501</v>
      </c>
      <c r="O234" s="4895"/>
      <c r="P234" s="5936" t="s">
        <v>12470</v>
      </c>
      <c r="Q234" s="5289" t="s">
        <v>12536</v>
      </c>
      <c r="R234" s="4848">
        <v>1299754</v>
      </c>
      <c r="S234" s="5946">
        <v>945</v>
      </c>
      <c r="T234" s="4848">
        <v>1298878</v>
      </c>
      <c r="U234" s="5937">
        <v>898.74</v>
      </c>
    </row>
    <row r="235" spans="1:21" customFormat="1">
      <c r="A235" s="5289" t="s">
        <v>263</v>
      </c>
      <c r="B235" s="73" t="s">
        <v>12955</v>
      </c>
      <c r="C235" s="5273" t="s">
        <v>12956</v>
      </c>
      <c r="D235" s="4895" t="s">
        <v>200</v>
      </c>
      <c r="E235" s="4895"/>
      <c r="F235" s="4895"/>
      <c r="G235" s="5169">
        <v>44491</v>
      </c>
      <c r="H235" s="5289" t="s">
        <v>12536</v>
      </c>
      <c r="I235" s="5935" t="s">
        <v>12518</v>
      </c>
      <c r="J235" s="4895"/>
      <c r="K235" s="5169"/>
      <c r="L235" s="5169"/>
      <c r="M235" s="5169"/>
      <c r="N235" s="5169">
        <v>44497</v>
      </c>
      <c r="O235" s="4895">
        <v>1</v>
      </c>
      <c r="P235" s="5936"/>
      <c r="Q235" s="4895" t="s">
        <v>12754</v>
      </c>
      <c r="R235" s="4895"/>
      <c r="S235" s="5937"/>
      <c r="T235" s="4895"/>
      <c r="U235" s="5937"/>
    </row>
    <row r="236" spans="1:21" customFormat="1">
      <c r="A236" s="5289" t="s">
        <v>263</v>
      </c>
      <c r="B236" s="5934" t="s">
        <v>12957</v>
      </c>
      <c r="C236" s="5949" t="s">
        <v>12958</v>
      </c>
      <c r="D236" s="4895" t="s">
        <v>200</v>
      </c>
      <c r="E236" s="4895"/>
      <c r="F236" s="4895"/>
      <c r="G236" s="5169">
        <v>44491</v>
      </c>
      <c r="H236" s="5289" t="s">
        <v>12536</v>
      </c>
      <c r="I236" s="5935" t="s">
        <v>12584</v>
      </c>
      <c r="J236" s="4895"/>
      <c r="K236" s="5169">
        <v>44497</v>
      </c>
      <c r="L236" s="5169">
        <v>44497</v>
      </c>
      <c r="M236" s="5169">
        <v>44501</v>
      </c>
      <c r="N236" s="5169">
        <v>44501</v>
      </c>
      <c r="O236" s="4895"/>
      <c r="P236" s="159" t="s">
        <v>12470</v>
      </c>
      <c r="Q236" s="5289" t="s">
        <v>12536</v>
      </c>
      <c r="R236" s="4848">
        <v>1299754</v>
      </c>
      <c r="S236" s="5946">
        <v>945</v>
      </c>
      <c r="T236" s="4848">
        <v>1298877</v>
      </c>
      <c r="U236" s="5937">
        <v>898.74</v>
      </c>
    </row>
    <row r="237" spans="1:21" customFormat="1">
      <c r="A237" s="5289" t="s">
        <v>263</v>
      </c>
      <c r="B237" s="5934" t="s">
        <v>12959</v>
      </c>
      <c r="C237" s="5273" t="s">
        <v>12960</v>
      </c>
      <c r="D237" s="4895" t="s">
        <v>200</v>
      </c>
      <c r="E237" s="4895"/>
      <c r="F237" s="4895"/>
      <c r="G237" s="5169">
        <v>44491</v>
      </c>
      <c r="H237" s="5289" t="s">
        <v>12397</v>
      </c>
      <c r="I237" s="232" t="s">
        <v>12554</v>
      </c>
      <c r="J237" s="4895"/>
      <c r="K237" s="5169">
        <v>44497</v>
      </c>
      <c r="L237" s="5169"/>
      <c r="M237" s="5169"/>
      <c r="N237" s="5169">
        <v>44498</v>
      </c>
      <c r="O237" s="4895"/>
      <c r="P237" s="5936"/>
      <c r="Q237" s="4895" t="s">
        <v>12754</v>
      </c>
      <c r="R237" s="4895"/>
      <c r="S237" s="5937"/>
      <c r="T237" s="4895"/>
      <c r="U237" s="5937"/>
    </row>
    <row r="238" spans="1:21" customFormat="1">
      <c r="A238" s="4895" t="s">
        <v>263</v>
      </c>
      <c r="B238" s="5934" t="s">
        <v>12961</v>
      </c>
      <c r="C238" s="5273" t="s">
        <v>12793</v>
      </c>
      <c r="D238" s="4895"/>
      <c r="E238" s="4895"/>
      <c r="F238" s="4895"/>
      <c r="G238" s="5169"/>
      <c r="H238" s="4895" t="s">
        <v>12794</v>
      </c>
      <c r="I238" s="232" t="s">
        <v>12584</v>
      </c>
      <c r="J238" s="4895"/>
      <c r="K238" s="5169">
        <v>44498</v>
      </c>
      <c r="L238" s="5169">
        <v>44498</v>
      </c>
      <c r="M238" s="5169">
        <v>44503</v>
      </c>
      <c r="N238" s="5169"/>
      <c r="O238" s="5289" t="s">
        <v>12840</v>
      </c>
      <c r="P238" s="5938" t="s">
        <v>12470</v>
      </c>
      <c r="Q238" s="5289" t="s">
        <v>12536</v>
      </c>
      <c r="R238" s="4848">
        <v>1299756</v>
      </c>
      <c r="S238" s="5946">
        <v>945</v>
      </c>
      <c r="T238" s="4848">
        <v>1300873</v>
      </c>
      <c r="U238" s="5937">
        <v>1018.74</v>
      </c>
    </row>
    <row r="239" spans="1:21" customFormat="1">
      <c r="A239" s="5289" t="s">
        <v>263</v>
      </c>
      <c r="B239" s="5934" t="s">
        <v>12962</v>
      </c>
      <c r="C239" s="5273" t="s">
        <v>12963</v>
      </c>
      <c r="D239" s="4895" t="s">
        <v>200</v>
      </c>
      <c r="E239" s="4895"/>
      <c r="F239" s="4895"/>
      <c r="G239" s="5169">
        <v>44491</v>
      </c>
      <c r="H239" s="5289" t="s">
        <v>12397</v>
      </c>
      <c r="I239" s="5935" t="s">
        <v>12554</v>
      </c>
      <c r="J239" s="4895"/>
      <c r="K239" s="5169">
        <v>44497</v>
      </c>
      <c r="L239" s="5935"/>
      <c r="M239" s="5169"/>
      <c r="N239" s="5169">
        <v>44501</v>
      </c>
      <c r="O239" s="4895"/>
      <c r="P239" s="5936"/>
      <c r="Q239" s="4895" t="s">
        <v>12754</v>
      </c>
      <c r="R239" s="4895"/>
      <c r="S239" s="5937"/>
      <c r="T239" s="4895"/>
      <c r="U239" s="5937"/>
    </row>
    <row r="240" spans="1:21" customFormat="1">
      <c r="A240" s="5289" t="s">
        <v>263</v>
      </c>
      <c r="B240" s="5934" t="s">
        <v>12964</v>
      </c>
      <c r="C240" s="5273" t="s">
        <v>12965</v>
      </c>
      <c r="D240" s="4895" t="s">
        <v>200</v>
      </c>
      <c r="E240" s="4895"/>
      <c r="F240" s="4895"/>
      <c r="G240" s="5169">
        <v>44491</v>
      </c>
      <c r="H240" s="5289" t="s">
        <v>12536</v>
      </c>
      <c r="I240" s="232" t="s">
        <v>12839</v>
      </c>
      <c r="J240" s="4895"/>
      <c r="K240" s="5169">
        <v>44497</v>
      </c>
      <c r="L240" s="5169">
        <v>44497</v>
      </c>
      <c r="M240" s="5169">
        <v>44498</v>
      </c>
      <c r="N240" s="5169">
        <v>44498</v>
      </c>
      <c r="O240" s="4895" t="s">
        <v>12854</v>
      </c>
      <c r="P240" s="5936" t="s">
        <v>12796</v>
      </c>
      <c r="Q240" s="5289" t="s">
        <v>12797</v>
      </c>
      <c r="R240" s="5945" t="s">
        <v>12966</v>
      </c>
      <c r="S240" s="5946">
        <v>2958.5</v>
      </c>
      <c r="T240" s="4895"/>
      <c r="U240" s="5937"/>
    </row>
    <row r="241" spans="1:21" customFormat="1">
      <c r="A241" s="5289" t="s">
        <v>263</v>
      </c>
      <c r="B241" s="5934" t="s">
        <v>12967</v>
      </c>
      <c r="C241" s="5273" t="s">
        <v>12968</v>
      </c>
      <c r="D241" s="4895" t="s">
        <v>200</v>
      </c>
      <c r="E241" s="4895"/>
      <c r="F241" s="4895"/>
      <c r="G241" s="5169">
        <v>44491</v>
      </c>
      <c r="H241" s="5289" t="s">
        <v>12536</v>
      </c>
      <c r="I241" s="5935"/>
      <c r="J241" s="4895"/>
      <c r="K241" s="5169"/>
      <c r="L241" s="5169"/>
      <c r="M241" s="5169"/>
      <c r="N241" s="5169">
        <v>44501</v>
      </c>
      <c r="O241" s="4895">
        <v>1</v>
      </c>
      <c r="P241" s="5936"/>
      <c r="Q241" s="4895" t="s">
        <v>12754</v>
      </c>
      <c r="R241" s="4895"/>
      <c r="S241" s="5937"/>
      <c r="T241" s="4895"/>
      <c r="U241" s="5937"/>
    </row>
    <row r="242" spans="1:21" customFormat="1">
      <c r="A242" s="5289" t="s">
        <v>263</v>
      </c>
      <c r="B242" s="5934" t="s">
        <v>12969</v>
      </c>
      <c r="C242" s="5273" t="s">
        <v>12970</v>
      </c>
      <c r="D242" s="4895" t="s">
        <v>200</v>
      </c>
      <c r="E242" s="4895"/>
      <c r="F242" s="4895"/>
      <c r="G242" s="5169">
        <v>44491</v>
      </c>
      <c r="H242" s="5289" t="s">
        <v>12536</v>
      </c>
      <c r="I242" s="232" t="s">
        <v>12795</v>
      </c>
      <c r="J242" s="4895"/>
      <c r="K242" s="5169">
        <v>44497</v>
      </c>
      <c r="L242" s="5169">
        <v>44497</v>
      </c>
      <c r="M242" s="5169">
        <v>44498</v>
      </c>
      <c r="N242" s="5169">
        <v>44498</v>
      </c>
      <c r="O242" s="4895"/>
      <c r="P242" s="5936" t="s">
        <v>12796</v>
      </c>
      <c r="Q242" s="5289" t="s">
        <v>12797</v>
      </c>
      <c r="R242" s="438" t="s">
        <v>12971</v>
      </c>
      <c r="S242" s="5946">
        <v>2958.5</v>
      </c>
      <c r="T242" s="4895"/>
      <c r="U242" s="5937"/>
    </row>
    <row r="243" spans="1:21" customFormat="1">
      <c r="A243" s="5289" t="s">
        <v>263</v>
      </c>
      <c r="B243" s="5934" t="s">
        <v>12972</v>
      </c>
      <c r="C243" s="5273" t="s">
        <v>12973</v>
      </c>
      <c r="D243" s="4895" t="s">
        <v>200</v>
      </c>
      <c r="E243" s="4895"/>
      <c r="F243" s="4895"/>
      <c r="G243" s="5169">
        <v>44491</v>
      </c>
      <c r="H243" s="5289" t="s">
        <v>12536</v>
      </c>
      <c r="I243" s="5935" t="s">
        <v>12584</v>
      </c>
      <c r="J243" s="4895"/>
      <c r="K243" s="5169">
        <v>44498</v>
      </c>
      <c r="L243" s="5169">
        <v>44498</v>
      </c>
      <c r="M243" s="5169">
        <v>44503</v>
      </c>
      <c r="N243" s="5169" t="s">
        <v>12040</v>
      </c>
      <c r="O243" s="5289" t="s">
        <v>12840</v>
      </c>
      <c r="P243" s="159" t="s">
        <v>12470</v>
      </c>
      <c r="Q243" s="5289" t="s">
        <v>12536</v>
      </c>
      <c r="R243" s="4848">
        <v>1299756</v>
      </c>
      <c r="S243" s="5946">
        <v>945</v>
      </c>
      <c r="T243" s="4848">
        <v>1300876</v>
      </c>
      <c r="U243" s="5937">
        <v>1018.74</v>
      </c>
    </row>
    <row r="244" spans="1:21" customFormat="1">
      <c r="A244" s="5289" t="s">
        <v>263</v>
      </c>
      <c r="B244" s="5934" t="s">
        <v>12974</v>
      </c>
      <c r="C244" s="5273" t="s">
        <v>12975</v>
      </c>
      <c r="D244" s="4895" t="s">
        <v>200</v>
      </c>
      <c r="E244" s="4895"/>
      <c r="F244" s="4895"/>
      <c r="G244" s="5169">
        <v>44491</v>
      </c>
      <c r="H244" s="5289" t="s">
        <v>12536</v>
      </c>
      <c r="I244" s="5935" t="s">
        <v>12839</v>
      </c>
      <c r="J244" s="4895"/>
      <c r="K244" s="5169">
        <v>44497</v>
      </c>
      <c r="L244" s="5935">
        <v>44497</v>
      </c>
      <c r="M244" s="5169">
        <v>44501</v>
      </c>
      <c r="N244" s="5169">
        <v>44501</v>
      </c>
      <c r="O244" s="5289" t="s">
        <v>12976</v>
      </c>
      <c r="P244" s="158" t="s">
        <v>12796</v>
      </c>
      <c r="Q244" s="5289" t="s">
        <v>12797</v>
      </c>
      <c r="R244" s="5958" t="s">
        <v>12977</v>
      </c>
      <c r="S244" s="5946">
        <v>3063.5</v>
      </c>
      <c r="T244" s="4895"/>
      <c r="U244" s="5937"/>
    </row>
    <row r="245" spans="1:21" customFormat="1">
      <c r="A245" s="5289" t="s">
        <v>263</v>
      </c>
      <c r="B245" s="5934" t="s">
        <v>12978</v>
      </c>
      <c r="C245" s="5273" t="s">
        <v>12979</v>
      </c>
      <c r="D245" s="4895" t="s">
        <v>200</v>
      </c>
      <c r="E245" s="4895"/>
      <c r="F245" s="4895"/>
      <c r="G245" s="5169">
        <v>44491</v>
      </c>
      <c r="H245" s="5289" t="s">
        <v>12397</v>
      </c>
      <c r="I245" s="5935" t="s">
        <v>12518</v>
      </c>
      <c r="J245" s="5289" t="s">
        <v>12980</v>
      </c>
      <c r="K245" s="5169">
        <v>44496</v>
      </c>
      <c r="L245" s="5169"/>
      <c r="M245" s="5169"/>
      <c r="N245" s="5169">
        <v>44502</v>
      </c>
      <c r="O245" s="4895"/>
      <c r="P245" s="5936"/>
      <c r="Q245" s="4895" t="s">
        <v>12754</v>
      </c>
      <c r="R245" s="4895"/>
      <c r="S245" s="5937"/>
      <c r="T245" s="4895"/>
      <c r="U245" s="5937"/>
    </row>
    <row r="246" spans="1:21" customFormat="1">
      <c r="A246" s="4895" t="s">
        <v>263</v>
      </c>
      <c r="B246" s="5934" t="s">
        <v>12981</v>
      </c>
      <c r="C246" s="5273" t="s">
        <v>12793</v>
      </c>
      <c r="D246" s="4895"/>
      <c r="E246" s="4895"/>
      <c r="F246" s="4895"/>
      <c r="G246" s="5169"/>
      <c r="H246" s="4895" t="s">
        <v>12794</v>
      </c>
      <c r="I246" s="5935" t="s">
        <v>12584</v>
      </c>
      <c r="J246" s="4895"/>
      <c r="K246" s="5169">
        <v>44501</v>
      </c>
      <c r="L246" s="5169">
        <v>44501</v>
      </c>
      <c r="M246" s="5169">
        <v>44503</v>
      </c>
      <c r="N246" s="5169"/>
      <c r="O246" s="5289" t="s">
        <v>12470</v>
      </c>
      <c r="P246" s="159" t="s">
        <v>12470</v>
      </c>
      <c r="Q246" s="4895" t="s">
        <v>12536</v>
      </c>
      <c r="R246" s="4848">
        <v>1299933</v>
      </c>
      <c r="S246" s="5946">
        <v>945</v>
      </c>
      <c r="T246" s="4848">
        <v>1298866</v>
      </c>
      <c r="U246" s="5937">
        <v>898.74</v>
      </c>
    </row>
    <row r="247" spans="1:21" customFormat="1">
      <c r="A247" s="4895" t="s">
        <v>263</v>
      </c>
      <c r="B247" s="5934" t="s">
        <v>12982</v>
      </c>
      <c r="C247" s="5273" t="s">
        <v>12793</v>
      </c>
      <c r="D247" s="4895"/>
      <c r="E247" s="4895"/>
      <c r="F247" s="4895"/>
      <c r="G247" s="5169"/>
      <c r="H247" s="4895" t="s">
        <v>12794</v>
      </c>
      <c r="I247" s="232" t="s">
        <v>12584</v>
      </c>
      <c r="J247" s="4895"/>
      <c r="K247" s="5169">
        <v>44497</v>
      </c>
      <c r="L247" s="5169">
        <v>44497</v>
      </c>
      <c r="M247" s="5169">
        <v>44501</v>
      </c>
      <c r="N247" s="5169">
        <v>44501</v>
      </c>
      <c r="O247" s="5289" t="s">
        <v>12840</v>
      </c>
      <c r="P247" s="159" t="s">
        <v>12470</v>
      </c>
      <c r="Q247" s="4872" t="s">
        <v>12536</v>
      </c>
      <c r="R247" s="4848">
        <v>1299970</v>
      </c>
      <c r="S247" s="5946">
        <v>945</v>
      </c>
      <c r="T247" s="4848">
        <v>1300882</v>
      </c>
      <c r="U247" s="5937">
        <v>1018.74</v>
      </c>
    </row>
    <row r="248" spans="1:21" customFormat="1">
      <c r="A248" s="5289" t="s">
        <v>263</v>
      </c>
      <c r="B248" s="5934" t="s">
        <v>12983</v>
      </c>
      <c r="C248" s="5273" t="s">
        <v>12984</v>
      </c>
      <c r="D248" s="4895" t="s">
        <v>200</v>
      </c>
      <c r="E248" s="4895"/>
      <c r="F248" s="4895"/>
      <c r="G248" s="5169">
        <v>44491</v>
      </c>
      <c r="H248" s="5289" t="s">
        <v>12564</v>
      </c>
      <c r="I248" s="5935"/>
      <c r="J248" s="4895"/>
      <c r="K248" s="5169"/>
      <c r="L248" s="5169"/>
      <c r="M248" s="5169"/>
      <c r="N248" s="5169">
        <v>44499</v>
      </c>
      <c r="O248" s="4895">
        <v>1</v>
      </c>
      <c r="P248" s="5936"/>
      <c r="Q248" s="4895" t="s">
        <v>12754</v>
      </c>
      <c r="R248" s="4895"/>
      <c r="S248" s="5937"/>
      <c r="T248" s="4895"/>
      <c r="U248" s="5937"/>
    </row>
    <row r="249" spans="1:21" customFormat="1">
      <c r="A249" s="5289" t="s">
        <v>263</v>
      </c>
      <c r="B249" s="5934" t="s">
        <v>12985</v>
      </c>
      <c r="C249" s="5273" t="s">
        <v>12986</v>
      </c>
      <c r="D249" s="4895" t="s">
        <v>200</v>
      </c>
      <c r="E249" s="4895"/>
      <c r="F249" s="4895"/>
      <c r="G249" s="5169">
        <v>44491</v>
      </c>
      <c r="H249" s="5289" t="s">
        <v>12536</v>
      </c>
      <c r="I249" s="5500" t="s">
        <v>12839</v>
      </c>
      <c r="J249" s="4895"/>
      <c r="K249" s="5169">
        <v>44498</v>
      </c>
      <c r="L249" s="5169">
        <v>44498</v>
      </c>
      <c r="M249" s="5169">
        <v>44501</v>
      </c>
      <c r="N249" s="5169">
        <v>44501</v>
      </c>
      <c r="O249" s="4895" t="s">
        <v>12987</v>
      </c>
      <c r="P249" s="5936" t="s">
        <v>12796</v>
      </c>
      <c r="Q249" s="5289" t="s">
        <v>12797</v>
      </c>
      <c r="R249" s="5945" t="s">
        <v>12988</v>
      </c>
      <c r="S249" s="5946">
        <v>2993.5</v>
      </c>
      <c r="T249" s="4895"/>
      <c r="U249" s="5937"/>
    </row>
    <row r="250" spans="1:21" customFormat="1">
      <c r="A250" s="5289" t="s">
        <v>263</v>
      </c>
      <c r="B250" s="5934" t="s">
        <v>12989</v>
      </c>
      <c r="C250" s="5273" t="s">
        <v>12990</v>
      </c>
      <c r="D250" s="4895" t="s">
        <v>200</v>
      </c>
      <c r="E250" s="4895"/>
      <c r="F250" s="4895"/>
      <c r="G250" s="5169">
        <v>44491</v>
      </c>
      <c r="H250" s="5289" t="s">
        <v>12536</v>
      </c>
      <c r="I250" s="5500" t="s">
        <v>12584</v>
      </c>
      <c r="J250" s="4895"/>
      <c r="K250" s="5169">
        <v>44497</v>
      </c>
      <c r="L250" s="5169">
        <v>44497</v>
      </c>
      <c r="M250" s="5169">
        <v>44501</v>
      </c>
      <c r="N250" s="5169">
        <v>44501</v>
      </c>
      <c r="O250" s="5289" t="s">
        <v>12840</v>
      </c>
      <c r="P250" s="159" t="s">
        <v>12470</v>
      </c>
      <c r="Q250" s="4895" t="s">
        <v>12536</v>
      </c>
      <c r="R250" s="4848">
        <v>1299970</v>
      </c>
      <c r="S250" s="5946">
        <v>945</v>
      </c>
      <c r="T250" s="4848">
        <v>1300883</v>
      </c>
      <c r="U250" s="5937">
        <v>1018.74</v>
      </c>
    </row>
    <row r="251" spans="1:21" customFormat="1">
      <c r="A251" s="5289" t="s">
        <v>263</v>
      </c>
      <c r="B251" s="5934" t="s">
        <v>12991</v>
      </c>
      <c r="C251" s="5273" t="s">
        <v>12992</v>
      </c>
      <c r="D251" s="4895" t="s">
        <v>200</v>
      </c>
      <c r="E251" s="4895"/>
      <c r="F251" s="4895"/>
      <c r="G251" s="5169">
        <v>44491</v>
      </c>
      <c r="H251" s="5289" t="s">
        <v>12536</v>
      </c>
      <c r="I251" s="5935" t="s">
        <v>12584</v>
      </c>
      <c r="J251" s="4895"/>
      <c r="K251" s="5169">
        <v>44501</v>
      </c>
      <c r="L251" s="5169">
        <v>44501</v>
      </c>
      <c r="M251" s="5169">
        <v>44503</v>
      </c>
      <c r="N251" s="5169"/>
      <c r="O251" s="5289" t="s">
        <v>12470</v>
      </c>
      <c r="P251" s="5938" t="s">
        <v>12470</v>
      </c>
      <c r="Q251" s="4895" t="s">
        <v>12536</v>
      </c>
      <c r="R251" s="4848">
        <v>1299973</v>
      </c>
      <c r="S251" s="5946">
        <v>945</v>
      </c>
      <c r="T251" s="4848">
        <v>1298870</v>
      </c>
      <c r="U251" s="5937">
        <v>898.74</v>
      </c>
    </row>
    <row r="252" spans="1:21" customFormat="1">
      <c r="A252" s="5289" t="s">
        <v>263</v>
      </c>
      <c r="B252" s="5934" t="s">
        <v>12993</v>
      </c>
      <c r="C252" s="5273" t="s">
        <v>12994</v>
      </c>
      <c r="D252" s="4895" t="s">
        <v>200</v>
      </c>
      <c r="E252" s="4895"/>
      <c r="F252" s="4895"/>
      <c r="G252" s="5169">
        <v>44491</v>
      </c>
      <c r="H252" s="5289" t="s">
        <v>12397</v>
      </c>
      <c r="I252" s="5935" t="s">
        <v>12584</v>
      </c>
      <c r="J252" s="4895"/>
      <c r="K252" s="5169">
        <v>44501</v>
      </c>
      <c r="L252" s="5169">
        <v>44501</v>
      </c>
      <c r="M252" s="5169">
        <v>44503</v>
      </c>
      <c r="N252" s="5169"/>
      <c r="O252" s="4895"/>
      <c r="P252" s="158" t="s">
        <v>12470</v>
      </c>
      <c r="Q252" s="4895" t="s">
        <v>12536</v>
      </c>
      <c r="R252" s="4848">
        <v>1299973</v>
      </c>
      <c r="S252" s="5946">
        <v>945</v>
      </c>
      <c r="T252" s="4848">
        <v>1298871</v>
      </c>
      <c r="U252" s="5937">
        <v>898.74</v>
      </c>
    </row>
    <row r="253" spans="1:21" customFormat="1">
      <c r="A253" s="5289" t="s">
        <v>263</v>
      </c>
      <c r="B253" s="5947" t="s">
        <v>12995</v>
      </c>
      <c r="C253" s="5273" t="s">
        <v>12996</v>
      </c>
      <c r="D253" s="4895" t="s">
        <v>200</v>
      </c>
      <c r="E253" s="4895"/>
      <c r="F253" s="4895"/>
      <c r="G253" s="5169">
        <v>44491</v>
      </c>
      <c r="H253" s="5289" t="s">
        <v>12536</v>
      </c>
      <c r="I253" s="5935" t="s">
        <v>12584</v>
      </c>
      <c r="J253" s="4895"/>
      <c r="K253" s="5169">
        <v>44498</v>
      </c>
      <c r="L253" s="5169">
        <v>44498</v>
      </c>
      <c r="M253" s="5169">
        <v>44502</v>
      </c>
      <c r="N253" s="5169">
        <v>44502</v>
      </c>
      <c r="O253" s="5289" t="s">
        <v>12911</v>
      </c>
      <c r="P253" s="5938" t="s">
        <v>12470</v>
      </c>
      <c r="Q253" s="4895" t="s">
        <v>12536</v>
      </c>
      <c r="R253" s="4848">
        <v>1300045</v>
      </c>
      <c r="S253" s="5946">
        <v>945</v>
      </c>
      <c r="T253" s="4848">
        <v>1300870</v>
      </c>
      <c r="U253" s="5937">
        <v>978.74</v>
      </c>
    </row>
    <row r="254" spans="1:21" customFormat="1">
      <c r="A254" s="5289" t="s">
        <v>263</v>
      </c>
      <c r="B254" s="5934" t="s">
        <v>12997</v>
      </c>
      <c r="C254" s="5273" t="s">
        <v>12998</v>
      </c>
      <c r="D254" s="4895" t="s">
        <v>200</v>
      </c>
      <c r="E254" s="4895"/>
      <c r="F254" s="4895"/>
      <c r="G254" s="5169">
        <v>44491</v>
      </c>
      <c r="H254" s="5289" t="s">
        <v>12536</v>
      </c>
      <c r="I254" s="5935" t="s">
        <v>12795</v>
      </c>
      <c r="J254" s="4895"/>
      <c r="K254" s="5169">
        <v>44496</v>
      </c>
      <c r="L254" s="5169">
        <v>44497</v>
      </c>
      <c r="M254" s="5169">
        <v>44498</v>
      </c>
      <c r="N254" s="5169">
        <v>44498</v>
      </c>
      <c r="O254" s="4895"/>
      <c r="P254" s="5936" t="s">
        <v>12796</v>
      </c>
      <c r="Q254" s="5289" t="s">
        <v>12797</v>
      </c>
      <c r="R254" s="5958" t="s">
        <v>12999</v>
      </c>
      <c r="S254" s="5946">
        <v>2958.5</v>
      </c>
      <c r="T254" s="4895"/>
      <c r="U254" s="5937"/>
    </row>
    <row r="255" spans="1:21" customFormat="1">
      <c r="A255" s="5289" t="s">
        <v>263</v>
      </c>
      <c r="B255" s="5934" t="s">
        <v>13000</v>
      </c>
      <c r="C255" s="5273" t="s">
        <v>13001</v>
      </c>
      <c r="D255" s="4895" t="s">
        <v>200</v>
      </c>
      <c r="E255" s="4895"/>
      <c r="F255" s="4895"/>
      <c r="G255" s="5169">
        <v>44491</v>
      </c>
      <c r="H255" s="5289" t="s">
        <v>12536</v>
      </c>
      <c r="I255" s="5935" t="s">
        <v>12584</v>
      </c>
      <c r="J255" s="4895"/>
      <c r="K255" s="5169">
        <v>44498</v>
      </c>
      <c r="L255" s="5169">
        <v>44498</v>
      </c>
      <c r="M255" s="5169">
        <v>44502</v>
      </c>
      <c r="N255" s="5169">
        <v>44502</v>
      </c>
      <c r="O255" s="5289" t="s">
        <v>12911</v>
      </c>
      <c r="P255" s="159" t="s">
        <v>12470</v>
      </c>
      <c r="Q255" s="4895" t="s">
        <v>12536</v>
      </c>
      <c r="R255" s="4848">
        <v>1300045</v>
      </c>
      <c r="S255" s="5946">
        <v>945</v>
      </c>
      <c r="T255" s="4848">
        <v>1300868</v>
      </c>
      <c r="U255" s="5937">
        <v>978.74</v>
      </c>
    </row>
    <row r="256" spans="1:21" customFormat="1">
      <c r="A256" s="5289" t="s">
        <v>263</v>
      </c>
      <c r="B256" s="5934" t="s">
        <v>13002</v>
      </c>
      <c r="C256" s="5273" t="s">
        <v>13003</v>
      </c>
      <c r="D256" s="4895" t="s">
        <v>200</v>
      </c>
      <c r="E256" s="4895"/>
      <c r="F256" s="4895"/>
      <c r="G256" s="5169">
        <v>44491</v>
      </c>
      <c r="H256" s="5289" t="s">
        <v>12564</v>
      </c>
      <c r="I256" s="5935" t="s">
        <v>12584</v>
      </c>
      <c r="J256" s="4895"/>
      <c r="K256" s="5169">
        <v>44501</v>
      </c>
      <c r="L256" s="5169">
        <v>44501</v>
      </c>
      <c r="M256" s="5169">
        <v>44503</v>
      </c>
      <c r="N256" s="5169"/>
      <c r="O256" s="4895"/>
      <c r="P256" s="5938" t="s">
        <v>12470</v>
      </c>
      <c r="Q256" s="4895" t="s">
        <v>12536</v>
      </c>
      <c r="R256" s="4848">
        <v>1300403</v>
      </c>
      <c r="S256" s="5946">
        <v>945</v>
      </c>
      <c r="T256" s="4848">
        <v>1298872</v>
      </c>
      <c r="U256" s="5937">
        <v>898.74</v>
      </c>
    </row>
    <row r="257" spans="1:21" ht="30">
      <c r="A257" s="5288" t="s">
        <v>263</v>
      </c>
      <c r="B257" s="5940" t="s">
        <v>13004</v>
      </c>
      <c r="C257" s="5941" t="s">
        <v>13005</v>
      </c>
      <c r="D257" s="5122" t="s">
        <v>200</v>
      </c>
      <c r="E257" s="5122"/>
      <c r="F257" s="5122"/>
      <c r="G257" s="5291">
        <v>44491</v>
      </c>
      <c r="H257" s="5288" t="s">
        <v>12397</v>
      </c>
      <c r="I257" s="5942" t="s">
        <v>13006</v>
      </c>
      <c r="J257" s="5122"/>
      <c r="K257" s="5169">
        <v>44497</v>
      </c>
      <c r="L257" s="5291">
        <v>44497</v>
      </c>
      <c r="M257" s="5291">
        <v>44498</v>
      </c>
      <c r="N257" s="5291">
        <v>44498</v>
      </c>
      <c r="O257" s="5122"/>
      <c r="P257" s="5943" t="s">
        <v>12759</v>
      </c>
      <c r="Q257" s="5288" t="s">
        <v>12564</v>
      </c>
      <c r="R257" s="5122">
        <v>332317</v>
      </c>
      <c r="S257" s="5944">
        <v>945</v>
      </c>
      <c r="T257" s="5122"/>
      <c r="U257" s="5944"/>
    </row>
    <row r="258" spans="1:21" ht="30">
      <c r="A258" s="5122" t="s">
        <v>263</v>
      </c>
      <c r="B258" s="5940" t="s">
        <v>13007</v>
      </c>
      <c r="C258" s="5941" t="s">
        <v>12793</v>
      </c>
      <c r="D258" s="5122"/>
      <c r="E258" s="5122"/>
      <c r="F258" s="5122"/>
      <c r="G258" s="5291"/>
      <c r="H258" s="5122" t="s">
        <v>12794</v>
      </c>
      <c r="I258" s="5942" t="s">
        <v>13006</v>
      </c>
      <c r="J258" s="5122"/>
      <c r="K258" s="5169">
        <v>44497</v>
      </c>
      <c r="L258" s="5291">
        <v>44497</v>
      </c>
      <c r="M258" s="5291">
        <v>44498</v>
      </c>
      <c r="N258" s="5291">
        <v>44498</v>
      </c>
      <c r="O258" s="5122"/>
      <c r="P258" s="5943" t="s">
        <v>12759</v>
      </c>
      <c r="Q258" s="5288" t="s">
        <v>12564</v>
      </c>
      <c r="R258" s="5122">
        <v>332317</v>
      </c>
      <c r="S258" s="5944">
        <v>945</v>
      </c>
      <c r="T258" s="5122"/>
      <c r="U258" s="5944"/>
    </row>
    <row r="259" spans="1:21" customFormat="1">
      <c r="A259" s="5289" t="s">
        <v>263</v>
      </c>
      <c r="B259" s="5934" t="s">
        <v>13008</v>
      </c>
      <c r="C259" s="5273" t="s">
        <v>13009</v>
      </c>
      <c r="D259" s="4895" t="s">
        <v>200</v>
      </c>
      <c r="E259" s="4895"/>
      <c r="F259" s="4895"/>
      <c r="G259" s="5169">
        <v>44491</v>
      </c>
      <c r="H259" s="5289" t="s">
        <v>12397</v>
      </c>
      <c r="I259" s="5956" t="s">
        <v>13010</v>
      </c>
      <c r="J259" s="4895"/>
      <c r="K259" s="5169">
        <v>44498</v>
      </c>
      <c r="L259" s="5169">
        <v>44501</v>
      </c>
      <c r="M259" s="5169">
        <v>44503</v>
      </c>
      <c r="N259" s="5169"/>
      <c r="O259" s="4895"/>
      <c r="P259" s="5938" t="s">
        <v>12470</v>
      </c>
      <c r="Q259" s="4895" t="s">
        <v>12536</v>
      </c>
      <c r="R259" s="4848">
        <v>1300403</v>
      </c>
      <c r="S259" s="5946">
        <v>945</v>
      </c>
      <c r="T259" s="4848">
        <v>1298873</v>
      </c>
      <c r="U259" s="5937">
        <v>898.74</v>
      </c>
    </row>
    <row r="260" spans="1:21" customFormat="1">
      <c r="A260" s="5289" t="s">
        <v>263</v>
      </c>
      <c r="B260" s="5934" t="s">
        <v>13011</v>
      </c>
      <c r="C260" s="5273" t="s">
        <v>13012</v>
      </c>
      <c r="D260" s="4895" t="s">
        <v>200</v>
      </c>
      <c r="E260" s="4895"/>
      <c r="F260" s="4895"/>
      <c r="G260" s="5169">
        <v>44491</v>
      </c>
      <c r="H260" s="5289" t="s">
        <v>12536</v>
      </c>
      <c r="I260" s="5935" t="s">
        <v>12554</v>
      </c>
      <c r="J260" s="4895"/>
      <c r="K260" s="5169">
        <v>44497</v>
      </c>
      <c r="L260" s="5169"/>
      <c r="M260" s="5169"/>
      <c r="N260" s="5169">
        <v>44501</v>
      </c>
      <c r="O260" s="4895"/>
      <c r="P260" s="5936"/>
      <c r="Q260" s="4895" t="s">
        <v>12754</v>
      </c>
      <c r="R260" s="4895"/>
      <c r="S260" s="5937"/>
      <c r="T260" s="4895"/>
      <c r="U260" s="5937"/>
    </row>
    <row r="261" spans="1:21" customFormat="1">
      <c r="A261" s="5289" t="s">
        <v>263</v>
      </c>
      <c r="B261" s="5934" t="s">
        <v>13013</v>
      </c>
      <c r="C261" s="5273" t="s">
        <v>13014</v>
      </c>
      <c r="D261" s="4895" t="s">
        <v>200</v>
      </c>
      <c r="E261" s="4895"/>
      <c r="F261" s="4895"/>
      <c r="G261" s="5169">
        <v>44491</v>
      </c>
      <c r="H261" s="5289" t="s">
        <v>12397</v>
      </c>
      <c r="I261" s="5935" t="s">
        <v>12791</v>
      </c>
      <c r="J261" s="4895"/>
      <c r="K261" s="5169">
        <v>44497</v>
      </c>
      <c r="L261" s="5169"/>
      <c r="M261" s="5169"/>
      <c r="N261" s="5169">
        <v>44498</v>
      </c>
      <c r="O261" s="4895"/>
      <c r="P261" s="5936"/>
      <c r="Q261" s="4895" t="s">
        <v>12754</v>
      </c>
      <c r="R261" s="4895"/>
      <c r="S261" s="5937"/>
      <c r="T261" s="4895"/>
      <c r="U261" s="5937"/>
    </row>
    <row r="262" spans="1:21" customFormat="1">
      <c r="A262" s="5289" t="s">
        <v>263</v>
      </c>
      <c r="B262" s="5934" t="s">
        <v>13015</v>
      </c>
      <c r="C262" s="5273" t="s">
        <v>13016</v>
      </c>
      <c r="D262" s="4895" t="s">
        <v>200</v>
      </c>
      <c r="E262" s="4895"/>
      <c r="F262" s="4895"/>
      <c r="G262" s="5169">
        <v>44491</v>
      </c>
      <c r="H262" s="5289" t="s">
        <v>12536</v>
      </c>
      <c r="I262" s="5500" t="s">
        <v>12839</v>
      </c>
      <c r="J262" s="4895"/>
      <c r="K262" s="5169">
        <v>44498</v>
      </c>
      <c r="L262" s="5169">
        <v>44498</v>
      </c>
      <c r="M262" s="5169">
        <v>44502</v>
      </c>
      <c r="N262" s="5169">
        <v>44502</v>
      </c>
      <c r="O262" s="4895"/>
      <c r="P262" s="5936" t="s">
        <v>12796</v>
      </c>
      <c r="Q262" s="5289" t="s">
        <v>12797</v>
      </c>
      <c r="R262" s="520" t="s">
        <v>13017</v>
      </c>
      <c r="S262" s="5937">
        <v>3028.5</v>
      </c>
      <c r="T262" s="4895"/>
      <c r="U262" s="5937"/>
    </row>
    <row r="263" spans="1:21" customFormat="1">
      <c r="A263" s="5289" t="s">
        <v>263</v>
      </c>
      <c r="B263" s="5934" t="s">
        <v>13018</v>
      </c>
      <c r="C263" s="5273" t="s">
        <v>13019</v>
      </c>
      <c r="D263" s="4895" t="s">
        <v>200</v>
      </c>
      <c r="E263" s="4895"/>
      <c r="F263" s="4895"/>
      <c r="G263" s="5169">
        <v>44491</v>
      </c>
      <c r="H263" s="5289" t="s">
        <v>12536</v>
      </c>
      <c r="I263" s="5935" t="s">
        <v>12584</v>
      </c>
      <c r="J263" s="4895"/>
      <c r="K263" s="5169">
        <v>44498</v>
      </c>
      <c r="L263" s="5169">
        <v>44498</v>
      </c>
      <c r="M263" s="5169">
        <v>44502</v>
      </c>
      <c r="N263" s="5169">
        <v>44502</v>
      </c>
      <c r="O263" s="5289" t="s">
        <v>12911</v>
      </c>
      <c r="P263" s="5938" t="s">
        <v>12470</v>
      </c>
      <c r="Q263" s="4895" t="s">
        <v>12536</v>
      </c>
      <c r="R263" s="4848">
        <v>1300855</v>
      </c>
      <c r="S263" s="5946">
        <v>945</v>
      </c>
      <c r="T263" s="4848">
        <v>1300892</v>
      </c>
      <c r="U263" s="5937">
        <v>978.74</v>
      </c>
    </row>
    <row r="264" spans="1:21" customFormat="1">
      <c r="A264" s="5289" t="s">
        <v>263</v>
      </c>
      <c r="B264" s="5934" t="s">
        <v>13020</v>
      </c>
      <c r="C264" s="5273" t="s">
        <v>13021</v>
      </c>
      <c r="D264" s="4895" t="s">
        <v>200</v>
      </c>
      <c r="E264" s="4895"/>
      <c r="F264" s="4895"/>
      <c r="G264" s="5169">
        <v>44491</v>
      </c>
      <c r="H264" s="5289" t="s">
        <v>12536</v>
      </c>
      <c r="I264" s="5935" t="s">
        <v>12791</v>
      </c>
      <c r="J264" s="4895"/>
      <c r="K264" s="5169">
        <v>44497</v>
      </c>
      <c r="L264" s="5169"/>
      <c r="M264" s="5169"/>
      <c r="N264" s="5169">
        <v>44498</v>
      </c>
      <c r="O264" s="4895"/>
      <c r="P264" s="5936"/>
      <c r="Q264" s="4895" t="s">
        <v>12754</v>
      </c>
      <c r="R264" s="4895"/>
      <c r="S264" s="5937"/>
      <c r="T264" s="4895"/>
      <c r="U264" s="5937"/>
    </row>
    <row r="265" spans="1:21" customFormat="1">
      <c r="A265" s="5289" t="s">
        <v>263</v>
      </c>
      <c r="B265" s="5934" t="s">
        <v>13022</v>
      </c>
      <c r="C265" s="5273" t="s">
        <v>13023</v>
      </c>
      <c r="D265" s="4895" t="s">
        <v>200</v>
      </c>
      <c r="E265" s="4895"/>
      <c r="F265" s="4895"/>
      <c r="G265" s="5169">
        <v>44491</v>
      </c>
      <c r="H265" s="5289" t="s">
        <v>12536</v>
      </c>
      <c r="I265" s="5500" t="s">
        <v>12584</v>
      </c>
      <c r="J265" s="4895"/>
      <c r="K265" s="5169">
        <v>44498</v>
      </c>
      <c r="L265" s="5169">
        <v>44498</v>
      </c>
      <c r="M265" s="5169">
        <v>44502</v>
      </c>
      <c r="N265" s="5169">
        <v>44502</v>
      </c>
      <c r="O265" s="5289" t="s">
        <v>12911</v>
      </c>
      <c r="P265" s="5938" t="s">
        <v>12470</v>
      </c>
      <c r="Q265" s="4895" t="s">
        <v>12536</v>
      </c>
      <c r="R265" s="4848">
        <v>1300855</v>
      </c>
      <c r="S265" s="5946">
        <v>945</v>
      </c>
      <c r="T265" s="4848">
        <v>1300890</v>
      </c>
      <c r="U265" s="5937">
        <v>978.74</v>
      </c>
    </row>
    <row r="266" spans="1:21" customFormat="1">
      <c r="A266" s="5289" t="s">
        <v>263</v>
      </c>
      <c r="B266" s="5934" t="s">
        <v>13024</v>
      </c>
      <c r="C266" s="5273" t="s">
        <v>13025</v>
      </c>
      <c r="D266" s="4895" t="s">
        <v>200</v>
      </c>
      <c r="E266" s="4895"/>
      <c r="F266" s="4895"/>
      <c r="G266" s="5169">
        <v>44491</v>
      </c>
      <c r="H266" s="5289" t="s">
        <v>12397</v>
      </c>
      <c r="I266" s="6" t="s">
        <v>12584</v>
      </c>
      <c r="J266" s="4895"/>
      <c r="K266" s="5169">
        <v>44498</v>
      </c>
      <c r="L266" s="5169">
        <v>44498</v>
      </c>
      <c r="M266" s="5169">
        <v>44502</v>
      </c>
      <c r="N266" s="5169">
        <v>44502</v>
      </c>
      <c r="O266" s="5289" t="s">
        <v>12911</v>
      </c>
      <c r="P266" s="5938" t="s">
        <v>12470</v>
      </c>
      <c r="Q266" s="5289" t="s">
        <v>12536</v>
      </c>
      <c r="R266" s="5959" t="s">
        <v>13026</v>
      </c>
      <c r="S266" s="5960">
        <f>75+945</f>
        <v>1020</v>
      </c>
      <c r="T266" s="4848">
        <v>1300872</v>
      </c>
      <c r="U266" s="5937">
        <v>978.74</v>
      </c>
    </row>
    <row r="267" spans="1:21" customFormat="1">
      <c r="A267" s="5289" t="s">
        <v>263</v>
      </c>
      <c r="B267" s="5934" t="s">
        <v>13027</v>
      </c>
      <c r="C267" s="5273" t="s">
        <v>13028</v>
      </c>
      <c r="D267" s="4895" t="s">
        <v>200</v>
      </c>
      <c r="E267" s="4895"/>
      <c r="F267" s="4895"/>
      <c r="G267" s="5169">
        <v>44491</v>
      </c>
      <c r="H267" s="5289" t="s">
        <v>12564</v>
      </c>
      <c r="I267" s="5500" t="s">
        <v>12839</v>
      </c>
      <c r="J267" s="4895"/>
      <c r="K267" s="5169">
        <v>44497</v>
      </c>
      <c r="L267" s="5169">
        <v>44497</v>
      </c>
      <c r="M267" s="5169">
        <v>44499</v>
      </c>
      <c r="N267" s="5169">
        <v>44499</v>
      </c>
      <c r="O267" s="4895" t="s">
        <v>13029</v>
      </c>
      <c r="P267" s="5936" t="s">
        <v>12796</v>
      </c>
      <c r="Q267" s="5289" t="s">
        <v>12797</v>
      </c>
      <c r="R267" s="5945" t="s">
        <v>13030</v>
      </c>
      <c r="S267" s="5946">
        <v>2993.5</v>
      </c>
      <c r="T267" s="4895"/>
      <c r="U267" s="5937"/>
    </row>
    <row r="268" spans="1:21" customFormat="1">
      <c r="A268" s="5289" t="s">
        <v>263</v>
      </c>
      <c r="B268" s="5934" t="s">
        <v>13031</v>
      </c>
      <c r="C268" s="5273" t="s">
        <v>13032</v>
      </c>
      <c r="D268" s="4895" t="s">
        <v>200</v>
      </c>
      <c r="E268" s="4895"/>
      <c r="F268" s="4895"/>
      <c r="G268" s="5169">
        <v>44491</v>
      </c>
      <c r="H268" s="5289" t="s">
        <v>12397</v>
      </c>
      <c r="I268" s="5935" t="s">
        <v>12518</v>
      </c>
      <c r="J268" s="4895"/>
      <c r="K268" s="5169">
        <v>44496</v>
      </c>
      <c r="L268" s="5169"/>
      <c r="M268" s="5169"/>
      <c r="N268" s="5169">
        <v>44502</v>
      </c>
      <c r="O268" s="4895"/>
      <c r="P268" s="5936"/>
      <c r="Q268" s="4895" t="s">
        <v>12754</v>
      </c>
      <c r="R268" s="4895"/>
      <c r="S268" s="5937"/>
      <c r="T268" s="4895"/>
      <c r="U268" s="5937"/>
    </row>
    <row r="269" spans="1:21" customFormat="1">
      <c r="A269" s="5289" t="s">
        <v>263</v>
      </c>
      <c r="B269" s="5934" t="s">
        <v>13033</v>
      </c>
      <c r="C269" s="5273" t="s">
        <v>13034</v>
      </c>
      <c r="D269" s="4895" t="s">
        <v>200</v>
      </c>
      <c r="E269" s="4895"/>
      <c r="F269" s="4895"/>
      <c r="G269" s="5169">
        <v>44491</v>
      </c>
      <c r="H269" s="5289" t="s">
        <v>12536</v>
      </c>
      <c r="I269" s="5935" t="s">
        <v>12554</v>
      </c>
      <c r="J269" s="4895"/>
      <c r="K269" s="5169">
        <v>44498</v>
      </c>
      <c r="L269" s="5169"/>
      <c r="M269" s="5169"/>
      <c r="N269" s="5169">
        <v>44498</v>
      </c>
      <c r="O269" s="4895"/>
      <c r="P269" s="5936"/>
      <c r="Q269" s="4895" t="s">
        <v>12754</v>
      </c>
      <c r="R269" s="4895"/>
      <c r="S269" s="5937"/>
      <c r="T269" s="4895"/>
      <c r="U269" s="5937"/>
    </row>
    <row r="270" spans="1:21" customFormat="1">
      <c r="A270" s="5289" t="s">
        <v>263</v>
      </c>
      <c r="B270" s="5934" t="s">
        <v>13035</v>
      </c>
      <c r="C270" s="5273" t="s">
        <v>13036</v>
      </c>
      <c r="D270" s="4895" t="s">
        <v>200</v>
      </c>
      <c r="E270" s="4895"/>
      <c r="F270" s="4895"/>
      <c r="G270" s="5169">
        <v>44491</v>
      </c>
      <c r="H270" s="5289" t="s">
        <v>12397</v>
      </c>
      <c r="I270" s="5935"/>
      <c r="J270" s="4895"/>
      <c r="K270" s="5169"/>
      <c r="L270" s="5169"/>
      <c r="M270" s="5169"/>
      <c r="N270" s="5169">
        <v>44502</v>
      </c>
      <c r="O270" s="4895">
        <v>1</v>
      </c>
      <c r="P270" s="158"/>
      <c r="Q270" s="2" t="s">
        <v>12754</v>
      </c>
      <c r="R270" s="4895"/>
      <c r="S270" s="5937"/>
      <c r="T270" s="4895"/>
      <c r="U270" s="5937"/>
    </row>
    <row r="271" spans="1:21" customFormat="1">
      <c r="A271" s="5289" t="s">
        <v>263</v>
      </c>
      <c r="B271" s="5934" t="s">
        <v>13037</v>
      </c>
      <c r="C271" s="5273" t="s">
        <v>13038</v>
      </c>
      <c r="D271" s="4895" t="s">
        <v>200</v>
      </c>
      <c r="E271" s="4895"/>
      <c r="F271" s="4895"/>
      <c r="G271" s="5169">
        <v>44491</v>
      </c>
      <c r="H271" s="5289" t="s">
        <v>12536</v>
      </c>
      <c r="I271" s="5935" t="s">
        <v>12554</v>
      </c>
      <c r="J271" s="4895"/>
      <c r="K271" s="5169">
        <v>44498</v>
      </c>
      <c r="L271" s="5169"/>
      <c r="M271" s="5169"/>
      <c r="N271" s="5169" t="s">
        <v>12040</v>
      </c>
      <c r="O271" s="4895"/>
      <c r="P271" s="5936"/>
      <c r="Q271" s="5289" t="s">
        <v>12754</v>
      </c>
      <c r="R271" s="4895"/>
      <c r="S271" s="5937"/>
      <c r="T271" s="4895"/>
      <c r="U271" s="5937"/>
    </row>
    <row r="272" spans="1:21" customFormat="1">
      <c r="A272" s="5289" t="s">
        <v>263</v>
      </c>
      <c r="B272" s="5934" t="s">
        <v>13039</v>
      </c>
      <c r="C272" s="5273" t="s">
        <v>13040</v>
      </c>
      <c r="D272" s="4895" t="s">
        <v>200</v>
      </c>
      <c r="E272" s="4895"/>
      <c r="F272" s="4895"/>
      <c r="G272" s="5169">
        <v>44491</v>
      </c>
      <c r="H272" s="5289" t="s">
        <v>12536</v>
      </c>
      <c r="I272" s="5935" t="s">
        <v>12554</v>
      </c>
      <c r="J272" s="4895"/>
      <c r="K272" s="5169">
        <v>44498</v>
      </c>
      <c r="L272" s="5169"/>
      <c r="M272" s="5169"/>
      <c r="N272" s="5169">
        <v>44501</v>
      </c>
      <c r="O272" s="4895"/>
      <c r="P272" s="5936"/>
      <c r="Q272" s="4895" t="s">
        <v>12754</v>
      </c>
      <c r="R272" s="4895"/>
      <c r="S272" s="5937"/>
      <c r="T272" s="4895"/>
      <c r="U272" s="5937"/>
    </row>
    <row r="273" spans="1:21" customFormat="1">
      <c r="A273" s="5289" t="s">
        <v>263</v>
      </c>
      <c r="B273" s="5934" t="s">
        <v>13041</v>
      </c>
      <c r="C273" s="5273" t="s">
        <v>13042</v>
      </c>
      <c r="D273" s="4895" t="s">
        <v>200</v>
      </c>
      <c r="E273" s="4895"/>
      <c r="F273" s="4895"/>
      <c r="G273" s="5169">
        <v>44491</v>
      </c>
      <c r="H273" s="5289" t="s">
        <v>12397</v>
      </c>
      <c r="I273" s="5935" t="s">
        <v>12518</v>
      </c>
      <c r="J273" s="4895"/>
      <c r="K273" s="5169">
        <v>44501</v>
      </c>
      <c r="L273" s="5169"/>
      <c r="M273" s="5169"/>
      <c r="N273" s="5169">
        <v>44502</v>
      </c>
      <c r="O273" s="4895"/>
      <c r="P273" s="158"/>
      <c r="Q273" s="2" t="s">
        <v>12754</v>
      </c>
      <c r="R273" s="4895"/>
      <c r="S273" s="5937"/>
      <c r="T273" s="4895"/>
      <c r="U273" s="5937"/>
    </row>
    <row r="274" spans="1:21" customFormat="1">
      <c r="A274" s="5289" t="s">
        <v>263</v>
      </c>
      <c r="B274" s="5934" t="s">
        <v>13043</v>
      </c>
      <c r="C274" s="5273" t="s">
        <v>13044</v>
      </c>
      <c r="D274" s="4895" t="s">
        <v>200</v>
      </c>
      <c r="E274" s="4895"/>
      <c r="F274" s="4895"/>
      <c r="G274" s="5169">
        <v>44491</v>
      </c>
      <c r="H274" s="5289" t="s">
        <v>12536</v>
      </c>
      <c r="I274" s="5961" t="s">
        <v>12554</v>
      </c>
      <c r="J274" s="4895"/>
      <c r="K274" s="5169">
        <v>44498</v>
      </c>
      <c r="L274" s="5169"/>
      <c r="M274" s="5169"/>
      <c r="N274" s="5169">
        <v>44501</v>
      </c>
      <c r="O274" s="4895"/>
      <c r="P274" s="5936"/>
      <c r="Q274" s="4895" t="s">
        <v>12754</v>
      </c>
      <c r="R274" s="4895"/>
      <c r="S274" s="5937"/>
      <c r="T274" s="4895"/>
      <c r="U274" s="5937"/>
    </row>
    <row r="275" spans="1:21" customFormat="1">
      <c r="A275" s="5289" t="s">
        <v>263</v>
      </c>
      <c r="B275" s="5934" t="s">
        <v>13045</v>
      </c>
      <c r="C275" s="5273" t="s">
        <v>13046</v>
      </c>
      <c r="D275" s="4895" t="s">
        <v>200</v>
      </c>
      <c r="E275" s="4895"/>
      <c r="F275" s="4895"/>
      <c r="G275" s="5169">
        <v>44491</v>
      </c>
      <c r="H275" s="5289" t="s">
        <v>12564</v>
      </c>
      <c r="I275" s="5935" t="s">
        <v>12795</v>
      </c>
      <c r="J275" s="4895"/>
      <c r="K275" s="5169">
        <v>44497</v>
      </c>
      <c r="L275" s="5169">
        <v>44497</v>
      </c>
      <c r="M275" s="5169">
        <v>44501</v>
      </c>
      <c r="N275" s="5169">
        <v>44501</v>
      </c>
      <c r="O275" s="4895" t="s">
        <v>13047</v>
      </c>
      <c r="P275" s="5936" t="s">
        <v>12796</v>
      </c>
      <c r="Q275" s="5289" t="s">
        <v>12797</v>
      </c>
      <c r="R275" s="5945" t="s">
        <v>13048</v>
      </c>
      <c r="S275" s="5946">
        <v>3063.5</v>
      </c>
      <c r="T275" s="4895"/>
      <c r="U275" s="5937"/>
    </row>
    <row r="276" spans="1:21" customFormat="1">
      <c r="A276" s="5289" t="s">
        <v>263</v>
      </c>
      <c r="B276" s="5934" t="s">
        <v>13049</v>
      </c>
      <c r="C276" s="5273" t="s">
        <v>13050</v>
      </c>
      <c r="D276" s="4895" t="s">
        <v>200</v>
      </c>
      <c r="E276" s="4895"/>
      <c r="F276" s="4895"/>
      <c r="G276" s="5169">
        <v>44491</v>
      </c>
      <c r="H276" s="5289" t="s">
        <v>12397</v>
      </c>
      <c r="I276" s="5935" t="s">
        <v>12584</v>
      </c>
      <c r="J276" s="4895"/>
      <c r="K276" s="5169">
        <v>44501</v>
      </c>
      <c r="L276" s="5169">
        <v>44501</v>
      </c>
      <c r="M276" s="5169">
        <v>44503</v>
      </c>
      <c r="N276" s="5169"/>
      <c r="O276" s="5289" t="s">
        <v>12470</v>
      </c>
      <c r="P276" s="5938" t="s">
        <v>12470</v>
      </c>
      <c r="Q276" s="4895" t="s">
        <v>12536</v>
      </c>
      <c r="R276" s="5962" t="s">
        <v>13051</v>
      </c>
      <c r="S276" s="5960">
        <f>945+75</f>
        <v>1020</v>
      </c>
      <c r="T276" s="4848">
        <v>1298867</v>
      </c>
      <c r="U276" s="5937">
        <v>898.74</v>
      </c>
    </row>
    <row r="277" spans="1:21" customFormat="1">
      <c r="A277" s="5289" t="s">
        <v>263</v>
      </c>
      <c r="B277" s="5934" t="s">
        <v>13052</v>
      </c>
      <c r="C277" s="5273" t="s">
        <v>13053</v>
      </c>
      <c r="D277" s="4895" t="s">
        <v>200</v>
      </c>
      <c r="E277" s="4895"/>
      <c r="F277" s="4895"/>
      <c r="G277" s="5169">
        <v>44491</v>
      </c>
      <c r="H277" s="5289" t="s">
        <v>12397</v>
      </c>
      <c r="I277" s="5935"/>
      <c r="J277" s="4895"/>
      <c r="K277" s="5169"/>
      <c r="L277" s="5169"/>
      <c r="M277" s="5169"/>
      <c r="N277" s="5169">
        <v>44502</v>
      </c>
      <c r="O277" s="4895">
        <v>1</v>
      </c>
      <c r="P277" s="158"/>
      <c r="Q277" s="2" t="s">
        <v>12754</v>
      </c>
      <c r="R277" s="4895"/>
      <c r="S277" s="5937"/>
      <c r="T277" s="4895"/>
      <c r="U277" s="5937"/>
    </row>
    <row r="278" spans="1:21" customFormat="1">
      <c r="A278" s="5289" t="s">
        <v>263</v>
      </c>
      <c r="B278" s="5934" t="s">
        <v>13054</v>
      </c>
      <c r="C278" s="5273" t="s">
        <v>13055</v>
      </c>
      <c r="D278" s="4895" t="s">
        <v>200</v>
      </c>
      <c r="E278" s="4895"/>
      <c r="F278" s="4895"/>
      <c r="G278" s="5169">
        <v>44491</v>
      </c>
      <c r="H278" s="5289" t="s">
        <v>12564</v>
      </c>
      <c r="I278" s="5935" t="s">
        <v>12584</v>
      </c>
      <c r="J278" s="4895"/>
      <c r="K278" s="5169">
        <v>44496</v>
      </c>
      <c r="L278" s="5169">
        <v>44496</v>
      </c>
      <c r="M278" s="5169">
        <v>44497</v>
      </c>
      <c r="N278" s="5169">
        <v>44497</v>
      </c>
      <c r="O278" s="4895" t="s">
        <v>12470</v>
      </c>
      <c r="P278" s="5938" t="s">
        <v>12470</v>
      </c>
      <c r="Q278" s="4895" t="s">
        <v>12536</v>
      </c>
      <c r="R278" s="4848">
        <v>1297582</v>
      </c>
      <c r="S278" s="5937">
        <v>945</v>
      </c>
      <c r="T278" s="4848">
        <v>1297574</v>
      </c>
      <c r="U278" s="5937">
        <v>898.74</v>
      </c>
    </row>
    <row r="279" spans="1:21" customFormat="1">
      <c r="A279" s="4895" t="s">
        <v>263</v>
      </c>
      <c r="B279" s="5934" t="s">
        <v>13056</v>
      </c>
      <c r="C279" s="5273" t="s">
        <v>12793</v>
      </c>
      <c r="D279" s="4895"/>
      <c r="E279" s="4895"/>
      <c r="F279" s="4895"/>
      <c r="G279" s="5169"/>
      <c r="H279" s="4895" t="s">
        <v>12794</v>
      </c>
      <c r="I279" s="5935" t="s">
        <v>12839</v>
      </c>
      <c r="J279" s="4895"/>
      <c r="K279" s="5169">
        <v>44498</v>
      </c>
      <c r="L279" s="5169">
        <v>44498</v>
      </c>
      <c r="M279" s="5169">
        <v>44501</v>
      </c>
      <c r="N279" s="5169">
        <v>44501</v>
      </c>
      <c r="O279" s="4895"/>
      <c r="P279" s="5936" t="s">
        <v>12796</v>
      </c>
      <c r="Q279" s="5289" t="s">
        <v>12797</v>
      </c>
      <c r="R279" s="5945" t="s">
        <v>13057</v>
      </c>
      <c r="S279" s="5946">
        <v>3028.5</v>
      </c>
      <c r="T279" s="4895"/>
      <c r="U279" s="5937"/>
    </row>
    <row r="280" spans="1:21" customFormat="1">
      <c r="A280" s="5289" t="s">
        <v>263</v>
      </c>
      <c r="B280" s="5934" t="s">
        <v>13058</v>
      </c>
      <c r="C280" s="5273" t="s">
        <v>13059</v>
      </c>
      <c r="D280" s="4895" t="s">
        <v>200</v>
      </c>
      <c r="E280" s="4895"/>
      <c r="F280" s="4895"/>
      <c r="G280" s="5169">
        <v>44491</v>
      </c>
      <c r="H280" s="5289" t="s">
        <v>12564</v>
      </c>
      <c r="I280" s="5935" t="s">
        <v>12584</v>
      </c>
      <c r="J280" s="4895"/>
      <c r="K280" s="5169">
        <v>44496</v>
      </c>
      <c r="L280" s="5169">
        <v>44496</v>
      </c>
      <c r="M280" s="5169">
        <v>44497</v>
      </c>
      <c r="N280" s="5169">
        <v>44497</v>
      </c>
      <c r="O280" s="4895" t="s">
        <v>12470</v>
      </c>
      <c r="P280" s="5938" t="s">
        <v>12470</v>
      </c>
      <c r="Q280" s="4895" t="s">
        <v>12536</v>
      </c>
      <c r="R280" s="4848">
        <v>1297582</v>
      </c>
      <c r="S280" s="5937">
        <v>945</v>
      </c>
      <c r="T280" s="4848">
        <v>1297575</v>
      </c>
      <c r="U280" s="5937">
        <v>898.74</v>
      </c>
    </row>
    <row r="281" spans="1:21" customFormat="1">
      <c r="A281" s="4895" t="s">
        <v>263</v>
      </c>
      <c r="B281" s="5934" t="s">
        <v>13060</v>
      </c>
      <c r="C281" s="5273" t="s">
        <v>12793</v>
      </c>
      <c r="D281" s="4895"/>
      <c r="E281" s="4895"/>
      <c r="F281" s="4895"/>
      <c r="G281" s="5169"/>
      <c r="H281" s="4895" t="s">
        <v>12794</v>
      </c>
      <c r="I281" s="5935" t="s">
        <v>13061</v>
      </c>
      <c r="J281" s="4895"/>
      <c r="K281" s="5169">
        <v>44497</v>
      </c>
      <c r="L281" s="5169">
        <v>44497</v>
      </c>
      <c r="M281" s="5169">
        <v>44498</v>
      </c>
      <c r="N281" s="5169">
        <v>44498</v>
      </c>
      <c r="O281" s="4895"/>
      <c r="P281" s="5936" t="s">
        <v>12796</v>
      </c>
      <c r="Q281" s="5289" t="s">
        <v>12797</v>
      </c>
      <c r="R281" s="438" t="s">
        <v>13062</v>
      </c>
      <c r="S281" s="5946">
        <v>2958</v>
      </c>
      <c r="T281" s="4895"/>
      <c r="U281" s="5937"/>
    </row>
    <row r="282" spans="1:21" customFormat="1">
      <c r="A282" s="4895" t="s">
        <v>263</v>
      </c>
      <c r="B282" s="5934" t="s">
        <v>13063</v>
      </c>
      <c r="C282" s="5273" t="s">
        <v>12793</v>
      </c>
      <c r="D282" s="4895"/>
      <c r="E282" s="4895"/>
      <c r="F282" s="4895"/>
      <c r="G282" s="5169"/>
      <c r="H282" s="4895" t="s">
        <v>12794</v>
      </c>
      <c r="I282" s="5169"/>
      <c r="J282" s="4895"/>
      <c r="K282" s="5169"/>
      <c r="L282" s="5169"/>
      <c r="M282" s="5169"/>
      <c r="N282" s="5169">
        <v>44501</v>
      </c>
      <c r="O282" s="4895">
        <v>1</v>
      </c>
      <c r="P282" s="5936"/>
      <c r="Q282" s="4895" t="s">
        <v>12754</v>
      </c>
      <c r="R282" s="4895"/>
      <c r="S282" s="5937"/>
      <c r="T282" s="4895"/>
      <c r="U282" s="5937"/>
    </row>
    <row r="283" spans="1:21" customFormat="1">
      <c r="A283" s="5289" t="s">
        <v>263</v>
      </c>
      <c r="B283" s="73" t="s">
        <v>13064</v>
      </c>
      <c r="C283" s="5273" t="s">
        <v>13065</v>
      </c>
      <c r="D283" s="4895" t="s">
        <v>200</v>
      </c>
      <c r="E283" s="4895"/>
      <c r="F283" s="4895"/>
      <c r="G283" s="5169">
        <v>44491</v>
      </c>
      <c r="H283" s="5289" t="s">
        <v>12536</v>
      </c>
      <c r="I283" s="5935" t="s">
        <v>13066</v>
      </c>
      <c r="J283" s="4895"/>
      <c r="K283" s="5169"/>
      <c r="L283" s="5169"/>
      <c r="M283" s="5169"/>
      <c r="N283" s="5169">
        <v>44498</v>
      </c>
      <c r="O283" s="4895"/>
      <c r="P283" s="5936"/>
      <c r="Q283" s="4895" t="s">
        <v>12754</v>
      </c>
      <c r="R283" s="4895"/>
      <c r="S283" s="5937"/>
      <c r="T283" s="4895"/>
      <c r="U283" s="5937"/>
    </row>
    <row r="284" spans="1:21" customFormat="1">
      <c r="A284" s="5289" t="s">
        <v>263</v>
      </c>
      <c r="B284" s="5934" t="s">
        <v>13067</v>
      </c>
      <c r="C284" s="5273" t="s">
        <v>13068</v>
      </c>
      <c r="D284" s="4895" t="s">
        <v>200</v>
      </c>
      <c r="E284" s="4895"/>
      <c r="F284" s="4895"/>
      <c r="G284" s="5169">
        <v>44491</v>
      </c>
      <c r="H284" s="5289" t="s">
        <v>12536</v>
      </c>
      <c r="I284" s="5935" t="s">
        <v>12795</v>
      </c>
      <c r="J284" s="4895"/>
      <c r="K284" s="5169">
        <v>44497</v>
      </c>
      <c r="L284" s="5169">
        <v>44497</v>
      </c>
      <c r="M284" s="5169">
        <v>44498</v>
      </c>
      <c r="N284" s="5169">
        <v>44498</v>
      </c>
      <c r="O284" s="4895"/>
      <c r="P284" s="5936" t="s">
        <v>12796</v>
      </c>
      <c r="Q284" s="5289" t="s">
        <v>12797</v>
      </c>
      <c r="R284" s="5945" t="s">
        <v>13069</v>
      </c>
      <c r="S284" s="5946">
        <v>2958.5</v>
      </c>
      <c r="T284" s="4895"/>
      <c r="U284" s="5937"/>
    </row>
    <row r="285" spans="1:21" customFormat="1">
      <c r="A285" s="5289" t="s">
        <v>263</v>
      </c>
      <c r="B285" s="5934" t="s">
        <v>13070</v>
      </c>
      <c r="C285" s="5273" t="s">
        <v>13071</v>
      </c>
      <c r="D285" s="4895" t="s">
        <v>200</v>
      </c>
      <c r="E285" s="4895"/>
      <c r="F285" s="4895"/>
      <c r="G285" s="5169">
        <v>44491</v>
      </c>
      <c r="H285" s="5289" t="s">
        <v>12536</v>
      </c>
      <c r="I285" s="5500" t="s">
        <v>12584</v>
      </c>
      <c r="J285" s="4895"/>
      <c r="K285" s="5169">
        <v>44497</v>
      </c>
      <c r="L285" s="5169">
        <v>44497</v>
      </c>
      <c r="M285" s="5169">
        <v>44502</v>
      </c>
      <c r="N285" s="5169">
        <v>44502</v>
      </c>
      <c r="O285" s="4895"/>
      <c r="P285" s="5938" t="s">
        <v>12470</v>
      </c>
      <c r="Q285" s="4895" t="s">
        <v>12536</v>
      </c>
      <c r="R285" s="4848">
        <v>1301488</v>
      </c>
      <c r="S285" s="5937">
        <v>945</v>
      </c>
      <c r="T285" s="4848">
        <v>1298875</v>
      </c>
      <c r="U285" s="5937">
        <v>898.74</v>
      </c>
    </row>
    <row r="286" spans="1:21" customFormat="1">
      <c r="A286" s="5289" t="s">
        <v>263</v>
      </c>
      <c r="B286" s="5934" t="s">
        <v>13072</v>
      </c>
      <c r="C286" s="5273" t="s">
        <v>13073</v>
      </c>
      <c r="D286" s="4895" t="s">
        <v>200</v>
      </c>
      <c r="E286" s="4895"/>
      <c r="F286" s="4895"/>
      <c r="G286" s="5169">
        <v>44491</v>
      </c>
      <c r="H286" s="5289" t="s">
        <v>12536</v>
      </c>
      <c r="I286" s="5935" t="s">
        <v>12584</v>
      </c>
      <c r="J286" s="4895"/>
      <c r="K286" s="5169">
        <v>44497</v>
      </c>
      <c r="L286" s="5169">
        <v>44497</v>
      </c>
      <c r="M286" s="5169">
        <v>44502</v>
      </c>
      <c r="N286" s="5169">
        <v>44502</v>
      </c>
      <c r="O286" s="4895"/>
      <c r="P286" s="5938" t="s">
        <v>12470</v>
      </c>
      <c r="Q286" s="5289" t="s">
        <v>12536</v>
      </c>
      <c r="R286" s="4848">
        <v>1301488</v>
      </c>
      <c r="S286" s="5937">
        <v>945</v>
      </c>
      <c r="T286" s="4848">
        <v>1298876</v>
      </c>
      <c r="U286" s="5937">
        <v>898.74</v>
      </c>
    </row>
    <row r="287" spans="1:21" customFormat="1">
      <c r="A287" s="4895" t="s">
        <v>263</v>
      </c>
      <c r="B287" s="5934" t="s">
        <v>13074</v>
      </c>
      <c r="C287" s="5273" t="s">
        <v>12793</v>
      </c>
      <c r="D287" s="4895"/>
      <c r="E287" s="4895"/>
      <c r="F287" s="4895"/>
      <c r="G287" s="5169"/>
      <c r="H287" s="4895" t="s">
        <v>12794</v>
      </c>
      <c r="I287" s="5935" t="s">
        <v>13010</v>
      </c>
      <c r="J287" s="4895"/>
      <c r="K287" s="5169">
        <v>44498</v>
      </c>
      <c r="L287" s="5169"/>
      <c r="M287" s="5169"/>
      <c r="N287" s="5169">
        <v>44501</v>
      </c>
      <c r="O287" s="4895"/>
      <c r="P287" s="5936"/>
      <c r="Q287" s="4895" t="s">
        <v>12754</v>
      </c>
      <c r="R287" s="4895"/>
      <c r="S287" s="5937"/>
      <c r="T287" s="3241"/>
      <c r="U287" s="3919"/>
    </row>
  </sheetData>
  <phoneticPr fontId="27" type="noConversion"/>
  <conditionalFormatting sqref="I163">
    <cfRule type="duplicateValues" dxfId="136" priority="17"/>
  </conditionalFormatting>
  <conditionalFormatting sqref="I174">
    <cfRule type="duplicateValues" dxfId="135" priority="15"/>
  </conditionalFormatting>
  <conditionalFormatting sqref="I185">
    <cfRule type="duplicateValues" dxfId="134" priority="16"/>
  </conditionalFormatting>
  <conditionalFormatting sqref="I208">
    <cfRule type="duplicateValues" dxfId="133" priority="8"/>
  </conditionalFormatting>
  <conditionalFormatting sqref="I219">
    <cfRule type="duplicateValues" dxfId="132" priority="14"/>
  </conditionalFormatting>
  <conditionalFormatting sqref="I222">
    <cfRule type="duplicateValues" dxfId="131" priority="13"/>
  </conditionalFormatting>
  <conditionalFormatting sqref="I223">
    <cfRule type="duplicateValues" dxfId="130" priority="7"/>
  </conditionalFormatting>
  <conditionalFormatting sqref="I233">
    <cfRule type="duplicateValues" dxfId="129" priority="6"/>
  </conditionalFormatting>
  <conditionalFormatting sqref="I237">
    <cfRule type="duplicateValues" dxfId="128" priority="12"/>
  </conditionalFormatting>
  <conditionalFormatting sqref="I238">
    <cfRule type="duplicateValues" dxfId="127" priority="11"/>
  </conditionalFormatting>
  <conditionalFormatting sqref="I240">
    <cfRule type="duplicateValues" dxfId="126" priority="10"/>
  </conditionalFormatting>
  <conditionalFormatting sqref="I242">
    <cfRule type="duplicateValues" dxfId="125" priority="4"/>
  </conditionalFormatting>
  <conditionalFormatting sqref="I247">
    <cfRule type="duplicateValues" dxfId="124" priority="3"/>
  </conditionalFormatting>
  <conditionalFormatting sqref="I266">
    <cfRule type="duplicateValues" dxfId="123" priority="9"/>
  </conditionalFormatting>
  <dataValidations count="1">
    <dataValidation type="list" allowBlank="1" showInputMessage="1" showErrorMessage="1" sqref="P152:P287" xr:uid="{87BEE130-8416-4C7D-9A2E-FA30FAE017CD}">
      <formula1>"SD,TR,DRG"</formula1>
    </dataValidation>
  </dataValidations>
  <pageMargins left="0.7" right="0.7" top="0.75" bottom="0.75" header="0.3" footer="0.3"/>
  <pageSetup orientation="portrait" r:id="rId1"/>
  <tableParts count="2">
    <tablePart r:id="rId2"/>
    <tablePart r:id="rId3"/>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6D3A-7F03-4F05-9FED-1D729B045BE6}">
  <sheetPr codeName="Sheet5"/>
  <dimension ref="A1:AA119"/>
  <sheetViews>
    <sheetView showZeros="0" workbookViewId="0">
      <selection activeCell="K20" sqref="K20"/>
    </sheetView>
  </sheetViews>
  <sheetFormatPr defaultRowHeight="15"/>
  <cols>
    <col min="1" max="1" width="14.25" style="2" customWidth="1"/>
    <col min="2" max="2" width="9.25" style="2" customWidth="1"/>
    <col min="3" max="4" width="14.875" style="2" customWidth="1"/>
    <col min="5" max="5" width="24.875" style="2" customWidth="1"/>
    <col min="6" max="6" width="25.25" style="2" hidden="1" customWidth="1"/>
    <col min="7" max="7" width="12" style="2" customWidth="1"/>
    <col min="8" max="8" width="10.25" style="2" customWidth="1"/>
    <col min="9" max="9" width="9.125" style="6" customWidth="1"/>
    <col min="10" max="10" width="9.25" style="6" customWidth="1"/>
    <col min="11" max="11" width="14.25" style="6" customWidth="1"/>
    <col min="12" max="12" width="14.25" style="917" customWidth="1"/>
    <col min="13" max="13" width="11" style="6" customWidth="1"/>
    <col min="14" max="14" width="15.875" style="2" customWidth="1"/>
    <col min="15" max="15" width="22.25" style="6" customWidth="1"/>
    <col min="16" max="16" width="13.25" style="917" customWidth="1"/>
    <col min="17" max="18" width="38" style="2" customWidth="1"/>
    <col min="19" max="19" width="57.25" customWidth="1"/>
    <col min="20" max="20" width="15.125" customWidth="1"/>
    <col min="23" max="23" width="12.25" bestFit="1" customWidth="1"/>
  </cols>
  <sheetData>
    <row r="1" spans="1:27" s="43" customFormat="1" ht="30">
      <c r="A1" s="4552" t="s">
        <v>0</v>
      </c>
      <c r="B1" s="4552" t="s">
        <v>13075</v>
      </c>
      <c r="C1" s="4552" t="s">
        <v>1</v>
      </c>
      <c r="D1" s="4552" t="s">
        <v>13076</v>
      </c>
      <c r="E1" s="4552" t="s">
        <v>13077</v>
      </c>
      <c r="F1" s="4552" t="s">
        <v>13078</v>
      </c>
      <c r="G1" s="4552" t="s">
        <v>12388</v>
      </c>
      <c r="H1" s="4552" t="s">
        <v>12389</v>
      </c>
      <c r="I1" s="4553" t="s">
        <v>4</v>
      </c>
      <c r="J1" s="4553" t="s">
        <v>12</v>
      </c>
      <c r="K1" s="4552" t="s">
        <v>13</v>
      </c>
      <c r="L1" s="4553" t="s">
        <v>13079</v>
      </c>
      <c r="M1" s="4558" t="s">
        <v>13080</v>
      </c>
      <c r="N1" s="4553" t="s">
        <v>7</v>
      </c>
      <c r="O1" s="4553" t="s">
        <v>12503</v>
      </c>
      <c r="P1" s="4558" t="s">
        <v>13081</v>
      </c>
      <c r="Q1" s="43" t="s">
        <v>12497</v>
      </c>
      <c r="R1" s="4151" t="s">
        <v>15</v>
      </c>
      <c r="S1" s="4552" t="s">
        <v>13082</v>
      </c>
      <c r="T1" s="4552" t="s">
        <v>20</v>
      </c>
      <c r="V1" s="43" t="s">
        <v>13083</v>
      </c>
      <c r="W1" s="941" t="s">
        <v>13084</v>
      </c>
      <c r="X1" s="941" t="s">
        <v>13085</v>
      </c>
    </row>
    <row r="2" spans="1:27">
      <c r="A2" s="894" t="s">
        <v>263</v>
      </c>
      <c r="B2" s="2">
        <v>102</v>
      </c>
      <c r="C2" s="2" t="s">
        <v>13086</v>
      </c>
      <c r="D2" s="2" t="s">
        <v>13087</v>
      </c>
      <c r="E2" s="2" t="s">
        <v>13088</v>
      </c>
      <c r="F2" s="2" t="s">
        <v>13088</v>
      </c>
      <c r="G2" s="4559" t="s">
        <v>13089</v>
      </c>
      <c r="H2" s="4559"/>
      <c r="I2" s="6">
        <v>44932</v>
      </c>
      <c r="J2" s="6">
        <v>44938</v>
      </c>
      <c r="K2" s="126">
        <v>44943</v>
      </c>
      <c r="L2" s="6">
        <v>44944</v>
      </c>
      <c r="M2" s="917">
        <f>IF((SAU_2023[[#This Row],[Flat Rack IG]]-SAU_2023[[#This Row],[OG]])+1&lt;2,2,SAU_2023[[#This Row],[Flat Rack IG]]-SAU_2023[[#This Row],[OG]]+1)</f>
        <v>2</v>
      </c>
      <c r="N2" s="126">
        <v>44966</v>
      </c>
      <c r="O2" s="6">
        <v>44966</v>
      </c>
      <c r="P2" s="917">
        <f>SAU_2023[[#This Row],[ACTURAL DEL]]-SAU_2023[[#This Row],[OG]]</f>
        <v>23</v>
      </c>
      <c r="Q2" s="894" t="s">
        <v>13090</v>
      </c>
      <c r="R2" s="2" t="s">
        <v>13091</v>
      </c>
      <c r="S2" s="2"/>
      <c r="T2" s="2"/>
      <c r="V2" s="4428" t="s">
        <v>13092</v>
      </c>
    </row>
    <row r="3" spans="1:27">
      <c r="A3" s="156" t="s">
        <v>263</v>
      </c>
      <c r="B3" s="7">
        <v>101</v>
      </c>
      <c r="C3" s="7" t="s">
        <v>13093</v>
      </c>
      <c r="D3" s="7" t="s">
        <v>13094</v>
      </c>
      <c r="E3" s="7" t="s">
        <v>13095</v>
      </c>
      <c r="F3" s="2" t="s">
        <v>13096</v>
      </c>
      <c r="G3" s="4151" t="s">
        <v>11268</v>
      </c>
      <c r="H3" s="4151"/>
      <c r="I3" s="126">
        <v>44932</v>
      </c>
      <c r="J3" s="126">
        <v>44938</v>
      </c>
      <c r="K3" s="126">
        <v>44944</v>
      </c>
      <c r="L3" s="126">
        <v>44944</v>
      </c>
      <c r="M3" s="916">
        <f>IF((SAU_2023[[#This Row],[Flat Rack IG]]-SAU_2023[[#This Row],[OG]])+1&lt;2,2,SAU_2023[[#This Row],[Flat Rack IG]]-SAU_2023[[#This Row],[OG]]+1)</f>
        <v>2</v>
      </c>
      <c r="N3" s="126">
        <v>44959</v>
      </c>
      <c r="O3" s="126">
        <v>44959</v>
      </c>
      <c r="P3" s="916">
        <f>SAU_2023[[#This Row],[ACTURAL DEL]]-SAU_2023[[#This Row],[OG]]</f>
        <v>15</v>
      </c>
      <c r="Q3" s="7" t="s">
        <v>13092</v>
      </c>
      <c r="R3" s="2" t="s">
        <v>13097</v>
      </c>
      <c r="S3" s="2"/>
      <c r="T3" s="2"/>
      <c r="V3" s="4428" t="s">
        <v>13098</v>
      </c>
    </row>
    <row r="4" spans="1:27">
      <c r="A4" s="894" t="s">
        <v>263</v>
      </c>
      <c r="B4" s="2">
        <v>103</v>
      </c>
      <c r="C4" s="2" t="s">
        <v>13099</v>
      </c>
      <c r="D4" s="2" t="s">
        <v>13100</v>
      </c>
      <c r="E4" s="2" t="s">
        <v>13101</v>
      </c>
      <c r="F4" s="2" t="s">
        <v>13101</v>
      </c>
      <c r="G4" s="4559" t="s">
        <v>13089</v>
      </c>
      <c r="H4" s="4559"/>
      <c r="I4" s="6">
        <v>44932</v>
      </c>
      <c r="J4" s="6">
        <v>44938</v>
      </c>
      <c r="K4" s="126">
        <v>44944</v>
      </c>
      <c r="L4" s="6">
        <v>44945</v>
      </c>
      <c r="M4" s="917">
        <f>IF((SAU_2023[[#This Row],[Flat Rack IG]]-SAU_2023[[#This Row],[OG]])+1&lt;2,2,SAU_2023[[#This Row],[Flat Rack IG]]-SAU_2023[[#This Row],[OG]]+1)</f>
        <v>2</v>
      </c>
      <c r="N4" s="6">
        <v>44966</v>
      </c>
      <c r="O4" s="6">
        <v>44966</v>
      </c>
      <c r="P4" s="917">
        <f>SAU_2023[[#This Row],[ACTURAL DEL]]-SAU_2023[[#This Row],[OG]]</f>
        <v>22</v>
      </c>
      <c r="Q4" s="894" t="s">
        <v>13098</v>
      </c>
      <c r="R4" s="2" t="s">
        <v>13091</v>
      </c>
      <c r="S4" s="2"/>
      <c r="T4" s="2"/>
      <c r="V4" t="s">
        <v>13102</v>
      </c>
    </row>
    <row r="5" spans="1:27">
      <c r="A5" s="156" t="s">
        <v>263</v>
      </c>
      <c r="B5" s="7">
        <v>101</v>
      </c>
      <c r="C5" s="7" t="s">
        <v>13103</v>
      </c>
      <c r="D5" s="7" t="s">
        <v>13104</v>
      </c>
      <c r="E5" s="7" t="s">
        <v>13105</v>
      </c>
      <c r="F5" s="2" t="s">
        <v>13105</v>
      </c>
      <c r="G5" s="4151" t="s">
        <v>11268</v>
      </c>
      <c r="H5" s="4151"/>
      <c r="I5" s="126">
        <v>44932</v>
      </c>
      <c r="J5" s="126">
        <v>44938</v>
      </c>
      <c r="K5" s="126">
        <v>44944</v>
      </c>
      <c r="L5" s="126">
        <v>44945</v>
      </c>
      <c r="M5" s="916">
        <f>IF((SAU_2023[[#This Row],[Flat Rack IG]]-SAU_2023[[#This Row],[OG]])+1&lt;2,2,SAU_2023[[#This Row],[Flat Rack IG]]-SAU_2023[[#This Row],[OG]]+1)</f>
        <v>2</v>
      </c>
      <c r="N5" s="2" t="s">
        <v>13106</v>
      </c>
      <c r="O5" s="6">
        <v>44966</v>
      </c>
      <c r="P5" s="917">
        <f>SAU_2023[[#This Row],[ACTURAL DEL]]-SAU_2023[[#This Row],[OG]]</f>
        <v>22</v>
      </c>
      <c r="Q5" s="7" t="s">
        <v>13092</v>
      </c>
      <c r="R5" s="2" t="s">
        <v>13097</v>
      </c>
      <c r="S5" s="2"/>
      <c r="T5" s="2"/>
      <c r="V5" t="s">
        <v>13090</v>
      </c>
    </row>
    <row r="6" spans="1:27">
      <c r="A6" s="156" t="s">
        <v>263</v>
      </c>
      <c r="B6" s="7">
        <v>101</v>
      </c>
      <c r="C6" s="7" t="s">
        <v>13107</v>
      </c>
      <c r="D6" s="7" t="s">
        <v>13108</v>
      </c>
      <c r="E6" s="2" t="s">
        <v>13109</v>
      </c>
      <c r="F6" s="2" t="s">
        <v>13109</v>
      </c>
      <c r="G6" s="4151" t="s">
        <v>11268</v>
      </c>
      <c r="H6" s="4151"/>
      <c r="I6" s="126">
        <v>44932</v>
      </c>
      <c r="J6" s="126">
        <v>44938</v>
      </c>
      <c r="K6" s="126">
        <v>44944</v>
      </c>
      <c r="L6" s="126">
        <v>44944</v>
      </c>
      <c r="M6" s="916">
        <f>IF((SAU_2023[[#This Row],[Flat Rack IG]]-SAU_2023[[#This Row],[OG]])+1&lt;2,2,SAU_2023[[#This Row],[Flat Rack IG]]-SAU_2023[[#This Row],[OG]]+1)</f>
        <v>2</v>
      </c>
      <c r="N6" s="126">
        <v>44959</v>
      </c>
      <c r="O6" s="126">
        <v>44959</v>
      </c>
      <c r="P6" s="916">
        <f>SAU_2023[[#This Row],[ACTURAL DEL]]-SAU_2023[[#This Row],[OG]]</f>
        <v>15</v>
      </c>
      <c r="Q6" s="7" t="s">
        <v>13092</v>
      </c>
      <c r="R6" s="2" t="s">
        <v>13097</v>
      </c>
      <c r="S6" s="2"/>
      <c r="T6" s="2"/>
      <c r="V6" s="903" t="s">
        <v>13110</v>
      </c>
    </row>
    <row r="7" spans="1:27">
      <c r="A7" s="156" t="s">
        <v>263</v>
      </c>
      <c r="B7" s="7">
        <v>101</v>
      </c>
      <c r="C7" s="7" t="s">
        <v>13111</v>
      </c>
      <c r="D7" s="7" t="s">
        <v>13112</v>
      </c>
      <c r="E7" s="7" t="s">
        <v>13113</v>
      </c>
      <c r="F7" s="7" t="s">
        <v>13113</v>
      </c>
      <c r="G7" s="4151" t="s">
        <v>11268</v>
      </c>
      <c r="H7" s="4151"/>
      <c r="I7" s="126">
        <v>44932</v>
      </c>
      <c r="J7" s="126">
        <v>44938</v>
      </c>
      <c r="K7" s="126">
        <v>44944</v>
      </c>
      <c r="L7" s="126">
        <v>44944</v>
      </c>
      <c r="M7" s="916">
        <f>IF((SAU_2023[[#This Row],[Flat Rack IG]]-SAU_2023[[#This Row],[OG]])+1&lt;2,2,SAU_2023[[#This Row],[Flat Rack IG]]-SAU_2023[[#This Row],[OG]]+1)</f>
        <v>2</v>
      </c>
      <c r="N7" s="126">
        <v>44970</v>
      </c>
      <c r="O7" s="126">
        <v>44970</v>
      </c>
      <c r="P7" s="916">
        <f>SAU_2023[[#This Row],[ACTURAL DEL]]-SAU_2023[[#This Row],[OG]]</f>
        <v>26</v>
      </c>
      <c r="Q7" s="7" t="s">
        <v>13092</v>
      </c>
      <c r="R7" s="2" t="s">
        <v>13097</v>
      </c>
      <c r="S7" s="2"/>
      <c r="T7" s="2"/>
      <c r="V7" s="903" t="s">
        <v>13114</v>
      </c>
    </row>
    <row r="8" spans="1:27">
      <c r="A8" s="894" t="s">
        <v>263</v>
      </c>
      <c r="B8" s="2">
        <v>103</v>
      </c>
      <c r="C8" s="2" t="s">
        <v>13115</v>
      </c>
      <c r="D8" s="2" t="s">
        <v>13116</v>
      </c>
      <c r="E8" s="7" t="s">
        <v>13117</v>
      </c>
      <c r="F8" s="156" t="s">
        <v>13117</v>
      </c>
      <c r="G8" s="4559" t="s">
        <v>13089</v>
      </c>
      <c r="H8" s="4559"/>
      <c r="I8" s="6">
        <v>44932</v>
      </c>
      <c r="J8" s="6">
        <v>44938</v>
      </c>
      <c r="K8" s="126">
        <v>44944</v>
      </c>
      <c r="L8" s="6">
        <v>44944</v>
      </c>
      <c r="M8" s="917">
        <f>IF((SAU_2023[[#This Row],[Flat Rack IG]]-SAU_2023[[#This Row],[OG]])+1&lt;2,2,SAU_2023[[#This Row],[Flat Rack IG]]-SAU_2023[[#This Row],[OG]]+1)</f>
        <v>2</v>
      </c>
      <c r="N8" s="6">
        <v>44959</v>
      </c>
      <c r="O8" s="6">
        <v>44959</v>
      </c>
      <c r="P8" s="917">
        <f>SAU_2023[[#This Row],[ACTURAL DEL]]-SAU_2023[[#This Row],[OG]]</f>
        <v>15</v>
      </c>
      <c r="Q8" s="894" t="s">
        <v>13098</v>
      </c>
      <c r="R8" s="2" t="s">
        <v>13091</v>
      </c>
      <c r="S8" s="2"/>
      <c r="T8" s="2"/>
      <c r="V8" t="s">
        <v>13118</v>
      </c>
      <c r="Z8" t="s">
        <v>20</v>
      </c>
    </row>
    <row r="9" spans="1:27">
      <c r="A9" s="156" t="s">
        <v>263</v>
      </c>
      <c r="B9" s="7">
        <v>101</v>
      </c>
      <c r="C9" s="7" t="s">
        <v>13119</v>
      </c>
      <c r="D9" s="7" t="s">
        <v>13120</v>
      </c>
      <c r="E9" s="2" t="s">
        <v>13121</v>
      </c>
      <c r="F9" s="7" t="s">
        <v>13121</v>
      </c>
      <c r="G9" s="4151" t="s">
        <v>11268</v>
      </c>
      <c r="H9" s="4151"/>
      <c r="I9" s="126">
        <v>44932</v>
      </c>
      <c r="J9" s="126">
        <v>44938</v>
      </c>
      <c r="K9" s="126">
        <v>44944</v>
      </c>
      <c r="L9" s="126">
        <v>44945</v>
      </c>
      <c r="M9" s="916">
        <f>IF((SAU_2023[[#This Row],[Flat Rack IG]]-SAU_2023[[#This Row],[OG]])+1&lt;2,2,SAU_2023[[#This Row],[Flat Rack IG]]-SAU_2023[[#This Row],[OG]]+1)</f>
        <v>2</v>
      </c>
      <c r="N9" s="126">
        <v>44966</v>
      </c>
      <c r="O9" s="6">
        <v>44966</v>
      </c>
      <c r="P9" s="917">
        <f>SAU_2023[[#This Row],[ACTURAL DEL]]-SAU_2023[[#This Row],[OG]]</f>
        <v>22</v>
      </c>
      <c r="Q9" s="156" t="s">
        <v>13092</v>
      </c>
      <c r="R9" s="2" t="s">
        <v>13097</v>
      </c>
      <c r="S9" s="2"/>
      <c r="T9" s="2"/>
      <c r="V9" s="937" t="s">
        <v>13122</v>
      </c>
      <c r="W9" s="938">
        <v>9726</v>
      </c>
      <c r="Z9" t="s">
        <v>13123</v>
      </c>
      <c r="AA9">
        <v>32849.980000000003</v>
      </c>
    </row>
    <row r="10" spans="1:27">
      <c r="A10" s="156" t="s">
        <v>263</v>
      </c>
      <c r="B10" s="7">
        <v>101</v>
      </c>
      <c r="C10" s="7" t="s">
        <v>13124</v>
      </c>
      <c r="D10" s="7" t="s">
        <v>13125</v>
      </c>
      <c r="E10" s="2" t="s">
        <v>13126</v>
      </c>
      <c r="F10" s="156" t="s">
        <v>13126</v>
      </c>
      <c r="G10" s="4151" t="s">
        <v>11268</v>
      </c>
      <c r="H10" s="896" t="s">
        <v>11268</v>
      </c>
      <c r="I10" s="126">
        <v>44932</v>
      </c>
      <c r="J10" s="126">
        <v>44938</v>
      </c>
      <c r="K10" s="126">
        <v>44935</v>
      </c>
      <c r="L10" s="126">
        <v>44936</v>
      </c>
      <c r="M10" s="916">
        <f>IF((SAU_2023[[#This Row],[Flat Rack IG]]-SAU_2023[[#This Row],[OG]])+1&lt;2,2,SAU_2023[[#This Row],[Flat Rack IG]]-SAU_2023[[#This Row],[OG]]+1)</f>
        <v>2</v>
      </c>
      <c r="N10" s="126">
        <v>44965</v>
      </c>
      <c r="O10" s="126">
        <v>44965</v>
      </c>
      <c r="P10" s="916">
        <f>SAU_2023[[#This Row],[ACTURAL DEL]]-SAU_2023[[#This Row],[OG]]</f>
        <v>30</v>
      </c>
      <c r="Q10" s="7" t="s">
        <v>13092</v>
      </c>
      <c r="R10" s="7"/>
      <c r="S10" s="7"/>
      <c r="T10" s="7"/>
      <c r="V10" t="s">
        <v>13127</v>
      </c>
      <c r="W10" s="938">
        <v>14170</v>
      </c>
      <c r="Z10" t="s">
        <v>13128</v>
      </c>
      <c r="AA10">
        <v>14400</v>
      </c>
    </row>
    <row r="11" spans="1:27">
      <c r="A11" s="156" t="s">
        <v>263</v>
      </c>
      <c r="B11" s="7">
        <v>101</v>
      </c>
      <c r="C11" s="7" t="s">
        <v>13129</v>
      </c>
      <c r="D11" s="7" t="s">
        <v>13130</v>
      </c>
      <c r="E11" s="2" t="s">
        <v>13131</v>
      </c>
      <c r="F11" s="7" t="s">
        <v>13131</v>
      </c>
      <c r="G11" s="4151" t="s">
        <v>11268</v>
      </c>
      <c r="H11" s="4151"/>
      <c r="I11" s="126">
        <v>44932</v>
      </c>
      <c r="J11" s="126">
        <v>44938</v>
      </c>
      <c r="K11" s="126">
        <v>44945</v>
      </c>
      <c r="L11" s="126">
        <v>44945</v>
      </c>
      <c r="M11" s="916">
        <f>IF((SAU_2023[[#This Row],[Flat Rack IG]]-SAU_2023[[#This Row],[OG]])+1&lt;2,2,SAU_2023[[#This Row],[Flat Rack IG]]-SAU_2023[[#This Row],[OG]]+1)</f>
        <v>2</v>
      </c>
      <c r="N11" s="126">
        <v>44971</v>
      </c>
      <c r="O11" s="126">
        <v>44972</v>
      </c>
      <c r="P11" s="916">
        <f>SAU_2023[[#This Row],[ACTURAL DEL]]-SAU_2023[[#This Row],[OG]]</f>
        <v>27</v>
      </c>
      <c r="Q11" s="7" t="s">
        <v>13092</v>
      </c>
      <c r="R11" s="2" t="s">
        <v>13097</v>
      </c>
      <c r="S11" s="2"/>
      <c r="T11" s="2"/>
      <c r="V11" t="s">
        <v>13132</v>
      </c>
      <c r="W11" s="938">
        <v>8000</v>
      </c>
      <c r="Z11" t="s">
        <v>13133</v>
      </c>
      <c r="AA11">
        <f>46800+72000+72000</f>
        <v>190800</v>
      </c>
    </row>
    <row r="12" spans="1:27">
      <c r="A12" s="156" t="s">
        <v>263</v>
      </c>
      <c r="B12" s="7">
        <v>101</v>
      </c>
      <c r="C12" s="7" t="s">
        <v>13134</v>
      </c>
      <c r="D12" s="7" t="s">
        <v>13135</v>
      </c>
      <c r="E12" s="2" t="s">
        <v>13136</v>
      </c>
      <c r="F12" s="7" t="s">
        <v>13136</v>
      </c>
      <c r="G12" s="4151" t="s">
        <v>11268</v>
      </c>
      <c r="H12" s="4151"/>
      <c r="I12" s="126">
        <v>44932</v>
      </c>
      <c r="J12" s="126">
        <v>44938</v>
      </c>
      <c r="K12" s="126">
        <v>44945</v>
      </c>
      <c r="L12" s="126">
        <v>44945</v>
      </c>
      <c r="M12" s="916">
        <f>IF((SAU_2023[[#This Row],[Flat Rack IG]]-SAU_2023[[#This Row],[OG]])+1&lt;2,2,SAU_2023[[#This Row],[Flat Rack IG]]-SAU_2023[[#This Row],[OG]]+1)</f>
        <v>2</v>
      </c>
      <c r="N12" s="126">
        <v>44971</v>
      </c>
      <c r="O12" s="126">
        <v>44972</v>
      </c>
      <c r="P12" s="916">
        <f>SAU_2023[[#This Row],[ACTURAL DEL]]-SAU_2023[[#This Row],[OG]]</f>
        <v>27</v>
      </c>
      <c r="Q12" s="7" t="s">
        <v>13092</v>
      </c>
      <c r="R12" s="2" t="s">
        <v>13097</v>
      </c>
      <c r="S12" s="2"/>
      <c r="T12" s="2"/>
      <c r="V12" t="s">
        <v>13137</v>
      </c>
      <c r="W12" s="938">
        <v>123550</v>
      </c>
      <c r="Z12" t="s">
        <v>13138</v>
      </c>
      <c r="AA12">
        <f>457403.4-3120-40*5</f>
        <v>454083.4</v>
      </c>
    </row>
    <row r="13" spans="1:27">
      <c r="A13" s="894" t="s">
        <v>263</v>
      </c>
      <c r="B13" s="2">
        <v>103</v>
      </c>
      <c r="C13" s="2" t="s">
        <v>13139</v>
      </c>
      <c r="D13" s="2" t="s">
        <v>13140</v>
      </c>
      <c r="E13" s="2" t="s">
        <v>13141</v>
      </c>
      <c r="F13" s="2" t="s">
        <v>13141</v>
      </c>
      <c r="G13" s="4559" t="s">
        <v>13089</v>
      </c>
      <c r="H13" s="4559"/>
      <c r="I13" s="6">
        <v>44932</v>
      </c>
      <c r="J13" s="6">
        <v>44938</v>
      </c>
      <c r="K13" s="126">
        <v>44944</v>
      </c>
      <c r="L13" s="6">
        <v>44944</v>
      </c>
      <c r="M13" s="917">
        <f>IF((SAU_2023[[#This Row],[Flat Rack IG]]-SAU_2023[[#This Row],[OG]])+1&lt;2,2,SAU_2023[[#This Row],[Flat Rack IG]]-SAU_2023[[#This Row],[OG]]+1)</f>
        <v>2</v>
      </c>
      <c r="N13" s="6">
        <v>44959</v>
      </c>
      <c r="O13" s="6">
        <v>44959</v>
      </c>
      <c r="P13" s="917">
        <f>SAU_2023[[#This Row],[ACTURAL DEL]]-SAU_2023[[#This Row],[OG]]</f>
        <v>15</v>
      </c>
      <c r="Q13" s="894" t="s">
        <v>13098</v>
      </c>
      <c r="R13" s="2" t="s">
        <v>13091</v>
      </c>
      <c r="S13" s="2"/>
      <c r="T13" s="2"/>
      <c r="V13" t="s">
        <v>13142</v>
      </c>
      <c r="W13" s="938">
        <f>100*900</f>
        <v>90000</v>
      </c>
    </row>
    <row r="14" spans="1:27">
      <c r="A14" s="894" t="s">
        <v>263</v>
      </c>
      <c r="B14" s="2">
        <v>301</v>
      </c>
      <c r="C14" s="2" t="s">
        <v>13143</v>
      </c>
      <c r="D14" s="2" t="s">
        <v>13144</v>
      </c>
      <c r="E14" s="7" t="s">
        <v>13145</v>
      </c>
      <c r="F14" s="2" t="s">
        <v>13145</v>
      </c>
      <c r="G14" s="4559" t="s">
        <v>11268</v>
      </c>
      <c r="H14" s="4559"/>
      <c r="I14" s="6">
        <v>44939</v>
      </c>
      <c r="J14" s="6">
        <v>44946</v>
      </c>
      <c r="K14" s="126">
        <v>44943</v>
      </c>
      <c r="L14" s="6">
        <v>44944</v>
      </c>
      <c r="M14" s="917">
        <f>IF((SAU_2023[[#This Row],[Flat Rack IG]]-SAU_2023[[#This Row],[OG]])+1&lt;2,2,SAU_2023[[#This Row],[Flat Rack IG]]-SAU_2023[[#This Row],[OG]]+1)</f>
        <v>2</v>
      </c>
      <c r="N14" s="126">
        <v>44966</v>
      </c>
      <c r="O14" s="6">
        <v>44966</v>
      </c>
      <c r="P14" s="917">
        <f>SAU_2023[[#This Row],[ACTURAL DEL]]-SAU_2023[[#This Row],[OG]]</f>
        <v>23</v>
      </c>
      <c r="Q14" s="894" t="s">
        <v>13146</v>
      </c>
      <c r="R14"/>
      <c r="V14" t="s">
        <v>13147</v>
      </c>
      <c r="W14" s="938">
        <f>100*400</f>
        <v>40000</v>
      </c>
    </row>
    <row r="15" spans="1:27">
      <c r="A15" s="894" t="s">
        <v>263</v>
      </c>
      <c r="B15" s="2">
        <v>104</v>
      </c>
      <c r="C15" s="2" t="s">
        <v>13148</v>
      </c>
      <c r="D15" s="2" t="s">
        <v>13149</v>
      </c>
      <c r="E15" s="2" t="s">
        <v>13150</v>
      </c>
      <c r="F15" s="2" t="s">
        <v>13151</v>
      </c>
      <c r="G15" s="4559" t="s">
        <v>13089</v>
      </c>
      <c r="H15" s="4559"/>
      <c r="I15" s="6">
        <v>44932</v>
      </c>
      <c r="J15" s="6">
        <v>44938</v>
      </c>
      <c r="K15" s="126">
        <v>44944</v>
      </c>
      <c r="L15" s="6">
        <v>44945</v>
      </c>
      <c r="M15" s="917">
        <f>IF((SAU_2023[[#This Row],[Flat Rack IG]]-SAU_2023[[#This Row],[OG]])+1&lt;2,2,SAU_2023[[#This Row],[Flat Rack IG]]-SAU_2023[[#This Row],[OG]]+1)</f>
        <v>2</v>
      </c>
      <c r="N15" s="6">
        <v>44965</v>
      </c>
      <c r="O15" s="126">
        <v>44965</v>
      </c>
      <c r="P15" s="916">
        <f>SAU_2023[[#This Row],[ACTURAL DEL]]-SAU_2023[[#This Row],[OG]]</f>
        <v>21</v>
      </c>
      <c r="Q15" s="894" t="s">
        <v>13102</v>
      </c>
      <c r="R15" s="2" t="s">
        <v>13091</v>
      </c>
      <c r="S15" s="2"/>
      <c r="T15" s="2"/>
      <c r="V15" t="s">
        <v>13152</v>
      </c>
      <c r="W15" s="938">
        <f>100*500</f>
        <v>50000</v>
      </c>
    </row>
    <row r="16" spans="1:27">
      <c r="A16" s="156" t="s">
        <v>263</v>
      </c>
      <c r="B16" s="7">
        <v>101</v>
      </c>
      <c r="C16" s="7" t="s">
        <v>13153</v>
      </c>
      <c r="D16" s="7" t="s">
        <v>13154</v>
      </c>
      <c r="E16" s="7" t="s">
        <v>13155</v>
      </c>
      <c r="F16" s="7" t="s">
        <v>13155</v>
      </c>
      <c r="G16" s="4151" t="s">
        <v>11268</v>
      </c>
      <c r="H16" s="896" t="s">
        <v>11268</v>
      </c>
      <c r="I16" s="126">
        <v>44932</v>
      </c>
      <c r="J16" s="126">
        <v>44938</v>
      </c>
      <c r="K16" s="126">
        <v>44935</v>
      </c>
      <c r="L16" s="126">
        <v>44936</v>
      </c>
      <c r="M16" s="916">
        <f>IF((SAU_2023[[#This Row],[Flat Rack IG]]-SAU_2023[[#This Row],[OG]])+1&lt;2,2,SAU_2023[[#This Row],[Flat Rack IG]]-SAU_2023[[#This Row],[OG]]+1)</f>
        <v>2</v>
      </c>
      <c r="N16" s="126">
        <v>44966</v>
      </c>
      <c r="O16" s="6">
        <v>44966</v>
      </c>
      <c r="P16" s="917">
        <f>SAU_2023[[#This Row],[ACTURAL DEL]]-SAU_2023[[#This Row],[OG]]</f>
        <v>31</v>
      </c>
      <c r="Q16" s="7" t="s">
        <v>13092</v>
      </c>
      <c r="R16" s="7"/>
      <c r="S16" s="7"/>
      <c r="T16" s="7"/>
      <c r="V16" t="s">
        <v>13156</v>
      </c>
      <c r="W16" s="938">
        <f>100*300</f>
        <v>30000</v>
      </c>
    </row>
    <row r="17" spans="1:24">
      <c r="A17" s="156" t="s">
        <v>263</v>
      </c>
      <c r="B17" s="7">
        <v>101</v>
      </c>
      <c r="C17" s="7" t="s">
        <v>13157</v>
      </c>
      <c r="D17" s="7" t="s">
        <v>13158</v>
      </c>
      <c r="E17" s="2" t="s">
        <v>13159</v>
      </c>
      <c r="F17" s="7" t="s">
        <v>13159</v>
      </c>
      <c r="G17" s="4151" t="s">
        <v>11268</v>
      </c>
      <c r="H17" s="4151"/>
      <c r="I17" s="126">
        <v>44932</v>
      </c>
      <c r="J17" s="126">
        <v>44938</v>
      </c>
      <c r="K17" s="126">
        <v>44945</v>
      </c>
      <c r="L17" s="126">
        <v>44945</v>
      </c>
      <c r="M17" s="916">
        <f>IF((SAU_2023[[#This Row],[Flat Rack IG]]-SAU_2023[[#This Row],[OG]])+1&lt;2,2,SAU_2023[[#This Row],[Flat Rack IG]]-SAU_2023[[#This Row],[OG]]+1)</f>
        <v>2</v>
      </c>
      <c r="N17" s="126">
        <v>44971</v>
      </c>
      <c r="O17" s="126">
        <v>44972</v>
      </c>
      <c r="P17" s="916">
        <f>SAU_2023[[#This Row],[ACTURAL DEL]]-SAU_2023[[#This Row],[OG]]</f>
        <v>27</v>
      </c>
      <c r="Q17" s="7" t="s">
        <v>13092</v>
      </c>
      <c r="R17" s="2" t="s">
        <v>13097</v>
      </c>
      <c r="S17" s="2"/>
      <c r="T17" s="2"/>
      <c r="V17" t="s">
        <v>13160</v>
      </c>
      <c r="W17" s="938">
        <f>100*1350</f>
        <v>135000</v>
      </c>
    </row>
    <row r="18" spans="1:24">
      <c r="A18" s="156" t="s">
        <v>263</v>
      </c>
      <c r="B18" s="7">
        <v>101</v>
      </c>
      <c r="C18" s="7" t="s">
        <v>13161</v>
      </c>
      <c r="D18" s="7" t="s">
        <v>13162</v>
      </c>
      <c r="E18" s="7" t="s">
        <v>13163</v>
      </c>
      <c r="F18" s="7" t="s">
        <v>13163</v>
      </c>
      <c r="G18" s="4151" t="s">
        <v>11268</v>
      </c>
      <c r="H18" s="4151"/>
      <c r="I18" s="126">
        <v>44932</v>
      </c>
      <c r="J18" s="126">
        <v>44938</v>
      </c>
      <c r="K18" s="126">
        <v>44944</v>
      </c>
      <c r="L18" s="126">
        <v>44944</v>
      </c>
      <c r="M18" s="916">
        <f>IF((SAU_2023[[#This Row],[Flat Rack IG]]-SAU_2023[[#This Row],[OG]])+1&lt;2,2,SAU_2023[[#This Row],[Flat Rack IG]]-SAU_2023[[#This Row],[OG]]+1)</f>
        <v>2</v>
      </c>
      <c r="N18" s="126">
        <v>44970</v>
      </c>
      <c r="O18" s="126">
        <v>44970</v>
      </c>
      <c r="P18" s="916">
        <f>SAU_2023[[#This Row],[ACTURAL DEL]]-SAU_2023[[#This Row],[OG]]</f>
        <v>26</v>
      </c>
      <c r="Q18" s="156" t="s">
        <v>13092</v>
      </c>
      <c r="R18" s="2" t="s">
        <v>13097</v>
      </c>
      <c r="S18" s="2"/>
      <c r="T18" s="2"/>
      <c r="V18" t="s">
        <v>13164</v>
      </c>
      <c r="W18">
        <v>230000</v>
      </c>
      <c r="X18" t="s">
        <v>13165</v>
      </c>
    </row>
    <row r="19" spans="1:24">
      <c r="A19" s="156" t="s">
        <v>263</v>
      </c>
      <c r="B19" s="7">
        <v>101</v>
      </c>
      <c r="C19" s="7" t="s">
        <v>13166</v>
      </c>
      <c r="D19" s="7" t="s">
        <v>13167</v>
      </c>
      <c r="E19" s="7" t="s">
        <v>13168</v>
      </c>
      <c r="F19" s="7" t="s">
        <v>13168</v>
      </c>
      <c r="G19" s="4151" t="s">
        <v>11268</v>
      </c>
      <c r="H19" s="4151"/>
      <c r="I19" s="126">
        <v>44932</v>
      </c>
      <c r="J19" s="126">
        <v>44938</v>
      </c>
      <c r="K19" s="126">
        <v>44944</v>
      </c>
      <c r="L19" s="126">
        <v>44944</v>
      </c>
      <c r="M19" s="916">
        <f>IF((SAU_2023[[#This Row],[Flat Rack IG]]-SAU_2023[[#This Row],[OG]])+1&lt;2,2,SAU_2023[[#This Row],[Flat Rack IG]]-SAU_2023[[#This Row],[OG]]+1)</f>
        <v>2</v>
      </c>
      <c r="N19" s="2" t="s">
        <v>13169</v>
      </c>
      <c r="O19" s="126">
        <v>44970</v>
      </c>
      <c r="P19" s="916">
        <f>SAU_2023[[#This Row],[ACTURAL DEL]]-SAU_2023[[#This Row],[OG]]</f>
        <v>26</v>
      </c>
      <c r="Q19" s="7" t="s">
        <v>13092</v>
      </c>
      <c r="R19" s="2" t="s">
        <v>13097</v>
      </c>
      <c r="S19" s="2"/>
      <c r="T19" s="2"/>
      <c r="V19" t="s">
        <v>13170</v>
      </c>
      <c r="W19" s="938">
        <f>83.5*110+440</f>
        <v>9625</v>
      </c>
      <c r="X19" t="s">
        <v>13171</v>
      </c>
    </row>
    <row r="20" spans="1:24">
      <c r="A20" s="894" t="s">
        <v>263</v>
      </c>
      <c r="B20" s="2">
        <v>301</v>
      </c>
      <c r="C20" s="2" t="s">
        <v>13172</v>
      </c>
      <c r="D20" s="2" t="s">
        <v>13173</v>
      </c>
      <c r="E20" s="7" t="s">
        <v>13174</v>
      </c>
      <c r="F20" s="2" t="s">
        <v>13175</v>
      </c>
      <c r="G20" s="4559" t="s">
        <v>11268</v>
      </c>
      <c r="H20" s="4559"/>
      <c r="I20" s="6">
        <v>44939</v>
      </c>
      <c r="J20" s="6">
        <v>44946</v>
      </c>
      <c r="K20" s="126">
        <v>44945</v>
      </c>
      <c r="L20" s="6">
        <v>44949</v>
      </c>
      <c r="M20" s="917">
        <f>IF((SAU_2023[[#This Row],[Flat Rack IG]]-SAU_2023[[#This Row],[OG]])+1&lt;2,2,SAU_2023[[#This Row],[Flat Rack IG]]-SAU_2023[[#This Row],[OG]]+1)</f>
        <v>5</v>
      </c>
      <c r="N20" s="6">
        <v>44959</v>
      </c>
      <c r="O20" s="6">
        <v>44959</v>
      </c>
      <c r="P20" s="917">
        <f>SAU_2023[[#This Row],[ACTURAL DEL]]-SAU_2023[[#This Row],[OG]]</f>
        <v>14</v>
      </c>
      <c r="Q20" s="894" t="s">
        <v>13114</v>
      </c>
      <c r="R20"/>
      <c r="V20" s="4428" t="s">
        <v>13176</v>
      </c>
      <c r="W20">
        <v>9000</v>
      </c>
      <c r="X20" s="4428" t="s">
        <v>13177</v>
      </c>
    </row>
    <row r="21" spans="1:24">
      <c r="A21" s="894" t="s">
        <v>263</v>
      </c>
      <c r="B21" s="2">
        <v>201</v>
      </c>
      <c r="C21" s="2" t="s">
        <v>13178</v>
      </c>
      <c r="D21" s="2" t="s">
        <v>13179</v>
      </c>
      <c r="E21" s="2" t="s">
        <v>13180</v>
      </c>
      <c r="F21" s="2" t="s">
        <v>13180</v>
      </c>
      <c r="G21" s="4559" t="s">
        <v>11268</v>
      </c>
      <c r="H21" s="4559"/>
      <c r="I21" s="6">
        <v>44937</v>
      </c>
      <c r="J21" s="6">
        <v>44944</v>
      </c>
      <c r="K21" s="126">
        <v>44946</v>
      </c>
      <c r="L21" s="6">
        <v>44946</v>
      </c>
      <c r="M21" s="917">
        <f>IF((SAU_2023[[#This Row],[Flat Rack IG]]-SAU_2023[[#This Row],[OG]])+1&lt;2,2,SAU_2023[[#This Row],[Flat Rack IG]]-SAU_2023[[#This Row],[OG]]+1)</f>
        <v>2</v>
      </c>
      <c r="N21" s="6">
        <v>44970</v>
      </c>
      <c r="O21" s="126">
        <v>44970</v>
      </c>
      <c r="P21" s="916">
        <f>SAU_2023[[#This Row],[ACTURAL DEL]]-SAU_2023[[#This Row],[OG]]</f>
        <v>24</v>
      </c>
      <c r="Q21" s="894" t="s">
        <v>13110</v>
      </c>
      <c r="R21"/>
      <c r="V21" s="4428" t="s">
        <v>13181</v>
      </c>
      <c r="W21" s="938">
        <v>10640</v>
      </c>
      <c r="X21" s="4428" t="s">
        <v>13182</v>
      </c>
    </row>
    <row r="22" spans="1:24">
      <c r="A22" s="156" t="s">
        <v>263</v>
      </c>
      <c r="B22" s="7">
        <v>101</v>
      </c>
      <c r="C22" s="7" t="s">
        <v>13183</v>
      </c>
      <c r="D22" s="7" t="s">
        <v>13184</v>
      </c>
      <c r="E22" s="2" t="s">
        <v>13185</v>
      </c>
      <c r="F22" s="7" t="s">
        <v>13185</v>
      </c>
      <c r="G22" s="4151" t="s">
        <v>11268</v>
      </c>
      <c r="H22" s="4151"/>
      <c r="I22" s="126">
        <v>44932</v>
      </c>
      <c r="J22" s="126">
        <v>44938</v>
      </c>
      <c r="K22" s="126">
        <v>44944</v>
      </c>
      <c r="L22" s="126">
        <v>44944</v>
      </c>
      <c r="M22" s="916">
        <f>IF((SAU_2023[[#This Row],[Flat Rack IG]]-SAU_2023[[#This Row],[OG]])+1&lt;2,2,SAU_2023[[#This Row],[Flat Rack IG]]-SAU_2023[[#This Row],[OG]]+1)</f>
        <v>2</v>
      </c>
      <c r="N22" s="2" t="s">
        <v>13169</v>
      </c>
      <c r="O22" s="126">
        <v>44970</v>
      </c>
      <c r="P22" s="916">
        <f>SAU_2023[[#This Row],[ACTURAL DEL]]-SAU_2023[[#This Row],[OG]]</f>
        <v>26</v>
      </c>
      <c r="Q22" s="7" t="s">
        <v>13092</v>
      </c>
      <c r="R22" s="2" t="s">
        <v>13097</v>
      </c>
      <c r="S22" s="2"/>
      <c r="T22" s="2"/>
    </row>
    <row r="23" spans="1:24">
      <c r="A23" s="894" t="s">
        <v>263</v>
      </c>
      <c r="B23" s="2">
        <v>301</v>
      </c>
      <c r="C23" s="2" t="s">
        <v>13186</v>
      </c>
      <c r="D23" s="2" t="s">
        <v>13187</v>
      </c>
      <c r="E23" s="2" t="s">
        <v>13188</v>
      </c>
      <c r="F23" s="2" t="s">
        <v>13188</v>
      </c>
      <c r="G23" s="4559" t="s">
        <v>11268</v>
      </c>
      <c r="H23" s="4559"/>
      <c r="I23" s="6">
        <v>44939</v>
      </c>
      <c r="J23" s="6">
        <v>44946</v>
      </c>
      <c r="K23" s="126">
        <v>44949</v>
      </c>
      <c r="L23" s="6">
        <v>44949</v>
      </c>
      <c r="M23" s="917">
        <f>IF((SAU_2023[[#This Row],[Flat Rack IG]]-SAU_2023[[#This Row],[OG]])+1&lt;2,2,SAU_2023[[#This Row],[Flat Rack IG]]-SAU_2023[[#This Row],[OG]]+1)</f>
        <v>2</v>
      </c>
      <c r="N23" s="6">
        <v>44959</v>
      </c>
      <c r="O23" s="6">
        <v>44959</v>
      </c>
      <c r="P23" s="917">
        <f>SAU_2023[[#This Row],[ACTURAL DEL]]-SAU_2023[[#This Row],[OG]]</f>
        <v>10</v>
      </c>
      <c r="Q23" s="894" t="s">
        <v>13114</v>
      </c>
      <c r="R23"/>
      <c r="V23" s="4428" t="s">
        <v>13189</v>
      </c>
    </row>
    <row r="24" spans="1:24">
      <c r="A24" s="894" t="s">
        <v>263</v>
      </c>
      <c r="B24" s="2">
        <v>301</v>
      </c>
      <c r="C24" s="2" t="s">
        <v>13190</v>
      </c>
      <c r="D24" s="2" t="s">
        <v>13191</v>
      </c>
      <c r="E24" s="2" t="s">
        <v>13192</v>
      </c>
      <c r="F24" s="2" t="s">
        <v>13192</v>
      </c>
      <c r="G24" s="4559" t="s">
        <v>11268</v>
      </c>
      <c r="H24" s="4559"/>
      <c r="I24" s="6">
        <v>44939</v>
      </c>
      <c r="J24" s="6">
        <v>44946</v>
      </c>
      <c r="K24" s="126">
        <v>44949</v>
      </c>
      <c r="L24" s="6">
        <v>44949</v>
      </c>
      <c r="M24" s="917">
        <f>IF((SAU_2023[[#This Row],[Flat Rack IG]]-SAU_2023[[#This Row],[OG]])+1&lt;2,2,SAU_2023[[#This Row],[Flat Rack IG]]-SAU_2023[[#This Row],[OG]]+1)</f>
        <v>2</v>
      </c>
      <c r="N24" s="2" t="s">
        <v>13193</v>
      </c>
      <c r="O24" s="126">
        <v>44970</v>
      </c>
      <c r="P24" s="916">
        <f>SAU_2023[[#This Row],[ACTURAL DEL]]-SAU_2023[[#This Row],[OG]]</f>
        <v>21</v>
      </c>
      <c r="Q24" s="894" t="s">
        <v>13114</v>
      </c>
      <c r="R24"/>
    </row>
    <row r="25" spans="1:24">
      <c r="A25" s="156" t="s">
        <v>263</v>
      </c>
      <c r="B25" s="7">
        <v>101</v>
      </c>
      <c r="C25" s="7" t="s">
        <v>13194</v>
      </c>
      <c r="D25" s="7" t="s">
        <v>13195</v>
      </c>
      <c r="E25" s="2" t="s">
        <v>13196</v>
      </c>
      <c r="F25" s="7" t="s">
        <v>13196</v>
      </c>
      <c r="G25" s="4151" t="s">
        <v>11268</v>
      </c>
      <c r="H25" s="4151"/>
      <c r="I25" s="126">
        <v>44932</v>
      </c>
      <c r="J25" s="126">
        <v>44938</v>
      </c>
      <c r="K25" s="126">
        <v>44944</v>
      </c>
      <c r="L25" s="126">
        <v>44944</v>
      </c>
      <c r="M25" s="916">
        <f>IF((SAU_2023[[#This Row],[Flat Rack IG]]-SAU_2023[[#This Row],[OG]])+1&lt;2,2,SAU_2023[[#This Row],[Flat Rack IG]]-SAU_2023[[#This Row],[OG]]+1)</f>
        <v>2</v>
      </c>
      <c r="N25" s="126">
        <v>44965</v>
      </c>
      <c r="O25" s="126">
        <v>44965</v>
      </c>
      <c r="P25" s="916">
        <f>SAU_2023[[#This Row],[ACTURAL DEL]]-SAU_2023[[#This Row],[OG]]</f>
        <v>21</v>
      </c>
      <c r="Q25" s="7" t="s">
        <v>13092</v>
      </c>
      <c r="R25" s="2" t="s">
        <v>13097</v>
      </c>
      <c r="S25" s="2"/>
      <c r="T25" s="2"/>
    </row>
    <row r="26" spans="1:24">
      <c r="A26" s="156" t="s">
        <v>263</v>
      </c>
      <c r="B26" s="7">
        <v>101</v>
      </c>
      <c r="C26" s="7" t="s">
        <v>13197</v>
      </c>
      <c r="D26" s="7" t="s">
        <v>13198</v>
      </c>
      <c r="E26" s="7" t="s">
        <v>13199</v>
      </c>
      <c r="F26" s="7" t="s">
        <v>13199</v>
      </c>
      <c r="G26" s="4151" t="s">
        <v>11268</v>
      </c>
      <c r="H26" s="4151"/>
      <c r="I26" s="126">
        <v>44932</v>
      </c>
      <c r="J26" s="126">
        <v>44938</v>
      </c>
      <c r="K26" s="126">
        <v>44944</v>
      </c>
      <c r="L26" s="126">
        <v>44944</v>
      </c>
      <c r="M26" s="916">
        <f>IF((SAU_2023[[#This Row],[Flat Rack IG]]-SAU_2023[[#This Row],[OG]])+1&lt;2,2,SAU_2023[[#This Row],[Flat Rack IG]]-SAU_2023[[#This Row],[OG]]+1)</f>
        <v>2</v>
      </c>
      <c r="N26" s="2" t="s">
        <v>13169</v>
      </c>
      <c r="O26" s="126">
        <v>44970</v>
      </c>
      <c r="P26" s="916">
        <f>SAU_2023[[#This Row],[ACTURAL DEL]]-SAU_2023[[#This Row],[OG]]</f>
        <v>26</v>
      </c>
      <c r="Q26" s="156" t="s">
        <v>13092</v>
      </c>
      <c r="R26" s="2" t="s">
        <v>13097</v>
      </c>
      <c r="S26" s="2"/>
      <c r="T26" s="2"/>
    </row>
    <row r="27" spans="1:24">
      <c r="A27" s="894" t="s">
        <v>263</v>
      </c>
      <c r="B27" s="2">
        <v>103</v>
      </c>
      <c r="C27" s="2" t="s">
        <v>13200</v>
      </c>
      <c r="D27" s="2" t="s">
        <v>13201</v>
      </c>
      <c r="E27" s="7" t="s">
        <v>13202</v>
      </c>
      <c r="F27" s="2" t="s">
        <v>13202</v>
      </c>
      <c r="G27" s="4559" t="s">
        <v>13089</v>
      </c>
      <c r="H27" s="4559"/>
      <c r="I27" s="6">
        <v>44932</v>
      </c>
      <c r="J27" s="6">
        <v>44938</v>
      </c>
      <c r="K27" s="126">
        <v>44944</v>
      </c>
      <c r="L27" s="6">
        <v>44944</v>
      </c>
      <c r="M27" s="917">
        <f>IF((SAU_2023[[#This Row],[Flat Rack IG]]-SAU_2023[[#This Row],[OG]])+1&lt;2,2,SAU_2023[[#This Row],[Flat Rack IG]]-SAU_2023[[#This Row],[OG]]+1)</f>
        <v>2</v>
      </c>
      <c r="N27" s="6">
        <v>44963</v>
      </c>
      <c r="O27" s="6">
        <v>44963</v>
      </c>
      <c r="P27" s="917">
        <f>SAU_2023[[#This Row],[ACTURAL DEL]]-SAU_2023[[#This Row],[OG]]</f>
        <v>19</v>
      </c>
      <c r="Q27" s="894" t="s">
        <v>13098</v>
      </c>
      <c r="R27" s="2" t="s">
        <v>13091</v>
      </c>
      <c r="S27" s="2"/>
      <c r="T27" s="2"/>
    </row>
    <row r="28" spans="1:24">
      <c r="A28" s="156" t="s">
        <v>263</v>
      </c>
      <c r="B28" s="7">
        <v>101</v>
      </c>
      <c r="C28" s="7" t="s">
        <v>13203</v>
      </c>
      <c r="D28" s="7" t="s">
        <v>13204</v>
      </c>
      <c r="E28" s="2" t="s">
        <v>13205</v>
      </c>
      <c r="F28" s="7" t="s">
        <v>13205</v>
      </c>
      <c r="G28" s="4151" t="s">
        <v>11268</v>
      </c>
      <c r="H28" s="4151"/>
      <c r="I28" s="126">
        <v>44932</v>
      </c>
      <c r="J28" s="126">
        <v>44938</v>
      </c>
      <c r="K28" s="126">
        <v>44945</v>
      </c>
      <c r="L28" s="126">
        <v>44945</v>
      </c>
      <c r="M28" s="916">
        <f>IF((SAU_2023[[#This Row],[Flat Rack IG]]-SAU_2023[[#This Row],[OG]])+1&lt;2,2,SAU_2023[[#This Row],[Flat Rack IG]]-SAU_2023[[#This Row],[OG]]+1)</f>
        <v>2</v>
      </c>
      <c r="N28" s="126">
        <v>44971</v>
      </c>
      <c r="O28" s="126">
        <v>44972</v>
      </c>
      <c r="P28" s="916">
        <f>SAU_2023[[#This Row],[ACTURAL DEL]]-SAU_2023[[#This Row],[OG]]</f>
        <v>27</v>
      </c>
      <c r="Q28" s="4151" t="s">
        <v>13092</v>
      </c>
      <c r="R28" s="2" t="s">
        <v>13097</v>
      </c>
      <c r="S28" s="2"/>
      <c r="T28" s="2"/>
    </row>
    <row r="29" spans="1:24">
      <c r="A29" s="156" t="s">
        <v>263</v>
      </c>
      <c r="B29" s="7">
        <v>101</v>
      </c>
      <c r="C29" s="7" t="s">
        <v>13206</v>
      </c>
      <c r="D29" s="7" t="s">
        <v>13207</v>
      </c>
      <c r="E29" s="7" t="s">
        <v>13208</v>
      </c>
      <c r="F29" s="156" t="s">
        <v>13209</v>
      </c>
      <c r="G29" s="4151" t="s">
        <v>11268</v>
      </c>
      <c r="H29" s="4151" t="s">
        <v>11268</v>
      </c>
      <c r="I29" s="126">
        <v>44932</v>
      </c>
      <c r="J29" s="126">
        <v>44938</v>
      </c>
      <c r="K29" s="126">
        <v>44936</v>
      </c>
      <c r="L29" s="126">
        <v>44936</v>
      </c>
      <c r="M29" s="916">
        <f>IF((SAU_2023[[#This Row],[Flat Rack IG]]-SAU_2023[[#This Row],[OG]])+1&lt;2,2,SAU_2023[[#This Row],[Flat Rack IG]]-SAU_2023[[#This Row],[OG]]+1)</f>
        <v>2</v>
      </c>
      <c r="N29" s="232">
        <v>44965</v>
      </c>
      <c r="O29" s="126">
        <v>44965</v>
      </c>
      <c r="P29" s="916">
        <f>SAU_2023[[#This Row],[ACTURAL DEL]]-SAU_2023[[#This Row],[OG]]</f>
        <v>29</v>
      </c>
      <c r="Q29" s="7" t="s">
        <v>13092</v>
      </c>
      <c r="R29" s="7"/>
      <c r="S29" s="7"/>
      <c r="T29" s="7"/>
    </row>
    <row r="30" spans="1:24">
      <c r="A30" s="156" t="s">
        <v>263</v>
      </c>
      <c r="B30" s="7">
        <v>101</v>
      </c>
      <c r="C30" s="7" t="s">
        <v>13210</v>
      </c>
      <c r="D30" s="7" t="s">
        <v>13211</v>
      </c>
      <c r="E30" s="7" t="s">
        <v>13212</v>
      </c>
      <c r="F30" s="2" t="s">
        <v>13212</v>
      </c>
      <c r="G30" s="4151" t="s">
        <v>11268</v>
      </c>
      <c r="H30" s="4151"/>
      <c r="I30" s="126">
        <v>44932</v>
      </c>
      <c r="J30" s="126">
        <v>44938</v>
      </c>
      <c r="K30" s="126">
        <v>44937</v>
      </c>
      <c r="L30" s="126">
        <v>44937</v>
      </c>
      <c r="M30" s="916">
        <f>IF((SAU_2023[[#This Row],[Flat Rack IG]]-SAU_2023[[#This Row],[OG]])+1&lt;2,2,SAU_2023[[#This Row],[Flat Rack IG]]-SAU_2023[[#This Row],[OG]]+1)</f>
        <v>2</v>
      </c>
      <c r="N30" s="126">
        <v>44963</v>
      </c>
      <c r="O30" s="6">
        <v>44963</v>
      </c>
      <c r="P30" s="917">
        <f>SAU_2023[[#This Row],[ACTURAL DEL]]-SAU_2023[[#This Row],[OG]]</f>
        <v>26</v>
      </c>
      <c r="Q30" s="7" t="s">
        <v>13092</v>
      </c>
      <c r="R30" s="7"/>
      <c r="S30" s="7"/>
      <c r="T30" s="7"/>
    </row>
    <row r="31" spans="1:24">
      <c r="A31" s="156" t="s">
        <v>263</v>
      </c>
      <c r="B31" s="7">
        <v>101</v>
      </c>
      <c r="C31" s="7" t="s">
        <v>13213</v>
      </c>
      <c r="D31" s="7" t="s">
        <v>13214</v>
      </c>
      <c r="E31" s="7" t="s">
        <v>13215</v>
      </c>
      <c r="F31" s="2" t="s">
        <v>13215</v>
      </c>
      <c r="G31" s="4151" t="s">
        <v>11268</v>
      </c>
      <c r="H31" s="4151"/>
      <c r="I31" s="126">
        <v>44932</v>
      </c>
      <c r="J31" s="126">
        <v>44938</v>
      </c>
      <c r="K31" s="126">
        <v>44936</v>
      </c>
      <c r="L31" s="126">
        <v>44937</v>
      </c>
      <c r="M31" s="916">
        <f>IF((SAU_2023[[#This Row],[Flat Rack IG]]-SAU_2023[[#This Row],[OG]])+1&lt;2,2,SAU_2023[[#This Row],[Flat Rack IG]]-SAU_2023[[#This Row],[OG]]+1)</f>
        <v>2</v>
      </c>
      <c r="N31" s="126">
        <v>44963</v>
      </c>
      <c r="O31" s="6">
        <v>44963</v>
      </c>
      <c r="P31" s="917">
        <f>SAU_2023[[#This Row],[ACTURAL DEL]]-SAU_2023[[#This Row],[OG]]</f>
        <v>27</v>
      </c>
      <c r="Q31" s="7" t="s">
        <v>13092</v>
      </c>
      <c r="R31" s="7"/>
      <c r="S31" s="7"/>
      <c r="T31" s="7"/>
    </row>
    <row r="32" spans="1:24">
      <c r="A32" s="156" t="s">
        <v>263</v>
      </c>
      <c r="B32" s="7">
        <v>101</v>
      </c>
      <c r="C32" s="7" t="s">
        <v>13216</v>
      </c>
      <c r="D32" s="7" t="s">
        <v>13217</v>
      </c>
      <c r="E32" s="2" t="s">
        <v>13218</v>
      </c>
      <c r="F32" s="2" t="s">
        <v>13218</v>
      </c>
      <c r="G32" s="4151" t="s">
        <v>11268</v>
      </c>
      <c r="H32" s="4151"/>
      <c r="I32" s="126">
        <v>44932</v>
      </c>
      <c r="J32" s="126">
        <v>44938</v>
      </c>
      <c r="K32" s="126">
        <v>44936</v>
      </c>
      <c r="L32" s="126">
        <v>44939</v>
      </c>
      <c r="M32" s="916">
        <f>IF((SAU_2023[[#This Row],[Flat Rack IG]]-SAU_2023[[#This Row],[OG]])+1&lt;2,2,SAU_2023[[#This Row],[Flat Rack IG]]-SAU_2023[[#This Row],[OG]]+1)</f>
        <v>4</v>
      </c>
      <c r="N32" s="126">
        <v>44963</v>
      </c>
      <c r="O32" s="6">
        <v>44963</v>
      </c>
      <c r="P32" s="917">
        <f>SAU_2023[[#This Row],[ACTURAL DEL]]-SAU_2023[[#This Row],[OG]]</f>
        <v>27</v>
      </c>
      <c r="Q32" s="7" t="s">
        <v>13092</v>
      </c>
      <c r="R32" s="7"/>
      <c r="S32" s="7"/>
      <c r="T32" s="7"/>
    </row>
    <row r="33" spans="1:20">
      <c r="A33" s="156" t="s">
        <v>263</v>
      </c>
      <c r="B33" s="7">
        <v>101</v>
      </c>
      <c r="C33" s="7" t="s">
        <v>13219</v>
      </c>
      <c r="D33" s="7" t="s">
        <v>13220</v>
      </c>
      <c r="E33" s="2" t="s">
        <v>13221</v>
      </c>
      <c r="F33" s="7" t="s">
        <v>13221</v>
      </c>
      <c r="G33" s="4151" t="s">
        <v>11268</v>
      </c>
      <c r="H33" s="4151"/>
      <c r="I33" s="126">
        <v>44932</v>
      </c>
      <c r="J33" s="126">
        <v>44938</v>
      </c>
      <c r="K33" s="126">
        <v>44943</v>
      </c>
      <c r="L33" s="126">
        <v>44944</v>
      </c>
      <c r="M33" s="916">
        <f>IF((SAU_2023[[#This Row],[Flat Rack IG]]-SAU_2023[[#This Row],[OG]])+1&lt;2,2,SAU_2023[[#This Row],[Flat Rack IG]]-SAU_2023[[#This Row],[OG]]+1)</f>
        <v>2</v>
      </c>
      <c r="N33" s="126">
        <v>44966</v>
      </c>
      <c r="O33" s="6">
        <v>44966</v>
      </c>
      <c r="P33" s="917">
        <f>SAU_2023[[#This Row],[ACTURAL DEL]]-SAU_2023[[#This Row],[OG]]</f>
        <v>23</v>
      </c>
      <c r="Q33" s="7" t="s">
        <v>13092</v>
      </c>
      <c r="R33" s="2" t="s">
        <v>13097</v>
      </c>
      <c r="S33" s="2"/>
      <c r="T33" s="2"/>
    </row>
    <row r="34" spans="1:20">
      <c r="A34" s="156" t="s">
        <v>263</v>
      </c>
      <c r="B34" s="7">
        <v>101</v>
      </c>
      <c r="C34" s="7" t="s">
        <v>13222</v>
      </c>
      <c r="D34" s="7" t="s">
        <v>13223</v>
      </c>
      <c r="E34" s="2" t="s">
        <v>13224</v>
      </c>
      <c r="F34" s="2" t="s">
        <v>13224</v>
      </c>
      <c r="G34" s="4151" t="s">
        <v>11268</v>
      </c>
      <c r="H34" s="4151"/>
      <c r="I34" s="126">
        <v>44932</v>
      </c>
      <c r="J34" s="126">
        <v>44938</v>
      </c>
      <c r="K34" s="126">
        <v>44937</v>
      </c>
      <c r="L34" s="126">
        <v>44937</v>
      </c>
      <c r="M34" s="916">
        <f>IF((SAU_2023[[#This Row],[Flat Rack IG]]-SAU_2023[[#This Row],[OG]])+1&lt;2,2,SAU_2023[[#This Row],[Flat Rack IG]]-SAU_2023[[#This Row],[OG]]+1)</f>
        <v>2</v>
      </c>
      <c r="N34" s="126">
        <v>44964</v>
      </c>
      <c r="O34" s="126">
        <v>44964</v>
      </c>
      <c r="P34" s="916">
        <f>SAU_2023[[#This Row],[ACTURAL DEL]]-SAU_2023[[#This Row],[OG]]</f>
        <v>27</v>
      </c>
      <c r="Q34" s="7" t="s">
        <v>13092</v>
      </c>
      <c r="R34" s="7"/>
      <c r="S34" s="7"/>
      <c r="T34" s="7"/>
    </row>
    <row r="35" spans="1:20">
      <c r="A35" s="156" t="s">
        <v>263</v>
      </c>
      <c r="B35" s="7">
        <v>101</v>
      </c>
      <c r="C35" s="7" t="s">
        <v>13225</v>
      </c>
      <c r="D35" s="7" t="s">
        <v>13226</v>
      </c>
      <c r="E35" s="2" t="s">
        <v>13227</v>
      </c>
      <c r="F35" s="2" t="s">
        <v>13227</v>
      </c>
      <c r="G35" s="4151" t="s">
        <v>11268</v>
      </c>
      <c r="H35" s="4151"/>
      <c r="I35" s="126">
        <v>44932</v>
      </c>
      <c r="J35" s="126">
        <v>44938</v>
      </c>
      <c r="K35" s="126">
        <v>44937</v>
      </c>
      <c r="L35" s="126">
        <v>44938</v>
      </c>
      <c r="M35" s="916">
        <f>IF((SAU_2023[[#This Row],[Flat Rack IG]]-SAU_2023[[#This Row],[OG]])+1&lt;2,2,SAU_2023[[#This Row],[Flat Rack IG]]-SAU_2023[[#This Row],[OG]]+1)</f>
        <v>2</v>
      </c>
      <c r="N35" s="126">
        <v>44964</v>
      </c>
      <c r="O35" s="126">
        <v>44964</v>
      </c>
      <c r="P35" s="916">
        <f>SAU_2023[[#This Row],[ACTURAL DEL]]-SAU_2023[[#This Row],[OG]]</f>
        <v>27</v>
      </c>
      <c r="Q35" s="7" t="s">
        <v>13092</v>
      </c>
      <c r="R35" s="7"/>
      <c r="S35" s="7"/>
      <c r="T35" s="7"/>
    </row>
    <row r="36" spans="1:20">
      <c r="A36" s="156" t="s">
        <v>263</v>
      </c>
      <c r="B36" s="7">
        <v>101</v>
      </c>
      <c r="C36" s="7" t="s">
        <v>13228</v>
      </c>
      <c r="D36" s="7" t="s">
        <v>13229</v>
      </c>
      <c r="E36" s="7" t="s">
        <v>13230</v>
      </c>
      <c r="F36" s="2" t="s">
        <v>13230</v>
      </c>
      <c r="G36" s="4151" t="s">
        <v>11268</v>
      </c>
      <c r="H36" s="4151"/>
      <c r="I36" s="126">
        <v>44932</v>
      </c>
      <c r="J36" s="126">
        <v>44938</v>
      </c>
      <c r="K36" s="126">
        <v>44936</v>
      </c>
      <c r="L36" s="126">
        <v>44937</v>
      </c>
      <c r="M36" s="916">
        <f>IF((SAU_2023[[#This Row],[Flat Rack IG]]-SAU_2023[[#This Row],[OG]])+1&lt;2,2,SAU_2023[[#This Row],[Flat Rack IG]]-SAU_2023[[#This Row],[OG]]+1)</f>
        <v>2</v>
      </c>
      <c r="N36" s="126">
        <v>44963</v>
      </c>
      <c r="O36" s="6">
        <v>44963</v>
      </c>
      <c r="P36" s="917">
        <f>SAU_2023[[#This Row],[ACTURAL DEL]]-SAU_2023[[#This Row],[OG]]</f>
        <v>27</v>
      </c>
      <c r="Q36" s="7" t="s">
        <v>13092</v>
      </c>
      <c r="R36" s="7"/>
      <c r="S36" s="7"/>
      <c r="T36" s="7"/>
    </row>
    <row r="37" spans="1:20">
      <c r="A37" s="156" t="s">
        <v>263</v>
      </c>
      <c r="B37" s="7">
        <v>101</v>
      </c>
      <c r="C37" s="7" t="s">
        <v>13231</v>
      </c>
      <c r="D37" s="7" t="s">
        <v>13232</v>
      </c>
      <c r="E37" s="7" t="s">
        <v>13233</v>
      </c>
      <c r="F37" s="156" t="s">
        <v>13233</v>
      </c>
      <c r="G37" s="4151" t="s">
        <v>11268</v>
      </c>
      <c r="H37" s="4151"/>
      <c r="I37" s="126">
        <v>44932</v>
      </c>
      <c r="J37" s="126">
        <v>44938</v>
      </c>
      <c r="K37" s="126">
        <v>44936</v>
      </c>
      <c r="L37" s="126">
        <v>44936</v>
      </c>
      <c r="M37" s="916">
        <f>IF((SAU_2023[[#This Row],[Flat Rack IG]]-SAU_2023[[#This Row],[OG]])+1&lt;2,2,SAU_2023[[#This Row],[Flat Rack IG]]-SAU_2023[[#This Row],[OG]]+1)</f>
        <v>2</v>
      </c>
      <c r="N37" s="126">
        <v>44965</v>
      </c>
      <c r="O37" s="126">
        <v>44965</v>
      </c>
      <c r="P37" s="916">
        <f>SAU_2023[[#This Row],[ACTURAL DEL]]-SAU_2023[[#This Row],[OG]]</f>
        <v>29</v>
      </c>
      <c r="Q37" s="7" t="s">
        <v>13092</v>
      </c>
      <c r="R37" s="7"/>
      <c r="S37" s="7"/>
      <c r="T37" s="7"/>
    </row>
    <row r="38" spans="1:20">
      <c r="A38" s="894" t="s">
        <v>263</v>
      </c>
      <c r="B38" s="2">
        <v>301</v>
      </c>
      <c r="C38" s="2" t="s">
        <v>13234</v>
      </c>
      <c r="D38" s="2" t="s">
        <v>13235</v>
      </c>
      <c r="E38" s="7" t="s">
        <v>13236</v>
      </c>
      <c r="F38" s="2" t="s">
        <v>13236</v>
      </c>
      <c r="G38" s="4559" t="s">
        <v>11268</v>
      </c>
      <c r="H38" s="4559"/>
      <c r="I38" s="6">
        <v>44939</v>
      </c>
      <c r="J38" s="6">
        <v>44946</v>
      </c>
      <c r="K38" s="126">
        <v>44943</v>
      </c>
      <c r="L38" s="6">
        <v>44944</v>
      </c>
      <c r="M38" s="917">
        <f>IF((SAU_2023[[#This Row],[Flat Rack IG]]-SAU_2023[[#This Row],[OG]])+1&lt;2,2,SAU_2023[[#This Row],[Flat Rack IG]]-SAU_2023[[#This Row],[OG]]+1)</f>
        <v>2</v>
      </c>
      <c r="N38" s="126">
        <v>44966</v>
      </c>
      <c r="O38" s="6">
        <v>44966</v>
      </c>
      <c r="P38" s="917">
        <f>SAU_2023[[#This Row],[ACTURAL DEL]]-SAU_2023[[#This Row],[OG]]</f>
        <v>23</v>
      </c>
      <c r="Q38" s="894" t="s">
        <v>13146</v>
      </c>
      <c r="R38"/>
    </row>
    <row r="39" spans="1:20">
      <c r="A39" s="156" t="s">
        <v>263</v>
      </c>
      <c r="B39" s="7">
        <v>101</v>
      </c>
      <c r="C39" s="7" t="s">
        <v>13237</v>
      </c>
      <c r="D39" s="7" t="s">
        <v>13238</v>
      </c>
      <c r="E39" s="2" t="s">
        <v>13239</v>
      </c>
      <c r="F39" s="7" t="s">
        <v>13239</v>
      </c>
      <c r="G39" s="4151" t="s">
        <v>11268</v>
      </c>
      <c r="H39" s="4151"/>
      <c r="I39" s="126">
        <v>44932</v>
      </c>
      <c r="J39" s="126">
        <v>44938</v>
      </c>
      <c r="K39" s="126">
        <v>44945</v>
      </c>
      <c r="L39" s="126">
        <v>44945</v>
      </c>
      <c r="M39" s="916">
        <f>IF((SAU_2023[[#This Row],[Flat Rack IG]]-SAU_2023[[#This Row],[OG]])+1&lt;2,2,SAU_2023[[#This Row],[Flat Rack IG]]-SAU_2023[[#This Row],[OG]]+1)</f>
        <v>2</v>
      </c>
      <c r="N39" s="126">
        <v>44971</v>
      </c>
      <c r="O39" s="126">
        <v>44972</v>
      </c>
      <c r="P39" s="916">
        <f>SAU_2023[[#This Row],[ACTURAL DEL]]-SAU_2023[[#This Row],[OG]]</f>
        <v>27</v>
      </c>
      <c r="Q39" s="7" t="s">
        <v>13092</v>
      </c>
      <c r="R39" s="2" t="s">
        <v>13097</v>
      </c>
      <c r="S39" s="2"/>
      <c r="T39" s="2"/>
    </row>
    <row r="40" spans="1:20">
      <c r="A40" s="894" t="s">
        <v>263</v>
      </c>
      <c r="B40" s="2">
        <v>201</v>
      </c>
      <c r="C40" s="2" t="s">
        <v>13240</v>
      </c>
      <c r="D40" s="2" t="s">
        <v>13241</v>
      </c>
      <c r="E40" s="7" t="s">
        <v>13242</v>
      </c>
      <c r="F40" s="2" t="s">
        <v>13242</v>
      </c>
      <c r="G40" s="4559" t="s">
        <v>11268</v>
      </c>
      <c r="H40" s="4559"/>
      <c r="I40" s="6">
        <v>44937</v>
      </c>
      <c r="J40" s="6">
        <v>44944</v>
      </c>
      <c r="K40" s="126">
        <v>44945</v>
      </c>
      <c r="L40" s="6">
        <v>44946</v>
      </c>
      <c r="M40" s="917">
        <f>IF((SAU_2023[[#This Row],[Flat Rack IG]]-SAU_2023[[#This Row],[OG]])+1&lt;2,2,SAU_2023[[#This Row],[Flat Rack IG]]-SAU_2023[[#This Row],[OG]]+1)</f>
        <v>2</v>
      </c>
      <c r="N40" s="6">
        <v>44970</v>
      </c>
      <c r="O40" s="126">
        <v>44970</v>
      </c>
      <c r="P40" s="916">
        <f>SAU_2023[[#This Row],[ACTURAL DEL]]-SAU_2023[[#This Row],[OG]]</f>
        <v>25</v>
      </c>
      <c r="Q40" s="894" t="s">
        <v>13110</v>
      </c>
      <c r="R40"/>
    </row>
    <row r="41" spans="1:20">
      <c r="A41" s="156" t="s">
        <v>263</v>
      </c>
      <c r="B41" s="7">
        <v>101</v>
      </c>
      <c r="C41" s="7" t="s">
        <v>13243</v>
      </c>
      <c r="D41" s="7" t="s">
        <v>13244</v>
      </c>
      <c r="E41" s="7" t="s">
        <v>13245</v>
      </c>
      <c r="F41" s="894" t="s">
        <v>13245</v>
      </c>
      <c r="G41" s="4151" t="s">
        <v>11268</v>
      </c>
      <c r="H41" s="4151"/>
      <c r="I41" s="126">
        <v>44932</v>
      </c>
      <c r="J41" s="126">
        <v>44938</v>
      </c>
      <c r="K41" s="126">
        <v>44937</v>
      </c>
      <c r="L41" s="126">
        <v>44938</v>
      </c>
      <c r="M41" s="916">
        <f>IF((SAU_2023[[#This Row],[Flat Rack IG]]-SAU_2023[[#This Row],[OG]])+1&lt;2,2,SAU_2023[[#This Row],[Flat Rack IG]]-SAU_2023[[#This Row],[OG]]+1)</f>
        <v>2</v>
      </c>
      <c r="N41" s="126">
        <v>44963</v>
      </c>
      <c r="O41" s="6">
        <v>44963</v>
      </c>
      <c r="P41" s="917">
        <f>SAU_2023[[#This Row],[ACTURAL DEL]]-SAU_2023[[#This Row],[OG]]</f>
        <v>26</v>
      </c>
      <c r="Q41" s="7" t="s">
        <v>13092</v>
      </c>
      <c r="R41" s="7"/>
      <c r="S41" s="7"/>
      <c r="T41" s="7"/>
    </row>
    <row r="42" spans="1:20">
      <c r="A42" s="156" t="s">
        <v>263</v>
      </c>
      <c r="B42" s="7">
        <v>101</v>
      </c>
      <c r="C42" s="7" t="s">
        <v>13246</v>
      </c>
      <c r="D42" s="7" t="s">
        <v>13247</v>
      </c>
      <c r="E42" s="7" t="s">
        <v>13248</v>
      </c>
      <c r="F42" s="7" t="s">
        <v>13248</v>
      </c>
      <c r="G42" s="4151" t="s">
        <v>11268</v>
      </c>
      <c r="H42" s="4151"/>
      <c r="I42" s="126">
        <v>44932</v>
      </c>
      <c r="J42" s="126">
        <v>44938</v>
      </c>
      <c r="K42" s="126">
        <v>44944</v>
      </c>
      <c r="L42" s="126">
        <v>44945</v>
      </c>
      <c r="M42" s="916">
        <f>IF((SAU_2023[[#This Row],[Flat Rack IG]]-SAU_2023[[#This Row],[OG]])+1&lt;2,2,SAU_2023[[#This Row],[Flat Rack IG]]-SAU_2023[[#This Row],[OG]]+1)</f>
        <v>2</v>
      </c>
      <c r="N42" s="2" t="s">
        <v>13169</v>
      </c>
      <c r="O42" s="126">
        <v>44970</v>
      </c>
      <c r="P42" s="916">
        <f>SAU_2023[[#This Row],[ACTURAL DEL]]-SAU_2023[[#This Row],[OG]]</f>
        <v>26</v>
      </c>
      <c r="Q42" s="7" t="s">
        <v>13092</v>
      </c>
      <c r="R42" s="2" t="s">
        <v>13097</v>
      </c>
      <c r="S42" s="2"/>
      <c r="T42" s="2"/>
    </row>
    <row r="43" spans="1:20">
      <c r="A43" s="156" t="s">
        <v>263</v>
      </c>
      <c r="B43" s="7">
        <v>101</v>
      </c>
      <c r="C43" s="7" t="s">
        <v>13249</v>
      </c>
      <c r="D43" s="7" t="s">
        <v>13250</v>
      </c>
      <c r="E43" s="2" t="s">
        <v>13251</v>
      </c>
      <c r="F43" s="2" t="s">
        <v>13252</v>
      </c>
      <c r="G43" s="4151" t="s">
        <v>11268</v>
      </c>
      <c r="H43" s="4151"/>
      <c r="I43" s="126">
        <v>44932</v>
      </c>
      <c r="J43" s="126">
        <v>44938</v>
      </c>
      <c r="K43" s="126">
        <v>44936</v>
      </c>
      <c r="L43" s="126">
        <v>44937</v>
      </c>
      <c r="M43" s="916">
        <f>IF((SAU_2023[[#This Row],[Flat Rack IG]]-SAU_2023[[#This Row],[OG]])+1&lt;2,2,SAU_2023[[#This Row],[Flat Rack IG]]-SAU_2023[[#This Row],[OG]]+1)</f>
        <v>2</v>
      </c>
      <c r="N43" s="126">
        <v>44963</v>
      </c>
      <c r="O43" s="6">
        <v>44963</v>
      </c>
      <c r="P43" s="917">
        <f>SAU_2023[[#This Row],[ACTURAL DEL]]-SAU_2023[[#This Row],[OG]]</f>
        <v>27</v>
      </c>
      <c r="Q43" s="7" t="s">
        <v>13092</v>
      </c>
      <c r="R43" s="7"/>
      <c r="S43" s="7"/>
      <c r="T43" s="7"/>
    </row>
    <row r="44" spans="1:20">
      <c r="A44" s="156" t="s">
        <v>263</v>
      </c>
      <c r="B44" s="7">
        <v>101</v>
      </c>
      <c r="C44" s="7" t="s">
        <v>13253</v>
      </c>
      <c r="D44" s="7" t="s">
        <v>13254</v>
      </c>
      <c r="E44" s="2" t="s">
        <v>13255</v>
      </c>
      <c r="F44" s="2" t="s">
        <v>13255</v>
      </c>
      <c r="G44" s="4151" t="s">
        <v>11268</v>
      </c>
      <c r="H44" s="4151"/>
      <c r="I44" s="126">
        <v>44932</v>
      </c>
      <c r="J44" s="126">
        <v>44938</v>
      </c>
      <c r="K44" s="126">
        <v>44936</v>
      </c>
      <c r="L44" s="126">
        <v>44936</v>
      </c>
      <c r="M44" s="916">
        <f>IF((SAU_2023[[#This Row],[Flat Rack IG]]-SAU_2023[[#This Row],[OG]])+1&lt;2,2,SAU_2023[[#This Row],[Flat Rack IG]]-SAU_2023[[#This Row],[OG]]+1)</f>
        <v>2</v>
      </c>
      <c r="N44" s="126">
        <v>44963</v>
      </c>
      <c r="O44" s="6">
        <v>44963</v>
      </c>
      <c r="P44" s="917">
        <f>SAU_2023[[#This Row],[ACTURAL DEL]]-SAU_2023[[#This Row],[OG]]</f>
        <v>27</v>
      </c>
      <c r="Q44" s="7" t="s">
        <v>13092</v>
      </c>
      <c r="R44" s="7"/>
      <c r="S44" s="7"/>
      <c r="T44" s="7"/>
    </row>
    <row r="45" spans="1:20">
      <c r="A45" s="894" t="s">
        <v>263</v>
      </c>
      <c r="B45" s="2">
        <v>102</v>
      </c>
      <c r="C45" s="2" t="s">
        <v>13256</v>
      </c>
      <c r="D45" s="2" t="s">
        <v>13257</v>
      </c>
      <c r="E45" s="2" t="s">
        <v>13258</v>
      </c>
      <c r="F45" s="2" t="s">
        <v>13258</v>
      </c>
      <c r="G45" s="4559" t="s">
        <v>13089</v>
      </c>
      <c r="H45" s="895" t="s">
        <v>13089</v>
      </c>
      <c r="I45" s="6">
        <v>44932</v>
      </c>
      <c r="J45" s="6">
        <v>44938</v>
      </c>
      <c r="K45" s="126">
        <v>44935</v>
      </c>
      <c r="L45" s="6">
        <v>44938</v>
      </c>
      <c r="M45" s="917">
        <f>IF((SAU_2023[[#This Row],[Flat Rack IG]]-SAU_2023[[#This Row],[OG]])+1&lt;2,2,SAU_2023[[#This Row],[Flat Rack IG]]-SAU_2023[[#This Row],[OG]]+1)</f>
        <v>4</v>
      </c>
      <c r="N45" s="6">
        <v>44963</v>
      </c>
      <c r="O45" s="6">
        <v>44963</v>
      </c>
      <c r="P45" s="917">
        <f>SAU_2023[[#This Row],[ACTURAL DEL]]-SAU_2023[[#This Row],[OG]]</f>
        <v>28</v>
      </c>
      <c r="Q45" s="894" t="s">
        <v>13090</v>
      </c>
      <c r="R45" s="4559" t="s">
        <v>13259</v>
      </c>
      <c r="S45" s="4559"/>
      <c r="T45" s="4559">
        <v>2335.52</v>
      </c>
    </row>
    <row r="46" spans="1:20">
      <c r="A46" s="156" t="s">
        <v>263</v>
      </c>
      <c r="B46" s="7">
        <v>101</v>
      </c>
      <c r="C46" s="7" t="s">
        <v>13260</v>
      </c>
      <c r="D46" s="7" t="s">
        <v>13261</v>
      </c>
      <c r="E46" s="2" t="s">
        <v>13262</v>
      </c>
      <c r="F46" s="7" t="s">
        <v>13262</v>
      </c>
      <c r="G46" s="4151" t="s">
        <v>11268</v>
      </c>
      <c r="H46" s="4151"/>
      <c r="I46" s="126">
        <v>44932</v>
      </c>
      <c r="J46" s="126">
        <v>44938</v>
      </c>
      <c r="K46" s="126">
        <v>44944</v>
      </c>
      <c r="L46" s="126">
        <v>44945</v>
      </c>
      <c r="M46" s="916">
        <f>IF((SAU_2023[[#This Row],[Flat Rack IG]]-SAU_2023[[#This Row],[OG]])+1&lt;2,2,SAU_2023[[#This Row],[Flat Rack IG]]-SAU_2023[[#This Row],[OG]]+1)</f>
        <v>2</v>
      </c>
      <c r="N46" s="2" t="s">
        <v>13169</v>
      </c>
      <c r="O46" s="126">
        <v>44970</v>
      </c>
      <c r="P46" s="916">
        <f>SAU_2023[[#This Row],[ACTURAL DEL]]-SAU_2023[[#This Row],[OG]]</f>
        <v>26</v>
      </c>
      <c r="Q46" s="7" t="s">
        <v>13092</v>
      </c>
      <c r="R46" s="2" t="s">
        <v>13097</v>
      </c>
      <c r="S46" s="2"/>
      <c r="T46" s="2"/>
    </row>
    <row r="47" spans="1:20">
      <c r="A47" s="156" t="s">
        <v>263</v>
      </c>
      <c r="B47" s="7">
        <v>101</v>
      </c>
      <c r="C47" s="7" t="s">
        <v>13263</v>
      </c>
      <c r="D47" s="7" t="s">
        <v>13264</v>
      </c>
      <c r="E47" s="7" t="s">
        <v>13265</v>
      </c>
      <c r="F47" s="7" t="s">
        <v>13265</v>
      </c>
      <c r="G47" s="4151" t="s">
        <v>11268</v>
      </c>
      <c r="H47" s="4151"/>
      <c r="I47" s="126">
        <v>44932</v>
      </c>
      <c r="J47" s="126">
        <v>44938</v>
      </c>
      <c r="K47" s="126">
        <v>44944</v>
      </c>
      <c r="L47" s="126">
        <v>44945</v>
      </c>
      <c r="M47" s="916">
        <f>IF((SAU_2023[[#This Row],[Flat Rack IG]]-SAU_2023[[#This Row],[OG]])+1&lt;2,2,SAU_2023[[#This Row],[Flat Rack IG]]-SAU_2023[[#This Row],[OG]]+1)</f>
        <v>2</v>
      </c>
      <c r="N47" s="2" t="s">
        <v>13169</v>
      </c>
      <c r="O47" s="126">
        <v>44970</v>
      </c>
      <c r="P47" s="916">
        <f>SAU_2023[[#This Row],[ACTURAL DEL]]-SAU_2023[[#This Row],[OG]]</f>
        <v>26</v>
      </c>
      <c r="Q47" s="7" t="s">
        <v>13092</v>
      </c>
      <c r="R47" s="2" t="s">
        <v>13097</v>
      </c>
      <c r="S47" s="2"/>
      <c r="T47" s="2"/>
    </row>
    <row r="48" spans="1:20">
      <c r="A48" s="894" t="s">
        <v>263</v>
      </c>
      <c r="B48" s="2">
        <v>103</v>
      </c>
      <c r="C48" s="2" t="s">
        <v>13266</v>
      </c>
      <c r="D48" s="2" t="s">
        <v>13267</v>
      </c>
      <c r="E48" s="7" t="s">
        <v>13268</v>
      </c>
      <c r="F48" s="2" t="s">
        <v>13268</v>
      </c>
      <c r="G48" s="4559" t="s">
        <v>13089</v>
      </c>
      <c r="H48" s="4559"/>
      <c r="I48" s="6">
        <v>44932</v>
      </c>
      <c r="J48" s="6">
        <v>44938</v>
      </c>
      <c r="K48" s="126">
        <v>44937</v>
      </c>
      <c r="L48" s="6">
        <v>44937</v>
      </c>
      <c r="M48" s="917">
        <f>IF((SAU_2023[[#This Row],[Flat Rack IG]]-SAU_2023[[#This Row],[OG]])+1&lt;2,2,SAU_2023[[#This Row],[Flat Rack IG]]-SAU_2023[[#This Row],[OG]]+1)</f>
        <v>2</v>
      </c>
      <c r="N48" s="6">
        <v>44963</v>
      </c>
      <c r="O48" s="6">
        <v>44963</v>
      </c>
      <c r="P48" s="917">
        <f>SAU_2023[[#This Row],[ACTURAL DEL]]-SAU_2023[[#This Row],[OG]]</f>
        <v>26</v>
      </c>
      <c r="Q48" s="894" t="s">
        <v>13098</v>
      </c>
      <c r="S48" s="2"/>
      <c r="T48" s="2"/>
    </row>
    <row r="49" spans="1:20">
      <c r="A49" s="156" t="s">
        <v>263</v>
      </c>
      <c r="B49" s="7">
        <v>101</v>
      </c>
      <c r="C49" s="7" t="s">
        <v>13269</v>
      </c>
      <c r="D49" s="7" t="s">
        <v>13270</v>
      </c>
      <c r="E49" s="2" t="s">
        <v>13271</v>
      </c>
      <c r="F49" s="7" t="s">
        <v>13271</v>
      </c>
      <c r="G49" s="4151" t="s">
        <v>11268</v>
      </c>
      <c r="H49" s="4151"/>
      <c r="I49" s="126">
        <v>44932</v>
      </c>
      <c r="J49" s="126">
        <v>44938</v>
      </c>
      <c r="K49" s="126">
        <v>44944</v>
      </c>
      <c r="L49" s="126">
        <v>44944</v>
      </c>
      <c r="M49" s="916">
        <f>IF((SAU_2023[[#This Row],[Flat Rack IG]]-SAU_2023[[#This Row],[OG]])+1&lt;2,2,SAU_2023[[#This Row],[Flat Rack IG]]-SAU_2023[[#This Row],[OG]]+1)</f>
        <v>2</v>
      </c>
      <c r="N49" s="126">
        <v>44965</v>
      </c>
      <c r="O49" s="126">
        <v>44965</v>
      </c>
      <c r="P49" s="916">
        <f>SAU_2023[[#This Row],[ACTURAL DEL]]-SAU_2023[[#This Row],[OG]]</f>
        <v>21</v>
      </c>
      <c r="Q49" s="7" t="s">
        <v>13092</v>
      </c>
      <c r="R49" s="2" t="s">
        <v>13097</v>
      </c>
      <c r="S49" s="2"/>
      <c r="T49" s="2"/>
    </row>
    <row r="50" spans="1:20">
      <c r="A50" s="156" t="s">
        <v>263</v>
      </c>
      <c r="B50" s="7">
        <v>101</v>
      </c>
      <c r="C50" s="7" t="s">
        <v>13272</v>
      </c>
      <c r="D50" s="7" t="s">
        <v>13273</v>
      </c>
      <c r="E50" s="2" t="s">
        <v>13274</v>
      </c>
      <c r="F50" s="7" t="s">
        <v>13274</v>
      </c>
      <c r="G50" s="4151" t="s">
        <v>11268</v>
      </c>
      <c r="H50" s="4151"/>
      <c r="I50" s="126">
        <v>44932</v>
      </c>
      <c r="J50" s="126">
        <v>44938</v>
      </c>
      <c r="K50" s="126">
        <v>44944</v>
      </c>
      <c r="L50" s="126">
        <v>44945</v>
      </c>
      <c r="M50" s="916">
        <f>IF((SAU_2023[[#This Row],[Flat Rack IG]]-SAU_2023[[#This Row],[OG]])+1&lt;2,2,SAU_2023[[#This Row],[Flat Rack IG]]-SAU_2023[[#This Row],[OG]]+1)</f>
        <v>2</v>
      </c>
      <c r="N50" s="2" t="s">
        <v>13169</v>
      </c>
      <c r="O50" s="126">
        <v>44970</v>
      </c>
      <c r="P50" s="916">
        <f>SAU_2023[[#This Row],[ACTURAL DEL]]-SAU_2023[[#This Row],[OG]]</f>
        <v>26</v>
      </c>
      <c r="Q50" s="7" t="s">
        <v>13092</v>
      </c>
      <c r="R50" s="2" t="s">
        <v>13097</v>
      </c>
      <c r="S50" s="2"/>
      <c r="T50" s="2"/>
    </row>
    <row r="51" spans="1:20">
      <c r="A51" s="156" t="s">
        <v>263</v>
      </c>
      <c r="B51" s="7">
        <v>101</v>
      </c>
      <c r="C51" s="7" t="s">
        <v>13275</v>
      </c>
      <c r="D51" s="7" t="s">
        <v>13276</v>
      </c>
      <c r="E51" s="7" t="s">
        <v>13277</v>
      </c>
      <c r="F51" s="7" t="s">
        <v>13278</v>
      </c>
      <c r="G51" s="4151" t="s">
        <v>11268</v>
      </c>
      <c r="H51" s="4151"/>
      <c r="I51" s="126">
        <v>44932</v>
      </c>
      <c r="J51" s="126">
        <v>44938</v>
      </c>
      <c r="K51" s="126">
        <v>44936</v>
      </c>
      <c r="L51" s="126">
        <v>44937</v>
      </c>
      <c r="M51" s="916">
        <f>IF((SAU_2023[[#This Row],[Flat Rack IG]]-SAU_2023[[#This Row],[OG]])+1&lt;2,2,SAU_2023[[#This Row],[Flat Rack IG]]-SAU_2023[[#This Row],[OG]]+1)</f>
        <v>2</v>
      </c>
      <c r="N51" s="126">
        <v>44966</v>
      </c>
      <c r="O51" s="6">
        <v>44966</v>
      </c>
      <c r="P51" s="917">
        <f>SAU_2023[[#This Row],[ACTURAL DEL]]-SAU_2023[[#This Row],[OG]]</f>
        <v>30</v>
      </c>
      <c r="Q51" s="7" t="s">
        <v>13092</v>
      </c>
      <c r="R51" s="7"/>
      <c r="S51" s="7"/>
      <c r="T51" s="7"/>
    </row>
    <row r="52" spans="1:20">
      <c r="A52" s="894" t="s">
        <v>263</v>
      </c>
      <c r="B52" s="2">
        <v>301</v>
      </c>
      <c r="C52" s="894" t="s">
        <v>13279</v>
      </c>
      <c r="D52" s="894" t="s">
        <v>13280</v>
      </c>
      <c r="E52" s="7" t="s">
        <v>13281</v>
      </c>
      <c r="F52" s="894" t="s">
        <v>13281</v>
      </c>
      <c r="G52" s="4559" t="s">
        <v>11268</v>
      </c>
      <c r="H52" s="4559"/>
      <c r="I52" s="6">
        <v>44939</v>
      </c>
      <c r="J52" s="6">
        <v>44946</v>
      </c>
      <c r="K52" s="126">
        <v>44949</v>
      </c>
      <c r="L52" s="6">
        <v>44950</v>
      </c>
      <c r="M52" s="917">
        <f>IF((SAU_2023[[#This Row],[Flat Rack IG]]-SAU_2023[[#This Row],[OG]])+1&lt;2,2,SAU_2023[[#This Row],[Flat Rack IG]]-SAU_2023[[#This Row],[OG]]+1)</f>
        <v>2</v>
      </c>
      <c r="N52" s="6">
        <v>44963</v>
      </c>
      <c r="O52" s="6">
        <v>44963</v>
      </c>
      <c r="P52" s="917">
        <f>SAU_2023[[#This Row],[ACTURAL DEL]]-SAU_2023[[#This Row],[OG]]</f>
        <v>14</v>
      </c>
      <c r="Q52" s="894" t="s">
        <v>13114</v>
      </c>
      <c r="R52"/>
    </row>
    <row r="53" spans="1:20">
      <c r="A53" s="894" t="s">
        <v>263</v>
      </c>
      <c r="B53" s="2">
        <v>301</v>
      </c>
      <c r="C53" s="2" t="s">
        <v>13282</v>
      </c>
      <c r="D53" s="2" t="s">
        <v>13283</v>
      </c>
      <c r="E53" s="7" t="s">
        <v>13284</v>
      </c>
      <c r="F53" s="2" t="s">
        <v>13284</v>
      </c>
      <c r="G53" s="4559" t="s">
        <v>11268</v>
      </c>
      <c r="H53" s="4559"/>
      <c r="I53" s="6">
        <v>44939</v>
      </c>
      <c r="J53" s="6">
        <v>44946</v>
      </c>
      <c r="K53" s="126">
        <v>44950</v>
      </c>
      <c r="L53" s="6">
        <v>44950</v>
      </c>
      <c r="M53" s="917">
        <f>IF((SAU_2023[[#This Row],[Flat Rack IG]]-SAU_2023[[#This Row],[OG]])+1&lt;2,2,SAU_2023[[#This Row],[Flat Rack IG]]-SAU_2023[[#This Row],[OG]]+1)</f>
        <v>2</v>
      </c>
      <c r="N53" s="6">
        <v>44963</v>
      </c>
      <c r="O53" s="6">
        <v>44963</v>
      </c>
      <c r="P53" s="917">
        <f>SAU_2023[[#This Row],[ACTURAL DEL]]-SAU_2023[[#This Row],[OG]]</f>
        <v>13</v>
      </c>
      <c r="Q53" s="894" t="s">
        <v>13114</v>
      </c>
      <c r="R53"/>
    </row>
    <row r="54" spans="1:20">
      <c r="A54" s="156" t="s">
        <v>263</v>
      </c>
      <c r="B54" s="7">
        <v>101</v>
      </c>
      <c r="C54" s="7" t="s">
        <v>13285</v>
      </c>
      <c r="D54" s="7" t="s">
        <v>13286</v>
      </c>
      <c r="E54" s="2" t="s">
        <v>13287</v>
      </c>
      <c r="F54" s="7" t="s">
        <v>13287</v>
      </c>
      <c r="G54" s="4151" t="s">
        <v>11268</v>
      </c>
      <c r="H54" s="4151"/>
      <c r="I54" s="126">
        <v>44932</v>
      </c>
      <c r="J54" s="126">
        <v>44938</v>
      </c>
      <c r="K54" s="126">
        <v>44944</v>
      </c>
      <c r="L54" s="126">
        <v>44945</v>
      </c>
      <c r="M54" s="916">
        <f>IF((SAU_2023[[#This Row],[Flat Rack IG]]-SAU_2023[[#This Row],[OG]])+1&lt;2,2,SAU_2023[[#This Row],[Flat Rack IG]]-SAU_2023[[#This Row],[OG]]+1)</f>
        <v>2</v>
      </c>
      <c r="N54" s="126">
        <v>44966</v>
      </c>
      <c r="O54" s="6">
        <v>44966</v>
      </c>
      <c r="P54" s="917">
        <f>SAU_2023[[#This Row],[ACTURAL DEL]]-SAU_2023[[#This Row],[OG]]</f>
        <v>22</v>
      </c>
      <c r="Q54" s="7" t="s">
        <v>13092</v>
      </c>
      <c r="R54" s="2" t="s">
        <v>13097</v>
      </c>
      <c r="S54" s="2"/>
      <c r="T54" s="2"/>
    </row>
    <row r="55" spans="1:20">
      <c r="A55" s="894" t="s">
        <v>263</v>
      </c>
      <c r="B55" s="2">
        <v>301</v>
      </c>
      <c r="C55" s="894" t="s">
        <v>13288</v>
      </c>
      <c r="D55" s="894" t="s">
        <v>13289</v>
      </c>
      <c r="E55" s="2" t="s">
        <v>13290</v>
      </c>
      <c r="F55" s="894" t="s">
        <v>13290</v>
      </c>
      <c r="G55" s="4559" t="s">
        <v>11268</v>
      </c>
      <c r="H55" s="4559"/>
      <c r="I55" s="6">
        <v>44939</v>
      </c>
      <c r="J55" s="6">
        <v>44946</v>
      </c>
      <c r="K55" s="126">
        <v>44950</v>
      </c>
      <c r="L55" s="6">
        <v>44950</v>
      </c>
      <c r="M55" s="917">
        <f>IF((SAU_2023[[#This Row],[Flat Rack IG]]-SAU_2023[[#This Row],[OG]])+1&lt;2,2,SAU_2023[[#This Row],[Flat Rack IG]]-SAU_2023[[#This Row],[OG]]+1)</f>
        <v>2</v>
      </c>
      <c r="N55" s="6">
        <v>44963</v>
      </c>
      <c r="O55" s="6">
        <v>44963</v>
      </c>
      <c r="P55" s="917">
        <f>SAU_2023[[#This Row],[ACTURAL DEL]]-SAU_2023[[#This Row],[OG]]</f>
        <v>13</v>
      </c>
      <c r="Q55" s="894" t="s">
        <v>13114</v>
      </c>
      <c r="R55"/>
    </row>
    <row r="56" spans="1:20">
      <c r="A56" s="156" t="s">
        <v>263</v>
      </c>
      <c r="B56" s="7">
        <v>101</v>
      </c>
      <c r="C56" s="7" t="s">
        <v>13291</v>
      </c>
      <c r="D56" s="7" t="s">
        <v>13292</v>
      </c>
      <c r="E56" s="2" t="s">
        <v>13293</v>
      </c>
      <c r="F56" s="7" t="s">
        <v>13293</v>
      </c>
      <c r="G56" s="4151" t="s">
        <v>11268</v>
      </c>
      <c r="H56" s="4151"/>
      <c r="I56" s="126">
        <v>44932</v>
      </c>
      <c r="J56" s="126">
        <v>44938</v>
      </c>
      <c r="K56" s="126">
        <v>44945</v>
      </c>
      <c r="L56" s="126">
        <v>44945</v>
      </c>
      <c r="M56" s="916">
        <f>IF((SAU_2023[[#This Row],[Flat Rack IG]]-SAU_2023[[#This Row],[OG]])+1&lt;2,2,SAU_2023[[#This Row],[Flat Rack IG]]-SAU_2023[[#This Row],[OG]]+1)</f>
        <v>2</v>
      </c>
      <c r="N56" s="126">
        <v>44971</v>
      </c>
      <c r="O56" s="126">
        <v>44972</v>
      </c>
      <c r="P56" s="916">
        <f>SAU_2023[[#This Row],[ACTURAL DEL]]-SAU_2023[[#This Row],[OG]]</f>
        <v>27</v>
      </c>
      <c r="Q56" s="7" t="s">
        <v>13092</v>
      </c>
      <c r="R56" s="2" t="s">
        <v>13097</v>
      </c>
      <c r="S56" s="2"/>
      <c r="T56" s="2"/>
    </row>
    <row r="57" spans="1:20">
      <c r="A57" s="894" t="s">
        <v>263</v>
      </c>
      <c r="B57" s="2">
        <v>102</v>
      </c>
      <c r="C57" s="2" t="s">
        <v>13294</v>
      </c>
      <c r="D57" s="742" t="s">
        <v>13295</v>
      </c>
      <c r="E57" s="2" t="s">
        <v>13296</v>
      </c>
      <c r="F57" s="2" t="s">
        <v>13296</v>
      </c>
      <c r="G57" s="4559" t="s">
        <v>13089</v>
      </c>
      <c r="H57" s="4559"/>
      <c r="I57" s="6">
        <v>44932</v>
      </c>
      <c r="J57" s="6">
        <v>44938</v>
      </c>
      <c r="K57" s="126">
        <v>44944</v>
      </c>
      <c r="L57" s="6">
        <v>44944</v>
      </c>
      <c r="M57" s="917">
        <f>IF((SAU_2023[[#This Row],[Flat Rack IG]]-SAU_2023[[#This Row],[OG]])+1&lt;2,2,SAU_2023[[#This Row],[Flat Rack IG]]-SAU_2023[[#This Row],[OG]]+1)</f>
        <v>2</v>
      </c>
      <c r="N57" s="6">
        <v>44965</v>
      </c>
      <c r="O57" s="126">
        <v>44965</v>
      </c>
      <c r="P57" s="916">
        <f>SAU_2023[[#This Row],[ACTURAL DEL]]-SAU_2023[[#This Row],[OG]]</f>
        <v>21</v>
      </c>
      <c r="Q57" s="894" t="s">
        <v>13090</v>
      </c>
      <c r="R57" s="2" t="s">
        <v>13091</v>
      </c>
      <c r="S57" s="2"/>
      <c r="T57" s="2"/>
    </row>
    <row r="58" spans="1:20">
      <c r="A58" s="894" t="s">
        <v>263</v>
      </c>
      <c r="B58" s="2">
        <v>102</v>
      </c>
      <c r="C58" s="2" t="s">
        <v>13297</v>
      </c>
      <c r="D58" s="2" t="s">
        <v>13298</v>
      </c>
      <c r="E58" s="7" t="s">
        <v>13299</v>
      </c>
      <c r="F58" s="894" t="s">
        <v>13299</v>
      </c>
      <c r="G58" s="4559" t="s">
        <v>13089</v>
      </c>
      <c r="H58" s="4559"/>
      <c r="I58" s="6">
        <v>44932</v>
      </c>
      <c r="J58" s="6">
        <v>44938</v>
      </c>
      <c r="K58" s="126">
        <v>44937</v>
      </c>
      <c r="L58" s="6">
        <v>44937</v>
      </c>
      <c r="M58" s="917">
        <f>IF((SAU_2023[[#This Row],[Flat Rack IG]]-SAU_2023[[#This Row],[OG]])+1&lt;2,2,SAU_2023[[#This Row],[Flat Rack IG]]-SAU_2023[[#This Row],[OG]]+1)</f>
        <v>2</v>
      </c>
      <c r="N58" s="6">
        <v>44965</v>
      </c>
      <c r="O58" s="126">
        <v>44965</v>
      </c>
      <c r="P58" s="916">
        <f>SAU_2023[[#This Row],[ACTURAL DEL]]-SAU_2023[[#This Row],[OG]]</f>
        <v>28</v>
      </c>
      <c r="Q58" s="894" t="s">
        <v>13090</v>
      </c>
      <c r="R58"/>
    </row>
    <row r="59" spans="1:20">
      <c r="A59" s="894" t="s">
        <v>263</v>
      </c>
      <c r="B59" s="2">
        <v>301</v>
      </c>
      <c r="C59" s="894" t="s">
        <v>13300</v>
      </c>
      <c r="D59" s="894" t="s">
        <v>13301</v>
      </c>
      <c r="E59" s="7" t="s">
        <v>13302</v>
      </c>
      <c r="F59" s="894" t="s">
        <v>13303</v>
      </c>
      <c r="G59" s="4559" t="s">
        <v>11268</v>
      </c>
      <c r="H59" s="4559"/>
      <c r="I59" s="6">
        <v>44939</v>
      </c>
      <c r="J59" s="6">
        <v>44946</v>
      </c>
      <c r="K59" s="126">
        <v>44950</v>
      </c>
      <c r="L59" s="6">
        <v>44950</v>
      </c>
      <c r="M59" s="917">
        <f>IF((SAU_2023[[#This Row],[Flat Rack IG]]-SAU_2023[[#This Row],[OG]])+1&lt;2,2,SAU_2023[[#This Row],[Flat Rack IG]]-SAU_2023[[#This Row],[OG]]+1)</f>
        <v>2</v>
      </c>
      <c r="N59" s="6">
        <v>44963</v>
      </c>
      <c r="O59" s="6">
        <v>44963</v>
      </c>
      <c r="P59" s="917">
        <f>SAU_2023[[#This Row],[ACTURAL DEL]]-SAU_2023[[#This Row],[OG]]</f>
        <v>13</v>
      </c>
      <c r="Q59" s="894" t="s">
        <v>13114</v>
      </c>
      <c r="R59"/>
    </row>
    <row r="60" spans="1:20">
      <c r="A60" s="894" t="s">
        <v>263</v>
      </c>
      <c r="B60" s="2">
        <v>102</v>
      </c>
      <c r="C60" s="2" t="s">
        <v>13304</v>
      </c>
      <c r="D60" s="2" t="s">
        <v>13305</v>
      </c>
      <c r="E60" s="7" t="s">
        <v>13306</v>
      </c>
      <c r="F60" s="894" t="s">
        <v>13306</v>
      </c>
      <c r="G60" s="4559" t="s">
        <v>13089</v>
      </c>
      <c r="H60" s="4559"/>
      <c r="I60" s="6">
        <v>44932</v>
      </c>
      <c r="J60" s="6">
        <v>44938</v>
      </c>
      <c r="K60" s="126">
        <v>44937</v>
      </c>
      <c r="L60" s="6">
        <v>44937</v>
      </c>
      <c r="M60" s="917">
        <f>IF((SAU_2023[[#This Row],[Flat Rack IG]]-SAU_2023[[#This Row],[OG]])+1&lt;2,2,SAU_2023[[#This Row],[Flat Rack IG]]-SAU_2023[[#This Row],[OG]]+1)</f>
        <v>2</v>
      </c>
      <c r="N60" s="6">
        <v>44965</v>
      </c>
      <c r="O60" s="126">
        <v>44965</v>
      </c>
      <c r="P60" s="916">
        <f>SAU_2023[[#This Row],[ACTURAL DEL]]-SAU_2023[[#This Row],[OG]]</f>
        <v>28</v>
      </c>
      <c r="Q60" s="894" t="s">
        <v>13090</v>
      </c>
      <c r="R60"/>
    </row>
    <row r="61" spans="1:20">
      <c r="A61" s="894" t="s">
        <v>263</v>
      </c>
      <c r="B61" s="2">
        <v>301</v>
      </c>
      <c r="C61" s="2" t="s">
        <v>13307</v>
      </c>
      <c r="D61" s="2" t="s">
        <v>13308</v>
      </c>
      <c r="E61" s="2" t="s">
        <v>13309</v>
      </c>
      <c r="F61" s="2" t="s">
        <v>13309</v>
      </c>
      <c r="G61" s="4559" t="s">
        <v>11268</v>
      </c>
      <c r="H61" s="4559"/>
      <c r="I61" s="6">
        <v>44939</v>
      </c>
      <c r="J61" s="6">
        <v>44946</v>
      </c>
      <c r="K61" s="126">
        <v>44943</v>
      </c>
      <c r="L61" s="6">
        <v>44944</v>
      </c>
      <c r="M61" s="917">
        <f>IF((SAU_2023[[#This Row],[Flat Rack IG]]-SAU_2023[[#This Row],[OG]])+1&lt;2,2,SAU_2023[[#This Row],[Flat Rack IG]]-SAU_2023[[#This Row],[OG]]+1)</f>
        <v>2</v>
      </c>
      <c r="N61" s="126">
        <v>44966</v>
      </c>
      <c r="O61" s="6">
        <v>44966</v>
      </c>
      <c r="P61" s="917">
        <f>SAU_2023[[#This Row],[ACTURAL DEL]]-SAU_2023[[#This Row],[OG]]</f>
        <v>23</v>
      </c>
      <c r="Q61" s="894" t="s">
        <v>13146</v>
      </c>
      <c r="R61"/>
    </row>
    <row r="62" spans="1:20">
      <c r="A62" s="894" t="s">
        <v>263</v>
      </c>
      <c r="B62" s="2">
        <v>103</v>
      </c>
      <c r="C62" s="2" t="s">
        <v>13310</v>
      </c>
      <c r="D62" s="2" t="s">
        <v>13311</v>
      </c>
      <c r="E62" s="7" t="s">
        <v>13312</v>
      </c>
      <c r="F62" s="894" t="s">
        <v>13312</v>
      </c>
      <c r="G62" s="4559" t="s">
        <v>13089</v>
      </c>
      <c r="H62" s="895" t="s">
        <v>13089</v>
      </c>
      <c r="I62" s="6">
        <v>44932</v>
      </c>
      <c r="J62" s="6">
        <v>44938</v>
      </c>
      <c r="K62" s="126">
        <v>44935</v>
      </c>
      <c r="L62" s="6">
        <v>44937</v>
      </c>
      <c r="M62" s="917">
        <f>IF((SAU_2023[[#This Row],[Flat Rack IG]]-SAU_2023[[#This Row],[OG]])+1&lt;2,2,SAU_2023[[#This Row],[Flat Rack IG]]-SAU_2023[[#This Row],[OG]]+1)</f>
        <v>3</v>
      </c>
      <c r="N62" s="6">
        <v>44965</v>
      </c>
      <c r="O62" s="126">
        <v>44965</v>
      </c>
      <c r="P62" s="916">
        <f>SAU_2023[[#This Row],[ACTURAL DEL]]-SAU_2023[[#This Row],[OG]]</f>
        <v>30</v>
      </c>
      <c r="Q62" s="894" t="s">
        <v>13098</v>
      </c>
      <c r="S62" s="2"/>
      <c r="T62" s="2"/>
    </row>
    <row r="63" spans="1:20">
      <c r="A63" s="894" t="s">
        <v>263</v>
      </c>
      <c r="B63" s="2">
        <v>103</v>
      </c>
      <c r="C63" s="2" t="s">
        <v>13313</v>
      </c>
      <c r="D63" s="2" t="s">
        <v>13314</v>
      </c>
      <c r="E63" s="7" t="s">
        <v>13315</v>
      </c>
      <c r="F63" s="894" t="s">
        <v>13315</v>
      </c>
      <c r="G63" s="4559" t="s">
        <v>13089</v>
      </c>
      <c r="H63" s="4559"/>
      <c r="I63" s="6">
        <v>44932</v>
      </c>
      <c r="J63" s="6">
        <v>44938</v>
      </c>
      <c r="K63" s="126">
        <v>44936</v>
      </c>
      <c r="L63" s="6">
        <v>44936</v>
      </c>
      <c r="M63" s="917">
        <f>IF((SAU_2023[[#This Row],[Flat Rack IG]]-SAU_2023[[#This Row],[OG]])+1&lt;2,2,SAU_2023[[#This Row],[Flat Rack IG]]-SAU_2023[[#This Row],[OG]]+1)</f>
        <v>2</v>
      </c>
      <c r="N63" s="6">
        <v>44965</v>
      </c>
      <c r="O63" s="126">
        <v>44965</v>
      </c>
      <c r="P63" s="916">
        <f>SAU_2023[[#This Row],[ACTURAL DEL]]-SAU_2023[[#This Row],[OG]]</f>
        <v>29</v>
      </c>
      <c r="Q63" s="894" t="s">
        <v>13098</v>
      </c>
      <c r="S63" s="2"/>
      <c r="T63" s="2"/>
    </row>
    <row r="64" spans="1:20">
      <c r="A64" s="894" t="s">
        <v>263</v>
      </c>
      <c r="B64" s="2">
        <v>103</v>
      </c>
      <c r="C64" s="2" t="s">
        <v>13316</v>
      </c>
      <c r="D64" s="2" t="s">
        <v>13317</v>
      </c>
      <c r="E64" s="7" t="s">
        <v>13318</v>
      </c>
      <c r="F64" s="894" t="s">
        <v>13318</v>
      </c>
      <c r="G64" s="4559" t="s">
        <v>13089</v>
      </c>
      <c r="H64" s="4559"/>
      <c r="I64" s="6">
        <v>44932</v>
      </c>
      <c r="J64" s="6">
        <v>44938</v>
      </c>
      <c r="K64" s="126">
        <v>44936</v>
      </c>
      <c r="L64" s="6">
        <v>44936</v>
      </c>
      <c r="M64" s="917">
        <f>IF((SAU_2023[[#This Row],[Flat Rack IG]]-SAU_2023[[#This Row],[OG]])+1&lt;2,2,SAU_2023[[#This Row],[Flat Rack IG]]-SAU_2023[[#This Row],[OG]]+1)</f>
        <v>2</v>
      </c>
      <c r="N64" s="921">
        <v>44965</v>
      </c>
      <c r="O64" s="126">
        <v>44965</v>
      </c>
      <c r="P64" s="916">
        <f>SAU_2023[[#This Row],[ACTURAL DEL]]-SAU_2023[[#This Row],[OG]]</f>
        <v>29</v>
      </c>
      <c r="Q64" s="894" t="s">
        <v>13098</v>
      </c>
      <c r="S64" s="2"/>
      <c r="T64" s="2"/>
    </row>
    <row r="65" spans="1:20">
      <c r="A65" s="894" t="s">
        <v>263</v>
      </c>
      <c r="B65" s="2">
        <v>103</v>
      </c>
      <c r="C65" s="2" t="s">
        <v>13319</v>
      </c>
      <c r="D65" s="2" t="s">
        <v>13320</v>
      </c>
      <c r="E65" s="2" t="s">
        <v>13321</v>
      </c>
      <c r="F65" s="894" t="s">
        <v>13321</v>
      </c>
      <c r="G65" s="4559" t="s">
        <v>13089</v>
      </c>
      <c r="H65" s="4559"/>
      <c r="I65" s="6">
        <v>44932</v>
      </c>
      <c r="J65" s="6">
        <v>44938</v>
      </c>
      <c r="K65" s="126">
        <v>44936</v>
      </c>
      <c r="L65" s="6">
        <v>44936</v>
      </c>
      <c r="M65" s="917">
        <f>IF((SAU_2023[[#This Row],[Flat Rack IG]]-SAU_2023[[#This Row],[OG]])+1&lt;2,2,SAU_2023[[#This Row],[Flat Rack IG]]-SAU_2023[[#This Row],[OG]]+1)</f>
        <v>2</v>
      </c>
      <c r="N65" s="6">
        <v>44965</v>
      </c>
      <c r="O65" s="126">
        <v>44965</v>
      </c>
      <c r="P65" s="916">
        <f>SAU_2023[[#This Row],[ACTURAL DEL]]-SAU_2023[[#This Row],[OG]]</f>
        <v>29</v>
      </c>
      <c r="Q65" s="894" t="s">
        <v>13098</v>
      </c>
      <c r="S65" s="2"/>
      <c r="T65" s="2"/>
    </row>
    <row r="66" spans="1:20">
      <c r="A66" s="156" t="s">
        <v>263</v>
      </c>
      <c r="B66" s="7">
        <v>101</v>
      </c>
      <c r="C66" s="2" t="s">
        <v>13322</v>
      </c>
      <c r="D66" s="2" t="s">
        <v>13323</v>
      </c>
      <c r="E66" s="2" t="s">
        <v>13324</v>
      </c>
      <c r="F66" s="2" t="s">
        <v>13324</v>
      </c>
      <c r="G66" s="4151" t="s">
        <v>11268</v>
      </c>
      <c r="H66" s="4151"/>
      <c r="I66" s="126">
        <v>44932</v>
      </c>
      <c r="J66" s="126">
        <v>44938</v>
      </c>
      <c r="K66" s="126">
        <v>44946</v>
      </c>
      <c r="L66" s="126">
        <v>44949</v>
      </c>
      <c r="M66" s="916">
        <f>IF((SAU_2023[[#This Row],[Flat Rack IG]]-SAU_2023[[#This Row],[OG]])+1&lt;2,2,SAU_2023[[#This Row],[Flat Rack IG]]-SAU_2023[[#This Row],[OG]]+1)</f>
        <v>4</v>
      </c>
      <c r="N66" s="756">
        <v>44970</v>
      </c>
      <c r="O66" s="6">
        <v>44972</v>
      </c>
      <c r="P66" s="917">
        <f>SAU_2023[[#This Row],[ACTURAL DEL]]-SAU_2023[[#This Row],[OG]]</f>
        <v>26</v>
      </c>
      <c r="Q66" s="2" t="s">
        <v>13092</v>
      </c>
      <c r="R66" t="s">
        <v>13325</v>
      </c>
      <c r="S66" s="2"/>
      <c r="T66" s="2"/>
    </row>
    <row r="67" spans="1:20">
      <c r="A67" s="894" t="s">
        <v>263</v>
      </c>
      <c r="B67" s="2">
        <v>102</v>
      </c>
      <c r="C67" t="s">
        <v>13326</v>
      </c>
      <c r="D67" s="2" t="s">
        <v>13327</v>
      </c>
      <c r="E67" t="s">
        <v>13328</v>
      </c>
      <c r="F67" s="2" t="s">
        <v>13329</v>
      </c>
      <c r="G67" s="4559" t="s">
        <v>13089</v>
      </c>
      <c r="H67" s="4559" t="s">
        <v>13089</v>
      </c>
      <c r="I67" s="6">
        <v>44932</v>
      </c>
      <c r="J67" s="6">
        <v>44938</v>
      </c>
      <c r="K67" s="126">
        <v>44935</v>
      </c>
      <c r="L67" s="6">
        <v>44937</v>
      </c>
      <c r="M67" s="917">
        <f>IF((SAU_2023[[#This Row],[Flat Rack IG]]-SAU_2023[[#This Row],[OG]])+1&lt;2,2,SAU_2023[[#This Row],[Flat Rack IG]]-SAU_2023[[#This Row],[OG]]+1)</f>
        <v>3</v>
      </c>
      <c r="N67" s="918">
        <v>44964</v>
      </c>
      <c r="O67" s="126">
        <v>44964</v>
      </c>
      <c r="P67" s="916">
        <f>SAU_2023[[#This Row],[ACTURAL DEL]]-SAU_2023[[#This Row],[OG]]</f>
        <v>29</v>
      </c>
      <c r="Q67" s="894" t="s">
        <v>13090</v>
      </c>
      <c r="R67" t="s">
        <v>13330</v>
      </c>
      <c r="S67" s="2"/>
      <c r="T67" s="2"/>
    </row>
    <row r="68" spans="1:20">
      <c r="A68" s="156" t="s">
        <v>263</v>
      </c>
      <c r="B68" s="7">
        <v>101</v>
      </c>
      <c r="C68" s="7" t="s">
        <v>13331</v>
      </c>
      <c r="D68" s="7" t="s">
        <v>13332</v>
      </c>
      <c r="E68" s="2" t="s">
        <v>13333</v>
      </c>
      <c r="F68" s="2" t="s">
        <v>13333</v>
      </c>
      <c r="G68" s="4151" t="s">
        <v>11268</v>
      </c>
      <c r="H68" s="4151"/>
      <c r="I68" s="126">
        <v>44932</v>
      </c>
      <c r="J68" s="126">
        <v>44938</v>
      </c>
      <c r="K68" s="126">
        <v>44937</v>
      </c>
      <c r="L68" s="126">
        <v>44937</v>
      </c>
      <c r="M68" s="916">
        <f>IF((SAU_2023[[#This Row],[Flat Rack IG]]-SAU_2023[[#This Row],[OG]])+1&lt;2,2,SAU_2023[[#This Row],[Flat Rack IG]]-SAU_2023[[#This Row],[OG]]+1)</f>
        <v>2</v>
      </c>
      <c r="N68" s="6">
        <v>44964</v>
      </c>
      <c r="O68" s="126">
        <v>44964</v>
      </c>
      <c r="P68" s="916">
        <f>SAU_2023[[#This Row],[ACTURAL DEL]]-SAU_2023[[#This Row],[OG]]</f>
        <v>27</v>
      </c>
      <c r="Q68" s="7" t="s">
        <v>13092</v>
      </c>
      <c r="R68" s="7"/>
      <c r="S68" s="7"/>
      <c r="T68" s="7"/>
    </row>
    <row r="69" spans="1:20">
      <c r="A69" s="156" t="s">
        <v>263</v>
      </c>
      <c r="B69" s="7">
        <v>101</v>
      </c>
      <c r="C69" s="2" t="s">
        <v>13334</v>
      </c>
      <c r="D69" s="7" t="s">
        <v>13335</v>
      </c>
      <c r="E69" s="2" t="s">
        <v>13336</v>
      </c>
      <c r="F69" t="s">
        <v>13336</v>
      </c>
      <c r="G69" s="4151" t="s">
        <v>11268</v>
      </c>
      <c r="H69" s="4151"/>
      <c r="I69" s="126">
        <v>44932</v>
      </c>
      <c r="J69" s="126">
        <v>44938</v>
      </c>
      <c r="K69" s="126">
        <v>44937</v>
      </c>
      <c r="L69" s="126">
        <v>44937</v>
      </c>
      <c r="M69" s="916">
        <f>IF((SAU_2023[[#This Row],[Flat Rack IG]]-SAU_2023[[#This Row],[OG]])+1&lt;2,2,SAU_2023[[#This Row],[Flat Rack IG]]-SAU_2023[[#This Row],[OG]]+1)</f>
        <v>2</v>
      </c>
      <c r="N69" s="6">
        <v>44964</v>
      </c>
      <c r="O69" s="6">
        <v>44964</v>
      </c>
      <c r="P69" s="917">
        <f>SAU_2023[[#This Row],[ACTURAL DEL]]-SAU_2023[[#This Row],[OG]]</f>
        <v>27</v>
      </c>
      <c r="Q69" t="s">
        <v>13337</v>
      </c>
      <c r="R69" s="7"/>
      <c r="S69" s="7"/>
      <c r="T69" s="7"/>
    </row>
    <row r="70" spans="1:20">
      <c r="A70" s="894" t="s">
        <v>263</v>
      </c>
      <c r="B70" s="2">
        <v>104</v>
      </c>
      <c r="C70" s="2" t="s">
        <v>13338</v>
      </c>
      <c r="D70" s="2" t="s">
        <v>13339</v>
      </c>
      <c r="E70" s="7" t="s">
        <v>13340</v>
      </c>
      <c r="F70" s="894" t="s">
        <v>13340</v>
      </c>
      <c r="G70" s="4559" t="s">
        <v>13089</v>
      </c>
      <c r="H70" s="4559"/>
      <c r="I70" s="6">
        <v>44932</v>
      </c>
      <c r="J70" s="6">
        <v>44938</v>
      </c>
      <c r="K70" s="126">
        <v>44936</v>
      </c>
      <c r="L70" s="6">
        <v>44936</v>
      </c>
      <c r="M70" s="917">
        <f>IF((SAU_2023[[#This Row],[Flat Rack IG]]-SAU_2023[[#This Row],[OG]])+1&lt;2,2,SAU_2023[[#This Row],[Flat Rack IG]]-SAU_2023[[#This Row],[OG]]+1)</f>
        <v>2</v>
      </c>
      <c r="N70" s="6">
        <v>44965</v>
      </c>
      <c r="O70" s="126">
        <v>44965</v>
      </c>
      <c r="P70" s="916">
        <f>SAU_2023[[#This Row],[ACTURAL DEL]]-SAU_2023[[#This Row],[OG]]</f>
        <v>29</v>
      </c>
      <c r="Q70" s="894" t="s">
        <v>13102</v>
      </c>
      <c r="S70" s="2"/>
      <c r="T70" s="2"/>
    </row>
    <row r="71" spans="1:20">
      <c r="A71" s="156" t="s">
        <v>263</v>
      </c>
      <c r="B71" s="7">
        <v>101</v>
      </c>
      <c r="C71" s="7" t="s">
        <v>13341</v>
      </c>
      <c r="D71" s="7" t="s">
        <v>13342</v>
      </c>
      <c r="E71" s="7" t="s">
        <v>13343</v>
      </c>
      <c r="F71" s="7" t="s">
        <v>13343</v>
      </c>
      <c r="G71" s="4151" t="s">
        <v>11268</v>
      </c>
      <c r="H71" s="4151"/>
      <c r="I71" s="126">
        <v>44932</v>
      </c>
      <c r="J71" s="126">
        <v>44938</v>
      </c>
      <c r="K71" s="126">
        <v>44945</v>
      </c>
      <c r="L71" s="126">
        <v>44945</v>
      </c>
      <c r="M71" s="916">
        <f>IF((SAU_2023[[#This Row],[Flat Rack IG]]-SAU_2023[[#This Row],[OG]])+1&lt;2,2,SAU_2023[[#This Row],[Flat Rack IG]]-SAU_2023[[#This Row],[OG]]+1)</f>
        <v>2</v>
      </c>
      <c r="N71" s="126">
        <v>44971</v>
      </c>
      <c r="O71" s="126">
        <v>44972</v>
      </c>
      <c r="P71" s="916">
        <f>SAU_2023[[#This Row],[ACTURAL DEL]]-SAU_2023[[#This Row],[OG]]</f>
        <v>27</v>
      </c>
      <c r="Q71" s="7" t="s">
        <v>13092</v>
      </c>
      <c r="R71" s="2" t="s">
        <v>13097</v>
      </c>
      <c r="S71" s="2"/>
      <c r="T71" s="2"/>
    </row>
    <row r="72" spans="1:20">
      <c r="A72" s="894" t="s">
        <v>263</v>
      </c>
      <c r="B72" s="2">
        <v>104</v>
      </c>
      <c r="C72" s="2" t="s">
        <v>13344</v>
      </c>
      <c r="D72" s="2" t="s">
        <v>13345</v>
      </c>
      <c r="E72" s="2" t="s">
        <v>13346</v>
      </c>
      <c r="F72" s="894" t="s">
        <v>13346</v>
      </c>
      <c r="G72" s="4559" t="s">
        <v>13089</v>
      </c>
      <c r="H72" s="4559"/>
      <c r="I72" s="6">
        <v>44932</v>
      </c>
      <c r="J72" s="6">
        <v>44938</v>
      </c>
      <c r="K72" s="126">
        <v>44936</v>
      </c>
      <c r="L72" s="6">
        <v>44936</v>
      </c>
      <c r="M72" s="917">
        <f>IF((SAU_2023[[#This Row],[Flat Rack IG]]-SAU_2023[[#This Row],[OG]])+1&lt;2,2,SAU_2023[[#This Row],[Flat Rack IG]]-SAU_2023[[#This Row],[OG]]+1)</f>
        <v>2</v>
      </c>
      <c r="N72" s="6">
        <v>44965</v>
      </c>
      <c r="O72" s="126">
        <v>44965</v>
      </c>
      <c r="P72" s="916">
        <f>SAU_2023[[#This Row],[ACTURAL DEL]]-SAU_2023[[#This Row],[OG]]</f>
        <v>29</v>
      </c>
      <c r="Q72" s="894" t="s">
        <v>13102</v>
      </c>
      <c r="S72" s="2"/>
      <c r="T72" s="2"/>
    </row>
    <row r="73" spans="1:20">
      <c r="A73" s="894" t="s">
        <v>263</v>
      </c>
      <c r="B73" s="2">
        <v>103</v>
      </c>
      <c r="C73" s="2" t="s">
        <v>13347</v>
      </c>
      <c r="D73" s="2" t="s">
        <v>13348</v>
      </c>
      <c r="E73" s="7" t="s">
        <v>13349</v>
      </c>
      <c r="F73" s="2" t="s">
        <v>13349</v>
      </c>
      <c r="G73" s="4559" t="s">
        <v>13089</v>
      </c>
      <c r="H73" s="4559"/>
      <c r="I73" s="6">
        <v>44932</v>
      </c>
      <c r="J73" s="6">
        <v>44938</v>
      </c>
      <c r="K73" s="126">
        <v>44937</v>
      </c>
      <c r="L73" s="6">
        <v>44938</v>
      </c>
      <c r="M73" s="917">
        <f>IF((SAU_2023[[#This Row],[Flat Rack IG]]-SAU_2023[[#This Row],[OG]])+1&lt;2,2,SAU_2023[[#This Row],[Flat Rack IG]]-SAU_2023[[#This Row],[OG]]+1)</f>
        <v>2</v>
      </c>
      <c r="N73" s="921" t="s">
        <v>13350</v>
      </c>
      <c r="O73" s="126">
        <v>44965</v>
      </c>
      <c r="P73" s="916">
        <f>SAU_2023[[#This Row],[ACTURAL DEL]]-SAU_2023[[#This Row],[OG]]</f>
        <v>28</v>
      </c>
      <c r="Q73" s="894" t="s">
        <v>13098</v>
      </c>
      <c r="S73" s="2"/>
      <c r="T73" s="2"/>
    </row>
    <row r="74" spans="1:20">
      <c r="A74" s="894" t="s">
        <v>263</v>
      </c>
      <c r="B74" s="2">
        <v>104</v>
      </c>
      <c r="C74" s="2" t="s">
        <v>13351</v>
      </c>
      <c r="D74" s="2" t="s">
        <v>13352</v>
      </c>
      <c r="E74" s="7" t="s">
        <v>13353</v>
      </c>
      <c r="F74" s="2" t="s">
        <v>13353</v>
      </c>
      <c r="G74" s="4559" t="s">
        <v>13089</v>
      </c>
      <c r="H74" s="4559"/>
      <c r="I74" s="6">
        <v>44932</v>
      </c>
      <c r="J74" s="6">
        <v>44938</v>
      </c>
      <c r="K74" s="126">
        <v>44937</v>
      </c>
      <c r="L74" s="6">
        <v>44938</v>
      </c>
      <c r="M74" s="917">
        <f>IF((SAU_2023[[#This Row],[Flat Rack IG]]-SAU_2023[[#This Row],[OG]])+1&lt;2,2,SAU_2023[[#This Row],[Flat Rack IG]]-SAU_2023[[#This Row],[OG]]+1)</f>
        <v>2</v>
      </c>
      <c r="N74" s="6">
        <v>44964</v>
      </c>
      <c r="O74" s="126">
        <v>44964</v>
      </c>
      <c r="P74" s="916">
        <f>SAU_2023[[#This Row],[ACTURAL DEL]]-SAU_2023[[#This Row],[OG]]</f>
        <v>27</v>
      </c>
      <c r="Q74" s="894" t="s">
        <v>13102</v>
      </c>
      <c r="S74" s="2"/>
      <c r="T74" s="2"/>
    </row>
    <row r="75" spans="1:20">
      <c r="A75" s="156" t="s">
        <v>263</v>
      </c>
      <c r="B75" s="7">
        <v>101</v>
      </c>
      <c r="C75" s="7" t="s">
        <v>13354</v>
      </c>
      <c r="D75" s="7" t="s">
        <v>13355</v>
      </c>
      <c r="E75" s="2" t="s">
        <v>13356</v>
      </c>
      <c r="F75" s="2" t="s">
        <v>13356</v>
      </c>
      <c r="G75" s="4151" t="s">
        <v>11268</v>
      </c>
      <c r="H75" s="4151"/>
      <c r="I75" s="126">
        <v>44932</v>
      </c>
      <c r="J75" s="126">
        <v>44938</v>
      </c>
      <c r="K75" s="126">
        <v>44937</v>
      </c>
      <c r="L75" s="126">
        <v>44937</v>
      </c>
      <c r="M75" s="916">
        <f>IF((SAU_2023[[#This Row],[Flat Rack IG]]-SAU_2023[[#This Row],[OG]])+1&lt;2,2,SAU_2023[[#This Row],[Flat Rack IG]]-SAU_2023[[#This Row],[OG]]+1)</f>
        <v>2</v>
      </c>
      <c r="N75" s="126">
        <v>44964</v>
      </c>
      <c r="O75" s="126">
        <v>44964</v>
      </c>
      <c r="P75" s="916">
        <f>SAU_2023[[#This Row],[ACTURAL DEL]]-SAU_2023[[#This Row],[OG]]</f>
        <v>27</v>
      </c>
      <c r="Q75" s="7" t="s">
        <v>13092</v>
      </c>
      <c r="R75" s="7"/>
      <c r="S75" s="7"/>
      <c r="T75" s="7"/>
    </row>
    <row r="76" spans="1:20">
      <c r="A76" s="156" t="s">
        <v>263</v>
      </c>
      <c r="B76" s="7">
        <v>101</v>
      </c>
      <c r="C76" s="7" t="s">
        <v>13357</v>
      </c>
      <c r="D76" s="7" t="s">
        <v>13358</v>
      </c>
      <c r="E76" s="2" t="s">
        <v>13359</v>
      </c>
      <c r="F76" s="2" t="s">
        <v>13359</v>
      </c>
      <c r="G76" s="4151" t="s">
        <v>11268</v>
      </c>
      <c r="H76" s="4151"/>
      <c r="I76" s="126">
        <v>44932</v>
      </c>
      <c r="J76" s="126">
        <v>44938</v>
      </c>
      <c r="K76" s="126">
        <v>44937</v>
      </c>
      <c r="L76" s="126">
        <v>44939</v>
      </c>
      <c r="M76" s="916">
        <f>IF((SAU_2023[[#This Row],[Flat Rack IG]]-SAU_2023[[#This Row],[OG]])+1&lt;2,2,SAU_2023[[#This Row],[Flat Rack IG]]-SAU_2023[[#This Row],[OG]]+1)</f>
        <v>3</v>
      </c>
      <c r="N76" s="232" t="s">
        <v>13350</v>
      </c>
      <c r="O76" s="126">
        <v>44965</v>
      </c>
      <c r="P76" s="916">
        <f>SAU_2023[[#This Row],[ACTURAL DEL]]-SAU_2023[[#This Row],[OG]]</f>
        <v>28</v>
      </c>
      <c r="Q76" s="7" t="s">
        <v>13092</v>
      </c>
      <c r="R76" s="7"/>
      <c r="S76" s="7"/>
      <c r="T76" s="7"/>
    </row>
    <row r="77" spans="1:20">
      <c r="A77" s="894" t="s">
        <v>263</v>
      </c>
      <c r="B77" s="2">
        <v>104</v>
      </c>
      <c r="C77" s="894" t="s">
        <v>13360</v>
      </c>
      <c r="D77" s="894" t="s">
        <v>13361</v>
      </c>
      <c r="E77" s="7" t="s">
        <v>13362</v>
      </c>
      <c r="F77" s="894" t="s">
        <v>13362</v>
      </c>
      <c r="G77" s="4559" t="s">
        <v>13089</v>
      </c>
      <c r="H77" s="4559"/>
      <c r="I77" s="6">
        <v>44932</v>
      </c>
      <c r="J77" s="6">
        <v>44938</v>
      </c>
      <c r="K77" s="126">
        <v>44944</v>
      </c>
      <c r="L77" s="6">
        <v>44944</v>
      </c>
      <c r="M77" s="917">
        <f>IF((SAU_2023[[#This Row],[Flat Rack IG]]-SAU_2023[[#This Row],[OG]])+1&lt;2,2,SAU_2023[[#This Row],[Flat Rack IG]]-SAU_2023[[#This Row],[OG]]+1)</f>
        <v>2</v>
      </c>
      <c r="N77" s="6">
        <v>44964</v>
      </c>
      <c r="O77" s="126">
        <v>44964</v>
      </c>
      <c r="P77" s="916">
        <f>SAU_2023[[#This Row],[ACTURAL DEL]]-SAU_2023[[#This Row],[OG]]</f>
        <v>20</v>
      </c>
      <c r="Q77" s="894" t="s">
        <v>13102</v>
      </c>
      <c r="R77" s="2" t="s">
        <v>13091</v>
      </c>
      <c r="S77" s="2"/>
      <c r="T77" s="2"/>
    </row>
    <row r="78" spans="1:20">
      <c r="A78" s="156" t="s">
        <v>263</v>
      </c>
      <c r="B78" s="7">
        <v>101</v>
      </c>
      <c r="C78" s="156" t="s">
        <v>13363</v>
      </c>
      <c r="D78" s="156" t="s">
        <v>13364</v>
      </c>
      <c r="E78" s="2" t="s">
        <v>13365</v>
      </c>
      <c r="F78" s="156" t="s">
        <v>13366</v>
      </c>
      <c r="G78" s="4151" t="s">
        <v>11268</v>
      </c>
      <c r="H78" s="4151"/>
      <c r="I78" s="126">
        <v>44932</v>
      </c>
      <c r="J78" s="126">
        <v>44938</v>
      </c>
      <c r="K78" s="126">
        <v>44945</v>
      </c>
      <c r="L78" s="126">
        <v>44946</v>
      </c>
      <c r="M78" s="916">
        <f>IF((SAU_2023[[#This Row],[Flat Rack IG]]-SAU_2023[[#This Row],[OG]])+1&lt;2,2,SAU_2023[[#This Row],[Flat Rack IG]]-SAU_2023[[#This Row],[OG]]+1)</f>
        <v>2</v>
      </c>
      <c r="N78" s="126">
        <v>44970</v>
      </c>
      <c r="O78" s="126">
        <v>44970</v>
      </c>
      <c r="P78" s="916">
        <f>SAU_2023[[#This Row],[ACTURAL DEL]]-SAU_2023[[#This Row],[OG]]</f>
        <v>25</v>
      </c>
      <c r="Q78" s="2" t="s">
        <v>13092</v>
      </c>
      <c r="R78" s="2" t="s">
        <v>13097</v>
      </c>
      <c r="S78" s="2"/>
      <c r="T78" s="2"/>
    </row>
    <row r="79" spans="1:20">
      <c r="A79" s="894" t="s">
        <v>263</v>
      </c>
      <c r="B79" s="2">
        <v>104</v>
      </c>
      <c r="C79" s="2" t="s">
        <v>13367</v>
      </c>
      <c r="D79" s="2" t="s">
        <v>13368</v>
      </c>
      <c r="E79" s="7" t="s">
        <v>13369</v>
      </c>
      <c r="F79" s="2" t="s">
        <v>13369</v>
      </c>
      <c r="G79" s="4559" t="s">
        <v>13089</v>
      </c>
      <c r="H79" s="4559"/>
      <c r="I79" s="6">
        <v>44932</v>
      </c>
      <c r="J79" s="6">
        <v>44938</v>
      </c>
      <c r="K79" s="126">
        <v>44936</v>
      </c>
      <c r="L79" s="6">
        <v>44936</v>
      </c>
      <c r="M79" s="917">
        <f>IF((SAU_2023[[#This Row],[Flat Rack IG]]-SAU_2023[[#This Row],[OG]])+1&lt;2,2,SAU_2023[[#This Row],[Flat Rack IG]]-SAU_2023[[#This Row],[OG]]+1)</f>
        <v>2</v>
      </c>
      <c r="N79" s="6">
        <v>44964</v>
      </c>
      <c r="O79" s="126">
        <v>44964</v>
      </c>
      <c r="P79" s="916">
        <f>SAU_2023[[#This Row],[ACTURAL DEL]]-SAU_2023[[#This Row],[OG]]</f>
        <v>28</v>
      </c>
      <c r="Q79" s="894" t="s">
        <v>13102</v>
      </c>
      <c r="S79" s="2"/>
      <c r="T79" s="2"/>
    </row>
    <row r="80" spans="1:20">
      <c r="A80" s="894" t="s">
        <v>263</v>
      </c>
      <c r="B80" s="2">
        <v>104</v>
      </c>
      <c r="C80" s="2" t="s">
        <v>13370</v>
      </c>
      <c r="D80" s="2" t="s">
        <v>13371</v>
      </c>
      <c r="E80" s="2" t="s">
        <v>13372</v>
      </c>
      <c r="F80" s="2" t="s">
        <v>13372</v>
      </c>
      <c r="G80" s="4559" t="s">
        <v>13089</v>
      </c>
      <c r="H80" s="4559"/>
      <c r="I80" s="6">
        <v>44932</v>
      </c>
      <c r="J80" s="6">
        <v>44938</v>
      </c>
      <c r="K80" s="126">
        <v>44936</v>
      </c>
      <c r="L80" s="6">
        <v>44936</v>
      </c>
      <c r="M80" s="917">
        <f>IF((SAU_2023[[#This Row],[Flat Rack IG]]-SAU_2023[[#This Row],[OG]])+1&lt;2,2,SAU_2023[[#This Row],[Flat Rack IG]]-SAU_2023[[#This Row],[OG]]+1)</f>
        <v>2</v>
      </c>
      <c r="N80" s="6">
        <v>44964</v>
      </c>
      <c r="O80" s="126">
        <v>44964</v>
      </c>
      <c r="P80" s="916">
        <f>SAU_2023[[#This Row],[ACTURAL DEL]]-SAU_2023[[#This Row],[OG]]</f>
        <v>28</v>
      </c>
      <c r="Q80" s="894" t="s">
        <v>13102</v>
      </c>
      <c r="S80" s="2"/>
      <c r="T80" s="2">
        <v>2195.52</v>
      </c>
    </row>
    <row r="81" spans="1:20">
      <c r="A81" s="894" t="s">
        <v>263</v>
      </c>
      <c r="B81" s="2">
        <v>102</v>
      </c>
      <c r="C81" s="2" t="s">
        <v>13373</v>
      </c>
      <c r="D81" s="2" t="s">
        <v>13374</v>
      </c>
      <c r="E81" s="7" t="s">
        <v>13375</v>
      </c>
      <c r="F81" s="2" t="s">
        <v>13376</v>
      </c>
      <c r="G81" s="4559" t="s">
        <v>13089</v>
      </c>
      <c r="H81" s="895" t="s">
        <v>13089</v>
      </c>
      <c r="I81" s="6">
        <v>44932</v>
      </c>
      <c r="J81" s="6">
        <v>44938</v>
      </c>
      <c r="K81" s="126">
        <v>44935</v>
      </c>
      <c r="L81" s="6">
        <v>44937</v>
      </c>
      <c r="M81" s="917">
        <f>IF((SAU_2023[[#This Row],[Flat Rack IG]]-SAU_2023[[#This Row],[OG]])+1&lt;2,2,SAU_2023[[#This Row],[Flat Rack IG]]-SAU_2023[[#This Row],[OG]]+1)</f>
        <v>3</v>
      </c>
      <c r="N81" s="6">
        <v>44966</v>
      </c>
      <c r="O81" s="6">
        <v>44966</v>
      </c>
      <c r="P81" s="917">
        <f>SAU_2023[[#This Row],[ACTURAL DEL]]-SAU_2023[[#This Row],[OG]]</f>
        <v>31</v>
      </c>
      <c r="Q81" s="894" t="s">
        <v>13090</v>
      </c>
      <c r="R81" s="2" t="s">
        <v>13377</v>
      </c>
      <c r="S81" s="2"/>
      <c r="T81" s="2"/>
    </row>
    <row r="82" spans="1:20">
      <c r="A82" s="894" t="s">
        <v>263</v>
      </c>
      <c r="B82" s="2">
        <v>201</v>
      </c>
      <c r="C82" s="2" t="s">
        <v>13378</v>
      </c>
      <c r="D82" s="2" t="s">
        <v>13379</v>
      </c>
      <c r="E82" s="7" t="s">
        <v>13380</v>
      </c>
      <c r="F82" s="2" t="s">
        <v>13380</v>
      </c>
      <c r="G82" s="4559" t="s">
        <v>11268</v>
      </c>
      <c r="H82" s="4559"/>
      <c r="I82" s="6">
        <v>44937</v>
      </c>
      <c r="J82" s="6">
        <v>44944</v>
      </c>
      <c r="K82" s="126">
        <v>44945</v>
      </c>
      <c r="L82" s="6">
        <v>44946</v>
      </c>
      <c r="M82" s="917">
        <f>IF((SAU_2023[[#This Row],[Flat Rack IG]]-SAU_2023[[#This Row],[OG]])+1&lt;2,2,SAU_2023[[#This Row],[Flat Rack IG]]-SAU_2023[[#This Row],[OG]]+1)</f>
        <v>2</v>
      </c>
      <c r="N82" s="6">
        <v>44971</v>
      </c>
      <c r="O82" s="126">
        <v>44972</v>
      </c>
      <c r="P82" s="916">
        <f>SAU_2023[[#This Row],[ACTURAL DEL]]-SAU_2023[[#This Row],[OG]]</f>
        <v>27</v>
      </c>
      <c r="Q82" s="894" t="s">
        <v>13110</v>
      </c>
      <c r="R82"/>
    </row>
    <row r="83" spans="1:20">
      <c r="A83" s="894" t="s">
        <v>263</v>
      </c>
      <c r="B83" s="2">
        <v>201</v>
      </c>
      <c r="C83" s="2" t="s">
        <v>13381</v>
      </c>
      <c r="D83" s="2" t="s">
        <v>13382</v>
      </c>
      <c r="E83" s="2" t="s">
        <v>13383</v>
      </c>
      <c r="F83" s="2" t="s">
        <v>13383</v>
      </c>
      <c r="G83" s="4559" t="s">
        <v>11268</v>
      </c>
      <c r="H83" s="4559"/>
      <c r="I83" s="6">
        <v>44937</v>
      </c>
      <c r="J83" s="6">
        <v>44944</v>
      </c>
      <c r="K83" s="126">
        <v>44945</v>
      </c>
      <c r="L83" s="6">
        <v>44946</v>
      </c>
      <c r="M83" s="917">
        <f>IF((SAU_2023[[#This Row],[Flat Rack IG]]-SAU_2023[[#This Row],[OG]])+1&lt;2,2,SAU_2023[[#This Row],[Flat Rack IG]]-SAU_2023[[#This Row],[OG]]+1)</f>
        <v>2</v>
      </c>
      <c r="N83" s="6">
        <v>44970</v>
      </c>
      <c r="O83" s="126">
        <v>44970</v>
      </c>
      <c r="P83" s="916">
        <f>SAU_2023[[#This Row],[ACTURAL DEL]]-SAU_2023[[#This Row],[OG]]</f>
        <v>25</v>
      </c>
      <c r="Q83" s="894" t="s">
        <v>13110</v>
      </c>
      <c r="R83"/>
    </row>
    <row r="84" spans="1:20">
      <c r="A84" s="894" t="s">
        <v>263</v>
      </c>
      <c r="B84" s="2">
        <v>201</v>
      </c>
      <c r="C84" s="2" t="s">
        <v>13384</v>
      </c>
      <c r="D84" s="2" t="s">
        <v>13385</v>
      </c>
      <c r="E84" s="7" t="s">
        <v>13386</v>
      </c>
      <c r="F84" s="2" t="s">
        <v>13386</v>
      </c>
      <c r="G84" s="4559" t="s">
        <v>11268</v>
      </c>
      <c r="H84" s="4559"/>
      <c r="I84" s="6">
        <v>44937</v>
      </c>
      <c r="J84" s="6">
        <v>44944</v>
      </c>
      <c r="K84" s="126">
        <v>44945</v>
      </c>
      <c r="L84" s="6">
        <v>44946</v>
      </c>
      <c r="M84" s="917">
        <f>IF((SAU_2023[[#This Row],[Flat Rack IG]]-SAU_2023[[#This Row],[OG]])+1&lt;2,2,SAU_2023[[#This Row],[Flat Rack IG]]-SAU_2023[[#This Row],[OG]]+1)</f>
        <v>2</v>
      </c>
      <c r="N84" s="6">
        <v>44970</v>
      </c>
      <c r="O84" s="6">
        <v>44970</v>
      </c>
      <c r="P84" s="917">
        <f>SAU_2023[[#This Row],[ACTURAL DEL]]-SAU_2023[[#This Row],[OG]]</f>
        <v>25</v>
      </c>
      <c r="Q84" s="894" t="s">
        <v>13110</v>
      </c>
      <c r="R84"/>
    </row>
    <row r="85" spans="1:20">
      <c r="A85" s="894" t="s">
        <v>263</v>
      </c>
      <c r="B85" s="2">
        <v>201</v>
      </c>
      <c r="C85" s="2" t="s">
        <v>13387</v>
      </c>
      <c r="D85" s="2" t="s">
        <v>13388</v>
      </c>
      <c r="E85" s="7" t="s">
        <v>13389</v>
      </c>
      <c r="F85" s="2" t="s">
        <v>13389</v>
      </c>
      <c r="G85" s="4559" t="s">
        <v>11268</v>
      </c>
      <c r="H85" s="4559"/>
      <c r="I85" s="6">
        <v>44937</v>
      </c>
      <c r="J85" s="6">
        <v>44944</v>
      </c>
      <c r="K85" s="126">
        <v>44945</v>
      </c>
      <c r="L85" s="6">
        <v>44946</v>
      </c>
      <c r="M85" s="917">
        <f>IF((SAU_2023[[#This Row],[Flat Rack IG]]-SAU_2023[[#This Row],[OG]])+1&lt;2,2,SAU_2023[[#This Row],[Flat Rack IG]]-SAU_2023[[#This Row],[OG]]+1)</f>
        <v>2</v>
      </c>
      <c r="N85" s="6">
        <v>44970</v>
      </c>
      <c r="O85" s="6">
        <v>44970</v>
      </c>
      <c r="P85" s="917">
        <f>SAU_2023[[#This Row],[ACTURAL DEL]]-SAU_2023[[#This Row],[OG]]</f>
        <v>25</v>
      </c>
      <c r="Q85" s="894" t="s">
        <v>13110</v>
      </c>
      <c r="R85"/>
    </row>
    <row r="86" spans="1:20">
      <c r="A86" s="894" t="s">
        <v>263</v>
      </c>
      <c r="B86" s="2">
        <v>201</v>
      </c>
      <c r="C86" s="2" t="s">
        <v>13390</v>
      </c>
      <c r="D86" s="2" t="s">
        <v>13391</v>
      </c>
      <c r="E86" s="7" t="s">
        <v>13392</v>
      </c>
      <c r="F86" s="2" t="s">
        <v>13392</v>
      </c>
      <c r="G86" s="4559" t="s">
        <v>11268</v>
      </c>
      <c r="H86" s="4559"/>
      <c r="I86" s="6">
        <v>44937</v>
      </c>
      <c r="J86" s="6">
        <v>44944</v>
      </c>
      <c r="K86" s="126">
        <v>44945</v>
      </c>
      <c r="L86" s="6">
        <v>44946</v>
      </c>
      <c r="M86" s="917">
        <f>IF((SAU_2023[[#This Row],[Flat Rack IG]]-SAU_2023[[#This Row],[OG]])+1&lt;2,2,SAU_2023[[#This Row],[Flat Rack IG]]-SAU_2023[[#This Row],[OG]]+1)</f>
        <v>2</v>
      </c>
      <c r="N86" s="6">
        <v>44971</v>
      </c>
      <c r="O86" s="126">
        <v>44972</v>
      </c>
      <c r="P86" s="916">
        <f>SAU_2023[[#This Row],[ACTURAL DEL]]-SAU_2023[[#This Row],[OG]]</f>
        <v>27</v>
      </c>
      <c r="Q86" s="894" t="s">
        <v>13110</v>
      </c>
      <c r="R86"/>
    </row>
    <row r="87" spans="1:20">
      <c r="A87" s="894" t="s">
        <v>263</v>
      </c>
      <c r="B87" s="2">
        <v>201</v>
      </c>
      <c r="C87" s="2" t="s">
        <v>13393</v>
      </c>
      <c r="D87" s="2" t="s">
        <v>13394</v>
      </c>
      <c r="E87" s="2" t="s">
        <v>13395</v>
      </c>
      <c r="F87" s="2" t="s">
        <v>13395</v>
      </c>
      <c r="G87" s="4559" t="s">
        <v>11268</v>
      </c>
      <c r="H87" s="4559"/>
      <c r="I87" s="6">
        <v>44937</v>
      </c>
      <c r="J87" s="6">
        <v>44944</v>
      </c>
      <c r="K87" s="126">
        <v>44945</v>
      </c>
      <c r="L87" s="6">
        <v>44946</v>
      </c>
      <c r="M87" s="917">
        <f>IF((SAU_2023[[#This Row],[Flat Rack IG]]-SAU_2023[[#This Row],[OG]])+1&lt;2,2,SAU_2023[[#This Row],[Flat Rack IG]]-SAU_2023[[#This Row],[OG]]+1)</f>
        <v>2</v>
      </c>
      <c r="N87" s="6">
        <v>44970</v>
      </c>
      <c r="O87" s="6">
        <v>44970</v>
      </c>
      <c r="P87" s="917">
        <f>SAU_2023[[#This Row],[ACTURAL DEL]]-SAU_2023[[#This Row],[OG]]</f>
        <v>25</v>
      </c>
      <c r="Q87" s="894" t="s">
        <v>13110</v>
      </c>
      <c r="R87"/>
    </row>
    <row r="88" spans="1:20">
      <c r="A88" s="894" t="s">
        <v>263</v>
      </c>
      <c r="B88" s="2">
        <v>104</v>
      </c>
      <c r="C88" s="2" t="s">
        <v>13396</v>
      </c>
      <c r="D88" s="2" t="s">
        <v>13397</v>
      </c>
      <c r="E88" s="2" t="s">
        <v>13398</v>
      </c>
      <c r="F88" s="2" t="s">
        <v>13398</v>
      </c>
      <c r="G88" s="4559" t="s">
        <v>13089</v>
      </c>
      <c r="H88" s="4559"/>
      <c r="I88" s="6">
        <v>44932</v>
      </c>
      <c r="J88" s="6">
        <v>44938</v>
      </c>
      <c r="K88" s="126">
        <v>44937</v>
      </c>
      <c r="L88" s="6">
        <v>44937</v>
      </c>
      <c r="M88" s="917">
        <f>IF((SAU_2023[[#This Row],[Flat Rack IG]]-SAU_2023[[#This Row],[OG]])+1&lt;2,2,SAU_2023[[#This Row],[Flat Rack IG]]-SAU_2023[[#This Row],[OG]]+1)</f>
        <v>2</v>
      </c>
      <c r="N88" s="6">
        <v>44964</v>
      </c>
      <c r="O88" s="126">
        <v>44964</v>
      </c>
      <c r="P88" s="916">
        <f>SAU_2023[[#This Row],[ACTURAL DEL]]-SAU_2023[[#This Row],[OG]]</f>
        <v>27</v>
      </c>
      <c r="Q88" s="894" t="s">
        <v>13102</v>
      </c>
      <c r="S88" s="2"/>
      <c r="T88" s="2"/>
    </row>
    <row r="89" spans="1:20">
      <c r="A89" s="894" t="s">
        <v>263</v>
      </c>
      <c r="B89" s="2">
        <v>104</v>
      </c>
      <c r="C89" s="2" t="s">
        <v>13399</v>
      </c>
      <c r="D89" s="2" t="s">
        <v>13400</v>
      </c>
      <c r="E89" s="7" t="s">
        <v>13401</v>
      </c>
      <c r="F89" s="2" t="s">
        <v>13401</v>
      </c>
      <c r="G89" s="4559" t="s">
        <v>13089</v>
      </c>
      <c r="H89" s="4559"/>
      <c r="I89" s="6">
        <v>44932</v>
      </c>
      <c r="J89" s="6">
        <v>44938</v>
      </c>
      <c r="K89" s="126">
        <v>44936</v>
      </c>
      <c r="L89" s="6">
        <v>44936</v>
      </c>
      <c r="M89" s="917">
        <f>IF((SAU_2023[[#This Row],[Flat Rack IG]]-SAU_2023[[#This Row],[OG]])+1&lt;2,2,SAU_2023[[#This Row],[Flat Rack IG]]-SAU_2023[[#This Row],[OG]]+1)</f>
        <v>2</v>
      </c>
      <c r="N89" s="6">
        <v>44964</v>
      </c>
      <c r="O89" s="126">
        <v>44964</v>
      </c>
      <c r="P89" s="916">
        <f>SAU_2023[[#This Row],[ACTURAL DEL]]-SAU_2023[[#This Row],[OG]]</f>
        <v>28</v>
      </c>
      <c r="Q89" s="894" t="s">
        <v>13102</v>
      </c>
      <c r="R89"/>
    </row>
    <row r="90" spans="1:20">
      <c r="A90" s="156" t="s">
        <v>263</v>
      </c>
      <c r="B90" s="7">
        <v>101</v>
      </c>
      <c r="C90" s="7" t="s">
        <v>13402</v>
      </c>
      <c r="D90" s="7" t="s">
        <v>13403</v>
      </c>
      <c r="E90" s="2" t="s">
        <v>13404</v>
      </c>
      <c r="F90" s="2" t="s">
        <v>13404</v>
      </c>
      <c r="G90" s="4151" t="s">
        <v>11268</v>
      </c>
      <c r="H90" s="4151"/>
      <c r="I90" s="126">
        <v>44932</v>
      </c>
      <c r="J90" s="126">
        <v>44938</v>
      </c>
      <c r="K90" s="126">
        <v>44937</v>
      </c>
      <c r="L90" s="126">
        <v>44938</v>
      </c>
      <c r="M90" s="916">
        <f>IF((SAU_2023[[#This Row],[Flat Rack IG]]-SAU_2023[[#This Row],[OG]])+1&lt;2,2,SAU_2023[[#This Row],[Flat Rack IG]]-SAU_2023[[#This Row],[OG]]+1)</f>
        <v>2</v>
      </c>
      <c r="N90" s="126">
        <v>44964</v>
      </c>
      <c r="O90" s="126">
        <v>44964</v>
      </c>
      <c r="P90" s="916">
        <f>SAU_2023[[#This Row],[ACTURAL DEL]]-SAU_2023[[#This Row],[OG]]</f>
        <v>27</v>
      </c>
      <c r="Q90" s="7" t="s">
        <v>13092</v>
      </c>
      <c r="R90" s="7"/>
      <c r="S90" s="7"/>
      <c r="T90" s="7"/>
    </row>
    <row r="91" spans="1:20">
      <c r="A91" s="894" t="s">
        <v>263</v>
      </c>
      <c r="B91" s="2">
        <v>201</v>
      </c>
      <c r="C91" s="2" t="s">
        <v>13405</v>
      </c>
      <c r="D91" s="2" t="s">
        <v>13406</v>
      </c>
      <c r="E91" s="7" t="s">
        <v>13407</v>
      </c>
      <c r="F91" s="2" t="s">
        <v>13408</v>
      </c>
      <c r="G91" s="4559" t="s">
        <v>11268</v>
      </c>
      <c r="H91" s="4559"/>
      <c r="I91" s="6">
        <v>44937</v>
      </c>
      <c r="J91" s="6">
        <v>44944</v>
      </c>
      <c r="K91" s="126">
        <v>44946</v>
      </c>
      <c r="L91" s="6">
        <v>44949</v>
      </c>
      <c r="M91" s="917">
        <f>IF((SAU_2023[[#This Row],[Flat Rack IG]]-SAU_2023[[#This Row],[OG]])+1&lt;2,2,SAU_2023[[#This Row],[Flat Rack IG]]-SAU_2023[[#This Row],[OG]]+1)</f>
        <v>4</v>
      </c>
      <c r="N91" s="6">
        <v>44970</v>
      </c>
      <c r="O91" s="6">
        <v>44970</v>
      </c>
      <c r="P91" s="917">
        <f>SAU_2023[[#This Row],[ACTURAL DEL]]-SAU_2023[[#This Row],[OG]]</f>
        <v>24</v>
      </c>
      <c r="Q91" s="894" t="s">
        <v>13110</v>
      </c>
      <c r="R91"/>
    </row>
    <row r="92" spans="1:20">
      <c r="A92" s="156" t="s">
        <v>263</v>
      </c>
      <c r="B92" s="7">
        <v>101</v>
      </c>
      <c r="C92" s="7" t="s">
        <v>13409</v>
      </c>
      <c r="D92" s="7" t="s">
        <v>13410</v>
      </c>
      <c r="E92" s="2" t="s">
        <v>13411</v>
      </c>
      <c r="F92" s="7" t="s">
        <v>13411</v>
      </c>
      <c r="G92" s="4151" t="s">
        <v>11268</v>
      </c>
      <c r="H92" s="4151"/>
      <c r="I92" s="126">
        <v>44932</v>
      </c>
      <c r="J92" s="126">
        <v>44938</v>
      </c>
      <c r="K92" s="126">
        <v>44944</v>
      </c>
      <c r="L92" s="126">
        <v>44945</v>
      </c>
      <c r="M92" s="916">
        <f>IF((SAU_2023[[#This Row],[Flat Rack IG]]-SAU_2023[[#This Row],[OG]])+1&lt;2,2,SAU_2023[[#This Row],[Flat Rack IG]]-SAU_2023[[#This Row],[OG]]+1)</f>
        <v>2</v>
      </c>
      <c r="N92" s="126">
        <v>44966</v>
      </c>
      <c r="O92" s="6">
        <v>44966</v>
      </c>
      <c r="P92" s="917">
        <f>SAU_2023[[#This Row],[ACTURAL DEL]]-SAU_2023[[#This Row],[OG]]</f>
        <v>22</v>
      </c>
      <c r="Q92" s="7" t="s">
        <v>13092</v>
      </c>
      <c r="R92" s="2" t="s">
        <v>13097</v>
      </c>
      <c r="S92" s="2"/>
      <c r="T92" s="2"/>
    </row>
    <row r="93" spans="1:20">
      <c r="A93" s="894" t="s">
        <v>263</v>
      </c>
      <c r="B93" s="2">
        <v>102</v>
      </c>
      <c r="C93" s="2" t="s">
        <v>13412</v>
      </c>
      <c r="D93" s="2" t="s">
        <v>13413</v>
      </c>
      <c r="E93" s="2" t="s">
        <v>13414</v>
      </c>
      <c r="F93" s="2" t="s">
        <v>13414</v>
      </c>
      <c r="G93" s="4559" t="s">
        <v>13089</v>
      </c>
      <c r="H93" s="895" t="s">
        <v>13089</v>
      </c>
      <c r="I93" s="6">
        <v>44932</v>
      </c>
      <c r="J93" s="6">
        <v>44938</v>
      </c>
      <c r="K93" s="126">
        <v>44935</v>
      </c>
      <c r="L93" s="6">
        <v>44937</v>
      </c>
      <c r="M93" s="917">
        <f>IF((SAU_2023[[#This Row],[Flat Rack IG]]-SAU_2023[[#This Row],[OG]])+1&lt;2,2,SAU_2023[[#This Row],[Flat Rack IG]]-SAU_2023[[#This Row],[OG]]+1)</f>
        <v>3</v>
      </c>
      <c r="N93" s="6">
        <v>44964</v>
      </c>
      <c r="O93" s="126">
        <v>44964</v>
      </c>
      <c r="P93" s="916">
        <f>SAU_2023[[#This Row],[ACTURAL DEL]]-SAU_2023[[#This Row],[OG]]</f>
        <v>29</v>
      </c>
      <c r="Q93" s="894" t="s">
        <v>13090</v>
      </c>
      <c r="R93" s="894" t="s">
        <v>13415</v>
      </c>
      <c r="S93" s="894"/>
      <c r="T93" s="894"/>
    </row>
    <row r="94" spans="1:20">
      <c r="A94" s="156" t="s">
        <v>263</v>
      </c>
      <c r="B94" s="7">
        <v>101</v>
      </c>
      <c r="C94" s="7" t="s">
        <v>13416</v>
      </c>
      <c r="D94" s="7" t="s">
        <v>13417</v>
      </c>
      <c r="E94" s="2" t="s">
        <v>13418</v>
      </c>
      <c r="F94" s="7" t="s">
        <v>13418</v>
      </c>
      <c r="G94" s="4151" t="s">
        <v>11268</v>
      </c>
      <c r="H94" s="4151"/>
      <c r="I94" s="126">
        <v>44932</v>
      </c>
      <c r="J94" s="126">
        <v>44938</v>
      </c>
      <c r="K94" s="126">
        <v>44944</v>
      </c>
      <c r="L94" s="126">
        <v>44944</v>
      </c>
      <c r="M94" s="916">
        <f>IF((SAU_2023[[#This Row],[Flat Rack IG]]-SAU_2023[[#This Row],[OG]])+1&lt;2,2,SAU_2023[[#This Row],[Flat Rack IG]]-SAU_2023[[#This Row],[OG]]+1)</f>
        <v>2</v>
      </c>
      <c r="N94" s="126">
        <v>44965</v>
      </c>
      <c r="O94" s="126">
        <v>44965</v>
      </c>
      <c r="P94" s="916">
        <f>SAU_2023[[#This Row],[ACTURAL DEL]]-SAU_2023[[#This Row],[OG]]</f>
        <v>21</v>
      </c>
      <c r="Q94" s="7" t="s">
        <v>13092</v>
      </c>
      <c r="R94" s="2" t="s">
        <v>13097</v>
      </c>
      <c r="S94" s="2"/>
      <c r="T94" s="2"/>
    </row>
    <row r="95" spans="1:20">
      <c r="A95" s="894" t="s">
        <v>263</v>
      </c>
      <c r="B95" s="2">
        <v>201</v>
      </c>
      <c r="C95" s="2" t="s">
        <v>13419</v>
      </c>
      <c r="D95" s="2" t="s">
        <v>13420</v>
      </c>
      <c r="E95" s="7" t="s">
        <v>13421</v>
      </c>
      <c r="F95" s="2" t="s">
        <v>13422</v>
      </c>
      <c r="G95" s="4559" t="s">
        <v>11268</v>
      </c>
      <c r="H95" s="4559"/>
      <c r="I95" s="6">
        <v>44937</v>
      </c>
      <c r="J95" s="6">
        <v>44944</v>
      </c>
      <c r="K95" s="126">
        <v>44946</v>
      </c>
      <c r="L95" s="6">
        <v>44946</v>
      </c>
      <c r="M95" s="917">
        <f>IF((SAU_2023[[#This Row],[Flat Rack IG]]-SAU_2023[[#This Row],[OG]])+1&lt;2,2,SAU_2023[[#This Row],[Flat Rack IG]]-SAU_2023[[#This Row],[OG]]+1)</f>
        <v>2</v>
      </c>
      <c r="N95" s="6">
        <v>44970</v>
      </c>
      <c r="O95" s="6">
        <v>44970</v>
      </c>
      <c r="P95" s="917">
        <f>SAU_2023[[#This Row],[ACTURAL DEL]]-SAU_2023[[#This Row],[OG]]</f>
        <v>24</v>
      </c>
      <c r="Q95" s="894" t="s">
        <v>13110</v>
      </c>
      <c r="R95"/>
    </row>
    <row r="96" spans="1:20">
      <c r="A96" s="156" t="s">
        <v>263</v>
      </c>
      <c r="B96" s="7">
        <v>101</v>
      </c>
      <c r="C96" s="7" t="s">
        <v>13423</v>
      </c>
      <c r="D96" s="7" t="s">
        <v>13424</v>
      </c>
      <c r="E96" s="7" t="s">
        <v>13425</v>
      </c>
      <c r="F96" s="2" t="s">
        <v>13425</v>
      </c>
      <c r="G96" s="4151" t="s">
        <v>11268</v>
      </c>
      <c r="H96" s="4151"/>
      <c r="I96" s="126">
        <v>44932</v>
      </c>
      <c r="J96" s="126">
        <v>44938</v>
      </c>
      <c r="K96" s="126">
        <v>44937</v>
      </c>
      <c r="L96" s="126">
        <v>44937</v>
      </c>
      <c r="M96" s="916">
        <f>IF((SAU_2023[[#This Row],[Flat Rack IG]]-SAU_2023[[#This Row],[OG]])+1&lt;2,2,SAU_2023[[#This Row],[Flat Rack IG]]-SAU_2023[[#This Row],[OG]]+1)</f>
        <v>2</v>
      </c>
      <c r="N96" s="126">
        <v>44964</v>
      </c>
      <c r="O96" s="126">
        <v>44964</v>
      </c>
      <c r="P96" s="916">
        <f>SAU_2023[[#This Row],[ACTURAL DEL]]-SAU_2023[[#This Row],[OG]]</f>
        <v>27</v>
      </c>
      <c r="Q96" s="7" t="s">
        <v>13092</v>
      </c>
      <c r="R96" s="7"/>
      <c r="S96" s="7"/>
      <c r="T96" s="7"/>
    </row>
    <row r="97" spans="1:20">
      <c r="A97" s="156" t="s">
        <v>263</v>
      </c>
      <c r="B97" s="7">
        <v>101</v>
      </c>
      <c r="C97" s="7" t="s">
        <v>13426</v>
      </c>
      <c r="D97" s="7" t="s">
        <v>13427</v>
      </c>
      <c r="E97" s="7" t="s">
        <v>13428</v>
      </c>
      <c r="F97" s="2" t="s">
        <v>13428</v>
      </c>
      <c r="G97" s="4151" t="s">
        <v>11268</v>
      </c>
      <c r="H97" s="4151"/>
      <c r="I97" s="126">
        <v>44932</v>
      </c>
      <c r="J97" s="126">
        <v>44938</v>
      </c>
      <c r="K97" s="126">
        <v>44937</v>
      </c>
      <c r="L97" s="126">
        <v>44937</v>
      </c>
      <c r="M97" s="916">
        <f>IF((SAU_2023[[#This Row],[Flat Rack IG]]-SAU_2023[[#This Row],[OG]])+1&lt;2,2,SAU_2023[[#This Row],[Flat Rack IG]]-SAU_2023[[#This Row],[OG]]+1)</f>
        <v>2</v>
      </c>
      <c r="N97" s="126">
        <v>44964</v>
      </c>
      <c r="O97" s="126">
        <v>44964</v>
      </c>
      <c r="P97" s="916">
        <f>SAU_2023[[#This Row],[ACTURAL DEL]]-SAU_2023[[#This Row],[OG]]</f>
        <v>27</v>
      </c>
      <c r="Q97" s="7" t="s">
        <v>13092</v>
      </c>
      <c r="R97" s="7"/>
      <c r="S97" s="7"/>
      <c r="T97" s="7"/>
    </row>
    <row r="98" spans="1:20">
      <c r="A98" s="894" t="s">
        <v>263</v>
      </c>
      <c r="B98" s="2">
        <v>102</v>
      </c>
      <c r="C98" s="2" t="s">
        <v>13429</v>
      </c>
      <c r="D98" s="2" t="s">
        <v>13430</v>
      </c>
      <c r="E98" s="2" t="s">
        <v>13431</v>
      </c>
      <c r="F98" t="s">
        <v>13431</v>
      </c>
      <c r="G98" s="4559" t="s">
        <v>13089</v>
      </c>
      <c r="H98" s="895" t="s">
        <v>11268</v>
      </c>
      <c r="I98" s="6">
        <v>44932</v>
      </c>
      <c r="J98" s="6">
        <v>44938</v>
      </c>
      <c r="K98" s="126">
        <v>44935</v>
      </c>
      <c r="L98" s="6">
        <v>44937</v>
      </c>
      <c r="M98" s="917">
        <f>IF((SAU_2023[[#This Row],[Flat Rack IG]]-SAU_2023[[#This Row],[OG]])+1&lt;2,2,SAU_2023[[#This Row],[Flat Rack IG]]-SAU_2023[[#This Row],[OG]]+1)</f>
        <v>3</v>
      </c>
      <c r="N98" s="935">
        <v>44964</v>
      </c>
      <c r="O98" s="756">
        <v>44964</v>
      </c>
      <c r="P98" s="936">
        <f>SAU_2023[[#This Row],[ACTURAL DEL]]-SAU_2023[[#This Row],[OG]]</f>
        <v>29</v>
      </c>
      <c r="Q98" s="894" t="s">
        <v>13090</v>
      </c>
      <c r="S98" s="2"/>
      <c r="T98" s="2"/>
    </row>
    <row r="99" spans="1:20">
      <c r="A99" s="894" t="s">
        <v>263</v>
      </c>
      <c r="B99" s="2">
        <v>102</v>
      </c>
      <c r="C99" s="2" t="s">
        <v>13432</v>
      </c>
      <c r="D99" s="2" t="s">
        <v>13433</v>
      </c>
      <c r="E99" s="2" t="s">
        <v>13434</v>
      </c>
      <c r="F99" t="s">
        <v>13434</v>
      </c>
      <c r="G99" s="4559" t="s">
        <v>13089</v>
      </c>
      <c r="H99" s="4559"/>
      <c r="I99" s="6">
        <v>44932</v>
      </c>
      <c r="J99" s="6">
        <v>44938</v>
      </c>
      <c r="K99" s="126">
        <v>44944</v>
      </c>
      <c r="L99" s="6">
        <v>44944</v>
      </c>
      <c r="M99" s="917">
        <f>IF((SAU_2023[[#This Row],[Flat Rack IG]]-SAU_2023[[#This Row],[OG]])+1&lt;2,2,SAU_2023[[#This Row],[Flat Rack IG]]-SAU_2023[[#This Row],[OG]]+1)</f>
        <v>2</v>
      </c>
      <c r="N99" s="2" t="s">
        <v>13435</v>
      </c>
      <c r="O99" s="126">
        <v>44965</v>
      </c>
      <c r="P99" s="916">
        <f>SAU_2023[[#This Row],[ACTURAL DEL]]-SAU_2023[[#This Row],[OG]]</f>
        <v>21</v>
      </c>
      <c r="Q99" s="894" t="s">
        <v>13090</v>
      </c>
      <c r="R99" s="2" t="s">
        <v>13091</v>
      </c>
      <c r="S99" s="2"/>
      <c r="T99" s="2"/>
    </row>
    <row r="100" spans="1:20">
      <c r="A100" s="894" t="s">
        <v>263</v>
      </c>
      <c r="B100" s="2">
        <v>104</v>
      </c>
      <c r="C100" s="2" t="s">
        <v>13436</v>
      </c>
      <c r="D100" s="2" t="s">
        <v>13437</v>
      </c>
      <c r="E100" s="2" t="s">
        <v>13438</v>
      </c>
      <c r="F100" s="2" t="s">
        <v>13438</v>
      </c>
      <c r="G100" s="4559" t="s">
        <v>13089</v>
      </c>
      <c r="H100" s="4559"/>
      <c r="I100" s="6">
        <v>44932</v>
      </c>
      <c r="J100" s="6">
        <v>44938</v>
      </c>
      <c r="K100" s="126">
        <v>44944</v>
      </c>
      <c r="L100" s="6">
        <v>44944</v>
      </c>
      <c r="M100" s="917">
        <f>IF((SAU_2023[[#This Row],[Flat Rack IG]]-SAU_2023[[#This Row],[OG]])+1&lt;2,2,SAU_2023[[#This Row],[Flat Rack IG]]-SAU_2023[[#This Row],[OG]]+1)</f>
        <v>2</v>
      </c>
      <c r="N100" s="921" t="s">
        <v>13350</v>
      </c>
      <c r="O100" s="126">
        <v>44965</v>
      </c>
      <c r="P100" s="916">
        <f>SAU_2023[[#This Row],[ACTURAL DEL]]-SAU_2023[[#This Row],[OG]]</f>
        <v>21</v>
      </c>
      <c r="Q100" s="894" t="s">
        <v>13102</v>
      </c>
      <c r="R100" s="2" t="s">
        <v>13091</v>
      </c>
      <c r="S100" s="2"/>
      <c r="T100" s="2"/>
    </row>
    <row r="101" spans="1:20">
      <c r="A101" s="156" t="s">
        <v>263</v>
      </c>
      <c r="B101" s="7">
        <v>101</v>
      </c>
      <c r="C101" s="7" t="s">
        <v>13439</v>
      </c>
      <c r="D101" s="7" t="s">
        <v>13440</v>
      </c>
      <c r="E101" s="2" t="s">
        <v>13441</v>
      </c>
      <c r="F101" s="2" t="s">
        <v>13441</v>
      </c>
      <c r="G101" s="4151" t="s">
        <v>11268</v>
      </c>
      <c r="H101" s="4151"/>
      <c r="I101" s="126">
        <v>44932</v>
      </c>
      <c r="J101" s="126">
        <v>44938</v>
      </c>
      <c r="K101" s="126">
        <v>44936</v>
      </c>
      <c r="L101" s="126">
        <v>44938</v>
      </c>
      <c r="M101" s="916">
        <f>IF((SAU_2023[[#This Row],[Flat Rack IG]]-SAU_2023[[#This Row],[OG]])+1&lt;2,2,SAU_2023[[#This Row],[Flat Rack IG]]-SAU_2023[[#This Row],[OG]]+1)</f>
        <v>3</v>
      </c>
      <c r="N101" s="126">
        <v>44964</v>
      </c>
      <c r="O101" s="126">
        <v>44964</v>
      </c>
      <c r="P101" s="916">
        <f>SAU_2023[[#This Row],[ACTURAL DEL]]-SAU_2023[[#This Row],[OG]]</f>
        <v>28</v>
      </c>
      <c r="Q101" s="7" t="s">
        <v>13092</v>
      </c>
      <c r="R101" s="7"/>
      <c r="S101" s="7"/>
      <c r="T101" s="7"/>
    </row>
    <row r="103" spans="1:20">
      <c r="A103" s="902" t="s">
        <v>13442</v>
      </c>
    </row>
    <row r="104" spans="1:20">
      <c r="E104" s="2" t="s">
        <v>13443</v>
      </c>
    </row>
    <row r="106" spans="1:20">
      <c r="A106"/>
      <c r="B106"/>
    </row>
    <row r="107" spans="1:20">
      <c r="A107"/>
      <c r="B107"/>
    </row>
    <row r="109" spans="1:20">
      <c r="A109"/>
      <c r="B109"/>
    </row>
    <row r="110" spans="1:20" ht="15.75" thickBot="1">
      <c r="A110"/>
      <c r="B110"/>
      <c r="C110" s="942"/>
    </row>
    <row r="111" spans="1:20" ht="15.75" thickBot="1">
      <c r="A111"/>
      <c r="B111"/>
      <c r="C111" s="931" t="s">
        <v>13444</v>
      </c>
      <c r="D111" s="932" t="s">
        <v>13445</v>
      </c>
      <c r="E111" s="238"/>
      <c r="F111"/>
      <c r="G111"/>
      <c r="H111"/>
      <c r="I111"/>
      <c r="J111"/>
      <c r="K111"/>
      <c r="L111"/>
      <c r="M111"/>
    </row>
    <row r="112" spans="1:20" ht="15.75" thickBot="1">
      <c r="A112"/>
      <c r="B112"/>
      <c r="C112" s="933">
        <v>44959</v>
      </c>
      <c r="D112" s="934">
        <v>6</v>
      </c>
      <c r="E112" s="920"/>
      <c r="F112"/>
      <c r="G112"/>
      <c r="H112"/>
      <c r="I112"/>
      <c r="J112"/>
      <c r="K112"/>
      <c r="L112"/>
      <c r="M112"/>
    </row>
    <row r="113" spans="3:4" ht="15.75" thickBot="1">
      <c r="C113" s="933">
        <v>44963</v>
      </c>
      <c r="D113" s="934">
        <v>14</v>
      </c>
    </row>
    <row r="114" spans="3:4" ht="15.75" thickBot="1">
      <c r="C114" s="933">
        <v>44964</v>
      </c>
      <c r="D114" s="934">
        <v>18</v>
      </c>
    </row>
    <row r="115" spans="3:4" ht="15.75" thickBot="1">
      <c r="C115" s="933">
        <v>44965</v>
      </c>
      <c r="D115" s="934">
        <v>20</v>
      </c>
    </row>
    <row r="116" spans="3:4" ht="15.75" thickBot="1">
      <c r="C116" s="933">
        <v>44966</v>
      </c>
      <c r="D116" s="934">
        <v>13</v>
      </c>
    </row>
    <row r="117" spans="3:4" ht="15.75" thickBot="1">
      <c r="C117" s="933"/>
      <c r="D117" s="934"/>
    </row>
    <row r="118" spans="3:4" ht="15.75" thickBot="1">
      <c r="C118" s="933">
        <v>44970</v>
      </c>
      <c r="D118" s="934">
        <v>19</v>
      </c>
    </row>
    <row r="119" spans="3:4" ht="15.75" thickBot="1">
      <c r="C119" s="933">
        <v>44972</v>
      </c>
      <c r="D119" s="934">
        <v>10</v>
      </c>
    </row>
  </sheetData>
  <conditionalFormatting sqref="D2:D101">
    <cfRule type="duplicateValues" dxfId="77" priority="4"/>
  </conditionalFormatting>
  <pageMargins left="0.7" right="0.7" top="0.75" bottom="0.75" header="0.3" footer="0.3"/>
  <pageSetup orientation="portrait" r:id="rId1"/>
  <legacyDrawing r:id="rId2"/>
  <tableParts count="1">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7875D-849C-49F8-8B93-E5037E52AE89}">
  <sheetPr codeName="Sheet13"/>
  <dimension ref="A1:X165"/>
  <sheetViews>
    <sheetView zoomScale="115" zoomScaleNormal="115" workbookViewId="0">
      <pane xSplit="4" ySplit="1" topLeftCell="L50" activePane="bottomRight" state="frozen"/>
      <selection pane="bottomRight" activeCell="M50" sqref="M50"/>
      <selection pane="bottomLeft"/>
      <selection pane="topRight"/>
    </sheetView>
  </sheetViews>
  <sheetFormatPr defaultRowHeight="15"/>
  <cols>
    <col min="1" max="1" width="10.25" style="195" bestFit="1" customWidth="1"/>
    <col min="2" max="2" width="9" style="195" customWidth="1"/>
    <col min="3" max="3" width="14.125" style="195" customWidth="1"/>
    <col min="4" max="4" width="7.25" style="195" customWidth="1"/>
    <col min="5" max="5" width="7.875" style="195" customWidth="1"/>
    <col min="6" max="6" width="16.875" style="195" customWidth="1"/>
    <col min="7" max="7" width="20.25" style="195" customWidth="1"/>
    <col min="8" max="8" width="8" style="196" customWidth="1"/>
    <col min="9" max="9" width="10.25" style="195" customWidth="1"/>
    <col min="10" max="10" width="9" style="196" customWidth="1"/>
    <col min="11" max="11" width="9" style="195" customWidth="1"/>
    <col min="12" max="12" width="19.25" style="196" bestFit="1" customWidth="1"/>
    <col min="13" max="13" width="37.25" style="197" customWidth="1"/>
    <col min="14" max="14" width="21.25" style="197" hidden="1" customWidth="1"/>
    <col min="15" max="15" width="9" style="194" customWidth="1"/>
    <col min="16" max="16" width="9" style="375" customWidth="1"/>
    <col min="17" max="18" width="9" style="196" customWidth="1"/>
    <col min="19" max="19" width="76.25" style="197" customWidth="1"/>
    <col min="20" max="20" width="9" style="198" customWidth="1"/>
    <col min="21" max="22" width="9" style="199" customWidth="1"/>
    <col min="23" max="23" width="31.875" style="193" bestFit="1" customWidth="1"/>
  </cols>
  <sheetData>
    <row r="1" spans="1:24" s="164" customFormat="1">
      <c r="A1" s="5963" t="s">
        <v>13446</v>
      </c>
      <c r="B1" s="5963" t="s">
        <v>13447</v>
      </c>
      <c r="C1" s="5963" t="s">
        <v>1</v>
      </c>
      <c r="D1" s="5963" t="s">
        <v>2</v>
      </c>
      <c r="E1" s="5963" t="s">
        <v>13448</v>
      </c>
      <c r="F1" s="5963" t="s">
        <v>5</v>
      </c>
      <c r="G1" s="5963" t="s">
        <v>13449</v>
      </c>
      <c r="H1" s="5964" t="s">
        <v>3</v>
      </c>
      <c r="I1" s="5963" t="s">
        <v>13450</v>
      </c>
      <c r="J1" s="5964" t="s">
        <v>13451</v>
      </c>
      <c r="K1" s="5963" t="s">
        <v>13452</v>
      </c>
      <c r="L1" s="5964" t="s">
        <v>13453</v>
      </c>
      <c r="M1" s="5963" t="s">
        <v>10</v>
      </c>
      <c r="N1" s="5963" t="s">
        <v>13454</v>
      </c>
      <c r="O1" s="5965" t="s">
        <v>11</v>
      </c>
      <c r="P1" s="5966" t="s">
        <v>12</v>
      </c>
      <c r="Q1" s="5964" t="s">
        <v>13</v>
      </c>
      <c r="R1" s="5964" t="s">
        <v>14</v>
      </c>
      <c r="S1" s="5963" t="s">
        <v>15</v>
      </c>
      <c r="T1" s="5967" t="s">
        <v>13455</v>
      </c>
      <c r="U1" s="5968" t="s">
        <v>13456</v>
      </c>
      <c r="V1" s="5969"/>
      <c r="W1" s="388"/>
      <c r="X1" s="164" t="s">
        <v>15</v>
      </c>
    </row>
    <row r="2" spans="1:24" s="295" customFormat="1">
      <c r="A2" s="5970" t="s">
        <v>13457</v>
      </c>
      <c r="B2" s="5970">
        <v>96</v>
      </c>
      <c r="C2" s="5970" t="s">
        <v>13458</v>
      </c>
      <c r="D2" s="5970" t="s">
        <v>28</v>
      </c>
      <c r="E2" s="5970"/>
      <c r="F2" s="5970" t="s">
        <v>1828</v>
      </c>
      <c r="G2" s="5970">
        <v>211747239</v>
      </c>
      <c r="H2" s="5971">
        <v>44478</v>
      </c>
      <c r="I2" s="5970" t="s">
        <v>13459</v>
      </c>
      <c r="J2" s="5972">
        <v>44493</v>
      </c>
      <c r="K2" s="5970" t="s">
        <v>46</v>
      </c>
      <c r="L2" s="5971">
        <v>44496</v>
      </c>
      <c r="M2" s="5973" t="s">
        <v>13460</v>
      </c>
      <c r="N2" s="5970" t="s">
        <v>13461</v>
      </c>
      <c r="O2" s="5974" t="s">
        <v>13462</v>
      </c>
      <c r="P2" s="5975">
        <v>44494</v>
      </c>
      <c r="Q2" s="5971">
        <v>44494</v>
      </c>
      <c r="R2" s="5971">
        <v>44506</v>
      </c>
      <c r="S2" s="5976" t="s">
        <v>13463</v>
      </c>
      <c r="T2" s="5977" t="s">
        <v>6186</v>
      </c>
      <c r="U2" s="5978" t="s">
        <v>13464</v>
      </c>
      <c r="V2" s="5976"/>
      <c r="W2" s="100"/>
      <c r="X2" s="78"/>
    </row>
    <row r="3" spans="1:24" s="295" customFormat="1">
      <c r="A3" s="5970" t="s">
        <v>13457</v>
      </c>
      <c r="B3" s="5979" t="s">
        <v>13465</v>
      </c>
      <c r="C3" s="5979" t="s">
        <v>13466</v>
      </c>
      <c r="D3" s="5979" t="s">
        <v>704</v>
      </c>
      <c r="E3" s="5979" t="s">
        <v>13467</v>
      </c>
      <c r="F3" s="5980" t="s">
        <v>1828</v>
      </c>
      <c r="G3" s="5980">
        <v>212229273</v>
      </c>
      <c r="H3" s="5981">
        <v>44454</v>
      </c>
      <c r="I3" s="5981" t="s">
        <v>13459</v>
      </c>
      <c r="J3" s="5981">
        <v>44463</v>
      </c>
      <c r="K3" s="5979" t="s">
        <v>46</v>
      </c>
      <c r="L3" s="5975" t="s">
        <v>13468</v>
      </c>
      <c r="M3" s="5973" t="s">
        <v>13469</v>
      </c>
      <c r="N3" s="5982"/>
      <c r="O3" s="5979" t="s">
        <v>13470</v>
      </c>
      <c r="P3" s="5981">
        <v>44465</v>
      </c>
      <c r="Q3" s="5981">
        <v>44487</v>
      </c>
      <c r="R3" s="5975">
        <v>44489</v>
      </c>
      <c r="S3" s="5976" t="s">
        <v>13471</v>
      </c>
      <c r="T3" s="5979" t="s">
        <v>6186</v>
      </c>
      <c r="U3" s="5978" t="s">
        <v>13464</v>
      </c>
      <c r="V3" s="5983"/>
      <c r="W3" s="100"/>
      <c r="X3" s="78"/>
    </row>
    <row r="4" spans="1:24" s="295" customFormat="1">
      <c r="A4" s="5970" t="s">
        <v>13457</v>
      </c>
      <c r="B4" s="5979" t="s">
        <v>13472</v>
      </c>
      <c r="C4" s="5979" t="s">
        <v>13473</v>
      </c>
      <c r="D4" s="5979" t="s">
        <v>704</v>
      </c>
      <c r="E4" s="5979" t="s">
        <v>13467</v>
      </c>
      <c r="F4" s="5980" t="s">
        <v>1828</v>
      </c>
      <c r="G4" s="5980">
        <v>212229273</v>
      </c>
      <c r="H4" s="5981">
        <v>44454</v>
      </c>
      <c r="I4" s="5981" t="s">
        <v>13459</v>
      </c>
      <c r="J4" s="5981">
        <v>44463</v>
      </c>
      <c r="K4" s="5979" t="s">
        <v>46</v>
      </c>
      <c r="L4" s="5975" t="s">
        <v>13474</v>
      </c>
      <c r="M4" s="5973" t="s">
        <v>13469</v>
      </c>
      <c r="N4" s="5982"/>
      <c r="O4" s="5979" t="s">
        <v>13475</v>
      </c>
      <c r="P4" s="5981">
        <v>44465</v>
      </c>
      <c r="Q4" s="5981">
        <v>44487</v>
      </c>
      <c r="R4" s="5975">
        <v>44491</v>
      </c>
      <c r="S4" s="5976" t="s">
        <v>13471</v>
      </c>
      <c r="T4" s="5979" t="s">
        <v>6186</v>
      </c>
      <c r="U4" s="5978" t="s">
        <v>13464</v>
      </c>
      <c r="V4" s="5983"/>
      <c r="W4" s="100"/>
      <c r="X4" s="78"/>
    </row>
    <row r="5" spans="1:24" s="295" customFormat="1">
      <c r="A5" s="5970" t="s">
        <v>13457</v>
      </c>
      <c r="B5" s="5979" t="s">
        <v>13476</v>
      </c>
      <c r="C5" s="5979" t="s">
        <v>13477</v>
      </c>
      <c r="D5" s="5979" t="s">
        <v>704</v>
      </c>
      <c r="E5" s="5979" t="s">
        <v>13467</v>
      </c>
      <c r="F5" s="5980" t="s">
        <v>1828</v>
      </c>
      <c r="G5" s="5980">
        <v>212228202</v>
      </c>
      <c r="H5" s="5981">
        <v>44454</v>
      </c>
      <c r="I5" s="5981" t="s">
        <v>13459</v>
      </c>
      <c r="J5" s="5981">
        <v>44464</v>
      </c>
      <c r="K5" s="5979" t="s">
        <v>46</v>
      </c>
      <c r="L5" s="5975" t="s">
        <v>13478</v>
      </c>
      <c r="M5" s="5973" t="s">
        <v>13479</v>
      </c>
      <c r="N5" s="5982" t="s">
        <v>13480</v>
      </c>
      <c r="O5" s="5979" t="s">
        <v>13481</v>
      </c>
      <c r="P5" s="5981">
        <v>44466</v>
      </c>
      <c r="Q5" s="5981">
        <v>44487</v>
      </c>
      <c r="R5" s="5975">
        <v>44488</v>
      </c>
      <c r="S5" s="5976" t="s">
        <v>13482</v>
      </c>
      <c r="T5" s="5979" t="s">
        <v>6186</v>
      </c>
      <c r="U5" s="5978" t="s">
        <v>13464</v>
      </c>
      <c r="V5" s="5976"/>
      <c r="W5" s="100"/>
      <c r="X5" s="78"/>
    </row>
    <row r="6" spans="1:24" s="295" customFormat="1">
      <c r="A6" s="5970" t="s">
        <v>13457</v>
      </c>
      <c r="B6" s="5979" t="s">
        <v>13483</v>
      </c>
      <c r="C6" s="5979" t="s">
        <v>13484</v>
      </c>
      <c r="D6" s="5979" t="s">
        <v>704</v>
      </c>
      <c r="E6" s="5979" t="s">
        <v>13467</v>
      </c>
      <c r="F6" s="5980" t="s">
        <v>1828</v>
      </c>
      <c r="G6" s="5980">
        <v>212228202</v>
      </c>
      <c r="H6" s="5981">
        <v>44454</v>
      </c>
      <c r="I6" s="5981" t="s">
        <v>13459</v>
      </c>
      <c r="J6" s="5981">
        <v>44465</v>
      </c>
      <c r="K6" s="5979" t="s">
        <v>46</v>
      </c>
      <c r="L6" s="5975" t="s">
        <v>13485</v>
      </c>
      <c r="M6" s="5973" t="s">
        <v>13479</v>
      </c>
      <c r="N6" s="5982" t="s">
        <v>13480</v>
      </c>
      <c r="O6" s="5979" t="s">
        <v>13486</v>
      </c>
      <c r="P6" s="5981">
        <v>44467</v>
      </c>
      <c r="Q6" s="5981">
        <v>44486</v>
      </c>
      <c r="R6" s="5975">
        <v>44488</v>
      </c>
      <c r="S6" s="5976" t="s">
        <v>13487</v>
      </c>
      <c r="T6" s="5979" t="s">
        <v>6186</v>
      </c>
      <c r="U6" s="5978" t="s">
        <v>13464</v>
      </c>
      <c r="V6" s="5976"/>
      <c r="W6" s="100"/>
      <c r="X6" s="78"/>
    </row>
    <row r="7" spans="1:24" s="295" customFormat="1">
      <c r="A7" s="5970" t="s">
        <v>13457</v>
      </c>
      <c r="B7" s="5979" t="s">
        <v>13488</v>
      </c>
      <c r="C7" s="5979" t="s">
        <v>13489</v>
      </c>
      <c r="D7" s="5979" t="s">
        <v>704</v>
      </c>
      <c r="E7" s="5979" t="s">
        <v>13467</v>
      </c>
      <c r="F7" s="5980" t="s">
        <v>1828</v>
      </c>
      <c r="G7" s="5980">
        <v>212229273</v>
      </c>
      <c r="H7" s="5981">
        <v>44454</v>
      </c>
      <c r="I7" s="5981" t="s">
        <v>13459</v>
      </c>
      <c r="J7" s="5981">
        <v>44465</v>
      </c>
      <c r="K7" s="5979" t="s">
        <v>46</v>
      </c>
      <c r="L7" s="5975" t="s">
        <v>13490</v>
      </c>
      <c r="M7" s="5973" t="s">
        <v>13469</v>
      </c>
      <c r="N7" s="5982"/>
      <c r="O7" s="5979" t="s">
        <v>13491</v>
      </c>
      <c r="P7" s="5981">
        <v>44467</v>
      </c>
      <c r="Q7" s="5981">
        <v>44487</v>
      </c>
      <c r="R7" s="5975">
        <v>44489</v>
      </c>
      <c r="S7" s="5976" t="s">
        <v>13492</v>
      </c>
      <c r="T7" s="5979" t="s">
        <v>6186</v>
      </c>
      <c r="U7" s="5978" t="s">
        <v>13464</v>
      </c>
      <c r="V7" s="5983"/>
      <c r="W7" s="100"/>
      <c r="X7" s="78"/>
    </row>
    <row r="8" spans="1:24" s="295" customFormat="1">
      <c r="A8" s="5970" t="s">
        <v>13457</v>
      </c>
      <c r="B8" s="5970" t="s">
        <v>13493</v>
      </c>
      <c r="C8" s="5974" t="s">
        <v>13494</v>
      </c>
      <c r="D8" s="5974" t="s">
        <v>704</v>
      </c>
      <c r="E8" s="5970" t="s">
        <v>382</v>
      </c>
      <c r="F8" s="5974" t="s">
        <v>93</v>
      </c>
      <c r="G8" s="5970" t="s">
        <v>382</v>
      </c>
      <c r="H8" s="5975">
        <v>44497</v>
      </c>
      <c r="I8" s="5975" t="s">
        <v>13459</v>
      </c>
      <c r="J8" s="5975">
        <v>44507</v>
      </c>
      <c r="K8" s="5974" t="s">
        <v>13495</v>
      </c>
      <c r="L8" s="5975">
        <v>44510</v>
      </c>
      <c r="M8" s="5973" t="s">
        <v>13496</v>
      </c>
      <c r="N8" s="5982"/>
      <c r="O8" s="5974">
        <v>507969</v>
      </c>
      <c r="P8" s="5975">
        <v>44509</v>
      </c>
      <c r="Q8" s="5972">
        <v>44509</v>
      </c>
      <c r="R8" s="5975">
        <v>44517</v>
      </c>
      <c r="S8" s="5976" t="s">
        <v>13497</v>
      </c>
      <c r="T8" s="5979" t="s">
        <v>10270</v>
      </c>
      <c r="U8" s="5984" t="s">
        <v>13464</v>
      </c>
      <c r="V8" s="5976"/>
      <c r="W8" s="100"/>
      <c r="X8" s="78"/>
    </row>
    <row r="9" spans="1:24" s="295" customFormat="1">
      <c r="A9" s="5970" t="s">
        <v>13457</v>
      </c>
      <c r="B9" s="5979" t="s">
        <v>13498</v>
      </c>
      <c r="C9" s="5979" t="s">
        <v>13499</v>
      </c>
      <c r="D9" s="5979" t="s">
        <v>704</v>
      </c>
      <c r="E9" s="5979" t="s">
        <v>13467</v>
      </c>
      <c r="F9" s="5980" t="s">
        <v>1828</v>
      </c>
      <c r="G9" s="5980">
        <v>212229273</v>
      </c>
      <c r="H9" s="5981">
        <v>44454</v>
      </c>
      <c r="I9" s="5981" t="s">
        <v>13459</v>
      </c>
      <c r="J9" s="5981">
        <v>44467</v>
      </c>
      <c r="K9" s="5979" t="s">
        <v>46</v>
      </c>
      <c r="L9" s="5975" t="s">
        <v>13500</v>
      </c>
      <c r="M9" s="5973" t="s">
        <v>13469</v>
      </c>
      <c r="N9" s="5982"/>
      <c r="O9" s="5979" t="s">
        <v>13501</v>
      </c>
      <c r="P9" s="5981">
        <v>44469</v>
      </c>
      <c r="Q9" s="5981">
        <v>44487</v>
      </c>
      <c r="R9" s="5975">
        <v>44488</v>
      </c>
      <c r="S9" s="5976" t="s">
        <v>13502</v>
      </c>
      <c r="T9" s="5979" t="s">
        <v>6186</v>
      </c>
      <c r="U9" s="5978" t="s">
        <v>13464</v>
      </c>
      <c r="V9" s="5983"/>
      <c r="W9" s="100"/>
      <c r="X9" s="78"/>
    </row>
    <row r="10" spans="1:24" s="295" customFormat="1">
      <c r="A10" s="5970" t="s">
        <v>13457</v>
      </c>
      <c r="B10" s="5970" t="s">
        <v>13503</v>
      </c>
      <c r="C10" s="5974" t="s">
        <v>13504</v>
      </c>
      <c r="D10" s="5974" t="s">
        <v>704</v>
      </c>
      <c r="E10" s="5970" t="s">
        <v>382</v>
      </c>
      <c r="F10" s="5974" t="s">
        <v>93</v>
      </c>
      <c r="G10" s="5970" t="s">
        <v>382</v>
      </c>
      <c r="H10" s="5975">
        <v>44497</v>
      </c>
      <c r="I10" s="5975" t="s">
        <v>13459</v>
      </c>
      <c r="J10" s="5975">
        <v>44506</v>
      </c>
      <c r="K10" s="5974" t="s">
        <v>13495</v>
      </c>
      <c r="L10" s="5975">
        <v>44511</v>
      </c>
      <c r="M10" s="5973" t="s">
        <v>13496</v>
      </c>
      <c r="N10" s="5982"/>
      <c r="O10" s="5974">
        <v>473770</v>
      </c>
      <c r="P10" s="5975">
        <v>44509</v>
      </c>
      <c r="Q10" s="5972">
        <v>44511</v>
      </c>
      <c r="R10" s="5975">
        <v>44516</v>
      </c>
      <c r="S10" s="5976" t="s">
        <v>13505</v>
      </c>
      <c r="T10" s="5979" t="s">
        <v>10270</v>
      </c>
      <c r="U10" s="5984" t="s">
        <v>13464</v>
      </c>
      <c r="V10" s="5976"/>
      <c r="W10" s="100"/>
      <c r="X10" s="78"/>
    </row>
    <row r="11" spans="1:24" s="295" customFormat="1">
      <c r="A11" s="5970" t="s">
        <v>13457</v>
      </c>
      <c r="B11" s="5970" t="s">
        <v>13506</v>
      </c>
      <c r="C11" s="5974" t="s">
        <v>13507</v>
      </c>
      <c r="D11" s="5974" t="s">
        <v>704</v>
      </c>
      <c r="E11" s="5970" t="s">
        <v>382</v>
      </c>
      <c r="F11" s="5974" t="s">
        <v>93</v>
      </c>
      <c r="G11" s="5970" t="s">
        <v>382</v>
      </c>
      <c r="H11" s="5975">
        <v>44497</v>
      </c>
      <c r="I11" s="5975" t="s">
        <v>13459</v>
      </c>
      <c r="J11" s="5975">
        <v>44506</v>
      </c>
      <c r="K11" s="5974" t="s">
        <v>13495</v>
      </c>
      <c r="L11" s="5975">
        <v>44511</v>
      </c>
      <c r="M11" s="5973" t="s">
        <v>13496</v>
      </c>
      <c r="N11" s="5982"/>
      <c r="O11" s="5974">
        <v>940079</v>
      </c>
      <c r="P11" s="5975">
        <v>44509</v>
      </c>
      <c r="Q11" s="5972">
        <v>44511</v>
      </c>
      <c r="R11" s="5975">
        <v>44517</v>
      </c>
      <c r="S11" s="5976" t="s">
        <v>13508</v>
      </c>
      <c r="T11" s="5979" t="s">
        <v>10270</v>
      </c>
      <c r="U11" s="5984" t="s">
        <v>13464</v>
      </c>
      <c r="V11" s="5976"/>
      <c r="W11" s="100"/>
      <c r="X11" s="78"/>
    </row>
    <row r="12" spans="1:24" s="295" customFormat="1">
      <c r="A12" s="5970" t="s">
        <v>13457</v>
      </c>
      <c r="B12" s="5979" t="s">
        <v>13509</v>
      </c>
      <c r="C12" s="5979" t="s">
        <v>13510</v>
      </c>
      <c r="D12" s="5979" t="s">
        <v>704</v>
      </c>
      <c r="E12" s="5979" t="s">
        <v>13467</v>
      </c>
      <c r="F12" s="5980" t="s">
        <v>1828</v>
      </c>
      <c r="G12" s="5980">
        <v>212228672</v>
      </c>
      <c r="H12" s="5981">
        <v>44454</v>
      </c>
      <c r="I12" s="5981" t="s">
        <v>13459</v>
      </c>
      <c r="J12" s="5981">
        <v>44467</v>
      </c>
      <c r="K12" s="5979" t="s">
        <v>46</v>
      </c>
      <c r="L12" s="5975" t="s">
        <v>13511</v>
      </c>
      <c r="M12" s="5973" t="s">
        <v>13469</v>
      </c>
      <c r="N12" s="5982"/>
      <c r="O12" s="5979" t="s">
        <v>13512</v>
      </c>
      <c r="P12" s="5981">
        <v>44469</v>
      </c>
      <c r="Q12" s="5981">
        <v>44488</v>
      </c>
      <c r="R12" s="5975">
        <v>44489</v>
      </c>
      <c r="S12" s="5976" t="s">
        <v>13513</v>
      </c>
      <c r="T12" s="5979" t="s">
        <v>6186</v>
      </c>
      <c r="U12" s="5978" t="s">
        <v>13464</v>
      </c>
      <c r="V12" s="5983"/>
      <c r="W12" s="100"/>
      <c r="X12" s="78"/>
    </row>
    <row r="13" spans="1:24" s="295" customFormat="1">
      <c r="A13" s="5970" t="s">
        <v>13457</v>
      </c>
      <c r="B13" s="5979" t="s">
        <v>13514</v>
      </c>
      <c r="C13" s="5979" t="s">
        <v>13515</v>
      </c>
      <c r="D13" s="5979" t="s">
        <v>704</v>
      </c>
      <c r="E13" s="5979" t="s">
        <v>13467</v>
      </c>
      <c r="F13" s="5980" t="s">
        <v>1828</v>
      </c>
      <c r="G13" s="5980">
        <v>212228672</v>
      </c>
      <c r="H13" s="5981">
        <v>44454</v>
      </c>
      <c r="I13" s="5981" t="s">
        <v>13459</v>
      </c>
      <c r="J13" s="5981">
        <v>44467</v>
      </c>
      <c r="K13" s="5979" t="s">
        <v>46</v>
      </c>
      <c r="L13" s="5975" t="s">
        <v>13516</v>
      </c>
      <c r="M13" s="5973" t="s">
        <v>13469</v>
      </c>
      <c r="N13" s="5982"/>
      <c r="O13" s="5979" t="s">
        <v>13517</v>
      </c>
      <c r="P13" s="5981">
        <v>44469</v>
      </c>
      <c r="Q13" s="5981">
        <v>44488</v>
      </c>
      <c r="R13" s="5975">
        <v>44490</v>
      </c>
      <c r="S13" s="5976" t="s">
        <v>13513</v>
      </c>
      <c r="T13" s="5979" t="s">
        <v>6186</v>
      </c>
      <c r="U13" s="5978" t="s">
        <v>13464</v>
      </c>
      <c r="V13" s="5983"/>
      <c r="W13" s="100"/>
      <c r="X13" s="78"/>
    </row>
    <row r="14" spans="1:24" s="295" customFormat="1">
      <c r="A14" s="5970" t="s">
        <v>13457</v>
      </c>
      <c r="B14" s="5979" t="s">
        <v>13518</v>
      </c>
      <c r="C14" s="5979" t="s">
        <v>13519</v>
      </c>
      <c r="D14" s="5979" t="s">
        <v>704</v>
      </c>
      <c r="E14" s="5979" t="s">
        <v>13467</v>
      </c>
      <c r="F14" s="5980" t="s">
        <v>1828</v>
      </c>
      <c r="G14" s="5979">
        <v>212227905</v>
      </c>
      <c r="H14" s="5981">
        <v>44467</v>
      </c>
      <c r="I14" s="5981" t="s">
        <v>13459</v>
      </c>
      <c r="J14" s="5981">
        <v>44477</v>
      </c>
      <c r="K14" s="5979" t="s">
        <v>46</v>
      </c>
      <c r="L14" s="5975" t="s">
        <v>13520</v>
      </c>
      <c r="M14" s="5973" t="s">
        <v>13521</v>
      </c>
      <c r="N14" s="5982" t="s">
        <v>13522</v>
      </c>
      <c r="O14" s="5979" t="s">
        <v>13523</v>
      </c>
      <c r="P14" s="5981">
        <v>44479</v>
      </c>
      <c r="Q14" s="5975">
        <v>44488</v>
      </c>
      <c r="R14" s="5975">
        <v>44501</v>
      </c>
      <c r="S14" s="5976" t="s">
        <v>13524</v>
      </c>
      <c r="T14" s="5979" t="s">
        <v>6186</v>
      </c>
      <c r="U14" s="5985" t="s">
        <v>13464</v>
      </c>
      <c r="V14" s="5976"/>
      <c r="W14" s="100"/>
      <c r="X14" s="78"/>
    </row>
    <row r="15" spans="1:24" s="295" customFormat="1">
      <c r="A15" s="5970" t="s">
        <v>13457</v>
      </c>
      <c r="B15" s="5970">
        <v>241</v>
      </c>
      <c r="C15" s="5970" t="s">
        <v>13525</v>
      </c>
      <c r="D15" s="5970" t="s">
        <v>28</v>
      </c>
      <c r="E15" s="5970">
        <v>10480.25</v>
      </c>
      <c r="F15" s="5970" t="s">
        <v>93</v>
      </c>
      <c r="G15" s="5970" t="s">
        <v>13526</v>
      </c>
      <c r="H15" s="5971">
        <v>44499</v>
      </c>
      <c r="I15" s="5970" t="s">
        <v>13459</v>
      </c>
      <c r="J15" s="5972">
        <v>44508</v>
      </c>
      <c r="K15" s="5970" t="s">
        <v>46</v>
      </c>
      <c r="L15" s="5975">
        <v>44513</v>
      </c>
      <c r="M15" s="5973" t="s">
        <v>13527</v>
      </c>
      <c r="N15" s="5976"/>
      <c r="O15" s="5974" t="s">
        <v>13528</v>
      </c>
      <c r="P15" s="5975">
        <v>44510</v>
      </c>
      <c r="Q15" s="5972">
        <v>44513</v>
      </c>
      <c r="R15" s="5975">
        <v>44518</v>
      </c>
      <c r="S15" s="5976" t="s">
        <v>13529</v>
      </c>
      <c r="T15" s="5970" t="s">
        <v>6186</v>
      </c>
      <c r="U15" s="5984" t="s">
        <v>13464</v>
      </c>
      <c r="V15" s="5976"/>
      <c r="W15" s="100"/>
      <c r="X15" s="78"/>
    </row>
    <row r="16" spans="1:24" s="295" customFormat="1">
      <c r="A16" s="5970" t="s">
        <v>13457</v>
      </c>
      <c r="B16" s="5970">
        <v>242</v>
      </c>
      <c r="C16" s="5970" t="s">
        <v>13530</v>
      </c>
      <c r="D16" s="5970" t="s">
        <v>28</v>
      </c>
      <c r="E16" s="5970">
        <v>10896.8</v>
      </c>
      <c r="F16" s="5970" t="s">
        <v>93</v>
      </c>
      <c r="G16" s="5970" t="s">
        <v>13531</v>
      </c>
      <c r="H16" s="5971">
        <v>44501</v>
      </c>
      <c r="I16" s="5970" t="s">
        <v>13459</v>
      </c>
      <c r="J16" s="5972">
        <v>44510</v>
      </c>
      <c r="K16" s="5970" t="s">
        <v>46</v>
      </c>
      <c r="L16" s="5975">
        <v>44513</v>
      </c>
      <c r="M16" s="5973" t="s">
        <v>13527</v>
      </c>
      <c r="N16" s="5976"/>
      <c r="O16" s="5974">
        <v>509964</v>
      </c>
      <c r="P16" s="5975">
        <v>44510</v>
      </c>
      <c r="Q16" s="5972">
        <v>44513</v>
      </c>
      <c r="R16" s="5975">
        <v>44524</v>
      </c>
      <c r="S16" s="5976" t="s">
        <v>13532</v>
      </c>
      <c r="T16" s="5979" t="s">
        <v>6186</v>
      </c>
      <c r="U16" s="5984" t="s">
        <v>13464</v>
      </c>
      <c r="V16" s="5976"/>
      <c r="W16" s="100"/>
      <c r="X16" s="78"/>
    </row>
    <row r="17" spans="1:23" s="295" customFormat="1">
      <c r="A17" s="5970" t="s">
        <v>13457</v>
      </c>
      <c r="B17" s="5979" t="s">
        <v>13533</v>
      </c>
      <c r="C17" s="5979" t="s">
        <v>13534</v>
      </c>
      <c r="D17" s="5979" t="s">
        <v>704</v>
      </c>
      <c r="E17" s="5979" t="s">
        <v>13467</v>
      </c>
      <c r="F17" s="5980" t="s">
        <v>1374</v>
      </c>
      <c r="G17" s="5980" t="s">
        <v>13535</v>
      </c>
      <c r="H17" s="5981">
        <v>44476</v>
      </c>
      <c r="I17" s="5981" t="s">
        <v>13459</v>
      </c>
      <c r="J17" s="5981">
        <v>44483</v>
      </c>
      <c r="K17" s="5979" t="s">
        <v>57</v>
      </c>
      <c r="L17" s="5986" t="s">
        <v>13536</v>
      </c>
      <c r="M17" s="5973" t="s">
        <v>13537</v>
      </c>
      <c r="N17" s="5982"/>
      <c r="O17" s="5979">
        <v>3910879</v>
      </c>
      <c r="P17" s="5981">
        <v>44485</v>
      </c>
      <c r="Q17" s="5981">
        <v>44485</v>
      </c>
      <c r="R17" s="5981">
        <v>44486</v>
      </c>
      <c r="S17" s="5982" t="s">
        <v>13538</v>
      </c>
      <c r="T17" s="5979" t="s">
        <v>6186</v>
      </c>
      <c r="U17" s="5985" t="s">
        <v>13464</v>
      </c>
      <c r="V17" s="5982" t="s">
        <v>13539</v>
      </c>
      <c r="W17" s="100"/>
    </row>
    <row r="18" spans="1:23" s="295" customFormat="1">
      <c r="A18" s="5970" t="s">
        <v>13457</v>
      </c>
      <c r="B18" s="5979" t="s">
        <v>13540</v>
      </c>
      <c r="C18" s="5979" t="s">
        <v>13541</v>
      </c>
      <c r="D18" s="5979" t="s">
        <v>704</v>
      </c>
      <c r="E18" s="5979" t="s">
        <v>13467</v>
      </c>
      <c r="F18" s="5980" t="s">
        <v>1374</v>
      </c>
      <c r="G18" s="5980" t="s">
        <v>13535</v>
      </c>
      <c r="H18" s="5981">
        <v>44476</v>
      </c>
      <c r="I18" s="5981" t="s">
        <v>13459</v>
      </c>
      <c r="J18" s="5981">
        <v>44483</v>
      </c>
      <c r="K18" s="5979" t="s">
        <v>57</v>
      </c>
      <c r="L18" s="5987" t="s">
        <v>13542</v>
      </c>
      <c r="M18" s="5973" t="s">
        <v>13537</v>
      </c>
      <c r="N18" s="5982"/>
      <c r="O18" s="5979">
        <v>3910868</v>
      </c>
      <c r="P18" s="5981">
        <v>44485</v>
      </c>
      <c r="Q18" s="5981">
        <v>44485</v>
      </c>
      <c r="R18" s="5981">
        <v>44487</v>
      </c>
      <c r="S18" s="5982" t="s">
        <v>13538</v>
      </c>
      <c r="T18" s="5979" t="s">
        <v>6186</v>
      </c>
      <c r="U18" s="5985" t="s">
        <v>13464</v>
      </c>
      <c r="V18" s="5982" t="s">
        <v>13543</v>
      </c>
      <c r="W18" s="100"/>
    </row>
    <row r="19" spans="1:23" s="295" customFormat="1">
      <c r="A19" s="5970" t="s">
        <v>13457</v>
      </c>
      <c r="B19" s="5979" t="s">
        <v>13544</v>
      </c>
      <c r="C19" s="5979" t="s">
        <v>13545</v>
      </c>
      <c r="D19" s="5979" t="s">
        <v>704</v>
      </c>
      <c r="E19" s="5979" t="s">
        <v>13467</v>
      </c>
      <c r="F19" s="5980" t="s">
        <v>1374</v>
      </c>
      <c r="G19" s="5980" t="s">
        <v>13535</v>
      </c>
      <c r="H19" s="5981">
        <v>44476</v>
      </c>
      <c r="I19" s="5981" t="s">
        <v>13459</v>
      </c>
      <c r="J19" s="5981">
        <v>44483</v>
      </c>
      <c r="K19" s="5979" t="s">
        <v>57</v>
      </c>
      <c r="L19" s="5981" t="s">
        <v>13546</v>
      </c>
      <c r="M19" s="5973" t="s">
        <v>13537</v>
      </c>
      <c r="N19" s="5982"/>
      <c r="O19" s="5979">
        <v>3911157</v>
      </c>
      <c r="P19" s="5981">
        <v>44485</v>
      </c>
      <c r="Q19" s="5981">
        <v>44485</v>
      </c>
      <c r="R19" s="5981">
        <v>44486</v>
      </c>
      <c r="S19" s="5982" t="s">
        <v>13538</v>
      </c>
      <c r="T19" s="5979" t="s">
        <v>6186</v>
      </c>
      <c r="U19" s="5985" t="s">
        <v>13464</v>
      </c>
      <c r="V19" s="5982" t="s">
        <v>13539</v>
      </c>
      <c r="W19" s="100"/>
    </row>
    <row r="20" spans="1:23" s="295" customFormat="1">
      <c r="A20" s="5970" t="s">
        <v>13457</v>
      </c>
      <c r="B20" s="5979" t="s">
        <v>13547</v>
      </c>
      <c r="C20" s="5979" t="s">
        <v>13548</v>
      </c>
      <c r="D20" s="5979" t="s">
        <v>704</v>
      </c>
      <c r="E20" s="5979" t="s">
        <v>13467</v>
      </c>
      <c r="F20" s="5980" t="s">
        <v>1374</v>
      </c>
      <c r="G20" s="5980" t="s">
        <v>13535</v>
      </c>
      <c r="H20" s="5981">
        <v>44476</v>
      </c>
      <c r="I20" s="5981" t="s">
        <v>13459</v>
      </c>
      <c r="J20" s="5981">
        <v>44483</v>
      </c>
      <c r="K20" s="5979" t="s">
        <v>57</v>
      </c>
      <c r="L20" s="5988" t="s">
        <v>13549</v>
      </c>
      <c r="M20" s="5973" t="s">
        <v>13537</v>
      </c>
      <c r="N20" s="5982"/>
      <c r="O20" s="5979">
        <v>3910854</v>
      </c>
      <c r="P20" s="5981">
        <v>44485</v>
      </c>
      <c r="Q20" s="5981">
        <v>44485</v>
      </c>
      <c r="R20" s="5981">
        <v>44487</v>
      </c>
      <c r="S20" s="5982" t="s">
        <v>13550</v>
      </c>
      <c r="T20" s="5979" t="s">
        <v>6186</v>
      </c>
      <c r="U20" s="5985" t="s">
        <v>13464</v>
      </c>
      <c r="V20" s="5982" t="s">
        <v>13551</v>
      </c>
      <c r="W20" s="100"/>
    </row>
    <row r="21" spans="1:23" s="295" customFormat="1">
      <c r="A21" s="5970" t="s">
        <v>13457</v>
      </c>
      <c r="B21" s="5979" t="s">
        <v>13552</v>
      </c>
      <c r="C21" s="5979" t="s">
        <v>13553</v>
      </c>
      <c r="D21" s="5979" t="s">
        <v>704</v>
      </c>
      <c r="E21" s="5979" t="s">
        <v>13467</v>
      </c>
      <c r="F21" s="5980" t="s">
        <v>1374</v>
      </c>
      <c r="G21" s="5980" t="s">
        <v>13535</v>
      </c>
      <c r="H21" s="5981">
        <v>44476</v>
      </c>
      <c r="I21" s="5981" t="s">
        <v>13459</v>
      </c>
      <c r="J21" s="5981">
        <v>44483</v>
      </c>
      <c r="K21" s="5979" t="s">
        <v>57</v>
      </c>
      <c r="L21" s="5981" t="s">
        <v>13554</v>
      </c>
      <c r="M21" s="5973" t="s">
        <v>13537</v>
      </c>
      <c r="N21" s="5982"/>
      <c r="O21" s="5979">
        <v>3910869</v>
      </c>
      <c r="P21" s="5981">
        <v>44485</v>
      </c>
      <c r="Q21" s="5981">
        <v>44485</v>
      </c>
      <c r="R21" s="5981">
        <v>44487</v>
      </c>
      <c r="S21" s="5976" t="s">
        <v>13555</v>
      </c>
      <c r="T21" s="5979" t="s">
        <v>6186</v>
      </c>
      <c r="U21" s="5985" t="s">
        <v>13464</v>
      </c>
      <c r="V21" s="5982" t="s">
        <v>13543</v>
      </c>
      <c r="W21" s="100"/>
    </row>
    <row r="22" spans="1:23" s="295" customFormat="1">
      <c r="A22" s="5970" t="s">
        <v>13457</v>
      </c>
      <c r="B22" s="5970">
        <v>246</v>
      </c>
      <c r="C22" s="5970" t="s">
        <v>13556</v>
      </c>
      <c r="D22" s="5970" t="s">
        <v>28</v>
      </c>
      <c r="E22" s="5970">
        <v>10080</v>
      </c>
      <c r="F22" s="5970" t="s">
        <v>93</v>
      </c>
      <c r="G22" s="5970" t="s">
        <v>13557</v>
      </c>
      <c r="H22" s="5971">
        <v>44509</v>
      </c>
      <c r="I22" s="5970" t="s">
        <v>13459</v>
      </c>
      <c r="J22" s="5972">
        <v>44516</v>
      </c>
      <c r="K22" s="5970" t="s">
        <v>46</v>
      </c>
      <c r="L22" s="5975">
        <v>44518</v>
      </c>
      <c r="M22" s="5973" t="s">
        <v>13558</v>
      </c>
      <c r="N22" s="5989"/>
      <c r="O22" s="5990" t="s">
        <v>13559</v>
      </c>
      <c r="P22" s="5975">
        <v>44518</v>
      </c>
      <c r="Q22" s="5972">
        <v>44518</v>
      </c>
      <c r="R22" s="5975">
        <v>44889</v>
      </c>
      <c r="S22" s="5976" t="s">
        <v>13560</v>
      </c>
      <c r="T22" s="5970" t="s">
        <v>6186</v>
      </c>
      <c r="U22" s="5978" t="s">
        <v>13464</v>
      </c>
      <c r="V22" s="5976"/>
      <c r="W22" s="100"/>
    </row>
    <row r="23" spans="1:23" s="295" customFormat="1">
      <c r="A23" s="5970" t="s">
        <v>13457</v>
      </c>
      <c r="B23" s="5979" t="s">
        <v>13561</v>
      </c>
      <c r="C23" s="5979" t="s">
        <v>13562</v>
      </c>
      <c r="D23" s="5979" t="s">
        <v>704</v>
      </c>
      <c r="E23" s="5979" t="s">
        <v>13467</v>
      </c>
      <c r="F23" s="5980" t="s">
        <v>1374</v>
      </c>
      <c r="G23" s="5980" t="s">
        <v>13535</v>
      </c>
      <c r="H23" s="5981">
        <v>44476</v>
      </c>
      <c r="I23" s="5981" t="s">
        <v>13459</v>
      </c>
      <c r="J23" s="5981">
        <v>44484</v>
      </c>
      <c r="K23" s="5979" t="s">
        <v>57</v>
      </c>
      <c r="L23" s="5981" t="s">
        <v>13563</v>
      </c>
      <c r="M23" s="5973" t="s">
        <v>13537</v>
      </c>
      <c r="N23" s="5982"/>
      <c r="O23" s="5979">
        <v>3911153</v>
      </c>
      <c r="P23" s="5981">
        <v>44486</v>
      </c>
      <c r="Q23" s="5981">
        <v>44485</v>
      </c>
      <c r="R23" s="5981">
        <v>44488</v>
      </c>
      <c r="S23" s="5982" t="s">
        <v>13564</v>
      </c>
      <c r="T23" s="5979" t="s">
        <v>6186</v>
      </c>
      <c r="U23" s="5985" t="s">
        <v>13464</v>
      </c>
      <c r="V23" s="5982" t="s">
        <v>13539</v>
      </c>
      <c r="W23" s="100"/>
    </row>
    <row r="24" spans="1:23" s="295" customFormat="1">
      <c r="A24" s="5970" t="s">
        <v>13457</v>
      </c>
      <c r="B24" s="5970">
        <v>178</v>
      </c>
      <c r="C24" s="5970" t="s">
        <v>13565</v>
      </c>
      <c r="D24" s="5970" t="s">
        <v>28</v>
      </c>
      <c r="E24" s="5970">
        <v>11691</v>
      </c>
      <c r="F24" s="5970" t="s">
        <v>1828</v>
      </c>
      <c r="G24" s="5970">
        <v>212063794</v>
      </c>
      <c r="H24" s="5971">
        <v>44510</v>
      </c>
      <c r="I24" s="5970" t="s">
        <v>13459</v>
      </c>
      <c r="J24" s="5972">
        <v>44518</v>
      </c>
      <c r="K24" s="5970" t="s">
        <v>46</v>
      </c>
      <c r="L24" s="5975">
        <v>44523</v>
      </c>
      <c r="M24" s="5973" t="s">
        <v>13558</v>
      </c>
      <c r="N24" s="5976"/>
      <c r="O24" s="5974" t="s">
        <v>13566</v>
      </c>
      <c r="P24" s="5975">
        <v>44521</v>
      </c>
      <c r="Q24" s="5975">
        <v>44522</v>
      </c>
      <c r="R24" s="5975">
        <v>44531</v>
      </c>
      <c r="S24" s="5976" t="s">
        <v>13567</v>
      </c>
      <c r="T24" s="5970" t="s">
        <v>6186</v>
      </c>
      <c r="U24" s="5978" t="s">
        <v>13464</v>
      </c>
      <c r="V24" s="5976"/>
      <c r="W24" s="100"/>
    </row>
    <row r="25" spans="1:23" s="295" customFormat="1">
      <c r="A25" s="5970" t="s">
        <v>13457</v>
      </c>
      <c r="B25" s="5970">
        <v>181</v>
      </c>
      <c r="C25" s="5970" t="s">
        <v>13568</v>
      </c>
      <c r="D25" s="5970" t="s">
        <v>28</v>
      </c>
      <c r="E25" s="5970">
        <v>11400</v>
      </c>
      <c r="F25" s="5970" t="s">
        <v>1828</v>
      </c>
      <c r="G25" s="5970">
        <v>212063829</v>
      </c>
      <c r="H25" s="5971">
        <v>44510</v>
      </c>
      <c r="I25" s="5970" t="s">
        <v>13459</v>
      </c>
      <c r="J25" s="5972">
        <v>44518</v>
      </c>
      <c r="K25" s="5970" t="s">
        <v>46</v>
      </c>
      <c r="L25" s="5975">
        <v>44523</v>
      </c>
      <c r="M25" s="5973" t="s">
        <v>13558</v>
      </c>
      <c r="N25" s="5976"/>
      <c r="O25" s="5974" t="s">
        <v>13569</v>
      </c>
      <c r="P25" s="5975">
        <v>44521</v>
      </c>
      <c r="Q25" s="410">
        <v>44522</v>
      </c>
      <c r="R25" s="410">
        <v>44532</v>
      </c>
      <c r="S25" s="5976" t="s">
        <v>13570</v>
      </c>
      <c r="T25" s="5977" t="s">
        <v>6186</v>
      </c>
      <c r="U25" s="5978" t="s">
        <v>13464</v>
      </c>
      <c r="V25" s="5976"/>
      <c r="W25" s="100"/>
    </row>
    <row r="26" spans="1:23" s="295" customFormat="1">
      <c r="A26" s="5970" t="s">
        <v>13457</v>
      </c>
      <c r="B26" s="5980" t="s">
        <v>13571</v>
      </c>
      <c r="C26" s="5970" t="s">
        <v>13572</v>
      </c>
      <c r="D26" s="5970" t="s">
        <v>704</v>
      </c>
      <c r="E26" s="5979" t="s">
        <v>13467</v>
      </c>
      <c r="F26" s="5970" t="s">
        <v>13573</v>
      </c>
      <c r="G26" s="5970" t="s">
        <v>13574</v>
      </c>
      <c r="H26" s="5975">
        <v>44505</v>
      </c>
      <c r="I26" s="5975" t="s">
        <v>13459</v>
      </c>
      <c r="J26" s="5975">
        <v>44512</v>
      </c>
      <c r="K26" s="5974" t="s">
        <v>13495</v>
      </c>
      <c r="L26" s="5975">
        <v>44529</v>
      </c>
      <c r="M26" s="5973" t="s">
        <v>13575</v>
      </c>
      <c r="N26" s="5982" t="s">
        <v>13576</v>
      </c>
      <c r="O26" s="5990">
        <v>869560</v>
      </c>
      <c r="P26" s="5975">
        <v>44515</v>
      </c>
      <c r="Q26" s="5975">
        <v>44519</v>
      </c>
      <c r="R26" s="5975">
        <v>44522</v>
      </c>
      <c r="S26" s="5976" t="s">
        <v>13577</v>
      </c>
      <c r="T26" s="5979" t="s">
        <v>6186</v>
      </c>
      <c r="U26" s="5985" t="s">
        <v>13578</v>
      </c>
      <c r="V26" s="5982" t="s">
        <v>13579</v>
      </c>
      <c r="W26" s="100" t="s">
        <v>13580</v>
      </c>
    </row>
    <row r="27" spans="1:23" s="295" customFormat="1">
      <c r="A27" s="5970" t="s">
        <v>13457</v>
      </c>
      <c r="B27" s="5980" t="s">
        <v>13581</v>
      </c>
      <c r="C27" s="5970" t="s">
        <v>13582</v>
      </c>
      <c r="D27" s="5970" t="s">
        <v>704</v>
      </c>
      <c r="E27" s="5979" t="s">
        <v>13467</v>
      </c>
      <c r="F27" s="5970" t="s">
        <v>13573</v>
      </c>
      <c r="G27" s="5970" t="s">
        <v>13574</v>
      </c>
      <c r="H27" s="5975">
        <v>44505</v>
      </c>
      <c r="I27" s="5975" t="s">
        <v>13459</v>
      </c>
      <c r="J27" s="5975">
        <v>44512</v>
      </c>
      <c r="K27" s="5974" t="s">
        <v>13495</v>
      </c>
      <c r="L27" s="5972">
        <v>44529</v>
      </c>
      <c r="M27" s="5973" t="s">
        <v>13575</v>
      </c>
      <c r="N27" s="5982" t="s">
        <v>13576</v>
      </c>
      <c r="O27" s="5990">
        <v>307706</v>
      </c>
      <c r="P27" s="5975">
        <v>44516</v>
      </c>
      <c r="Q27" s="5975">
        <v>44519</v>
      </c>
      <c r="R27" s="5975">
        <v>44530</v>
      </c>
      <c r="S27" s="5976" t="s">
        <v>13583</v>
      </c>
      <c r="T27" s="5979" t="s">
        <v>6186</v>
      </c>
      <c r="U27" s="5985" t="s">
        <v>13578</v>
      </c>
      <c r="V27" s="5982" t="s">
        <v>13579</v>
      </c>
      <c r="W27" s="100" t="s">
        <v>13580</v>
      </c>
    </row>
    <row r="28" spans="1:23" s="295" customFormat="1">
      <c r="A28" s="5970" t="s">
        <v>13457</v>
      </c>
      <c r="B28" s="5980" t="s">
        <v>13584</v>
      </c>
      <c r="C28" s="5970" t="s">
        <v>13585</v>
      </c>
      <c r="D28" s="5970" t="s">
        <v>704</v>
      </c>
      <c r="E28" s="5979" t="s">
        <v>13467</v>
      </c>
      <c r="F28" s="5970" t="s">
        <v>13573</v>
      </c>
      <c r="G28" s="5970" t="s">
        <v>13574</v>
      </c>
      <c r="H28" s="5975">
        <v>44505</v>
      </c>
      <c r="I28" s="5975" t="s">
        <v>13459</v>
      </c>
      <c r="J28" s="5975">
        <v>44512</v>
      </c>
      <c r="K28" s="5974" t="s">
        <v>13495</v>
      </c>
      <c r="L28" s="5972">
        <v>44530</v>
      </c>
      <c r="M28" s="5973" t="s">
        <v>13575</v>
      </c>
      <c r="N28" s="5982" t="s">
        <v>13576</v>
      </c>
      <c r="O28" s="5990">
        <v>502921</v>
      </c>
      <c r="P28" s="5975">
        <v>44516</v>
      </c>
      <c r="Q28" s="5975">
        <v>44519</v>
      </c>
      <c r="R28" s="5975">
        <v>44524</v>
      </c>
      <c r="S28" s="5976" t="s">
        <v>13586</v>
      </c>
      <c r="T28" s="5979" t="s">
        <v>6186</v>
      </c>
      <c r="U28" s="5985" t="s">
        <v>13464</v>
      </c>
      <c r="V28" s="5982" t="s">
        <v>13579</v>
      </c>
      <c r="W28" s="100" t="s">
        <v>13580</v>
      </c>
    </row>
    <row r="29" spans="1:23" s="295" customFormat="1">
      <c r="A29" s="5970" t="s">
        <v>13457</v>
      </c>
      <c r="B29" s="5980" t="s">
        <v>13587</v>
      </c>
      <c r="C29" s="5970" t="s">
        <v>13588</v>
      </c>
      <c r="D29" s="5970" t="s">
        <v>704</v>
      </c>
      <c r="E29" s="5979" t="s">
        <v>13467</v>
      </c>
      <c r="F29" s="5970" t="s">
        <v>13573</v>
      </c>
      <c r="G29" s="5970" t="s">
        <v>13574</v>
      </c>
      <c r="H29" s="5975">
        <v>44505</v>
      </c>
      <c r="I29" s="5975" t="s">
        <v>13459</v>
      </c>
      <c r="J29" s="5975">
        <v>44512</v>
      </c>
      <c r="K29" s="5974" t="s">
        <v>13495</v>
      </c>
      <c r="L29" s="5972">
        <v>44530</v>
      </c>
      <c r="M29" s="5973" t="s">
        <v>13575</v>
      </c>
      <c r="N29" s="5982" t="s">
        <v>13576</v>
      </c>
      <c r="O29" s="5990">
        <v>546523</v>
      </c>
      <c r="P29" s="5975">
        <v>44516</v>
      </c>
      <c r="Q29" s="5975">
        <v>44521</v>
      </c>
      <c r="R29" s="5975">
        <v>44524</v>
      </c>
      <c r="S29" s="5976" t="s">
        <v>13589</v>
      </c>
      <c r="T29" s="5979" t="s">
        <v>6186</v>
      </c>
      <c r="U29" s="5985" t="s">
        <v>13464</v>
      </c>
      <c r="V29" s="5982" t="s">
        <v>13579</v>
      </c>
      <c r="W29" s="100" t="s">
        <v>13580</v>
      </c>
    </row>
    <row r="30" spans="1:23" s="295" customFormat="1">
      <c r="A30" s="5970" t="s">
        <v>13457</v>
      </c>
      <c r="B30" s="5980" t="s">
        <v>13590</v>
      </c>
      <c r="C30" s="5970" t="s">
        <v>13591</v>
      </c>
      <c r="D30" s="5970" t="s">
        <v>704</v>
      </c>
      <c r="E30" s="5979" t="s">
        <v>13467</v>
      </c>
      <c r="F30" s="5970" t="s">
        <v>13573</v>
      </c>
      <c r="G30" s="5970" t="s">
        <v>13592</v>
      </c>
      <c r="H30" s="5975">
        <v>44505</v>
      </c>
      <c r="I30" s="5975" t="s">
        <v>13459</v>
      </c>
      <c r="J30" s="5975">
        <v>44512</v>
      </c>
      <c r="K30" s="5974" t="s">
        <v>13495</v>
      </c>
      <c r="L30" s="5972">
        <v>44531</v>
      </c>
      <c r="M30" s="3920" t="s">
        <v>13575</v>
      </c>
      <c r="N30" s="5982" t="s">
        <v>13576</v>
      </c>
      <c r="O30" s="5990">
        <v>531603</v>
      </c>
      <c r="P30" s="5975">
        <v>44515</v>
      </c>
      <c r="Q30" s="5975">
        <v>44519</v>
      </c>
      <c r="R30" s="5975">
        <v>44532</v>
      </c>
      <c r="S30" s="5976" t="s">
        <v>13593</v>
      </c>
      <c r="T30" s="5979" t="s">
        <v>6186</v>
      </c>
      <c r="U30" s="5985" t="s">
        <v>13464</v>
      </c>
      <c r="V30" s="5982" t="s">
        <v>13579</v>
      </c>
      <c r="W30" s="100" t="s">
        <v>13580</v>
      </c>
    </row>
    <row r="31" spans="1:23" s="295" customFormat="1">
      <c r="A31" s="5970" t="s">
        <v>13457</v>
      </c>
      <c r="B31" s="5980" t="s">
        <v>13594</v>
      </c>
      <c r="C31" s="5970" t="s">
        <v>13595</v>
      </c>
      <c r="D31" s="5970" t="s">
        <v>704</v>
      </c>
      <c r="E31" s="5979" t="s">
        <v>13467</v>
      </c>
      <c r="F31" s="5970" t="s">
        <v>13573</v>
      </c>
      <c r="G31" s="5970" t="s">
        <v>13592</v>
      </c>
      <c r="H31" s="5975">
        <v>44505</v>
      </c>
      <c r="I31" s="5975" t="s">
        <v>13459</v>
      </c>
      <c r="J31" s="5975">
        <v>44512</v>
      </c>
      <c r="K31" s="5974" t="s">
        <v>13495</v>
      </c>
      <c r="L31" s="5991">
        <v>44531</v>
      </c>
      <c r="M31" s="78"/>
      <c r="N31" s="4684" t="s">
        <v>13576</v>
      </c>
      <c r="O31" s="5990">
        <v>634223</v>
      </c>
      <c r="P31" s="5975">
        <v>44515</v>
      </c>
      <c r="Q31" s="5975">
        <v>44519</v>
      </c>
      <c r="R31" s="5975">
        <v>44531</v>
      </c>
      <c r="S31" s="5976" t="s">
        <v>13596</v>
      </c>
      <c r="T31" s="5979" t="s">
        <v>6186</v>
      </c>
      <c r="U31" s="5985" t="s">
        <v>13597</v>
      </c>
      <c r="V31" s="5982" t="s">
        <v>13579</v>
      </c>
      <c r="W31" s="100" t="s">
        <v>13580</v>
      </c>
    </row>
    <row r="32" spans="1:23" s="295" customFormat="1">
      <c r="A32" s="5970" t="s">
        <v>13457</v>
      </c>
      <c r="B32" s="5992" t="s">
        <v>13598</v>
      </c>
      <c r="C32" s="5993" t="s">
        <v>13599</v>
      </c>
      <c r="D32" s="5993" t="s">
        <v>704</v>
      </c>
      <c r="E32" s="5994" t="s">
        <v>13467</v>
      </c>
      <c r="F32" s="5993" t="s">
        <v>13573</v>
      </c>
      <c r="G32" s="5993" t="s">
        <v>13592</v>
      </c>
      <c r="H32" s="5995">
        <v>44505</v>
      </c>
      <c r="I32" s="5995" t="s">
        <v>13459</v>
      </c>
      <c r="J32" s="5975">
        <v>44512</v>
      </c>
      <c r="K32" s="5996" t="s">
        <v>13495</v>
      </c>
      <c r="L32" s="5991">
        <v>44532</v>
      </c>
      <c r="M32" s="282" t="s">
        <v>13575</v>
      </c>
      <c r="N32" s="4685" t="s">
        <v>13576</v>
      </c>
      <c r="O32" s="5990">
        <v>641419</v>
      </c>
      <c r="P32" s="5975">
        <v>44515</v>
      </c>
      <c r="Q32" s="5975">
        <v>44520</v>
      </c>
      <c r="R32" s="5997">
        <v>44524</v>
      </c>
      <c r="S32" s="5989" t="s">
        <v>13586</v>
      </c>
      <c r="T32" s="5994" t="s">
        <v>6186</v>
      </c>
      <c r="U32" s="5985" t="s">
        <v>13464</v>
      </c>
      <c r="V32" s="5982" t="s">
        <v>13579</v>
      </c>
      <c r="W32" s="318"/>
    </row>
    <row r="33" spans="1:23" s="295" customFormat="1">
      <c r="A33" s="5970" t="s">
        <v>13457</v>
      </c>
      <c r="B33" s="5980" t="s">
        <v>13600</v>
      </c>
      <c r="C33" s="5970" t="s">
        <v>13601</v>
      </c>
      <c r="D33" s="5970" t="s">
        <v>704</v>
      </c>
      <c r="E33" s="5979" t="s">
        <v>13467</v>
      </c>
      <c r="F33" s="5970" t="s">
        <v>13573</v>
      </c>
      <c r="G33" s="5970" t="s">
        <v>13602</v>
      </c>
      <c r="H33" s="5975">
        <v>44505</v>
      </c>
      <c r="I33" s="5975" t="s">
        <v>13459</v>
      </c>
      <c r="J33" s="5975">
        <v>44512</v>
      </c>
      <c r="K33" s="5974" t="s">
        <v>13495</v>
      </c>
      <c r="L33" s="5991">
        <v>44532</v>
      </c>
      <c r="M33" s="296" t="s">
        <v>13575</v>
      </c>
      <c r="N33" s="4684" t="s">
        <v>13576</v>
      </c>
      <c r="O33" s="5990" t="s">
        <v>13603</v>
      </c>
      <c r="P33" s="5975">
        <v>44515</v>
      </c>
      <c r="Q33" s="5975">
        <v>44520</v>
      </c>
      <c r="R33" s="5975">
        <v>44533</v>
      </c>
      <c r="S33" s="5976" t="s">
        <v>13604</v>
      </c>
      <c r="T33" s="5979" t="s">
        <v>6186</v>
      </c>
      <c r="U33" s="5985" t="s">
        <v>13464</v>
      </c>
      <c r="V33" s="5982" t="s">
        <v>13579</v>
      </c>
      <c r="W33" s="100" t="s">
        <v>13580</v>
      </c>
    </row>
    <row r="34" spans="1:23" s="295" customFormat="1">
      <c r="A34" s="5970" t="s">
        <v>13457</v>
      </c>
      <c r="B34" s="5979" t="s">
        <v>13605</v>
      </c>
      <c r="C34" s="5979" t="s">
        <v>13606</v>
      </c>
      <c r="D34" s="5979" t="s">
        <v>704</v>
      </c>
      <c r="E34" s="5979" t="s">
        <v>13467</v>
      </c>
      <c r="F34" s="5980" t="s">
        <v>1374</v>
      </c>
      <c r="G34" s="5980" t="s">
        <v>13535</v>
      </c>
      <c r="H34" s="5981">
        <v>44476</v>
      </c>
      <c r="I34" s="5981" t="s">
        <v>13459</v>
      </c>
      <c r="J34" s="5981">
        <v>44484</v>
      </c>
      <c r="K34" s="5979" t="s">
        <v>57</v>
      </c>
      <c r="L34" s="5988" t="s">
        <v>13607</v>
      </c>
      <c r="M34" s="296" t="s">
        <v>13537</v>
      </c>
      <c r="N34" s="4684"/>
      <c r="O34" s="5979">
        <v>3910864</v>
      </c>
      <c r="P34" s="5981">
        <v>44486</v>
      </c>
      <c r="Q34" s="5981">
        <v>44485</v>
      </c>
      <c r="R34" s="5981">
        <v>44487</v>
      </c>
      <c r="S34" s="477" t="s">
        <v>13608</v>
      </c>
      <c r="T34" s="5979" t="s">
        <v>6186</v>
      </c>
      <c r="U34" s="294" t="s">
        <v>13464</v>
      </c>
      <c r="V34" s="5982" t="s">
        <v>13539</v>
      </c>
      <c r="W34" s="100"/>
    </row>
    <row r="35" spans="1:23" s="295" customFormat="1">
      <c r="A35" s="5970" t="s">
        <v>13457</v>
      </c>
      <c r="B35" s="5980" t="s">
        <v>13609</v>
      </c>
      <c r="C35" s="5970" t="s">
        <v>13610</v>
      </c>
      <c r="D35" s="5970" t="s">
        <v>704</v>
      </c>
      <c r="E35" s="5979" t="s">
        <v>13467</v>
      </c>
      <c r="F35" s="5970" t="s">
        <v>13573</v>
      </c>
      <c r="G35" s="5970" t="s">
        <v>13602</v>
      </c>
      <c r="H35" s="5975">
        <v>44505</v>
      </c>
      <c r="I35" s="5975" t="s">
        <v>13459</v>
      </c>
      <c r="J35" s="5975">
        <v>44512</v>
      </c>
      <c r="K35" s="5974" t="s">
        <v>13495</v>
      </c>
      <c r="L35" s="5991" t="s">
        <v>13611</v>
      </c>
      <c r="M35" s="296" t="s">
        <v>13575</v>
      </c>
      <c r="N35" s="4684" t="s">
        <v>13576</v>
      </c>
      <c r="O35" s="5990">
        <v>121296</v>
      </c>
      <c r="P35" s="5975">
        <v>44515</v>
      </c>
      <c r="Q35" s="5975">
        <v>44520</v>
      </c>
      <c r="R35" s="5975">
        <v>44536</v>
      </c>
      <c r="S35" s="5976" t="s">
        <v>13612</v>
      </c>
      <c r="T35" s="5979" t="s">
        <v>6186</v>
      </c>
      <c r="U35" s="5985" t="s">
        <v>13464</v>
      </c>
      <c r="V35" s="5982" t="s">
        <v>13613</v>
      </c>
      <c r="W35" s="100" t="s">
        <v>13580</v>
      </c>
    </row>
    <row r="36" spans="1:23" s="295" customFormat="1">
      <c r="A36" s="5970" t="s">
        <v>13457</v>
      </c>
      <c r="B36" s="5980" t="s">
        <v>13614</v>
      </c>
      <c r="C36" s="5970" t="s">
        <v>13615</v>
      </c>
      <c r="D36" s="5970" t="s">
        <v>704</v>
      </c>
      <c r="E36" s="5979" t="s">
        <v>13467</v>
      </c>
      <c r="F36" s="5970" t="s">
        <v>13573</v>
      </c>
      <c r="G36" s="5970" t="s">
        <v>13602</v>
      </c>
      <c r="H36" s="5975">
        <v>44505</v>
      </c>
      <c r="I36" s="5975" t="s">
        <v>13459</v>
      </c>
      <c r="J36" s="5975">
        <v>44512</v>
      </c>
      <c r="K36" s="5974" t="s">
        <v>13495</v>
      </c>
      <c r="L36" s="5991" t="s">
        <v>13616</v>
      </c>
      <c r="M36" s="296" t="s">
        <v>13575</v>
      </c>
      <c r="N36" s="4684" t="s">
        <v>13576</v>
      </c>
      <c r="O36" s="5990">
        <v>240838</v>
      </c>
      <c r="P36" s="5975">
        <v>44515</v>
      </c>
      <c r="Q36" s="5975">
        <v>44520</v>
      </c>
      <c r="R36" s="5975">
        <v>44530</v>
      </c>
      <c r="S36" s="5976" t="s">
        <v>13617</v>
      </c>
      <c r="T36" s="5979" t="s">
        <v>6186</v>
      </c>
      <c r="U36" s="5985" t="s">
        <v>13618</v>
      </c>
      <c r="V36" s="5982" t="s">
        <v>13613</v>
      </c>
      <c r="W36" s="100" t="s">
        <v>13619</v>
      </c>
    </row>
    <row r="37" spans="1:23" s="295" customFormat="1">
      <c r="A37" s="5970" t="s">
        <v>13457</v>
      </c>
      <c r="B37" s="5979" t="s">
        <v>13620</v>
      </c>
      <c r="C37" s="5979" t="s">
        <v>13621</v>
      </c>
      <c r="D37" s="5979" t="s">
        <v>704</v>
      </c>
      <c r="E37" s="5979" t="s">
        <v>13467</v>
      </c>
      <c r="F37" s="5980" t="s">
        <v>1374</v>
      </c>
      <c r="G37" s="5980" t="s">
        <v>13535</v>
      </c>
      <c r="H37" s="5981">
        <v>44476</v>
      </c>
      <c r="I37" s="5981" t="s">
        <v>13459</v>
      </c>
      <c r="J37" s="5981">
        <v>44484</v>
      </c>
      <c r="K37" s="5979" t="s">
        <v>57</v>
      </c>
      <c r="L37" s="5986" t="s">
        <v>13622</v>
      </c>
      <c r="M37" s="296" t="s">
        <v>13537</v>
      </c>
      <c r="N37" s="4684"/>
      <c r="O37" s="5979">
        <v>3910871</v>
      </c>
      <c r="P37" s="5981">
        <v>44486</v>
      </c>
      <c r="Q37" s="5981">
        <v>44485</v>
      </c>
      <c r="R37" s="5981">
        <v>44488</v>
      </c>
      <c r="S37" s="5982" t="s">
        <v>13608</v>
      </c>
      <c r="T37" s="5979" t="s">
        <v>6186</v>
      </c>
      <c r="U37" s="5985" t="s">
        <v>13464</v>
      </c>
      <c r="V37" s="5982" t="s">
        <v>13543</v>
      </c>
      <c r="W37" s="100"/>
    </row>
    <row r="38" spans="1:23" s="295" customFormat="1">
      <c r="A38" s="5970" t="s">
        <v>13457</v>
      </c>
      <c r="B38" s="5979" t="s">
        <v>13623</v>
      </c>
      <c r="C38" s="5979" t="s">
        <v>13624</v>
      </c>
      <c r="D38" s="5979" t="s">
        <v>704</v>
      </c>
      <c r="E38" s="5979" t="s">
        <v>13467</v>
      </c>
      <c r="F38" s="5980" t="s">
        <v>1374</v>
      </c>
      <c r="G38" s="5980" t="s">
        <v>13535</v>
      </c>
      <c r="H38" s="5981">
        <v>44476</v>
      </c>
      <c r="I38" s="5981" t="s">
        <v>13459</v>
      </c>
      <c r="J38" s="5981">
        <v>44484</v>
      </c>
      <c r="K38" s="5979" t="s">
        <v>57</v>
      </c>
      <c r="L38" s="5986" t="s">
        <v>13625</v>
      </c>
      <c r="M38" s="296" t="s">
        <v>13537</v>
      </c>
      <c r="N38" s="4684"/>
      <c r="O38" s="5979">
        <v>3910867</v>
      </c>
      <c r="P38" s="5981">
        <v>44486</v>
      </c>
      <c r="Q38" s="5981">
        <v>44485</v>
      </c>
      <c r="R38" s="5981">
        <v>44488</v>
      </c>
      <c r="S38" s="5982" t="s">
        <v>13608</v>
      </c>
      <c r="T38" s="5979" t="s">
        <v>6186</v>
      </c>
      <c r="U38" s="5985" t="s">
        <v>13464</v>
      </c>
      <c r="V38" s="5982" t="s">
        <v>13626</v>
      </c>
      <c r="W38" s="100"/>
    </row>
    <row r="39" spans="1:23" s="295" customFormat="1">
      <c r="A39" s="5970" t="s">
        <v>13457</v>
      </c>
      <c r="B39" s="5979" t="s">
        <v>13627</v>
      </c>
      <c r="C39" s="5979" t="s">
        <v>13628</v>
      </c>
      <c r="D39" s="5979" t="s">
        <v>704</v>
      </c>
      <c r="E39" s="5979" t="s">
        <v>13467</v>
      </c>
      <c r="F39" s="5980" t="s">
        <v>1374</v>
      </c>
      <c r="G39" s="5980" t="s">
        <v>13535</v>
      </c>
      <c r="H39" s="5981">
        <v>44476</v>
      </c>
      <c r="I39" s="5981" t="s">
        <v>13459</v>
      </c>
      <c r="J39" s="5981">
        <v>44484</v>
      </c>
      <c r="K39" s="5979" t="s">
        <v>57</v>
      </c>
      <c r="L39" s="5988" t="s">
        <v>13629</v>
      </c>
      <c r="M39" s="296" t="s">
        <v>13537</v>
      </c>
      <c r="N39" s="4684"/>
      <c r="O39" s="5979">
        <v>3910859</v>
      </c>
      <c r="P39" s="5981">
        <v>44486</v>
      </c>
      <c r="Q39" s="5981">
        <v>44485</v>
      </c>
      <c r="R39" s="5981">
        <v>44487</v>
      </c>
      <c r="S39" s="5982" t="s">
        <v>13608</v>
      </c>
      <c r="T39" s="5979" t="s">
        <v>6186</v>
      </c>
      <c r="U39" s="5985" t="s">
        <v>13464</v>
      </c>
      <c r="V39" s="5982" t="s">
        <v>13551</v>
      </c>
      <c r="W39" s="100"/>
    </row>
    <row r="40" spans="1:23" s="295" customFormat="1">
      <c r="A40" s="5970" t="s">
        <v>13457</v>
      </c>
      <c r="B40" s="5980" t="s">
        <v>13630</v>
      </c>
      <c r="C40" s="5980" t="s">
        <v>13631</v>
      </c>
      <c r="D40" s="5979" t="s">
        <v>704</v>
      </c>
      <c r="E40" s="5979" t="s">
        <v>13467</v>
      </c>
      <c r="F40" s="5980" t="s">
        <v>1374</v>
      </c>
      <c r="G40" s="5980" t="s">
        <v>13632</v>
      </c>
      <c r="H40" s="5981">
        <v>44464</v>
      </c>
      <c r="I40" s="5981" t="s">
        <v>13459</v>
      </c>
      <c r="J40" s="5981">
        <v>44484</v>
      </c>
      <c r="K40" s="5979" t="s">
        <v>57</v>
      </c>
      <c r="L40" s="5998" t="s">
        <v>13633</v>
      </c>
      <c r="M40" s="296" t="s">
        <v>13479</v>
      </c>
      <c r="N40" s="4686" t="s">
        <v>13480</v>
      </c>
      <c r="O40" s="5974">
        <v>3064967</v>
      </c>
      <c r="P40" s="5975">
        <v>44486</v>
      </c>
      <c r="Q40" s="5975">
        <v>44505</v>
      </c>
      <c r="R40" s="5975">
        <v>44508</v>
      </c>
      <c r="S40" s="5976" t="s">
        <v>13634</v>
      </c>
      <c r="T40" s="5974" t="s">
        <v>6186</v>
      </c>
      <c r="U40" s="5985" t="s">
        <v>13464</v>
      </c>
      <c r="V40" s="5976" t="s">
        <v>13613</v>
      </c>
      <c r="W40" s="100"/>
    </row>
    <row r="41" spans="1:23" s="295" customFormat="1">
      <c r="A41" s="5970" t="s">
        <v>13457</v>
      </c>
      <c r="B41" s="5980" t="s">
        <v>13635</v>
      </c>
      <c r="C41" s="5980" t="s">
        <v>13636</v>
      </c>
      <c r="D41" s="5980" t="s">
        <v>704</v>
      </c>
      <c r="E41" s="5979" t="s">
        <v>13467</v>
      </c>
      <c r="F41" s="5980" t="s">
        <v>1374</v>
      </c>
      <c r="G41" s="5980" t="s">
        <v>13637</v>
      </c>
      <c r="H41" s="5981">
        <v>44484</v>
      </c>
      <c r="I41" s="5981" t="s">
        <v>13459</v>
      </c>
      <c r="J41" s="5981">
        <v>44495</v>
      </c>
      <c r="K41" s="5979" t="s">
        <v>57</v>
      </c>
      <c r="L41" s="5998">
        <v>44498</v>
      </c>
      <c r="M41" s="296" t="s">
        <v>13537</v>
      </c>
      <c r="N41" s="4686"/>
      <c r="O41" s="5974">
        <v>4803571</v>
      </c>
      <c r="P41" s="5975">
        <v>44497</v>
      </c>
      <c r="Q41" s="5975">
        <v>44497</v>
      </c>
      <c r="R41" s="5975">
        <v>44498</v>
      </c>
      <c r="S41" s="5976" t="s">
        <v>13638</v>
      </c>
      <c r="T41" s="5974" t="s">
        <v>6186</v>
      </c>
      <c r="U41" s="5978" t="s">
        <v>13464</v>
      </c>
      <c r="V41" s="5976" t="s">
        <v>13613</v>
      </c>
      <c r="W41" s="100"/>
    </row>
    <row r="42" spans="1:23" s="295" customFormat="1">
      <c r="A42" s="5970" t="s">
        <v>13457</v>
      </c>
      <c r="B42" s="5980" t="s">
        <v>13639</v>
      </c>
      <c r="C42" s="5980" t="s">
        <v>13640</v>
      </c>
      <c r="D42" s="5980" t="s">
        <v>704</v>
      </c>
      <c r="E42" s="5979" t="s">
        <v>13467</v>
      </c>
      <c r="F42" s="5980" t="s">
        <v>1374</v>
      </c>
      <c r="G42" s="5980" t="s">
        <v>13641</v>
      </c>
      <c r="H42" s="5981">
        <v>44484</v>
      </c>
      <c r="I42" s="5981" t="s">
        <v>13459</v>
      </c>
      <c r="J42" s="5981">
        <v>44495</v>
      </c>
      <c r="K42" s="5979" t="s">
        <v>57</v>
      </c>
      <c r="L42" s="5998">
        <v>44498</v>
      </c>
      <c r="M42" s="296" t="s">
        <v>13537</v>
      </c>
      <c r="N42" s="4686"/>
      <c r="O42" s="5974">
        <v>4803517</v>
      </c>
      <c r="P42" s="5975">
        <v>44497</v>
      </c>
      <c r="Q42" s="5975">
        <v>44497</v>
      </c>
      <c r="R42" s="5975">
        <v>44499</v>
      </c>
      <c r="S42" s="5976" t="s">
        <v>13638</v>
      </c>
      <c r="T42" s="5974" t="s">
        <v>6186</v>
      </c>
      <c r="U42" s="5978" t="s">
        <v>13464</v>
      </c>
      <c r="V42" s="5976" t="s">
        <v>13642</v>
      </c>
      <c r="W42" s="100"/>
    </row>
    <row r="43" spans="1:23" s="295" customFormat="1">
      <c r="A43" s="5970" t="s">
        <v>13457</v>
      </c>
      <c r="B43" s="5980" t="s">
        <v>13643</v>
      </c>
      <c r="C43" s="5980" t="s">
        <v>13644</v>
      </c>
      <c r="D43" s="5980" t="s">
        <v>704</v>
      </c>
      <c r="E43" s="5979" t="s">
        <v>13467</v>
      </c>
      <c r="F43" s="5980" t="s">
        <v>1374</v>
      </c>
      <c r="G43" s="5980" t="s">
        <v>13641</v>
      </c>
      <c r="H43" s="5981">
        <v>44484</v>
      </c>
      <c r="I43" s="5981" t="s">
        <v>13459</v>
      </c>
      <c r="J43" s="5981">
        <v>44495</v>
      </c>
      <c r="K43" s="5979" t="s">
        <v>57</v>
      </c>
      <c r="L43" s="5998">
        <v>44498</v>
      </c>
      <c r="M43" s="296" t="s">
        <v>13537</v>
      </c>
      <c r="N43" s="4686"/>
      <c r="O43" s="5974">
        <v>4803560</v>
      </c>
      <c r="P43" s="5975">
        <v>44497</v>
      </c>
      <c r="Q43" s="5975">
        <v>44497</v>
      </c>
      <c r="R43" s="5975">
        <v>44498</v>
      </c>
      <c r="S43" s="5976" t="s">
        <v>13638</v>
      </c>
      <c r="T43" s="5974" t="s">
        <v>6186</v>
      </c>
      <c r="U43" s="5978" t="s">
        <v>13464</v>
      </c>
      <c r="V43" s="5976" t="s">
        <v>13613</v>
      </c>
      <c r="W43" s="100"/>
    </row>
    <row r="44" spans="1:23" s="295" customFormat="1">
      <c r="A44" s="5970" t="s">
        <v>13457</v>
      </c>
      <c r="B44" s="5980" t="s">
        <v>13645</v>
      </c>
      <c r="C44" s="5980" t="s">
        <v>13646</v>
      </c>
      <c r="D44" s="5980" t="s">
        <v>704</v>
      </c>
      <c r="E44" s="5979" t="s">
        <v>13467</v>
      </c>
      <c r="F44" s="5980" t="s">
        <v>1374</v>
      </c>
      <c r="G44" s="5980" t="s">
        <v>13641</v>
      </c>
      <c r="H44" s="5981">
        <v>44484</v>
      </c>
      <c r="I44" s="5981" t="s">
        <v>13459</v>
      </c>
      <c r="J44" s="5981">
        <v>44495</v>
      </c>
      <c r="K44" s="5979" t="s">
        <v>57</v>
      </c>
      <c r="L44" s="5998">
        <v>44498</v>
      </c>
      <c r="M44" s="296" t="s">
        <v>13537</v>
      </c>
      <c r="N44" s="4686"/>
      <c r="O44" s="5974">
        <v>4803533</v>
      </c>
      <c r="P44" s="5975">
        <v>44497</v>
      </c>
      <c r="Q44" s="5975">
        <v>44497</v>
      </c>
      <c r="R44" s="5975">
        <v>44498</v>
      </c>
      <c r="S44" s="5976" t="s">
        <v>13638</v>
      </c>
      <c r="T44" s="5974" t="s">
        <v>6186</v>
      </c>
      <c r="U44" s="5978" t="s">
        <v>13464</v>
      </c>
      <c r="V44" s="5976" t="s">
        <v>13613</v>
      </c>
      <c r="W44" s="100"/>
    </row>
    <row r="45" spans="1:23" s="295" customFormat="1">
      <c r="A45" s="5970" t="s">
        <v>13457</v>
      </c>
      <c r="B45" s="5980" t="s">
        <v>13647</v>
      </c>
      <c r="C45" s="5980" t="s">
        <v>13648</v>
      </c>
      <c r="D45" s="5980" t="s">
        <v>704</v>
      </c>
      <c r="E45" s="5979" t="s">
        <v>13467</v>
      </c>
      <c r="F45" s="5980" t="s">
        <v>1374</v>
      </c>
      <c r="G45" s="5980" t="s">
        <v>13641</v>
      </c>
      <c r="H45" s="5981">
        <v>44484</v>
      </c>
      <c r="I45" s="5981" t="s">
        <v>13459</v>
      </c>
      <c r="J45" s="5981">
        <v>44495</v>
      </c>
      <c r="K45" s="5979" t="s">
        <v>57</v>
      </c>
      <c r="L45" s="5998">
        <v>44499</v>
      </c>
      <c r="M45" s="296" t="s">
        <v>13537</v>
      </c>
      <c r="N45" s="4686"/>
      <c r="O45" s="5974">
        <v>4804072</v>
      </c>
      <c r="P45" s="5975">
        <v>44497</v>
      </c>
      <c r="Q45" s="5975">
        <v>44497</v>
      </c>
      <c r="R45" s="5975">
        <v>44499</v>
      </c>
      <c r="S45" s="5976" t="s">
        <v>13638</v>
      </c>
      <c r="T45" s="5974" t="s">
        <v>6186</v>
      </c>
      <c r="U45" s="5978" t="s">
        <v>13464</v>
      </c>
      <c r="V45" s="5976" t="s">
        <v>13613</v>
      </c>
      <c r="W45" s="100"/>
    </row>
    <row r="46" spans="1:23" s="295" customFormat="1">
      <c r="A46" s="5970" t="s">
        <v>13457</v>
      </c>
      <c r="B46" s="5980" t="s">
        <v>13649</v>
      </c>
      <c r="C46" s="5980" t="s">
        <v>13650</v>
      </c>
      <c r="D46" s="5974" t="s">
        <v>704</v>
      </c>
      <c r="E46" s="5979" t="s">
        <v>13467</v>
      </c>
      <c r="F46" s="5970" t="s">
        <v>1374</v>
      </c>
      <c r="G46" s="5970" t="s">
        <v>13651</v>
      </c>
      <c r="H46" s="5972">
        <v>44491</v>
      </c>
      <c r="I46" s="5970" t="s">
        <v>13459</v>
      </c>
      <c r="J46" s="5975">
        <v>44501</v>
      </c>
      <c r="K46" s="5974" t="s">
        <v>57</v>
      </c>
      <c r="L46" s="5991" t="s">
        <v>13652</v>
      </c>
      <c r="M46" s="296" t="s">
        <v>13479</v>
      </c>
      <c r="N46" s="4686"/>
      <c r="O46" s="5974">
        <v>5052230</v>
      </c>
      <c r="P46" s="5975">
        <v>44503</v>
      </c>
      <c r="Q46" s="5975">
        <v>44504</v>
      </c>
      <c r="R46" s="5972">
        <v>44506</v>
      </c>
      <c r="S46" s="5976" t="s">
        <v>13653</v>
      </c>
      <c r="T46" s="5979" t="s">
        <v>6186</v>
      </c>
      <c r="U46" s="5976" t="s">
        <v>13464</v>
      </c>
      <c r="V46" s="5976" t="s">
        <v>13613</v>
      </c>
      <c r="W46" s="100"/>
    </row>
    <row r="47" spans="1:23" s="295" customFormat="1">
      <c r="A47" s="5970" t="s">
        <v>13457</v>
      </c>
      <c r="B47" s="5980" t="s">
        <v>13654</v>
      </c>
      <c r="C47" s="5970" t="s">
        <v>13655</v>
      </c>
      <c r="D47" s="5970" t="s">
        <v>704</v>
      </c>
      <c r="E47" s="5979" t="s">
        <v>13467</v>
      </c>
      <c r="F47" s="5974" t="s">
        <v>167</v>
      </c>
      <c r="G47" s="5970" t="s">
        <v>13656</v>
      </c>
      <c r="H47" s="5975">
        <v>44497</v>
      </c>
      <c r="I47" s="5975" t="s">
        <v>13459</v>
      </c>
      <c r="J47" s="5975">
        <v>44504</v>
      </c>
      <c r="K47" s="5974" t="s">
        <v>361</v>
      </c>
      <c r="L47" s="5991" t="s">
        <v>13657</v>
      </c>
      <c r="M47" s="296" t="s">
        <v>13479</v>
      </c>
      <c r="N47" s="4686"/>
      <c r="O47" s="5974" t="s">
        <v>13658</v>
      </c>
      <c r="P47" s="5975">
        <v>44506</v>
      </c>
      <c r="Q47" s="5972" t="s">
        <v>13659</v>
      </c>
      <c r="R47" s="5975">
        <v>44507</v>
      </c>
      <c r="S47" s="5976" t="s">
        <v>13660</v>
      </c>
      <c r="T47" s="5974" t="s">
        <v>6186</v>
      </c>
      <c r="U47" s="5976" t="s">
        <v>13464</v>
      </c>
      <c r="V47" s="5976" t="s">
        <v>13613</v>
      </c>
      <c r="W47" s="100"/>
    </row>
    <row r="48" spans="1:23" s="295" customFormat="1">
      <c r="A48" s="5970" t="s">
        <v>13457</v>
      </c>
      <c r="B48" s="5980" t="s">
        <v>13661</v>
      </c>
      <c r="C48" s="5970" t="s">
        <v>13662</v>
      </c>
      <c r="D48" s="5970" t="s">
        <v>704</v>
      </c>
      <c r="E48" s="5979" t="s">
        <v>13467</v>
      </c>
      <c r="F48" s="5974" t="s">
        <v>167</v>
      </c>
      <c r="G48" s="5970" t="s">
        <v>13656</v>
      </c>
      <c r="H48" s="5975">
        <v>44497</v>
      </c>
      <c r="I48" s="5975" t="s">
        <v>13459</v>
      </c>
      <c r="J48" s="5975">
        <v>44504</v>
      </c>
      <c r="K48" s="5974" t="s">
        <v>361</v>
      </c>
      <c r="L48" s="5991" t="s">
        <v>13663</v>
      </c>
      <c r="M48" s="296" t="s">
        <v>13479</v>
      </c>
      <c r="N48" s="4686"/>
      <c r="O48" s="5974" t="s">
        <v>13664</v>
      </c>
      <c r="P48" s="3921">
        <v>44506</v>
      </c>
      <c r="Q48" s="3921">
        <v>44506</v>
      </c>
      <c r="R48" s="3921">
        <v>44510</v>
      </c>
      <c r="S48" s="3922" t="s">
        <v>13660</v>
      </c>
      <c r="T48" s="5974" t="s">
        <v>6186</v>
      </c>
      <c r="U48" s="5976" t="s">
        <v>13464</v>
      </c>
      <c r="V48" s="5976" t="s">
        <v>13613</v>
      </c>
      <c r="W48" s="100"/>
    </row>
    <row r="49" spans="1:23" s="295" customFormat="1">
      <c r="A49" s="5970" t="s">
        <v>13457</v>
      </c>
      <c r="B49" s="5980" t="s">
        <v>13665</v>
      </c>
      <c r="C49" s="5970" t="s">
        <v>13666</v>
      </c>
      <c r="D49" s="5970" t="s">
        <v>704</v>
      </c>
      <c r="E49" s="5979" t="s">
        <v>13467</v>
      </c>
      <c r="F49" s="5970" t="s">
        <v>1374</v>
      </c>
      <c r="G49" s="5970" t="s">
        <v>13667</v>
      </c>
      <c r="H49" s="5975">
        <v>44499</v>
      </c>
      <c r="I49" s="5975" t="s">
        <v>13459</v>
      </c>
      <c r="J49" s="5975">
        <v>44508</v>
      </c>
      <c r="K49" s="5974" t="s">
        <v>57</v>
      </c>
      <c r="L49" s="5998">
        <v>44511</v>
      </c>
      <c r="M49" s="296" t="s">
        <v>13537</v>
      </c>
      <c r="N49" s="4684"/>
      <c r="O49" s="5999">
        <v>5713166</v>
      </c>
      <c r="P49" s="96">
        <v>44510</v>
      </c>
      <c r="Q49" s="96">
        <v>44511</v>
      </c>
      <c r="R49" s="96">
        <v>44511</v>
      </c>
      <c r="S49" s="90" t="s">
        <v>13668</v>
      </c>
      <c r="T49" s="4687" t="s">
        <v>6186</v>
      </c>
      <c r="U49" s="5984" t="s">
        <v>13464</v>
      </c>
      <c r="V49" s="5982"/>
      <c r="W49" s="100"/>
    </row>
    <row r="50" spans="1:23" s="295" customFormat="1">
      <c r="A50" s="5970" t="s">
        <v>13457</v>
      </c>
      <c r="B50" s="5980" t="s">
        <v>13669</v>
      </c>
      <c r="C50" s="5970" t="s">
        <v>13670</v>
      </c>
      <c r="D50" s="5970" t="s">
        <v>704</v>
      </c>
      <c r="E50" s="5979" t="s">
        <v>13467</v>
      </c>
      <c r="F50" s="5970" t="s">
        <v>1374</v>
      </c>
      <c r="G50" s="5970" t="s">
        <v>13667</v>
      </c>
      <c r="H50" s="5975">
        <v>44499</v>
      </c>
      <c r="I50" s="5975" t="s">
        <v>13459</v>
      </c>
      <c r="J50" s="5975">
        <v>44508</v>
      </c>
      <c r="K50" s="5974" t="s">
        <v>57</v>
      </c>
      <c r="L50" s="5998">
        <v>44512</v>
      </c>
      <c r="M50" s="296" t="s">
        <v>13537</v>
      </c>
      <c r="N50" s="4684"/>
      <c r="O50" s="5999">
        <v>5713173</v>
      </c>
      <c r="P50" s="96">
        <v>44510</v>
      </c>
      <c r="Q50" s="96">
        <v>44510</v>
      </c>
      <c r="R50" s="96">
        <v>44512</v>
      </c>
      <c r="S50" s="90" t="s">
        <v>13668</v>
      </c>
      <c r="T50" s="4687" t="s">
        <v>6186</v>
      </c>
      <c r="U50" s="5984" t="s">
        <v>13464</v>
      </c>
      <c r="V50" s="5982"/>
      <c r="W50" s="100"/>
    </row>
    <row r="51" spans="1:23" s="295" customFormat="1">
      <c r="A51" s="5970" t="s">
        <v>13457</v>
      </c>
      <c r="B51" s="5970">
        <v>98</v>
      </c>
      <c r="C51" s="5970" t="s">
        <v>13671</v>
      </c>
      <c r="D51" s="5970" t="s">
        <v>28</v>
      </c>
      <c r="E51" s="5970"/>
      <c r="F51" s="5970" t="s">
        <v>1828</v>
      </c>
      <c r="G51" s="5970">
        <v>211747366</v>
      </c>
      <c r="H51" s="5971">
        <v>44478</v>
      </c>
      <c r="I51" s="5970" t="s">
        <v>13459</v>
      </c>
      <c r="J51" s="5972">
        <v>44493</v>
      </c>
      <c r="K51" s="5970" t="s">
        <v>46</v>
      </c>
      <c r="L51" s="6000" t="s">
        <v>13672</v>
      </c>
      <c r="M51" s="296" t="s">
        <v>13460</v>
      </c>
      <c r="N51" s="4688" t="s">
        <v>13461</v>
      </c>
      <c r="O51" s="5999" t="s">
        <v>13673</v>
      </c>
      <c r="P51" s="96">
        <v>44494</v>
      </c>
      <c r="Q51" s="270">
        <v>44494</v>
      </c>
      <c r="R51" s="270">
        <v>44506</v>
      </c>
      <c r="S51" s="90" t="s">
        <v>13674</v>
      </c>
      <c r="T51" s="4689" t="s">
        <v>6186</v>
      </c>
      <c r="U51" s="5978" t="s">
        <v>13464</v>
      </c>
      <c r="V51" s="5976"/>
      <c r="W51" s="100"/>
    </row>
    <row r="52" spans="1:23" s="295" customFormat="1">
      <c r="A52" s="5970" t="s">
        <v>13457</v>
      </c>
      <c r="B52" s="5970">
        <v>99</v>
      </c>
      <c r="C52" s="5970" t="s">
        <v>13675</v>
      </c>
      <c r="D52" s="5970" t="s">
        <v>28</v>
      </c>
      <c r="E52" s="5970"/>
      <c r="F52" s="5970" t="s">
        <v>1828</v>
      </c>
      <c r="G52" s="5970">
        <v>211747353</v>
      </c>
      <c r="H52" s="5971">
        <v>44478</v>
      </c>
      <c r="I52" s="5970" t="s">
        <v>13459</v>
      </c>
      <c r="J52" s="5972">
        <v>44493</v>
      </c>
      <c r="K52" s="5970" t="s">
        <v>46</v>
      </c>
      <c r="L52" s="6000" t="s">
        <v>13672</v>
      </c>
      <c r="M52" s="296" t="s">
        <v>13460</v>
      </c>
      <c r="N52" s="4688" t="s">
        <v>13461</v>
      </c>
      <c r="O52" s="5999" t="s">
        <v>13676</v>
      </c>
      <c r="P52" s="96">
        <v>44494</v>
      </c>
      <c r="Q52" s="270">
        <v>44494</v>
      </c>
      <c r="R52" s="270">
        <v>44506</v>
      </c>
      <c r="S52" s="90" t="s">
        <v>13677</v>
      </c>
      <c r="T52" s="4689" t="s">
        <v>6186</v>
      </c>
      <c r="U52" s="5978" t="s">
        <v>13464</v>
      </c>
      <c r="V52" s="5976"/>
      <c r="W52" s="100"/>
    </row>
    <row r="53" spans="1:23" s="295" customFormat="1">
      <c r="A53" s="5970" t="s">
        <v>13457</v>
      </c>
      <c r="B53" s="5980" t="s">
        <v>13678</v>
      </c>
      <c r="C53" s="5970" t="s">
        <v>13679</v>
      </c>
      <c r="D53" s="5970" t="s">
        <v>704</v>
      </c>
      <c r="E53" s="5979" t="s">
        <v>13467</v>
      </c>
      <c r="F53" s="5970" t="s">
        <v>1374</v>
      </c>
      <c r="G53" s="5970" t="s">
        <v>13667</v>
      </c>
      <c r="H53" s="5975">
        <v>44499</v>
      </c>
      <c r="I53" s="5975" t="s">
        <v>13459</v>
      </c>
      <c r="J53" s="5975">
        <v>44508</v>
      </c>
      <c r="K53" s="5974" t="s">
        <v>57</v>
      </c>
      <c r="L53" s="5998">
        <v>44512</v>
      </c>
      <c r="M53" s="296" t="s">
        <v>13537</v>
      </c>
      <c r="N53" s="4684"/>
      <c r="O53" s="5999">
        <v>5713164</v>
      </c>
      <c r="P53" s="96">
        <v>44510</v>
      </c>
      <c r="Q53" s="96">
        <v>44510</v>
      </c>
      <c r="R53" s="96">
        <v>44512</v>
      </c>
      <c r="S53" s="90" t="s">
        <v>13668</v>
      </c>
      <c r="T53" s="4687" t="s">
        <v>6186</v>
      </c>
      <c r="U53" s="5984" t="s">
        <v>13464</v>
      </c>
      <c r="V53" s="5982"/>
      <c r="W53" s="100"/>
    </row>
    <row r="54" spans="1:23" s="295" customFormat="1">
      <c r="A54" s="5970" t="s">
        <v>13457</v>
      </c>
      <c r="B54" s="5980" t="s">
        <v>13680</v>
      </c>
      <c r="C54" s="5970" t="s">
        <v>13681</v>
      </c>
      <c r="D54" s="5970" t="s">
        <v>704</v>
      </c>
      <c r="E54" s="5979" t="s">
        <v>13467</v>
      </c>
      <c r="F54" s="5970" t="s">
        <v>1374</v>
      </c>
      <c r="G54" s="5970" t="s">
        <v>13667</v>
      </c>
      <c r="H54" s="5975">
        <v>44499</v>
      </c>
      <c r="I54" s="5975" t="s">
        <v>13459</v>
      </c>
      <c r="J54" s="5975">
        <v>44508</v>
      </c>
      <c r="K54" s="5974" t="s">
        <v>57</v>
      </c>
      <c r="L54" s="5998">
        <v>44517</v>
      </c>
      <c r="M54" s="296" t="s">
        <v>13537</v>
      </c>
      <c r="N54" s="4684"/>
      <c r="O54" s="5999">
        <v>5713156</v>
      </c>
      <c r="P54" s="96">
        <v>44510</v>
      </c>
      <c r="Q54" s="96">
        <v>44510</v>
      </c>
      <c r="R54" s="96">
        <v>44512</v>
      </c>
      <c r="S54" s="90" t="s">
        <v>13638</v>
      </c>
      <c r="T54" s="4687" t="s">
        <v>6186</v>
      </c>
      <c r="U54" s="5984" t="s">
        <v>13464</v>
      </c>
      <c r="V54" s="5982" t="s">
        <v>13682</v>
      </c>
      <c r="W54" s="100"/>
    </row>
    <row r="55" spans="1:23" s="295" customFormat="1">
      <c r="A55" s="5970" t="s">
        <v>13457</v>
      </c>
      <c r="B55" s="5980" t="s">
        <v>13683</v>
      </c>
      <c r="C55" s="5970" t="s">
        <v>13684</v>
      </c>
      <c r="D55" s="5970" t="s">
        <v>704</v>
      </c>
      <c r="E55" s="5979" t="s">
        <v>13467</v>
      </c>
      <c r="F55" s="5974" t="s">
        <v>167</v>
      </c>
      <c r="G55" s="5970" t="s">
        <v>13656</v>
      </c>
      <c r="H55" s="5975">
        <v>44497</v>
      </c>
      <c r="I55" s="5975" t="s">
        <v>13459</v>
      </c>
      <c r="J55" s="5975">
        <v>44508</v>
      </c>
      <c r="K55" s="5974" t="s">
        <v>361</v>
      </c>
      <c r="L55" s="5998">
        <v>44517</v>
      </c>
      <c r="M55" s="296" t="s">
        <v>13479</v>
      </c>
      <c r="N55" s="4686"/>
      <c r="O55" s="5999">
        <v>230283</v>
      </c>
      <c r="P55" s="96">
        <v>44510</v>
      </c>
      <c r="Q55" s="96">
        <v>44511</v>
      </c>
      <c r="R55" s="96">
        <v>44515</v>
      </c>
      <c r="S55" s="90" t="s">
        <v>13685</v>
      </c>
      <c r="T55" s="4687" t="s">
        <v>6186</v>
      </c>
      <c r="U55" s="5984" t="s">
        <v>13464</v>
      </c>
      <c r="V55" s="5976" t="s">
        <v>13682</v>
      </c>
      <c r="W55" s="100"/>
    </row>
    <row r="56" spans="1:23" s="295" customFormat="1">
      <c r="A56" s="5970" t="s">
        <v>13457</v>
      </c>
      <c r="B56" s="5980" t="s">
        <v>13686</v>
      </c>
      <c r="C56" s="5970" t="s">
        <v>13687</v>
      </c>
      <c r="D56" s="5970" t="s">
        <v>704</v>
      </c>
      <c r="E56" s="5979" t="s">
        <v>13467</v>
      </c>
      <c r="F56" s="5974" t="s">
        <v>167</v>
      </c>
      <c r="G56" s="5970" t="s">
        <v>13656</v>
      </c>
      <c r="H56" s="5975">
        <v>44497</v>
      </c>
      <c r="I56" s="5975" t="s">
        <v>13459</v>
      </c>
      <c r="J56" s="5975">
        <v>44508</v>
      </c>
      <c r="K56" s="5974" t="s">
        <v>361</v>
      </c>
      <c r="L56" s="5998">
        <v>44517</v>
      </c>
      <c r="M56" s="296" t="s">
        <v>13479</v>
      </c>
      <c r="N56" s="4686"/>
      <c r="O56" s="5999">
        <v>349646</v>
      </c>
      <c r="P56" s="96">
        <v>44510</v>
      </c>
      <c r="Q56" s="96">
        <v>44512</v>
      </c>
      <c r="R56" s="96">
        <v>44522</v>
      </c>
      <c r="S56" s="90" t="s">
        <v>13685</v>
      </c>
      <c r="T56" s="4687" t="s">
        <v>6186</v>
      </c>
      <c r="U56" s="5984" t="s">
        <v>13464</v>
      </c>
      <c r="V56" s="5976" t="s">
        <v>13682</v>
      </c>
      <c r="W56" s="100"/>
    </row>
    <row r="57" spans="1:23" s="295" customFormat="1">
      <c r="A57" s="5970" t="s">
        <v>13457</v>
      </c>
      <c r="B57" s="5980" t="s">
        <v>13688</v>
      </c>
      <c r="C57" s="5970" t="s">
        <v>13689</v>
      </c>
      <c r="D57" s="5970" t="s">
        <v>704</v>
      </c>
      <c r="E57" s="5979" t="s">
        <v>13467</v>
      </c>
      <c r="F57" s="5970" t="s">
        <v>1374</v>
      </c>
      <c r="G57" s="5970" t="s">
        <v>13667</v>
      </c>
      <c r="H57" s="5975">
        <v>44499</v>
      </c>
      <c r="I57" s="5975" t="s">
        <v>13459</v>
      </c>
      <c r="J57" s="5975">
        <v>44508</v>
      </c>
      <c r="K57" s="5974" t="s">
        <v>57</v>
      </c>
      <c r="L57" s="476">
        <v>44523</v>
      </c>
      <c r="M57" s="296" t="s">
        <v>13537</v>
      </c>
      <c r="N57" s="4684"/>
      <c r="O57" s="5999">
        <v>5713148</v>
      </c>
      <c r="P57" s="96">
        <v>44510</v>
      </c>
      <c r="Q57" s="96">
        <v>44510</v>
      </c>
      <c r="R57" s="96">
        <v>44512</v>
      </c>
      <c r="S57" s="90" t="s">
        <v>13638</v>
      </c>
      <c r="T57" s="4687" t="s">
        <v>6186</v>
      </c>
      <c r="U57" s="5984" t="s">
        <v>13464</v>
      </c>
      <c r="V57" s="5982" t="s">
        <v>13682</v>
      </c>
      <c r="W57" s="100"/>
    </row>
    <row r="58" spans="1:23" s="295" customFormat="1">
      <c r="A58" s="5970" t="s">
        <v>13457</v>
      </c>
      <c r="B58" s="5970">
        <v>214</v>
      </c>
      <c r="C58" s="5970" t="s">
        <v>13690</v>
      </c>
      <c r="D58" s="5970" t="s">
        <v>28</v>
      </c>
      <c r="E58" s="5970">
        <v>11126.4</v>
      </c>
      <c r="F58" s="5970" t="s">
        <v>93</v>
      </c>
      <c r="G58" s="5970" t="s">
        <v>13691</v>
      </c>
      <c r="H58" s="6001">
        <v>44499</v>
      </c>
      <c r="I58" s="5970" t="s">
        <v>13459</v>
      </c>
      <c r="J58" s="5972">
        <v>44508</v>
      </c>
      <c r="K58" s="5970" t="s">
        <v>46</v>
      </c>
      <c r="L58" s="5991" t="s">
        <v>13692</v>
      </c>
      <c r="M58" s="296" t="s">
        <v>13527</v>
      </c>
      <c r="N58" s="4686"/>
      <c r="O58" s="6002" t="s">
        <v>13693</v>
      </c>
      <c r="P58" s="96">
        <v>44510</v>
      </c>
      <c r="Q58" s="87">
        <v>44511</v>
      </c>
      <c r="R58" s="87">
        <v>44513</v>
      </c>
      <c r="S58" s="90" t="s">
        <v>13694</v>
      </c>
      <c r="T58" s="4688" t="s">
        <v>6186</v>
      </c>
      <c r="U58" s="5984" t="s">
        <v>13464</v>
      </c>
      <c r="V58" s="5976"/>
      <c r="W58" s="100"/>
    </row>
    <row r="59" spans="1:23" s="295" customFormat="1">
      <c r="A59" s="5970" t="s">
        <v>13457</v>
      </c>
      <c r="B59" s="5970" t="s">
        <v>13695</v>
      </c>
      <c r="C59" s="5970" t="s">
        <v>13696</v>
      </c>
      <c r="D59" s="5970" t="s">
        <v>13697</v>
      </c>
      <c r="E59" s="5970">
        <v>14810</v>
      </c>
      <c r="F59" s="5970" t="s">
        <v>13698</v>
      </c>
      <c r="G59" s="5970" t="s">
        <v>13699</v>
      </c>
      <c r="H59" s="5975">
        <v>44499</v>
      </c>
      <c r="I59" s="5975" t="s">
        <v>13459</v>
      </c>
      <c r="J59" s="5975">
        <v>44506</v>
      </c>
      <c r="K59" s="5974" t="s">
        <v>46</v>
      </c>
      <c r="L59" s="5998" t="s">
        <v>13700</v>
      </c>
      <c r="M59" s="296" t="s">
        <v>13701</v>
      </c>
      <c r="N59" s="4686"/>
      <c r="O59" s="5999" t="s">
        <v>13702</v>
      </c>
      <c r="P59" s="96">
        <v>44508</v>
      </c>
      <c r="Q59" s="87">
        <v>44510</v>
      </c>
      <c r="R59" s="96">
        <v>44517</v>
      </c>
      <c r="S59" s="90" t="s">
        <v>13703</v>
      </c>
      <c r="T59" s="4690" t="s">
        <v>6186</v>
      </c>
      <c r="U59" s="5984" t="s">
        <v>13464</v>
      </c>
      <c r="V59" s="100"/>
      <c r="W59" s="100"/>
    </row>
    <row r="60" spans="1:23" s="295" customFormat="1">
      <c r="A60" s="5970" t="s">
        <v>13457</v>
      </c>
      <c r="B60" s="5980" t="s">
        <v>13704</v>
      </c>
      <c r="C60" s="5970" t="s">
        <v>13705</v>
      </c>
      <c r="D60" s="5970" t="s">
        <v>704</v>
      </c>
      <c r="E60" s="5979" t="s">
        <v>13467</v>
      </c>
      <c r="F60" s="5970" t="s">
        <v>1374</v>
      </c>
      <c r="G60" s="5970" t="s">
        <v>13667</v>
      </c>
      <c r="H60" s="5975">
        <v>44499</v>
      </c>
      <c r="I60" s="5975" t="s">
        <v>13459</v>
      </c>
      <c r="J60" s="5975">
        <v>44509</v>
      </c>
      <c r="K60" s="5974" t="s">
        <v>57</v>
      </c>
      <c r="L60" s="5998">
        <v>44512</v>
      </c>
      <c r="M60" s="296" t="s">
        <v>13537</v>
      </c>
      <c r="N60" s="4684"/>
      <c r="O60" s="5999">
        <v>5713149</v>
      </c>
      <c r="P60" s="96">
        <v>44511</v>
      </c>
      <c r="Q60" s="96">
        <v>44511</v>
      </c>
      <c r="R60" s="96">
        <v>44512</v>
      </c>
      <c r="S60" s="90" t="s">
        <v>13668</v>
      </c>
      <c r="T60" s="4687" t="s">
        <v>6186</v>
      </c>
      <c r="U60" s="5984" t="s">
        <v>13464</v>
      </c>
      <c r="V60" s="5982"/>
      <c r="W60" s="100"/>
    </row>
    <row r="61" spans="1:23" s="295" customFormat="1">
      <c r="A61" s="5970" t="s">
        <v>13457</v>
      </c>
      <c r="B61" s="5970">
        <v>202</v>
      </c>
      <c r="C61" s="5970" t="s">
        <v>13706</v>
      </c>
      <c r="D61" s="5970" t="s">
        <v>28</v>
      </c>
      <c r="E61" s="5970">
        <v>11443.3</v>
      </c>
      <c r="F61" s="5970" t="s">
        <v>93</v>
      </c>
      <c r="G61" s="5970" t="s">
        <v>13707</v>
      </c>
      <c r="H61" s="5971">
        <v>44512</v>
      </c>
      <c r="I61" s="5970" t="s">
        <v>13459</v>
      </c>
      <c r="J61" s="5972">
        <v>44517</v>
      </c>
      <c r="K61" s="5970" t="s">
        <v>57</v>
      </c>
      <c r="L61" s="5991" t="s">
        <v>13708</v>
      </c>
      <c r="M61" s="296" t="s">
        <v>13527</v>
      </c>
      <c r="N61" s="4686"/>
      <c r="O61" s="6003">
        <v>6934134</v>
      </c>
      <c r="P61" s="96">
        <v>44519</v>
      </c>
      <c r="Q61" s="96">
        <v>44522</v>
      </c>
      <c r="R61" s="96">
        <v>44527</v>
      </c>
      <c r="S61" s="90" t="s">
        <v>13709</v>
      </c>
      <c r="T61" s="4688" t="s">
        <v>6186</v>
      </c>
      <c r="U61" s="5984" t="s">
        <v>13464</v>
      </c>
      <c r="V61" s="5976"/>
      <c r="W61" s="100"/>
    </row>
    <row r="62" spans="1:23" s="295" customFormat="1">
      <c r="A62" s="5970" t="s">
        <v>13457</v>
      </c>
      <c r="B62" s="5970">
        <v>179</v>
      </c>
      <c r="C62" s="5970" t="s">
        <v>13710</v>
      </c>
      <c r="D62" s="5970" t="s">
        <v>28</v>
      </c>
      <c r="E62" s="5970">
        <v>11000</v>
      </c>
      <c r="F62" s="5970" t="s">
        <v>1828</v>
      </c>
      <c r="G62" s="5970">
        <v>212063836</v>
      </c>
      <c r="H62" s="5971">
        <v>44510</v>
      </c>
      <c r="I62" s="5970" t="s">
        <v>13459</v>
      </c>
      <c r="J62" s="5972">
        <v>44518</v>
      </c>
      <c r="K62" s="5970" t="s">
        <v>46</v>
      </c>
      <c r="L62" s="410" t="s">
        <v>13711</v>
      </c>
      <c r="M62" s="296" t="s">
        <v>13558</v>
      </c>
      <c r="N62" s="4686"/>
      <c r="O62" s="136" t="s">
        <v>13712</v>
      </c>
      <c r="P62" s="96">
        <v>44521</v>
      </c>
      <c r="Q62" s="87">
        <v>44522</v>
      </c>
      <c r="R62" s="87">
        <v>44527</v>
      </c>
      <c r="S62" s="90" t="s">
        <v>13570</v>
      </c>
      <c r="T62" s="4689" t="s">
        <v>6186</v>
      </c>
      <c r="U62" s="5978" t="s">
        <v>13464</v>
      </c>
      <c r="V62" s="5976"/>
      <c r="W62" s="100"/>
    </row>
    <row r="63" spans="1:23" s="78" customFormat="1">
      <c r="A63" s="5970" t="s">
        <v>13457</v>
      </c>
      <c r="B63" s="5970">
        <v>180</v>
      </c>
      <c r="C63" s="5970" t="s">
        <v>13713</v>
      </c>
      <c r="D63" s="5970" t="s">
        <v>28</v>
      </c>
      <c r="E63" s="5970">
        <v>8646</v>
      </c>
      <c r="F63" s="5970" t="s">
        <v>1828</v>
      </c>
      <c r="G63" s="5970">
        <v>212063818</v>
      </c>
      <c r="H63" s="5971">
        <v>44510</v>
      </c>
      <c r="I63" s="5970" t="s">
        <v>13459</v>
      </c>
      <c r="J63" s="5972">
        <v>44518</v>
      </c>
      <c r="K63" s="6000" t="s">
        <v>46</v>
      </c>
      <c r="L63" s="283" t="s">
        <v>13714</v>
      </c>
      <c r="M63" s="296" t="s">
        <v>13558</v>
      </c>
      <c r="N63" s="4686"/>
      <c r="O63" s="136" t="s">
        <v>13715</v>
      </c>
      <c r="P63" s="96">
        <v>44521</v>
      </c>
      <c r="Q63" s="87">
        <v>44522</v>
      </c>
      <c r="R63" s="87">
        <v>44527</v>
      </c>
      <c r="S63" s="90" t="s">
        <v>13716</v>
      </c>
      <c r="T63" s="4689" t="s">
        <v>6186</v>
      </c>
      <c r="U63" s="5978" t="s">
        <v>13464</v>
      </c>
      <c r="V63" s="5976"/>
      <c r="W63" s="100"/>
    </row>
    <row r="64" spans="1:23" s="295" customFormat="1">
      <c r="A64" s="5970" t="s">
        <v>13457</v>
      </c>
      <c r="B64" s="5970">
        <v>176</v>
      </c>
      <c r="C64" s="5970" t="s">
        <v>13717</v>
      </c>
      <c r="D64" s="5970" t="s">
        <v>28</v>
      </c>
      <c r="E64" s="5970">
        <v>11308</v>
      </c>
      <c r="F64" s="5970" t="s">
        <v>1828</v>
      </c>
      <c r="G64" s="5970">
        <v>212063790</v>
      </c>
      <c r="H64" s="5971">
        <v>44510</v>
      </c>
      <c r="I64" s="5970" t="s">
        <v>13459</v>
      </c>
      <c r="J64" s="5972">
        <v>44518</v>
      </c>
      <c r="K64" s="6000" t="s">
        <v>46</v>
      </c>
      <c r="L64" s="283" t="s">
        <v>13718</v>
      </c>
      <c r="M64" s="296" t="s">
        <v>13558</v>
      </c>
      <c r="N64" s="4686"/>
      <c r="O64" s="136" t="s">
        <v>13719</v>
      </c>
      <c r="P64" s="96">
        <v>44521</v>
      </c>
      <c r="Q64" s="87">
        <v>44522</v>
      </c>
      <c r="R64" s="87">
        <v>44526</v>
      </c>
      <c r="S64" s="90" t="s">
        <v>13716</v>
      </c>
      <c r="T64" s="4689" t="s">
        <v>6186</v>
      </c>
      <c r="U64" s="5978" t="s">
        <v>13464</v>
      </c>
      <c r="V64" s="5976"/>
      <c r="W64" s="100"/>
    </row>
    <row r="65" spans="1:23" s="295" customFormat="1">
      <c r="A65" s="5970" t="s">
        <v>13457</v>
      </c>
      <c r="B65" s="5970">
        <v>177</v>
      </c>
      <c r="C65" s="5970" t="s">
        <v>13720</v>
      </c>
      <c r="D65" s="5970" t="s">
        <v>28</v>
      </c>
      <c r="E65" s="5970">
        <v>11308</v>
      </c>
      <c r="F65" s="5970" t="s">
        <v>1828</v>
      </c>
      <c r="G65" s="5970">
        <v>212063794</v>
      </c>
      <c r="H65" s="5971">
        <v>44510</v>
      </c>
      <c r="I65" s="5970" t="s">
        <v>13459</v>
      </c>
      <c r="J65" s="5972">
        <v>44518</v>
      </c>
      <c r="K65" s="6000" t="s">
        <v>46</v>
      </c>
      <c r="L65" s="283" t="s">
        <v>13721</v>
      </c>
      <c r="M65" s="296" t="s">
        <v>13558</v>
      </c>
      <c r="N65" s="4686"/>
      <c r="O65" s="136" t="s">
        <v>13722</v>
      </c>
      <c r="P65" s="96">
        <v>44521</v>
      </c>
      <c r="Q65" s="87">
        <v>44522</v>
      </c>
      <c r="R65" s="87">
        <v>44530</v>
      </c>
      <c r="S65" s="90" t="s">
        <v>13570</v>
      </c>
      <c r="T65" s="4689" t="s">
        <v>6186</v>
      </c>
      <c r="U65" s="5978" t="s">
        <v>13464</v>
      </c>
      <c r="V65" s="5976"/>
      <c r="W65" s="100"/>
    </row>
    <row r="66" spans="1:23" s="295" customFormat="1">
      <c r="A66" s="5970" t="s">
        <v>13457</v>
      </c>
      <c r="B66" s="5970">
        <v>52</v>
      </c>
      <c r="C66" s="5970" t="s">
        <v>13723</v>
      </c>
      <c r="D66" s="5970" t="s">
        <v>28</v>
      </c>
      <c r="E66" s="5970"/>
      <c r="F66" s="5970" t="s">
        <v>1374</v>
      </c>
      <c r="G66" s="5970" t="s">
        <v>13724</v>
      </c>
      <c r="H66" s="5971">
        <v>44515</v>
      </c>
      <c r="I66" s="5970" t="s">
        <v>13459</v>
      </c>
      <c r="J66" s="5972">
        <v>44523</v>
      </c>
      <c r="K66" s="6000" t="s">
        <v>152</v>
      </c>
      <c r="L66" s="283" t="s">
        <v>13725</v>
      </c>
      <c r="M66" s="296" t="s">
        <v>13726</v>
      </c>
      <c r="N66" s="4691"/>
      <c r="O66" s="378">
        <v>6417</v>
      </c>
      <c r="P66" s="96">
        <v>44523</v>
      </c>
      <c r="Q66" s="87">
        <v>44524</v>
      </c>
      <c r="R66" s="96">
        <v>44526</v>
      </c>
      <c r="S66" s="90" t="s">
        <v>13727</v>
      </c>
      <c r="T66" s="4689" t="s">
        <v>6186</v>
      </c>
      <c r="U66" s="5978" t="s">
        <v>13464</v>
      </c>
      <c r="V66" s="5976"/>
      <c r="W66" s="100"/>
    </row>
    <row r="67" spans="1:23" s="10" customFormat="1">
      <c r="A67" s="5970" t="s">
        <v>13457</v>
      </c>
      <c r="B67" s="5970">
        <v>62</v>
      </c>
      <c r="C67" s="5970" t="s">
        <v>13728</v>
      </c>
      <c r="D67" s="5970" t="s">
        <v>28</v>
      </c>
      <c r="E67" s="5970"/>
      <c r="F67" s="5970" t="s">
        <v>1374</v>
      </c>
      <c r="G67" s="5970" t="s">
        <v>13729</v>
      </c>
      <c r="H67" s="5971">
        <v>44513</v>
      </c>
      <c r="I67" s="5970" t="s">
        <v>13459</v>
      </c>
      <c r="J67" s="5972">
        <v>44523</v>
      </c>
      <c r="K67" s="6000" t="s">
        <v>152</v>
      </c>
      <c r="L67" s="283" t="s">
        <v>13730</v>
      </c>
      <c r="M67" s="296" t="s">
        <v>13731</v>
      </c>
      <c r="N67" s="4688"/>
      <c r="O67" s="136">
        <v>7331</v>
      </c>
      <c r="P67" s="96">
        <v>44523</v>
      </c>
      <c r="Q67" s="87">
        <v>44526</v>
      </c>
      <c r="R67" s="96">
        <v>44530</v>
      </c>
      <c r="S67" s="90" t="s">
        <v>13732</v>
      </c>
      <c r="T67" s="4689" t="s">
        <v>6186</v>
      </c>
      <c r="U67" s="5978" t="s">
        <v>13464</v>
      </c>
      <c r="V67" s="5976"/>
      <c r="W67" s="100"/>
    </row>
    <row r="68" spans="1:23" s="295" customFormat="1">
      <c r="A68" s="5970" t="s">
        <v>13457</v>
      </c>
      <c r="B68" s="5980" t="s">
        <v>13733</v>
      </c>
      <c r="C68" s="5970" t="s">
        <v>13734</v>
      </c>
      <c r="D68" s="5970" t="s">
        <v>704</v>
      </c>
      <c r="E68" s="5979" t="s">
        <v>13467</v>
      </c>
      <c r="F68" s="5970" t="s">
        <v>1374</v>
      </c>
      <c r="G68" s="5970" t="s">
        <v>13667</v>
      </c>
      <c r="H68" s="5975">
        <v>44499</v>
      </c>
      <c r="I68" s="5975" t="s">
        <v>13459</v>
      </c>
      <c r="J68" s="5975">
        <v>44509</v>
      </c>
      <c r="K68" s="5999" t="s">
        <v>57</v>
      </c>
      <c r="L68" s="96">
        <v>44515</v>
      </c>
      <c r="M68" s="304" t="s">
        <v>13537</v>
      </c>
      <c r="N68" s="5982"/>
      <c r="O68" s="136">
        <v>5713170</v>
      </c>
      <c r="P68" s="96">
        <v>44511</v>
      </c>
      <c r="Q68" s="96">
        <v>44511</v>
      </c>
      <c r="R68" s="96">
        <v>44517</v>
      </c>
      <c r="S68" s="90" t="s">
        <v>13735</v>
      </c>
      <c r="T68" s="4687" t="s">
        <v>6186</v>
      </c>
      <c r="U68" s="5984" t="s">
        <v>13464</v>
      </c>
      <c r="V68" s="5982"/>
      <c r="W68" s="100"/>
    </row>
    <row r="69" spans="1:23" s="10" customFormat="1">
      <c r="A69" s="5970" t="s">
        <v>13457</v>
      </c>
      <c r="B69" s="5980" t="s">
        <v>13736</v>
      </c>
      <c r="C69" s="5970" t="s">
        <v>13737</v>
      </c>
      <c r="D69" s="5970" t="s">
        <v>704</v>
      </c>
      <c r="E69" s="5979" t="s">
        <v>13467</v>
      </c>
      <c r="F69" s="5970" t="s">
        <v>1374</v>
      </c>
      <c r="G69" s="5970" t="s">
        <v>13667</v>
      </c>
      <c r="H69" s="5975">
        <v>44499</v>
      </c>
      <c r="I69" s="5975" t="s">
        <v>13459</v>
      </c>
      <c r="J69" s="5975">
        <v>44509</v>
      </c>
      <c r="K69" s="5999" t="s">
        <v>57</v>
      </c>
      <c r="L69" s="96">
        <v>44515</v>
      </c>
      <c r="M69" s="5973" t="s">
        <v>13537</v>
      </c>
      <c r="N69" s="5982"/>
      <c r="O69" s="75">
        <v>5713167</v>
      </c>
      <c r="P69" s="309">
        <v>44511</v>
      </c>
      <c r="Q69" s="119">
        <v>44511</v>
      </c>
      <c r="R69" s="5975">
        <v>44515</v>
      </c>
      <c r="S69" s="310" t="s">
        <v>13668</v>
      </c>
      <c r="T69" s="4687" t="s">
        <v>6186</v>
      </c>
      <c r="U69" s="5984" t="s">
        <v>13464</v>
      </c>
      <c r="V69" s="5982"/>
      <c r="W69" s="100"/>
    </row>
    <row r="70" spans="1:23" s="10" customFormat="1">
      <c r="A70" s="5970" t="s">
        <v>13457</v>
      </c>
      <c r="B70" s="5980" t="s">
        <v>13738</v>
      </c>
      <c r="C70" s="5970" t="s">
        <v>13739</v>
      </c>
      <c r="D70" s="5970" t="s">
        <v>704</v>
      </c>
      <c r="E70" s="5979" t="s">
        <v>13467</v>
      </c>
      <c r="F70" s="5970" t="s">
        <v>1374</v>
      </c>
      <c r="G70" s="5970" t="s">
        <v>13667</v>
      </c>
      <c r="H70" s="5975">
        <v>44499</v>
      </c>
      <c r="I70" s="5975" t="s">
        <v>13459</v>
      </c>
      <c r="J70" s="5975">
        <v>44509</v>
      </c>
      <c r="K70" s="5999" t="s">
        <v>57</v>
      </c>
      <c r="L70" s="96" t="s">
        <v>13740</v>
      </c>
      <c r="M70" s="5973" t="s">
        <v>13537</v>
      </c>
      <c r="N70" s="3923"/>
      <c r="O70" s="108">
        <v>5713169</v>
      </c>
      <c r="P70" s="3924">
        <v>44511</v>
      </c>
      <c r="Q70" s="96">
        <v>44510</v>
      </c>
      <c r="R70" s="476">
        <v>44512</v>
      </c>
      <c r="S70" s="90" t="s">
        <v>13638</v>
      </c>
      <c r="T70" s="4687" t="s">
        <v>6186</v>
      </c>
      <c r="U70" s="377" t="s">
        <v>13464</v>
      </c>
      <c r="V70" s="477" t="s">
        <v>13613</v>
      </c>
      <c r="W70" s="100"/>
    </row>
    <row r="71" spans="1:23" s="295" customFormat="1">
      <c r="A71" s="5970" t="s">
        <v>13457</v>
      </c>
      <c r="B71" s="5980" t="s">
        <v>13741</v>
      </c>
      <c r="C71" s="5970" t="s">
        <v>13742</v>
      </c>
      <c r="D71" s="5970" t="s">
        <v>704</v>
      </c>
      <c r="E71" s="5979" t="s">
        <v>13467</v>
      </c>
      <c r="F71" s="5970" t="s">
        <v>1374</v>
      </c>
      <c r="G71" s="5970" t="s">
        <v>13667</v>
      </c>
      <c r="H71" s="5975">
        <v>44499</v>
      </c>
      <c r="I71" s="5975" t="s">
        <v>13459</v>
      </c>
      <c r="J71" s="5975">
        <v>44509</v>
      </c>
      <c r="K71" s="5999" t="s">
        <v>57</v>
      </c>
      <c r="L71" s="96" t="s">
        <v>13740</v>
      </c>
      <c r="M71" s="5973" t="s">
        <v>13537</v>
      </c>
      <c r="N71" s="301"/>
      <c r="O71" s="75">
        <v>5713165</v>
      </c>
      <c r="P71" s="299">
        <v>44511</v>
      </c>
      <c r="Q71" s="96">
        <v>44511</v>
      </c>
      <c r="R71" s="96">
        <v>44513</v>
      </c>
      <c r="S71" s="134" t="s">
        <v>13638</v>
      </c>
      <c r="T71" s="3925" t="s">
        <v>6186</v>
      </c>
      <c r="U71" s="3926" t="s">
        <v>13464</v>
      </c>
      <c r="V71" s="3923" t="s">
        <v>13613</v>
      </c>
      <c r="W71" s="100"/>
    </row>
    <row r="72" spans="1:23" s="295" customFormat="1">
      <c r="A72" s="5970" t="s">
        <v>13457</v>
      </c>
      <c r="B72" s="5980" t="s">
        <v>13743</v>
      </c>
      <c r="C72" s="5970" t="s">
        <v>13744</v>
      </c>
      <c r="D72" s="5970" t="s">
        <v>704</v>
      </c>
      <c r="E72" s="5979" t="s">
        <v>13467</v>
      </c>
      <c r="F72" s="5970" t="s">
        <v>13573</v>
      </c>
      <c r="G72" s="5970" t="s">
        <v>13745</v>
      </c>
      <c r="H72" s="5975">
        <v>44505</v>
      </c>
      <c r="I72" s="5975" t="s">
        <v>13459</v>
      </c>
      <c r="J72" s="5975">
        <v>44512</v>
      </c>
      <c r="K72" s="5999" t="s">
        <v>13495</v>
      </c>
      <c r="L72" s="96" t="s">
        <v>13746</v>
      </c>
      <c r="M72" s="5973" t="s">
        <v>13537</v>
      </c>
      <c r="N72" s="236"/>
      <c r="O72" s="75">
        <v>717972</v>
      </c>
      <c r="P72" s="299">
        <v>44515</v>
      </c>
      <c r="Q72" s="96">
        <v>44518</v>
      </c>
      <c r="R72" s="299">
        <v>44518</v>
      </c>
      <c r="S72" s="90" t="s">
        <v>13747</v>
      </c>
      <c r="T72" s="300" t="s">
        <v>6186</v>
      </c>
      <c r="U72" s="311" t="s">
        <v>13578</v>
      </c>
      <c r="V72" s="301" t="s">
        <v>13748</v>
      </c>
      <c r="W72" s="100" t="s">
        <v>13580</v>
      </c>
    </row>
    <row r="73" spans="1:23" s="10" customFormat="1">
      <c r="A73" s="5970" t="s">
        <v>13457</v>
      </c>
      <c r="B73" s="5980" t="s">
        <v>13749</v>
      </c>
      <c r="C73" s="5970" t="s">
        <v>13750</v>
      </c>
      <c r="D73" s="5970" t="s">
        <v>704</v>
      </c>
      <c r="E73" s="5979" t="s">
        <v>13467</v>
      </c>
      <c r="F73" s="5970" t="s">
        <v>13573</v>
      </c>
      <c r="G73" s="5970" t="s">
        <v>13745</v>
      </c>
      <c r="H73" s="5975">
        <v>44505</v>
      </c>
      <c r="I73" s="5975" t="s">
        <v>13459</v>
      </c>
      <c r="J73" s="5975">
        <v>44512</v>
      </c>
      <c r="K73" s="5999" t="s">
        <v>13495</v>
      </c>
      <c r="L73" s="96" t="s">
        <v>13751</v>
      </c>
      <c r="M73" s="5973" t="s">
        <v>13537</v>
      </c>
      <c r="N73" s="301"/>
      <c r="O73" s="75">
        <v>811993</v>
      </c>
      <c r="P73" s="299">
        <v>44515</v>
      </c>
      <c r="Q73" s="96">
        <v>44518</v>
      </c>
      <c r="R73" s="96">
        <v>44523</v>
      </c>
      <c r="S73" s="135" t="s">
        <v>13752</v>
      </c>
      <c r="T73" s="462" t="s">
        <v>6186</v>
      </c>
      <c r="U73" s="469" t="s">
        <v>13578</v>
      </c>
      <c r="V73" s="473" t="s">
        <v>13748</v>
      </c>
      <c r="W73" s="100" t="s">
        <v>13580</v>
      </c>
    </row>
    <row r="74" spans="1:23" s="295" customFormat="1">
      <c r="A74" s="5970" t="s">
        <v>13457</v>
      </c>
      <c r="B74" s="5980" t="s">
        <v>13753</v>
      </c>
      <c r="C74" s="5970" t="s">
        <v>13754</v>
      </c>
      <c r="D74" s="5970" t="s">
        <v>704</v>
      </c>
      <c r="E74" s="5979" t="s">
        <v>13467</v>
      </c>
      <c r="F74" s="5970" t="s">
        <v>13573</v>
      </c>
      <c r="G74" s="5970" t="s">
        <v>13745</v>
      </c>
      <c r="H74" s="5975">
        <v>44505</v>
      </c>
      <c r="I74" s="5975" t="s">
        <v>13459</v>
      </c>
      <c r="J74" s="5975">
        <v>44512</v>
      </c>
      <c r="K74" s="5974" t="s">
        <v>13495</v>
      </c>
      <c r="L74" s="309" t="s">
        <v>13755</v>
      </c>
      <c r="M74" s="5973" t="s">
        <v>13537</v>
      </c>
      <c r="N74" s="236"/>
      <c r="O74" s="75">
        <v>400055</v>
      </c>
      <c r="P74" s="299">
        <v>44515</v>
      </c>
      <c r="Q74" s="96">
        <v>44517</v>
      </c>
      <c r="R74" s="299">
        <v>44519</v>
      </c>
      <c r="S74" s="90" t="s">
        <v>13756</v>
      </c>
      <c r="T74" s="300" t="s">
        <v>6186</v>
      </c>
      <c r="U74" s="311" t="s">
        <v>13618</v>
      </c>
      <c r="V74" s="301" t="s">
        <v>13748</v>
      </c>
      <c r="W74" s="100" t="s">
        <v>13580</v>
      </c>
    </row>
    <row r="75" spans="1:23" s="295" customFormat="1">
      <c r="A75" s="5970" t="s">
        <v>13457</v>
      </c>
      <c r="B75" s="5980" t="s">
        <v>13757</v>
      </c>
      <c r="C75" s="5970" t="s">
        <v>13758</v>
      </c>
      <c r="D75" s="5970" t="s">
        <v>704</v>
      </c>
      <c r="E75" s="5979" t="s">
        <v>13467</v>
      </c>
      <c r="F75" s="5970" t="s">
        <v>13573</v>
      </c>
      <c r="G75" s="5970" t="s">
        <v>13745</v>
      </c>
      <c r="H75" s="5975">
        <v>44505</v>
      </c>
      <c r="I75" s="5975" t="s">
        <v>13459</v>
      </c>
      <c r="J75" s="5975">
        <v>44512</v>
      </c>
      <c r="K75" s="5974" t="s">
        <v>13495</v>
      </c>
      <c r="L75" s="5991" t="s">
        <v>13759</v>
      </c>
      <c r="M75" s="5973" t="s">
        <v>13537</v>
      </c>
      <c r="N75" s="236"/>
      <c r="O75" s="75">
        <v>761684</v>
      </c>
      <c r="P75" s="299">
        <v>44515</v>
      </c>
      <c r="Q75" s="96">
        <v>44517</v>
      </c>
      <c r="R75" s="299">
        <v>44519</v>
      </c>
      <c r="S75" s="90" t="s">
        <v>13760</v>
      </c>
      <c r="T75" s="300" t="s">
        <v>6186</v>
      </c>
      <c r="U75" s="311" t="s">
        <v>13618</v>
      </c>
      <c r="V75" s="301" t="s">
        <v>13748</v>
      </c>
      <c r="W75" s="100" t="s">
        <v>13580</v>
      </c>
    </row>
    <row r="76" spans="1:23" s="10" customFormat="1">
      <c r="A76" s="5970" t="s">
        <v>13457</v>
      </c>
      <c r="B76" s="5992" t="s">
        <v>13761</v>
      </c>
      <c r="C76" s="5970" t="s">
        <v>13762</v>
      </c>
      <c r="D76" s="5993" t="s">
        <v>704</v>
      </c>
      <c r="E76" s="5994" t="s">
        <v>13467</v>
      </c>
      <c r="F76" s="5993" t="s">
        <v>13573</v>
      </c>
      <c r="G76" s="5993" t="s">
        <v>13745</v>
      </c>
      <c r="H76" s="5975">
        <v>44505</v>
      </c>
      <c r="I76" s="5975" t="s">
        <v>13459</v>
      </c>
      <c r="J76" s="5975">
        <v>44512</v>
      </c>
      <c r="K76" s="5974" t="s">
        <v>13495</v>
      </c>
      <c r="L76" s="5991" t="s">
        <v>13763</v>
      </c>
      <c r="M76" s="5973" t="s">
        <v>13537</v>
      </c>
      <c r="N76" s="301"/>
      <c r="O76" s="75">
        <v>93130</v>
      </c>
      <c r="P76" s="299">
        <v>44515</v>
      </c>
      <c r="Q76" s="96">
        <v>44517</v>
      </c>
      <c r="R76" s="96">
        <v>44518</v>
      </c>
      <c r="S76" s="100" t="s">
        <v>13764</v>
      </c>
      <c r="T76" s="312" t="s">
        <v>6186</v>
      </c>
      <c r="U76" s="294" t="s">
        <v>13618</v>
      </c>
      <c r="V76" s="303" t="s">
        <v>13748</v>
      </c>
      <c r="W76" s="100" t="s">
        <v>13580</v>
      </c>
    </row>
    <row r="77" spans="1:23" s="10" customFormat="1">
      <c r="A77" s="5970" t="s">
        <v>13457</v>
      </c>
      <c r="B77" s="5980" t="s">
        <v>13765</v>
      </c>
      <c r="C77" s="5970" t="s">
        <v>13766</v>
      </c>
      <c r="D77" s="5970" t="s">
        <v>704</v>
      </c>
      <c r="E77" s="5979" t="s">
        <v>13467</v>
      </c>
      <c r="F77" s="5970" t="s">
        <v>13573</v>
      </c>
      <c r="G77" s="5970" t="s">
        <v>13745</v>
      </c>
      <c r="H77" s="5975">
        <v>44505</v>
      </c>
      <c r="I77" s="5975" t="s">
        <v>13459</v>
      </c>
      <c r="J77" s="5975">
        <v>44512</v>
      </c>
      <c r="K77" s="5974" t="s">
        <v>13495</v>
      </c>
      <c r="L77" s="5991" t="s">
        <v>13767</v>
      </c>
      <c r="M77" s="5973" t="s">
        <v>13537</v>
      </c>
      <c r="N77" s="236"/>
      <c r="O77" s="75">
        <v>864975</v>
      </c>
      <c r="P77" s="299">
        <v>44515</v>
      </c>
      <c r="Q77" s="96">
        <v>44518</v>
      </c>
      <c r="R77" s="96">
        <v>44519</v>
      </c>
      <c r="S77" s="100" t="s">
        <v>13768</v>
      </c>
      <c r="T77" s="3925" t="s">
        <v>6186</v>
      </c>
      <c r="U77" s="3927" t="s">
        <v>13578</v>
      </c>
      <c r="V77" s="3923" t="s">
        <v>13748</v>
      </c>
      <c r="W77" s="100" t="s">
        <v>13580</v>
      </c>
    </row>
    <row r="78" spans="1:23" s="295" customFormat="1">
      <c r="A78" s="5970" t="s">
        <v>13457</v>
      </c>
      <c r="B78" s="5980" t="s">
        <v>13769</v>
      </c>
      <c r="C78" s="5970" t="s">
        <v>13770</v>
      </c>
      <c r="D78" s="5970" t="s">
        <v>704</v>
      </c>
      <c r="E78" s="5979" t="s">
        <v>13467</v>
      </c>
      <c r="F78" s="5970" t="s">
        <v>13573</v>
      </c>
      <c r="G78" s="5970" t="s">
        <v>13745</v>
      </c>
      <c r="H78" s="5975">
        <v>44505</v>
      </c>
      <c r="I78" s="5975" t="s">
        <v>13459</v>
      </c>
      <c r="J78" s="5975">
        <v>44512</v>
      </c>
      <c r="K78" s="5974" t="s">
        <v>13495</v>
      </c>
      <c r="L78" s="5991" t="s">
        <v>13771</v>
      </c>
      <c r="M78" s="5973" t="s">
        <v>13537</v>
      </c>
      <c r="N78" s="236"/>
      <c r="O78" s="75">
        <v>849138</v>
      </c>
      <c r="P78" s="299">
        <v>44515</v>
      </c>
      <c r="Q78" s="96">
        <v>44518</v>
      </c>
      <c r="R78" s="6004">
        <v>44529</v>
      </c>
      <c r="S78" s="90" t="s">
        <v>13772</v>
      </c>
      <c r="T78" s="300" t="s">
        <v>6186</v>
      </c>
      <c r="U78" s="311" t="s">
        <v>13618</v>
      </c>
      <c r="V78" s="301" t="s">
        <v>13613</v>
      </c>
      <c r="W78" s="100" t="s">
        <v>13580</v>
      </c>
    </row>
    <row r="79" spans="1:23" s="295" customFormat="1">
      <c r="A79" s="5970" t="s">
        <v>13457</v>
      </c>
      <c r="B79" s="5970" t="s">
        <v>13773</v>
      </c>
      <c r="C79" s="5974" t="s">
        <v>13774</v>
      </c>
      <c r="D79" s="5970" t="s">
        <v>200</v>
      </c>
      <c r="E79" s="5970">
        <v>3900</v>
      </c>
      <c r="F79" s="5970" t="s">
        <v>162</v>
      </c>
      <c r="G79" s="5970" t="s">
        <v>13775</v>
      </c>
      <c r="H79" s="5975">
        <v>44512</v>
      </c>
      <c r="I79" s="5975" t="s">
        <v>13459</v>
      </c>
      <c r="J79" s="5975">
        <v>44517</v>
      </c>
      <c r="K79" s="5974" t="s">
        <v>13495</v>
      </c>
      <c r="L79" s="5991" t="s">
        <v>13776</v>
      </c>
      <c r="M79" s="5973" t="s">
        <v>13777</v>
      </c>
      <c r="N79" s="225" t="s">
        <v>13778</v>
      </c>
      <c r="O79" s="75">
        <v>697709</v>
      </c>
      <c r="P79" s="299">
        <v>44520</v>
      </c>
      <c r="Q79" s="87">
        <v>44521</v>
      </c>
      <c r="R79" s="299">
        <v>44532</v>
      </c>
      <c r="S79" s="90" t="s">
        <v>13779</v>
      </c>
      <c r="T79" s="75" t="s">
        <v>6186</v>
      </c>
      <c r="U79" s="92" t="s">
        <v>13464</v>
      </c>
      <c r="V79" s="90"/>
      <c r="W79" s="100"/>
    </row>
    <row r="80" spans="1:23" s="295" customFormat="1">
      <c r="A80" s="5970" t="s">
        <v>13457</v>
      </c>
      <c r="B80" s="5992" t="s">
        <v>13780</v>
      </c>
      <c r="C80" s="5970" t="s">
        <v>13781</v>
      </c>
      <c r="D80" s="5993" t="s">
        <v>704</v>
      </c>
      <c r="E80" s="5994" t="s">
        <v>13467</v>
      </c>
      <c r="F80" s="5993" t="s">
        <v>13573</v>
      </c>
      <c r="G80" s="5993" t="s">
        <v>13745</v>
      </c>
      <c r="H80" s="5975">
        <v>44505</v>
      </c>
      <c r="I80" s="5975" t="s">
        <v>13459</v>
      </c>
      <c r="J80" s="5975">
        <v>44512</v>
      </c>
      <c r="K80" s="5996" t="s">
        <v>13495</v>
      </c>
      <c r="L80" s="5991" t="s">
        <v>13782</v>
      </c>
      <c r="M80" s="5973" t="s">
        <v>13537</v>
      </c>
      <c r="N80" s="301"/>
      <c r="O80" s="75">
        <v>979093</v>
      </c>
      <c r="P80" s="299">
        <v>44515</v>
      </c>
      <c r="Q80" s="96">
        <v>44516</v>
      </c>
      <c r="R80" s="299">
        <v>44532</v>
      </c>
      <c r="S80" s="90" t="s">
        <v>13783</v>
      </c>
      <c r="T80" s="300" t="s">
        <v>6186</v>
      </c>
      <c r="U80" s="311" t="s">
        <v>13618</v>
      </c>
      <c r="V80" s="301" t="s">
        <v>13748</v>
      </c>
      <c r="W80" s="100" t="s">
        <v>13580</v>
      </c>
    </row>
    <row r="81" spans="1:23" s="308" customFormat="1">
      <c r="A81" s="5970" t="s">
        <v>13457</v>
      </c>
      <c r="B81" s="5992" t="s">
        <v>13784</v>
      </c>
      <c r="C81" s="5970" t="s">
        <v>13785</v>
      </c>
      <c r="D81" s="5993" t="s">
        <v>704</v>
      </c>
      <c r="E81" s="5994" t="s">
        <v>13467</v>
      </c>
      <c r="F81" s="5993" t="s">
        <v>13573</v>
      </c>
      <c r="G81" s="5993" t="s">
        <v>13745</v>
      </c>
      <c r="H81" s="5975">
        <v>44505</v>
      </c>
      <c r="I81" s="5975" t="s">
        <v>13459</v>
      </c>
      <c r="J81" s="5975">
        <v>44512</v>
      </c>
      <c r="K81" s="5996" t="s">
        <v>13495</v>
      </c>
      <c r="L81" s="87" t="s">
        <v>13786</v>
      </c>
      <c r="M81" s="5973" t="s">
        <v>13537</v>
      </c>
      <c r="N81" s="301"/>
      <c r="O81" s="75">
        <v>970712</v>
      </c>
      <c r="P81" s="299">
        <v>44515</v>
      </c>
      <c r="Q81" s="96">
        <v>44517</v>
      </c>
      <c r="R81" s="299">
        <v>44530</v>
      </c>
      <c r="S81" s="90" t="s">
        <v>13787</v>
      </c>
      <c r="T81" s="300" t="s">
        <v>6186</v>
      </c>
      <c r="U81" s="311" t="s">
        <v>13618</v>
      </c>
      <c r="V81" s="301" t="s">
        <v>13748</v>
      </c>
      <c r="W81" s="100" t="s">
        <v>13580</v>
      </c>
    </row>
    <row r="82" spans="1:23" s="308" customFormat="1">
      <c r="A82" s="5970" t="s">
        <v>13457</v>
      </c>
      <c r="B82" s="5970"/>
      <c r="C82" s="5976" t="s">
        <v>13788</v>
      </c>
      <c r="D82" s="5970" t="s">
        <v>200</v>
      </c>
      <c r="E82" s="5970">
        <v>19000</v>
      </c>
      <c r="F82" s="5978" t="s">
        <v>13789</v>
      </c>
      <c r="G82" s="5970" t="s">
        <v>13790</v>
      </c>
      <c r="H82" s="5971">
        <v>44505</v>
      </c>
      <c r="I82" s="5975" t="s">
        <v>13459</v>
      </c>
      <c r="J82" s="5972">
        <v>44515</v>
      </c>
      <c r="K82" s="5974" t="s">
        <v>13495</v>
      </c>
      <c r="L82" s="6084" t="s">
        <v>13791</v>
      </c>
      <c r="M82" s="5973" t="s">
        <v>13537</v>
      </c>
      <c r="N82" s="90"/>
      <c r="O82" s="75">
        <v>507999</v>
      </c>
      <c r="P82" s="299">
        <v>44517</v>
      </c>
      <c r="Q82" s="87">
        <v>44520</v>
      </c>
      <c r="R82" s="96">
        <v>44531</v>
      </c>
      <c r="S82" s="90" t="s">
        <v>13792</v>
      </c>
      <c r="T82" s="300" t="s">
        <v>6186</v>
      </c>
      <c r="U82" s="90" t="s">
        <v>13578</v>
      </c>
      <c r="V82" s="90"/>
      <c r="W82" s="100"/>
    </row>
    <row r="83" spans="1:23" s="297" customFormat="1">
      <c r="A83" s="5970" t="s">
        <v>13457</v>
      </c>
      <c r="B83" s="5970"/>
      <c r="C83" s="5976" t="s">
        <v>13793</v>
      </c>
      <c r="D83" s="5970" t="s">
        <v>200</v>
      </c>
      <c r="E83" s="5970">
        <v>19000</v>
      </c>
      <c r="F83" s="5978" t="s">
        <v>13789</v>
      </c>
      <c r="G83" s="5970" t="s">
        <v>13790</v>
      </c>
      <c r="H83" s="5971">
        <v>44505</v>
      </c>
      <c r="I83" s="5975" t="s">
        <v>13459</v>
      </c>
      <c r="J83" s="5972">
        <f>P83-2</f>
        <v>44515</v>
      </c>
      <c r="K83" s="5974" t="s">
        <v>13495</v>
      </c>
      <c r="L83" s="6084" t="s">
        <v>13794</v>
      </c>
      <c r="M83" s="5973" t="s">
        <v>13537</v>
      </c>
      <c r="N83" s="90"/>
      <c r="O83" s="75">
        <v>637295</v>
      </c>
      <c r="P83" s="299">
        <v>44517</v>
      </c>
      <c r="Q83" s="87">
        <v>44520</v>
      </c>
      <c r="R83" s="87">
        <v>44522</v>
      </c>
      <c r="S83" s="310" t="s">
        <v>13795</v>
      </c>
      <c r="T83" s="312" t="s">
        <v>6186</v>
      </c>
      <c r="U83" s="331" t="s">
        <v>13618</v>
      </c>
      <c r="V83" s="306"/>
      <c r="W83" s="100"/>
    </row>
    <row r="84" spans="1:23" s="297" customFormat="1">
      <c r="A84" s="5970" t="s">
        <v>13457</v>
      </c>
      <c r="B84" s="5970"/>
      <c r="C84" s="5976" t="s">
        <v>13796</v>
      </c>
      <c r="D84" s="6005" t="s">
        <v>200</v>
      </c>
      <c r="E84" s="5970">
        <v>19000</v>
      </c>
      <c r="F84" s="5978" t="s">
        <v>13789</v>
      </c>
      <c r="G84" s="5970" t="s">
        <v>13790</v>
      </c>
      <c r="H84" s="5971">
        <v>44505</v>
      </c>
      <c r="I84" s="5975" t="s">
        <v>13459</v>
      </c>
      <c r="J84" s="5972">
        <f>P84-2</f>
        <v>44515</v>
      </c>
      <c r="K84" s="5996" t="s">
        <v>13495</v>
      </c>
      <c r="L84" s="6006" t="s">
        <v>13797</v>
      </c>
      <c r="M84" s="6007" t="s">
        <v>13537</v>
      </c>
      <c r="N84" s="306"/>
      <c r="O84" s="237" t="s">
        <v>13798</v>
      </c>
      <c r="P84" s="299">
        <v>44517</v>
      </c>
      <c r="Q84" s="87">
        <v>44521</v>
      </c>
      <c r="R84" s="480">
        <v>44530</v>
      </c>
      <c r="S84" s="460" t="s">
        <v>13799</v>
      </c>
      <c r="T84" s="4692" t="s">
        <v>6186</v>
      </c>
      <c r="U84" s="331" t="s">
        <v>13618</v>
      </c>
      <c r="V84" s="5976" t="s">
        <v>13748</v>
      </c>
      <c r="W84" s="318" t="s">
        <v>13619</v>
      </c>
    </row>
    <row r="85" spans="1:23" s="308" customFormat="1">
      <c r="A85" s="5970" t="s">
        <v>13457</v>
      </c>
      <c r="B85" s="5970"/>
      <c r="C85" s="5976" t="s">
        <v>13800</v>
      </c>
      <c r="D85" s="5970" t="s">
        <v>200</v>
      </c>
      <c r="E85" s="5970">
        <v>19000</v>
      </c>
      <c r="F85" s="5978" t="s">
        <v>13789</v>
      </c>
      <c r="G85" s="5970" t="s">
        <v>13790</v>
      </c>
      <c r="H85" s="5971">
        <v>44505</v>
      </c>
      <c r="I85" s="3921" t="s">
        <v>13459</v>
      </c>
      <c r="J85" s="3928">
        <f>P85-2</f>
        <v>44515</v>
      </c>
      <c r="K85" s="3929" t="s">
        <v>13495</v>
      </c>
      <c r="L85" s="6008" t="s">
        <v>13801</v>
      </c>
      <c r="M85" s="5973" t="s">
        <v>13537</v>
      </c>
      <c r="N85" s="5976"/>
      <c r="O85" s="75">
        <v>129032</v>
      </c>
      <c r="P85" s="299">
        <v>44517</v>
      </c>
      <c r="Q85" s="87">
        <v>44521</v>
      </c>
      <c r="R85" s="96">
        <v>44530</v>
      </c>
      <c r="S85" s="322" t="s">
        <v>13802</v>
      </c>
      <c r="T85" s="4687" t="s">
        <v>6186</v>
      </c>
      <c r="U85" s="294" t="s">
        <v>13618</v>
      </c>
      <c r="V85" s="5976" t="s">
        <v>13748</v>
      </c>
      <c r="W85" s="100"/>
    </row>
    <row r="86" spans="1:23" s="307" customFormat="1">
      <c r="A86" s="5970" t="s">
        <v>13457</v>
      </c>
      <c r="B86" s="5970"/>
      <c r="C86" s="5976" t="s">
        <v>13803</v>
      </c>
      <c r="D86" s="5970" t="s">
        <v>200</v>
      </c>
      <c r="E86" s="5970">
        <v>19000</v>
      </c>
      <c r="F86" s="5978" t="s">
        <v>13789</v>
      </c>
      <c r="G86" s="5970" t="s">
        <v>13790</v>
      </c>
      <c r="H86" s="6009">
        <v>44505</v>
      </c>
      <c r="I86" s="96" t="s">
        <v>13459</v>
      </c>
      <c r="J86" s="87">
        <v>44517</v>
      </c>
      <c r="K86" s="75" t="s">
        <v>13495</v>
      </c>
      <c r="L86" s="4693" t="s">
        <v>13804</v>
      </c>
      <c r="M86" s="5973" t="s">
        <v>13537</v>
      </c>
      <c r="N86" s="5976"/>
      <c r="O86" s="75">
        <v>410537</v>
      </c>
      <c r="P86" s="96">
        <v>44519</v>
      </c>
      <c r="Q86" s="87">
        <v>44520</v>
      </c>
      <c r="R86" s="96">
        <v>44524</v>
      </c>
      <c r="S86" s="306" t="s">
        <v>13805</v>
      </c>
      <c r="T86" s="5979" t="s">
        <v>6186</v>
      </c>
      <c r="U86" s="294" t="s">
        <v>13618</v>
      </c>
      <c r="V86" s="100" t="s">
        <v>13613</v>
      </c>
      <c r="W86" s="100"/>
    </row>
    <row r="87" spans="1:23" s="295" customFormat="1">
      <c r="A87" s="5970" t="s">
        <v>13457</v>
      </c>
      <c r="B87" s="5970"/>
      <c r="C87" s="5970" t="s">
        <v>13806</v>
      </c>
      <c r="D87" s="6005" t="s">
        <v>200</v>
      </c>
      <c r="E87" s="5970">
        <v>19840</v>
      </c>
      <c r="F87" s="5978" t="s">
        <v>13573</v>
      </c>
      <c r="G87" s="5970" t="s">
        <v>13807</v>
      </c>
      <c r="H87" s="6009">
        <v>44505</v>
      </c>
      <c r="I87" s="96" t="s">
        <v>13459</v>
      </c>
      <c r="J87" s="87">
        <v>44515</v>
      </c>
      <c r="K87" s="79" t="s">
        <v>13495</v>
      </c>
      <c r="L87" s="4694" t="s">
        <v>13755</v>
      </c>
      <c r="M87" s="6007" t="s">
        <v>13808</v>
      </c>
      <c r="N87" s="5976" t="s">
        <v>13809</v>
      </c>
      <c r="O87" s="75">
        <v>530213</v>
      </c>
      <c r="P87" s="96">
        <v>44515</v>
      </c>
      <c r="Q87" s="5972">
        <v>44519</v>
      </c>
      <c r="R87" s="5997">
        <v>44524</v>
      </c>
      <c r="S87" s="5976" t="s">
        <v>13810</v>
      </c>
      <c r="T87" s="6010" t="s">
        <v>6186</v>
      </c>
      <c r="U87" s="5985" t="s">
        <v>13618</v>
      </c>
      <c r="V87" s="5976" t="s">
        <v>13811</v>
      </c>
      <c r="W87" s="318"/>
    </row>
    <row r="88" spans="1:23" s="295" customFormat="1">
      <c r="A88" s="5970" t="s">
        <v>13457</v>
      </c>
      <c r="B88" s="5970"/>
      <c r="C88" s="5976" t="s">
        <v>13812</v>
      </c>
      <c r="D88" s="5970" t="s">
        <v>200</v>
      </c>
      <c r="E88" s="5970">
        <v>19000</v>
      </c>
      <c r="F88" s="5978" t="s">
        <v>13789</v>
      </c>
      <c r="G88" s="5970" t="s">
        <v>13790</v>
      </c>
      <c r="H88" s="6009">
        <v>44505</v>
      </c>
      <c r="I88" s="96" t="s">
        <v>13459</v>
      </c>
      <c r="J88" s="87">
        <f>P88-2</f>
        <v>44517</v>
      </c>
      <c r="K88" s="75" t="s">
        <v>13495</v>
      </c>
      <c r="L88" s="4695" t="s">
        <v>13813</v>
      </c>
      <c r="M88" s="5973" t="s">
        <v>13537</v>
      </c>
      <c r="N88" s="5976"/>
      <c r="O88" s="75">
        <v>554318</v>
      </c>
      <c r="P88" s="5975">
        <v>44519</v>
      </c>
      <c r="Q88" s="5972">
        <v>44520</v>
      </c>
      <c r="R88" s="5972">
        <v>44522</v>
      </c>
      <c r="S88" s="5976" t="s">
        <v>13814</v>
      </c>
      <c r="T88" s="5979" t="s">
        <v>6186</v>
      </c>
      <c r="U88" s="294" t="s">
        <v>13618</v>
      </c>
      <c r="V88" s="5976" t="s">
        <v>13613</v>
      </c>
      <c r="W88" s="100"/>
    </row>
    <row r="89" spans="1:23" s="295" customFormat="1">
      <c r="A89" s="5970" t="s">
        <v>13457</v>
      </c>
      <c r="B89" s="5970"/>
      <c r="C89" s="5976" t="s">
        <v>13815</v>
      </c>
      <c r="D89" s="6005" t="s">
        <v>200</v>
      </c>
      <c r="E89" s="5970">
        <v>19000</v>
      </c>
      <c r="F89" s="5978" t="s">
        <v>13789</v>
      </c>
      <c r="G89" s="5970" t="s">
        <v>13790</v>
      </c>
      <c r="H89" s="6009">
        <v>44505</v>
      </c>
      <c r="I89" s="96" t="s">
        <v>13459</v>
      </c>
      <c r="J89" s="87">
        <f>P89-2</f>
        <v>44517</v>
      </c>
      <c r="K89" s="79" t="s">
        <v>13495</v>
      </c>
      <c r="L89" s="4696" t="s">
        <v>13816</v>
      </c>
      <c r="M89" s="6007" t="s">
        <v>13537</v>
      </c>
      <c r="N89" s="5976"/>
      <c r="O89" s="75">
        <v>746430</v>
      </c>
      <c r="P89" s="5975">
        <v>44519</v>
      </c>
      <c r="Q89" s="87">
        <v>44520</v>
      </c>
      <c r="R89" s="81">
        <v>44530</v>
      </c>
      <c r="S89" s="6011" t="s">
        <v>13817</v>
      </c>
      <c r="T89" s="6010" t="s">
        <v>6186</v>
      </c>
      <c r="U89" s="5985" t="s">
        <v>13464</v>
      </c>
      <c r="V89" s="5976" t="s">
        <v>13748</v>
      </c>
      <c r="W89" s="318" t="s">
        <v>13619</v>
      </c>
    </row>
    <row r="90" spans="1:23" s="295" customFormat="1">
      <c r="A90" s="5970" t="s">
        <v>13457</v>
      </c>
      <c r="B90" s="5970"/>
      <c r="C90" s="5970" t="s">
        <v>13818</v>
      </c>
      <c r="D90" s="5970" t="s">
        <v>200</v>
      </c>
      <c r="E90" s="5970">
        <v>19840</v>
      </c>
      <c r="F90" s="5978" t="s">
        <v>13573</v>
      </c>
      <c r="G90" s="5970" t="s">
        <v>13807</v>
      </c>
      <c r="H90" s="6009">
        <v>44505</v>
      </c>
      <c r="I90" s="96" t="s">
        <v>13459</v>
      </c>
      <c r="J90" s="87">
        <v>44515</v>
      </c>
      <c r="K90" s="75" t="s">
        <v>13495</v>
      </c>
      <c r="L90" s="4694" t="s">
        <v>13746</v>
      </c>
      <c r="M90" s="5973" t="s">
        <v>13808</v>
      </c>
      <c r="N90" s="5976" t="s">
        <v>13809</v>
      </c>
      <c r="O90" s="235">
        <v>398724</v>
      </c>
      <c r="P90" s="5975">
        <v>44515</v>
      </c>
      <c r="Q90" s="5972">
        <v>44519</v>
      </c>
      <c r="R90" s="5975">
        <v>44533</v>
      </c>
      <c r="S90" s="5976" t="s">
        <v>13819</v>
      </c>
      <c r="T90" s="5979" t="s">
        <v>6186</v>
      </c>
      <c r="U90" s="5985" t="s">
        <v>13618</v>
      </c>
      <c r="V90" s="5976"/>
      <c r="W90" s="100" t="s">
        <v>13580</v>
      </c>
    </row>
    <row r="91" spans="1:23" s="305" customFormat="1">
      <c r="A91" s="5970" t="s">
        <v>13457</v>
      </c>
      <c r="B91" s="5970"/>
      <c r="C91" s="5976" t="s">
        <v>13820</v>
      </c>
      <c r="D91" s="5970" t="s">
        <v>200</v>
      </c>
      <c r="E91" s="5970">
        <v>19000</v>
      </c>
      <c r="F91" s="5978" t="s">
        <v>13789</v>
      </c>
      <c r="G91" s="5970" t="s">
        <v>13790</v>
      </c>
      <c r="H91" s="6009">
        <v>44505</v>
      </c>
      <c r="I91" s="96" t="s">
        <v>13459</v>
      </c>
      <c r="J91" s="87">
        <f>P91-2</f>
        <v>44517</v>
      </c>
      <c r="K91" s="75" t="s">
        <v>13495</v>
      </c>
      <c r="L91" s="4693" t="s">
        <v>13821</v>
      </c>
      <c r="M91" s="5973" t="s">
        <v>13537</v>
      </c>
      <c r="N91" s="5976"/>
      <c r="O91" s="75">
        <v>739629</v>
      </c>
      <c r="P91" s="5975">
        <v>44519</v>
      </c>
      <c r="Q91" s="5972">
        <v>44520</v>
      </c>
      <c r="R91" s="5975">
        <v>44529</v>
      </c>
      <c r="S91" s="100" t="s">
        <v>13822</v>
      </c>
      <c r="T91" s="5979" t="s">
        <v>6186</v>
      </c>
      <c r="U91" s="294" t="s">
        <v>13618</v>
      </c>
      <c r="V91" s="5976" t="s">
        <v>13579</v>
      </c>
      <c r="W91" s="100"/>
    </row>
    <row r="92" spans="1:23" s="305" customFormat="1">
      <c r="A92" s="5970" t="s">
        <v>13457</v>
      </c>
      <c r="B92" s="5970"/>
      <c r="C92" s="5976" t="s">
        <v>13823</v>
      </c>
      <c r="D92" s="6005" t="s">
        <v>200</v>
      </c>
      <c r="E92" s="5970">
        <v>19000</v>
      </c>
      <c r="F92" s="5978" t="s">
        <v>13789</v>
      </c>
      <c r="G92" s="5970" t="s">
        <v>13790</v>
      </c>
      <c r="H92" s="6009">
        <v>44505</v>
      </c>
      <c r="I92" s="96" t="s">
        <v>13459</v>
      </c>
      <c r="J92" s="87">
        <f>P92-2</f>
        <v>44517</v>
      </c>
      <c r="K92" s="79" t="s">
        <v>13495</v>
      </c>
      <c r="L92" s="4696" t="s">
        <v>13824</v>
      </c>
      <c r="M92" s="6007" t="s">
        <v>13537</v>
      </c>
      <c r="N92" s="5976"/>
      <c r="O92" s="75">
        <v>892111</v>
      </c>
      <c r="P92" s="5975">
        <v>44519</v>
      </c>
      <c r="Q92" s="87">
        <v>44521</v>
      </c>
      <c r="R92" s="81">
        <v>44531</v>
      </c>
      <c r="S92" s="100" t="s">
        <v>13825</v>
      </c>
      <c r="T92" s="6010" t="s">
        <v>6186</v>
      </c>
      <c r="U92" s="5985" t="s">
        <v>13618</v>
      </c>
      <c r="V92" s="5976" t="s">
        <v>13748</v>
      </c>
      <c r="W92" s="318"/>
    </row>
    <row r="93" spans="1:23" s="305" customFormat="1">
      <c r="A93" s="5970" t="s">
        <v>13457</v>
      </c>
      <c r="B93" s="5970"/>
      <c r="C93" s="5970" t="s">
        <v>13826</v>
      </c>
      <c r="D93" s="5970" t="s">
        <v>200</v>
      </c>
      <c r="E93" s="5970">
        <v>19840</v>
      </c>
      <c r="F93" s="5978" t="s">
        <v>13573</v>
      </c>
      <c r="G93" s="5970" t="s">
        <v>13807</v>
      </c>
      <c r="H93" s="6009">
        <v>44505</v>
      </c>
      <c r="I93" s="96" t="s">
        <v>13459</v>
      </c>
      <c r="J93" s="87">
        <v>44515</v>
      </c>
      <c r="K93" s="75" t="s">
        <v>13495</v>
      </c>
      <c r="L93" s="4694" t="s">
        <v>13827</v>
      </c>
      <c r="M93" s="5973" t="s">
        <v>13808</v>
      </c>
      <c r="N93" s="5976" t="s">
        <v>13809</v>
      </c>
      <c r="O93" s="5974">
        <v>337185</v>
      </c>
      <c r="P93" s="5975">
        <v>44515</v>
      </c>
      <c r="Q93" s="5972">
        <v>44519</v>
      </c>
      <c r="R93" s="5975">
        <v>44522</v>
      </c>
      <c r="S93" s="5976" t="s">
        <v>13828</v>
      </c>
      <c r="T93" s="5979" t="s">
        <v>6186</v>
      </c>
      <c r="U93" s="5985" t="s">
        <v>13618</v>
      </c>
      <c r="V93" s="5976" t="s">
        <v>13579</v>
      </c>
      <c r="W93" s="100" t="s">
        <v>13580</v>
      </c>
    </row>
    <row r="94" spans="1:23" s="305" customFormat="1">
      <c r="A94" s="5970" t="s">
        <v>13457</v>
      </c>
      <c r="B94" s="5970"/>
      <c r="C94" s="5976" t="s">
        <v>13829</v>
      </c>
      <c r="D94" s="5970" t="s">
        <v>200</v>
      </c>
      <c r="E94" s="5970">
        <v>19000</v>
      </c>
      <c r="F94" s="5978" t="s">
        <v>13789</v>
      </c>
      <c r="G94" s="5970" t="s">
        <v>13790</v>
      </c>
      <c r="H94" s="6009">
        <v>44505</v>
      </c>
      <c r="I94" s="96" t="s">
        <v>13459</v>
      </c>
      <c r="J94" s="87">
        <f>P94-2</f>
        <v>44517</v>
      </c>
      <c r="K94" s="75" t="s">
        <v>13495</v>
      </c>
      <c r="L94" s="4693" t="s">
        <v>13830</v>
      </c>
      <c r="M94" s="5973" t="s">
        <v>13537</v>
      </c>
      <c r="N94" s="5976"/>
      <c r="O94" s="5974">
        <v>959858</v>
      </c>
      <c r="P94" s="5975">
        <v>44519</v>
      </c>
      <c r="Q94" s="5972">
        <v>44521</v>
      </c>
      <c r="R94" s="5975">
        <v>44530</v>
      </c>
      <c r="S94" s="100" t="s">
        <v>13831</v>
      </c>
      <c r="T94" s="5979" t="s">
        <v>6186</v>
      </c>
      <c r="U94" s="294" t="s">
        <v>13618</v>
      </c>
      <c r="V94" s="5976" t="s">
        <v>13748</v>
      </c>
      <c r="W94" s="100"/>
    </row>
    <row r="95" spans="1:23" s="305" customFormat="1">
      <c r="A95" s="5970" t="s">
        <v>13457</v>
      </c>
      <c r="B95" s="5980" t="s">
        <v>13832</v>
      </c>
      <c r="C95" s="5970" t="s">
        <v>13833</v>
      </c>
      <c r="D95" s="5970" t="s">
        <v>704</v>
      </c>
      <c r="E95" s="5979" t="s">
        <v>13467</v>
      </c>
      <c r="F95" s="5970" t="s">
        <v>13573</v>
      </c>
      <c r="G95" s="5970" t="s">
        <v>13745</v>
      </c>
      <c r="H95" s="5998">
        <v>44505</v>
      </c>
      <c r="I95" s="96" t="s">
        <v>13459</v>
      </c>
      <c r="J95" s="96">
        <v>44517</v>
      </c>
      <c r="K95" s="75" t="s">
        <v>13495</v>
      </c>
      <c r="L95" s="4697" t="s">
        <v>13834</v>
      </c>
      <c r="M95" s="5973" t="s">
        <v>13537</v>
      </c>
      <c r="N95" s="5982"/>
      <c r="O95" s="5974">
        <v>273930</v>
      </c>
      <c r="P95" s="5975">
        <v>44523</v>
      </c>
      <c r="Q95" s="5975">
        <v>44521</v>
      </c>
      <c r="R95" s="5975">
        <v>44532</v>
      </c>
      <c r="S95" s="5976" t="s">
        <v>13835</v>
      </c>
      <c r="T95" s="5979" t="s">
        <v>6186</v>
      </c>
      <c r="U95" s="5985" t="s">
        <v>13618</v>
      </c>
      <c r="V95" s="5982" t="s">
        <v>13748</v>
      </c>
      <c r="W95" s="100"/>
    </row>
    <row r="96" spans="1:23" s="10" customFormat="1">
      <c r="A96" s="5970" t="s">
        <v>13457</v>
      </c>
      <c r="B96" s="5980" t="s">
        <v>13836</v>
      </c>
      <c r="C96" s="5970" t="s">
        <v>13837</v>
      </c>
      <c r="D96" s="5970" t="s">
        <v>704</v>
      </c>
      <c r="E96" s="5979" t="s">
        <v>13467</v>
      </c>
      <c r="F96" s="5974" t="s">
        <v>167</v>
      </c>
      <c r="G96" s="5970" t="s">
        <v>13838</v>
      </c>
      <c r="H96" s="5998">
        <v>44516</v>
      </c>
      <c r="I96" s="96" t="s">
        <v>13459</v>
      </c>
      <c r="J96" s="96">
        <v>44522</v>
      </c>
      <c r="K96" s="75" t="s">
        <v>46</v>
      </c>
      <c r="L96" s="4697" t="s">
        <v>13839</v>
      </c>
      <c r="M96" s="5973" t="s">
        <v>13479</v>
      </c>
      <c r="N96" s="6012"/>
      <c r="O96" s="6008" t="s">
        <v>13840</v>
      </c>
      <c r="P96" s="5975">
        <v>44523</v>
      </c>
      <c r="Q96" s="5972">
        <v>44523</v>
      </c>
      <c r="R96" s="5972">
        <v>44530</v>
      </c>
      <c r="S96" s="5976" t="s">
        <v>13841</v>
      </c>
      <c r="T96" s="5979" t="s">
        <v>6186</v>
      </c>
      <c r="U96" s="5985" t="s">
        <v>13618</v>
      </c>
      <c r="V96" s="5976" t="s">
        <v>13579</v>
      </c>
      <c r="W96" s="100"/>
    </row>
    <row r="97" spans="1:23" s="295" customFormat="1">
      <c r="A97" s="5970" t="s">
        <v>13457</v>
      </c>
      <c r="B97" s="5980" t="s">
        <v>13842</v>
      </c>
      <c r="C97" s="5970" t="s">
        <v>13843</v>
      </c>
      <c r="D97" s="5970" t="s">
        <v>704</v>
      </c>
      <c r="E97" s="5979" t="s">
        <v>13467</v>
      </c>
      <c r="F97" s="5974" t="s">
        <v>167</v>
      </c>
      <c r="G97" s="5970" t="s">
        <v>13838</v>
      </c>
      <c r="H97" s="5998">
        <v>44516</v>
      </c>
      <c r="I97" s="96" t="s">
        <v>13459</v>
      </c>
      <c r="J97" s="96">
        <v>44522</v>
      </c>
      <c r="K97" s="75" t="s">
        <v>46</v>
      </c>
      <c r="L97" s="4697" t="s">
        <v>13755</v>
      </c>
      <c r="M97" s="5973" t="s">
        <v>13479</v>
      </c>
      <c r="N97" s="6012"/>
      <c r="O97" s="6008" t="s">
        <v>13844</v>
      </c>
      <c r="P97" s="5975">
        <v>44523</v>
      </c>
      <c r="Q97" s="5972">
        <v>44523</v>
      </c>
      <c r="R97" s="5972">
        <v>44527</v>
      </c>
      <c r="S97" s="5976" t="s">
        <v>13845</v>
      </c>
      <c r="T97" s="5979" t="s">
        <v>6186</v>
      </c>
      <c r="U97" s="294" t="s">
        <v>13618</v>
      </c>
      <c r="V97" s="100" t="s">
        <v>13579</v>
      </c>
      <c r="W97" s="100"/>
    </row>
    <row r="98" spans="1:23" s="305" customFormat="1">
      <c r="A98" s="5970" t="s">
        <v>13457</v>
      </c>
      <c r="B98" s="6013" t="s">
        <v>13846</v>
      </c>
      <c r="C98" s="6005" t="s">
        <v>13847</v>
      </c>
      <c r="D98" s="6005" t="s">
        <v>704</v>
      </c>
      <c r="E98" s="6010" t="s">
        <v>13467</v>
      </c>
      <c r="F98" s="6014" t="s">
        <v>167</v>
      </c>
      <c r="G98" s="6005" t="s">
        <v>13838</v>
      </c>
      <c r="H98" s="5998">
        <v>44516</v>
      </c>
      <c r="I98" s="96" t="s">
        <v>13459</v>
      </c>
      <c r="J98" s="96">
        <v>44522</v>
      </c>
      <c r="K98" s="83" t="s">
        <v>46</v>
      </c>
      <c r="L98" s="4697" t="s">
        <v>13746</v>
      </c>
      <c r="M98" s="6007" t="s">
        <v>13479</v>
      </c>
      <c r="N98" s="6012"/>
      <c r="O98" s="6006" t="s">
        <v>13848</v>
      </c>
      <c r="P98" s="5975">
        <v>44523</v>
      </c>
      <c r="Q98" s="5972">
        <v>44523</v>
      </c>
      <c r="R98" s="5972">
        <v>44529</v>
      </c>
      <c r="S98" s="6015" t="s">
        <v>13845</v>
      </c>
      <c r="T98" s="6010" t="s">
        <v>6186</v>
      </c>
      <c r="U98" s="294" t="s">
        <v>13618</v>
      </c>
      <c r="V98" s="6012" t="s">
        <v>13849</v>
      </c>
      <c r="W98" s="318" t="s">
        <v>13580</v>
      </c>
    </row>
    <row r="99" spans="1:23" s="295" customFormat="1">
      <c r="A99" s="5970" t="s">
        <v>13457</v>
      </c>
      <c r="B99" s="6013" t="s">
        <v>13850</v>
      </c>
      <c r="C99" s="6005" t="s">
        <v>13851</v>
      </c>
      <c r="D99" s="6005" t="s">
        <v>704</v>
      </c>
      <c r="E99" s="6010" t="s">
        <v>13467</v>
      </c>
      <c r="F99" s="6014" t="s">
        <v>167</v>
      </c>
      <c r="G99" s="6005" t="s">
        <v>13838</v>
      </c>
      <c r="H99" s="5998">
        <v>44516</v>
      </c>
      <c r="I99" s="96" t="s">
        <v>13459</v>
      </c>
      <c r="J99" s="96">
        <v>44522</v>
      </c>
      <c r="K99" s="83" t="s">
        <v>46</v>
      </c>
      <c r="L99" s="4698" t="s">
        <v>13751</v>
      </c>
      <c r="M99" s="6007" t="s">
        <v>13479</v>
      </c>
      <c r="N99" s="6012"/>
      <c r="O99" s="6006" t="s">
        <v>13852</v>
      </c>
      <c r="P99" s="5975">
        <v>44523</v>
      </c>
      <c r="Q99" s="5972">
        <v>44523</v>
      </c>
      <c r="R99" s="5972">
        <v>44527</v>
      </c>
      <c r="S99" s="100" t="s">
        <v>13853</v>
      </c>
      <c r="T99" s="6010" t="s">
        <v>6186</v>
      </c>
      <c r="U99" s="345" t="s">
        <v>13854</v>
      </c>
      <c r="V99" s="6016" t="s">
        <v>13579</v>
      </c>
      <c r="W99" s="224" t="s">
        <v>13855</v>
      </c>
    </row>
    <row r="100" spans="1:23" s="295" customFormat="1">
      <c r="A100" s="5970" t="s">
        <v>13457</v>
      </c>
      <c r="B100" s="6013" t="s">
        <v>13856</v>
      </c>
      <c r="C100" s="6005" t="s">
        <v>13857</v>
      </c>
      <c r="D100" s="6005" t="s">
        <v>704</v>
      </c>
      <c r="E100" s="6010" t="s">
        <v>13467</v>
      </c>
      <c r="F100" s="6014" t="s">
        <v>1374</v>
      </c>
      <c r="G100" s="6005" t="s">
        <v>13858</v>
      </c>
      <c r="H100" s="299">
        <v>44515</v>
      </c>
      <c r="I100" s="96" t="s">
        <v>13459</v>
      </c>
      <c r="J100" s="87">
        <v>44527</v>
      </c>
      <c r="K100" s="83" t="s">
        <v>57</v>
      </c>
      <c r="L100" s="4699">
        <v>44540</v>
      </c>
      <c r="M100" s="6007" t="s">
        <v>13537</v>
      </c>
      <c r="N100" s="6012"/>
      <c r="O100" s="5974">
        <v>7208499</v>
      </c>
      <c r="P100" s="5975">
        <v>44529</v>
      </c>
      <c r="Q100" s="5975">
        <v>44529</v>
      </c>
      <c r="R100" s="5997">
        <v>44531</v>
      </c>
      <c r="S100" s="4740" t="s">
        <v>13859</v>
      </c>
      <c r="T100" s="6010" t="s">
        <v>6186</v>
      </c>
      <c r="U100" s="6017" t="s">
        <v>13464</v>
      </c>
      <c r="V100" s="6012" t="s">
        <v>13748</v>
      </c>
      <c r="W100" s="318" t="s">
        <v>13619</v>
      </c>
    </row>
    <row r="101" spans="1:23" s="295" customFormat="1">
      <c r="A101" s="6018" t="s">
        <v>13457</v>
      </c>
      <c r="B101" s="5970"/>
      <c r="C101" s="6019" t="s">
        <v>13860</v>
      </c>
      <c r="D101" s="6020" t="s">
        <v>704</v>
      </c>
      <c r="E101" s="6020">
        <v>21240</v>
      </c>
      <c r="F101" s="6020" t="s">
        <v>1374</v>
      </c>
      <c r="G101" s="6021" t="s">
        <v>13861</v>
      </c>
      <c r="H101" s="287">
        <v>44522</v>
      </c>
      <c r="I101" s="288" t="s">
        <v>13459</v>
      </c>
      <c r="J101" s="87">
        <v>44527</v>
      </c>
      <c r="K101" s="27" t="s">
        <v>57</v>
      </c>
      <c r="L101" s="4697" t="s">
        <v>13862</v>
      </c>
      <c r="M101" s="6007" t="s">
        <v>13479</v>
      </c>
      <c r="N101" s="6022" t="s">
        <v>13863</v>
      </c>
      <c r="O101" s="5974">
        <v>7208560</v>
      </c>
      <c r="P101" s="5975">
        <v>44529</v>
      </c>
      <c r="Q101" s="6023">
        <v>44530</v>
      </c>
      <c r="R101" s="5997">
        <v>44534</v>
      </c>
      <c r="S101" s="281" t="s">
        <v>13864</v>
      </c>
      <c r="T101" s="5994" t="s">
        <v>6186</v>
      </c>
      <c r="U101" s="482" t="s">
        <v>13464</v>
      </c>
      <c r="V101" s="6017"/>
      <c r="W101" s="318" t="s">
        <v>13619</v>
      </c>
    </row>
    <row r="102" spans="1:23" s="10" customFormat="1">
      <c r="A102" s="6018" t="s">
        <v>13457</v>
      </c>
      <c r="B102" s="5970"/>
      <c r="C102" s="6019" t="s">
        <v>13865</v>
      </c>
      <c r="D102" s="6024" t="s">
        <v>704</v>
      </c>
      <c r="E102" s="6024">
        <v>21240</v>
      </c>
      <c r="F102" s="6024" t="s">
        <v>1374</v>
      </c>
      <c r="G102" s="6018" t="s">
        <v>13866</v>
      </c>
      <c r="H102" s="287">
        <v>44522</v>
      </c>
      <c r="I102" s="288" t="s">
        <v>13459</v>
      </c>
      <c r="J102" s="87">
        <v>44527</v>
      </c>
      <c r="K102" s="27" t="s">
        <v>57</v>
      </c>
      <c r="L102" s="3930" t="s">
        <v>13867</v>
      </c>
      <c r="M102" s="5973" t="s">
        <v>13479</v>
      </c>
      <c r="N102" s="6022" t="s">
        <v>13863</v>
      </c>
      <c r="O102" s="5974">
        <v>7208481</v>
      </c>
      <c r="P102" s="5975">
        <v>44529</v>
      </c>
      <c r="Q102" s="6025">
        <v>44530</v>
      </c>
      <c r="R102" s="5975">
        <v>44533</v>
      </c>
      <c r="S102" s="281" t="s">
        <v>13868</v>
      </c>
      <c r="T102" s="5979" t="s">
        <v>6186</v>
      </c>
      <c r="U102" s="477" t="s">
        <v>13618</v>
      </c>
      <c r="V102" s="5982" t="s">
        <v>13579</v>
      </c>
      <c r="W102" s="100"/>
    </row>
    <row r="103" spans="1:23" s="10" customFormat="1">
      <c r="A103" s="5970" t="s">
        <v>13457</v>
      </c>
      <c r="B103" s="5980" t="s">
        <v>13869</v>
      </c>
      <c r="C103" s="5970" t="s">
        <v>13870</v>
      </c>
      <c r="D103" s="5970" t="s">
        <v>704</v>
      </c>
      <c r="E103" s="5979" t="s">
        <v>13467</v>
      </c>
      <c r="F103" s="5974" t="s">
        <v>1374</v>
      </c>
      <c r="G103" s="5970" t="s">
        <v>13858</v>
      </c>
      <c r="H103" s="299">
        <v>44515</v>
      </c>
      <c r="I103" s="96" t="s">
        <v>13459</v>
      </c>
      <c r="J103" s="87">
        <v>44527</v>
      </c>
      <c r="K103" s="136" t="s">
        <v>57</v>
      </c>
      <c r="L103" s="87" t="s">
        <v>13871</v>
      </c>
      <c r="M103" s="4700" t="s">
        <v>13537</v>
      </c>
      <c r="N103" s="5982"/>
      <c r="O103" s="5974">
        <v>7208723</v>
      </c>
      <c r="P103" s="3921">
        <v>44529</v>
      </c>
      <c r="Q103" s="3921">
        <v>44529</v>
      </c>
      <c r="R103" s="3921">
        <v>44533</v>
      </c>
      <c r="S103" s="281" t="s">
        <v>13872</v>
      </c>
      <c r="T103" s="3931" t="s">
        <v>6186</v>
      </c>
      <c r="U103" s="294" t="s">
        <v>13873</v>
      </c>
      <c r="V103" s="5982" t="s">
        <v>13748</v>
      </c>
      <c r="W103" s="100" t="s">
        <v>13619</v>
      </c>
    </row>
    <row r="104" spans="1:23" s="295" customFormat="1">
      <c r="A104" s="5970" t="s">
        <v>13457</v>
      </c>
      <c r="B104" s="6013" t="s">
        <v>13874</v>
      </c>
      <c r="C104" s="6005" t="s">
        <v>13875</v>
      </c>
      <c r="D104" s="6005" t="s">
        <v>704</v>
      </c>
      <c r="E104" s="6010" t="s">
        <v>13467</v>
      </c>
      <c r="F104" s="6014" t="s">
        <v>1374</v>
      </c>
      <c r="G104" s="6005" t="s">
        <v>13858</v>
      </c>
      <c r="H104" s="299">
        <v>44515</v>
      </c>
      <c r="I104" s="96" t="s">
        <v>13459</v>
      </c>
      <c r="J104" s="87">
        <v>44527</v>
      </c>
      <c r="K104" s="446" t="s">
        <v>57</v>
      </c>
      <c r="L104" s="87" t="s">
        <v>13801</v>
      </c>
      <c r="M104" s="4701" t="s">
        <v>13537</v>
      </c>
      <c r="N104" s="3932"/>
      <c r="O104" s="3933">
        <v>7208725</v>
      </c>
      <c r="P104" s="321">
        <v>44529</v>
      </c>
      <c r="Q104" s="96">
        <v>44529</v>
      </c>
      <c r="R104" s="81">
        <v>44533</v>
      </c>
      <c r="S104" s="400" t="s">
        <v>13876</v>
      </c>
      <c r="T104" s="273" t="s">
        <v>6186</v>
      </c>
      <c r="U104" s="5985" t="s">
        <v>13873</v>
      </c>
      <c r="V104" s="301" t="s">
        <v>13748</v>
      </c>
      <c r="W104" s="318"/>
    </row>
    <row r="105" spans="1:23" s="295" customFormat="1">
      <c r="A105" s="5970" t="s">
        <v>13457</v>
      </c>
      <c r="B105" s="5980" t="s">
        <v>13877</v>
      </c>
      <c r="C105" s="123" t="s">
        <v>13878</v>
      </c>
      <c r="D105" s="5970" t="s">
        <v>704</v>
      </c>
      <c r="E105" s="5979" t="s">
        <v>13467</v>
      </c>
      <c r="F105" s="5974" t="s">
        <v>1374</v>
      </c>
      <c r="G105" s="5970" t="s">
        <v>13858</v>
      </c>
      <c r="H105" s="299">
        <v>44515</v>
      </c>
      <c r="I105" s="96" t="s">
        <v>13459</v>
      </c>
      <c r="J105" s="87">
        <v>44525</v>
      </c>
      <c r="K105" s="136" t="s">
        <v>57</v>
      </c>
      <c r="L105" s="87" t="s">
        <v>13879</v>
      </c>
      <c r="M105" s="4702" t="s">
        <v>13537</v>
      </c>
      <c r="N105" s="301"/>
      <c r="O105" s="75">
        <v>7208568</v>
      </c>
      <c r="P105" s="299">
        <v>44529</v>
      </c>
      <c r="Q105" s="96">
        <v>44529</v>
      </c>
      <c r="R105" s="96">
        <v>44533</v>
      </c>
      <c r="S105" s="100" t="s">
        <v>13880</v>
      </c>
      <c r="T105" s="302" t="s">
        <v>6186</v>
      </c>
      <c r="U105" s="5985" t="s">
        <v>13618</v>
      </c>
      <c r="V105" s="303" t="s">
        <v>13748</v>
      </c>
      <c r="W105" s="100"/>
    </row>
    <row r="106" spans="1:23" s="10" customFormat="1">
      <c r="A106" s="6018" t="s">
        <v>13457</v>
      </c>
      <c r="B106" s="6000"/>
      <c r="C106" s="335" t="s">
        <v>13881</v>
      </c>
      <c r="D106" s="4703" t="s">
        <v>704</v>
      </c>
      <c r="E106" s="6020">
        <v>21240</v>
      </c>
      <c r="F106" s="6020" t="s">
        <v>1374</v>
      </c>
      <c r="G106" s="6021" t="s">
        <v>13882</v>
      </c>
      <c r="H106" s="287">
        <v>44522</v>
      </c>
      <c r="I106" s="261" t="s">
        <v>13459</v>
      </c>
      <c r="J106" s="107">
        <v>44527</v>
      </c>
      <c r="K106" s="103" t="s">
        <v>57</v>
      </c>
      <c r="L106" s="87" t="s">
        <v>13834</v>
      </c>
      <c r="M106" s="4704" t="s">
        <v>13479</v>
      </c>
      <c r="N106" s="285" t="s">
        <v>13863</v>
      </c>
      <c r="O106" s="75">
        <v>7208556</v>
      </c>
      <c r="P106" s="299">
        <v>44529</v>
      </c>
      <c r="Q106" s="87">
        <v>44532</v>
      </c>
      <c r="R106" s="81">
        <v>44534</v>
      </c>
      <c r="S106" s="6085" t="s">
        <v>13883</v>
      </c>
      <c r="T106" s="5979" t="s">
        <v>6186</v>
      </c>
      <c r="U106" s="294" t="s">
        <v>13873</v>
      </c>
      <c r="V106" s="6017" t="s">
        <v>13579</v>
      </c>
      <c r="W106" s="318" t="s">
        <v>13619</v>
      </c>
    </row>
    <row r="107" spans="1:23" s="10" customFormat="1">
      <c r="A107" s="6018" t="s">
        <v>13457</v>
      </c>
      <c r="B107" s="6000"/>
      <c r="C107" s="335" t="s">
        <v>13884</v>
      </c>
      <c r="D107" s="4703" t="s">
        <v>704</v>
      </c>
      <c r="E107" s="6020">
        <v>21240</v>
      </c>
      <c r="F107" s="6020" t="s">
        <v>1374</v>
      </c>
      <c r="G107" s="6021" t="s">
        <v>13885</v>
      </c>
      <c r="H107" s="287">
        <v>44522</v>
      </c>
      <c r="I107" s="317" t="s">
        <v>13459</v>
      </c>
      <c r="J107" s="87">
        <v>44527</v>
      </c>
      <c r="K107" s="442" t="s">
        <v>57</v>
      </c>
      <c r="L107" s="87" t="s">
        <v>13816</v>
      </c>
      <c r="M107" s="4704" t="s">
        <v>13479</v>
      </c>
      <c r="N107" s="285" t="s">
        <v>13863</v>
      </c>
      <c r="O107" s="75">
        <v>7208733</v>
      </c>
      <c r="P107" s="299">
        <v>44529</v>
      </c>
      <c r="Q107" s="87">
        <v>44532</v>
      </c>
      <c r="R107" s="81">
        <v>44534</v>
      </c>
      <c r="S107" s="6085" t="s">
        <v>13886</v>
      </c>
      <c r="T107" s="5994" t="s">
        <v>6186</v>
      </c>
      <c r="U107" s="294" t="s">
        <v>13873</v>
      </c>
      <c r="V107" s="236"/>
      <c r="W107" s="318" t="s">
        <v>13619</v>
      </c>
    </row>
    <row r="108" spans="1:23" s="10" customFormat="1">
      <c r="A108" s="6018" t="s">
        <v>13457</v>
      </c>
      <c r="B108" s="333"/>
      <c r="C108" s="335" t="s">
        <v>13887</v>
      </c>
      <c r="D108" s="444" t="s">
        <v>704</v>
      </c>
      <c r="E108" s="444">
        <v>21240</v>
      </c>
      <c r="F108" s="444" t="s">
        <v>1374</v>
      </c>
      <c r="G108" s="445" t="s">
        <v>13888</v>
      </c>
      <c r="H108" s="287">
        <v>44522</v>
      </c>
      <c r="I108" s="317" t="s">
        <v>13459</v>
      </c>
      <c r="J108" s="87">
        <v>44443</v>
      </c>
      <c r="K108" s="442" t="s">
        <v>57</v>
      </c>
      <c r="L108" s="87" t="s">
        <v>13816</v>
      </c>
      <c r="M108" s="284" t="s">
        <v>13479</v>
      </c>
      <c r="N108" s="285" t="s">
        <v>13863</v>
      </c>
      <c r="O108" s="75">
        <v>7208573</v>
      </c>
      <c r="P108" s="299">
        <v>44529</v>
      </c>
      <c r="Q108" s="87">
        <v>44532</v>
      </c>
      <c r="R108" s="81">
        <v>44536</v>
      </c>
      <c r="S108" s="281" t="s">
        <v>13889</v>
      </c>
      <c r="T108" s="464" t="s">
        <v>6186</v>
      </c>
      <c r="U108" s="294" t="s">
        <v>13873</v>
      </c>
      <c r="V108" s="236"/>
      <c r="W108" s="318"/>
    </row>
    <row r="109" spans="1:23" s="10" customFormat="1">
      <c r="A109" s="6018" t="s">
        <v>13457</v>
      </c>
      <c r="B109" s="291" t="s">
        <v>13890</v>
      </c>
      <c r="C109" s="288" t="s">
        <v>13891</v>
      </c>
      <c r="D109" s="289" t="s">
        <v>704</v>
      </c>
      <c r="E109" s="290" t="s">
        <v>13467</v>
      </c>
      <c r="F109" s="289" t="s">
        <v>11564</v>
      </c>
      <c r="G109" s="289" t="s">
        <v>13892</v>
      </c>
      <c r="H109" s="287">
        <v>44518</v>
      </c>
      <c r="I109" s="287" t="s">
        <v>13459</v>
      </c>
      <c r="J109" s="87">
        <v>44531</v>
      </c>
      <c r="K109" s="320" t="s">
        <v>46</v>
      </c>
      <c r="L109" s="87" t="s">
        <v>13834</v>
      </c>
      <c r="M109" s="479" t="s">
        <v>13479</v>
      </c>
      <c r="N109" s="285"/>
      <c r="O109" s="286" t="s">
        <v>13893</v>
      </c>
      <c r="P109" s="287">
        <v>44533</v>
      </c>
      <c r="Q109" s="87">
        <v>44533</v>
      </c>
      <c r="R109" s="87">
        <v>44536</v>
      </c>
      <c r="S109" s="281" t="s">
        <v>13894</v>
      </c>
      <c r="T109" s="323" t="s">
        <v>6186</v>
      </c>
      <c r="U109" s="294" t="s">
        <v>13873</v>
      </c>
      <c r="V109" s="332"/>
      <c r="W109" s="10" t="s">
        <v>13619</v>
      </c>
    </row>
    <row r="110" spans="1:23" s="10" customFormat="1">
      <c r="A110" s="6018" t="s">
        <v>13457</v>
      </c>
      <c r="B110" s="292" t="s">
        <v>13895</v>
      </c>
      <c r="C110" s="288" t="s">
        <v>13896</v>
      </c>
      <c r="D110" s="289" t="s">
        <v>704</v>
      </c>
      <c r="E110" s="290" t="s">
        <v>13467</v>
      </c>
      <c r="F110" s="289" t="s">
        <v>11564</v>
      </c>
      <c r="G110" s="289" t="s">
        <v>13892</v>
      </c>
      <c r="H110" s="287">
        <v>44518</v>
      </c>
      <c r="I110" s="287" t="s">
        <v>13459</v>
      </c>
      <c r="J110" s="87">
        <v>44531</v>
      </c>
      <c r="K110" s="320" t="s">
        <v>46</v>
      </c>
      <c r="L110" s="87" t="s">
        <v>13834</v>
      </c>
      <c r="M110" s="293" t="s">
        <v>13479</v>
      </c>
      <c r="N110" s="285"/>
      <c r="O110" s="286" t="s">
        <v>13897</v>
      </c>
      <c r="P110" s="287">
        <v>44533</v>
      </c>
      <c r="Q110" s="87">
        <v>44533</v>
      </c>
      <c r="R110" s="87">
        <v>44537</v>
      </c>
      <c r="S110" s="281" t="s">
        <v>13894</v>
      </c>
      <c r="T110" s="324" t="s">
        <v>6186</v>
      </c>
      <c r="U110" s="294" t="s">
        <v>13873</v>
      </c>
      <c r="V110" s="332" t="s">
        <v>13898</v>
      </c>
      <c r="W110" s="10" t="s">
        <v>13619</v>
      </c>
    </row>
    <row r="111" spans="1:23" s="10" customFormat="1">
      <c r="A111" s="6018" t="s">
        <v>13457</v>
      </c>
      <c r="B111" s="314" t="s">
        <v>13899</v>
      </c>
      <c r="C111" s="289" t="s">
        <v>13900</v>
      </c>
      <c r="D111" s="289" t="s">
        <v>704</v>
      </c>
      <c r="E111" s="290" t="s">
        <v>13467</v>
      </c>
      <c r="F111" s="289" t="s">
        <v>11564</v>
      </c>
      <c r="G111" s="289" t="s">
        <v>13892</v>
      </c>
      <c r="H111" s="334">
        <v>44518</v>
      </c>
      <c r="I111" s="334" t="s">
        <v>13459</v>
      </c>
      <c r="J111" s="107">
        <v>44531</v>
      </c>
      <c r="K111" s="319" t="s">
        <v>46</v>
      </c>
      <c r="L111" s="410" t="s">
        <v>13834</v>
      </c>
      <c r="M111" s="313" t="s">
        <v>13479</v>
      </c>
      <c r="N111" s="285"/>
      <c r="O111" s="286" t="s">
        <v>13901</v>
      </c>
      <c r="P111" s="287">
        <v>44534</v>
      </c>
      <c r="Q111" s="87">
        <v>44536</v>
      </c>
      <c r="R111" s="87">
        <v>44537</v>
      </c>
      <c r="S111" s="281" t="s">
        <v>13894</v>
      </c>
      <c r="T111" s="325" t="s">
        <v>6186</v>
      </c>
      <c r="U111" s="294" t="s">
        <v>13873</v>
      </c>
      <c r="V111" s="332" t="s">
        <v>13579</v>
      </c>
      <c r="W111" s="10" t="s">
        <v>13619</v>
      </c>
    </row>
    <row r="112" spans="1:23">
      <c r="A112" s="6018" t="s">
        <v>13457</v>
      </c>
      <c r="B112" s="314" t="s">
        <v>13902</v>
      </c>
      <c r="C112" s="289" t="s">
        <v>13903</v>
      </c>
      <c r="D112" s="289" t="s">
        <v>704</v>
      </c>
      <c r="E112" s="336" t="s">
        <v>13467</v>
      </c>
      <c r="F112" s="289" t="s">
        <v>11564</v>
      </c>
      <c r="G112" s="337" t="s">
        <v>13892</v>
      </c>
      <c r="H112" s="269">
        <v>44518</v>
      </c>
      <c r="I112" s="269" t="s">
        <v>13459</v>
      </c>
      <c r="J112" s="87">
        <v>44531</v>
      </c>
      <c r="K112" s="286" t="s">
        <v>46</v>
      </c>
      <c r="L112" s="448" t="s">
        <v>13816</v>
      </c>
      <c r="M112" s="313" t="s">
        <v>13479</v>
      </c>
      <c r="N112" s="285"/>
      <c r="O112" s="286">
        <v>201178</v>
      </c>
      <c r="P112" s="287">
        <v>44534</v>
      </c>
      <c r="Q112" s="410">
        <v>44536</v>
      </c>
      <c r="R112" s="87">
        <v>44537</v>
      </c>
      <c r="S112" s="339" t="s">
        <v>13904</v>
      </c>
      <c r="T112" s="325" t="s">
        <v>6186</v>
      </c>
      <c r="U112" s="311" t="s">
        <v>13873</v>
      </c>
      <c r="V112" s="332" t="s">
        <v>13579</v>
      </c>
      <c r="W112" s="10" t="s">
        <v>13619</v>
      </c>
    </row>
    <row r="113" spans="1:23" s="10" customFormat="1">
      <c r="A113" s="3934" t="s">
        <v>13457</v>
      </c>
      <c r="B113" s="405" t="s">
        <v>13905</v>
      </c>
      <c r="C113" s="406" t="s">
        <v>13906</v>
      </c>
      <c r="D113" s="478" t="s">
        <v>704</v>
      </c>
      <c r="E113" s="392" t="s">
        <v>13467</v>
      </c>
      <c r="F113" s="406" t="s">
        <v>11564</v>
      </c>
      <c r="G113" s="478" t="s">
        <v>13892</v>
      </c>
      <c r="H113" s="269">
        <v>44518</v>
      </c>
      <c r="I113" s="269" t="s">
        <v>13459</v>
      </c>
      <c r="J113" s="87">
        <v>44531</v>
      </c>
      <c r="K113" s="286" t="s">
        <v>46</v>
      </c>
      <c r="L113" s="448" t="s">
        <v>13816</v>
      </c>
      <c r="M113" s="313" t="s">
        <v>13479</v>
      </c>
      <c r="N113" s="285"/>
      <c r="O113" s="411" t="s">
        <v>13907</v>
      </c>
      <c r="P113" s="287">
        <v>44534</v>
      </c>
      <c r="Q113" s="87">
        <v>44536</v>
      </c>
      <c r="R113" s="87">
        <v>44537</v>
      </c>
      <c r="S113" s="298" t="s">
        <v>13894</v>
      </c>
      <c r="T113" s="325" t="s">
        <v>6186</v>
      </c>
      <c r="U113" s="5985" t="s">
        <v>13873</v>
      </c>
      <c r="V113" s="332" t="s">
        <v>13898</v>
      </c>
      <c r="W113" s="10" t="s">
        <v>13619</v>
      </c>
    </row>
    <row r="114" spans="1:23">
      <c r="A114" s="288" t="s">
        <v>13457</v>
      </c>
      <c r="B114" s="407" t="s">
        <v>13908</v>
      </c>
      <c r="C114" s="288" t="s">
        <v>13909</v>
      </c>
      <c r="D114" s="288" t="s">
        <v>704</v>
      </c>
      <c r="E114" s="329" t="s">
        <v>13467</v>
      </c>
      <c r="F114" s="288" t="s">
        <v>11564</v>
      </c>
      <c r="G114" s="341" t="s">
        <v>13892</v>
      </c>
      <c r="H114" s="269">
        <v>44518</v>
      </c>
      <c r="I114" s="269" t="s">
        <v>13459</v>
      </c>
      <c r="J114" s="87">
        <v>44533</v>
      </c>
      <c r="K114" s="286" t="s">
        <v>46</v>
      </c>
      <c r="L114" s="448" t="s">
        <v>13910</v>
      </c>
      <c r="M114" s="257" t="s">
        <v>13479</v>
      </c>
      <c r="N114" s="408"/>
      <c r="O114" s="411" t="s">
        <v>13907</v>
      </c>
      <c r="P114" s="436">
        <v>44534</v>
      </c>
      <c r="Q114" s="87">
        <v>44537</v>
      </c>
      <c r="R114" s="87">
        <v>44538</v>
      </c>
      <c r="S114" s="298" t="s">
        <v>13911</v>
      </c>
      <c r="T114" s="325" t="s">
        <v>6186</v>
      </c>
      <c r="U114" s="311" t="s">
        <v>13873</v>
      </c>
      <c r="V114" s="332" t="s">
        <v>13898</v>
      </c>
      <c r="W114" s="10"/>
    </row>
    <row r="115" spans="1:23">
      <c r="A115" s="288" t="s">
        <v>13457</v>
      </c>
      <c r="B115" s="27"/>
      <c r="C115" s="288" t="s">
        <v>13912</v>
      </c>
      <c r="D115" s="329" t="s">
        <v>704</v>
      </c>
      <c r="E115" s="329">
        <v>19026</v>
      </c>
      <c r="F115" s="329" t="s">
        <v>93</v>
      </c>
      <c r="G115" s="341" t="s">
        <v>13913</v>
      </c>
      <c r="H115" s="394">
        <v>44530</v>
      </c>
      <c r="I115" s="391" t="s">
        <v>13459</v>
      </c>
      <c r="J115" s="107">
        <v>44539</v>
      </c>
      <c r="K115" s="286" t="s">
        <v>46</v>
      </c>
      <c r="L115" s="448" t="s">
        <v>13914</v>
      </c>
      <c r="M115" s="450" t="s">
        <v>13537</v>
      </c>
      <c r="N115" s="90"/>
      <c r="O115" s="105" t="s">
        <v>13915</v>
      </c>
      <c r="P115" s="96">
        <v>44541</v>
      </c>
      <c r="Q115" s="87">
        <v>44540</v>
      </c>
      <c r="R115" s="87">
        <v>44543</v>
      </c>
      <c r="S115" s="389" t="s">
        <v>13916</v>
      </c>
      <c r="T115" s="465" t="s">
        <v>6186</v>
      </c>
      <c r="U115" s="236" t="s">
        <v>13873</v>
      </c>
      <c r="V115" s="236" t="s">
        <v>13748</v>
      </c>
      <c r="W115" s="318" t="s">
        <v>13619</v>
      </c>
    </row>
    <row r="116" spans="1:23">
      <c r="A116" s="288" t="s">
        <v>13457</v>
      </c>
      <c r="B116" s="27"/>
      <c r="C116" s="288" t="s">
        <v>13917</v>
      </c>
      <c r="D116" s="329" t="s">
        <v>704</v>
      </c>
      <c r="E116" s="329">
        <v>19026</v>
      </c>
      <c r="F116" s="329" t="s">
        <v>93</v>
      </c>
      <c r="G116" s="341" t="s">
        <v>13913</v>
      </c>
      <c r="H116" s="269">
        <v>44530</v>
      </c>
      <c r="I116" s="288" t="s">
        <v>13459</v>
      </c>
      <c r="J116" s="87">
        <v>44539</v>
      </c>
      <c r="K116" s="342" t="s">
        <v>46</v>
      </c>
      <c r="L116" s="448" t="s">
        <v>13914</v>
      </c>
      <c r="M116" s="450" t="s">
        <v>13537</v>
      </c>
      <c r="N116" s="90"/>
      <c r="O116" s="70" t="s">
        <v>13918</v>
      </c>
      <c r="P116" s="96">
        <v>44541</v>
      </c>
      <c r="Q116" s="87">
        <v>44541</v>
      </c>
      <c r="R116" s="459">
        <v>44543</v>
      </c>
      <c r="S116" s="389" t="s">
        <v>13919</v>
      </c>
      <c r="T116" s="465" t="s">
        <v>6186</v>
      </c>
      <c r="U116" s="236" t="s">
        <v>13873</v>
      </c>
      <c r="V116" s="236" t="s">
        <v>13748</v>
      </c>
      <c r="W116" s="318" t="s">
        <v>13619</v>
      </c>
    </row>
    <row r="117" spans="1:23">
      <c r="A117" s="288" t="s">
        <v>13457</v>
      </c>
      <c r="B117" s="27"/>
      <c r="C117" s="391" t="s">
        <v>13920</v>
      </c>
      <c r="D117" s="392" t="s">
        <v>704</v>
      </c>
      <c r="E117" s="392">
        <v>19026</v>
      </c>
      <c r="F117" s="392" t="s">
        <v>93</v>
      </c>
      <c r="G117" s="393" t="s">
        <v>13921</v>
      </c>
      <c r="H117" s="394">
        <v>44530</v>
      </c>
      <c r="I117" s="391" t="s">
        <v>13459</v>
      </c>
      <c r="J117" s="107">
        <v>44539</v>
      </c>
      <c r="K117" s="395" t="s">
        <v>46</v>
      </c>
      <c r="L117" s="449" t="s">
        <v>13922</v>
      </c>
      <c r="M117" s="450" t="s">
        <v>13537</v>
      </c>
      <c r="N117" s="90"/>
      <c r="O117" s="376" t="s">
        <v>13923</v>
      </c>
      <c r="P117" s="96">
        <v>44541</v>
      </c>
      <c r="Q117" s="87">
        <v>44541</v>
      </c>
      <c r="R117" s="458">
        <v>44543</v>
      </c>
      <c r="S117" s="389" t="s">
        <v>13924</v>
      </c>
      <c r="T117" s="465" t="s">
        <v>6186</v>
      </c>
      <c r="U117" s="236" t="s">
        <v>13873</v>
      </c>
      <c r="V117" s="236" t="s">
        <v>13748</v>
      </c>
      <c r="W117" s="318" t="s">
        <v>13619</v>
      </c>
    </row>
    <row r="118" spans="1:23" s="10" customFormat="1">
      <c r="A118" s="288" t="s">
        <v>13457</v>
      </c>
      <c r="B118" s="442"/>
      <c r="C118" s="288" t="s">
        <v>13925</v>
      </c>
      <c r="D118" s="329" t="s">
        <v>704</v>
      </c>
      <c r="E118" s="329">
        <v>19026</v>
      </c>
      <c r="F118" s="329" t="s">
        <v>93</v>
      </c>
      <c r="G118" s="288" t="s">
        <v>13921</v>
      </c>
      <c r="H118" s="269">
        <v>44530</v>
      </c>
      <c r="I118" s="288" t="s">
        <v>13459</v>
      </c>
      <c r="J118" s="87">
        <v>44539</v>
      </c>
      <c r="K118" s="286" t="s">
        <v>46</v>
      </c>
      <c r="L118" s="87" t="s">
        <v>13926</v>
      </c>
      <c r="M118" s="450" t="s">
        <v>13537</v>
      </c>
      <c r="N118" s="90"/>
      <c r="O118" s="455" t="s">
        <v>13927</v>
      </c>
      <c r="P118" s="96">
        <v>44541</v>
      </c>
      <c r="Q118" s="283">
        <v>44541</v>
      </c>
      <c r="R118" s="87">
        <v>44544</v>
      </c>
      <c r="S118" s="461" t="s">
        <v>13928</v>
      </c>
      <c r="T118" s="481" t="s">
        <v>6186</v>
      </c>
      <c r="U118" s="236" t="s">
        <v>13873</v>
      </c>
      <c r="V118" s="236" t="s">
        <v>13748</v>
      </c>
      <c r="W118" s="318" t="s">
        <v>13619</v>
      </c>
    </row>
    <row r="119" spans="1:23" s="10" customFormat="1">
      <c r="A119" s="288" t="s">
        <v>13457</v>
      </c>
      <c r="B119" s="443" t="s">
        <v>13929</v>
      </c>
      <c r="C119" s="288" t="s">
        <v>13930</v>
      </c>
      <c r="D119" s="288" t="s">
        <v>704</v>
      </c>
      <c r="E119" s="329" t="s">
        <v>13467</v>
      </c>
      <c r="F119" s="288" t="s">
        <v>11564</v>
      </c>
      <c r="G119" s="288" t="s">
        <v>13931</v>
      </c>
      <c r="H119" s="269">
        <v>44519</v>
      </c>
      <c r="I119" s="269" t="s">
        <v>13459</v>
      </c>
      <c r="J119" s="269">
        <v>44541</v>
      </c>
      <c r="K119" s="286" t="s">
        <v>46</v>
      </c>
      <c r="L119" s="269" t="s">
        <v>13932</v>
      </c>
      <c r="M119" s="344" t="s">
        <v>13479</v>
      </c>
      <c r="N119" s="274"/>
      <c r="O119" s="298" t="s">
        <v>13933</v>
      </c>
      <c r="P119" s="269">
        <v>44543</v>
      </c>
      <c r="Q119" s="283">
        <v>44544</v>
      </c>
      <c r="R119" s="87">
        <v>44545</v>
      </c>
      <c r="S119" s="400" t="s">
        <v>13934</v>
      </c>
      <c r="T119" s="468" t="s">
        <v>6186</v>
      </c>
      <c r="U119" s="340" t="s">
        <v>13464</v>
      </c>
      <c r="V119" s="332" t="s">
        <v>13748</v>
      </c>
      <c r="W119" s="10" t="s">
        <v>13935</v>
      </c>
    </row>
    <row r="120" spans="1:23" s="10" customFormat="1">
      <c r="A120" s="288" t="s">
        <v>13457</v>
      </c>
      <c r="B120" s="443" t="s">
        <v>13936</v>
      </c>
      <c r="C120" s="288" t="s">
        <v>13937</v>
      </c>
      <c r="D120" s="288" t="s">
        <v>704</v>
      </c>
      <c r="E120" s="329" t="s">
        <v>13467</v>
      </c>
      <c r="F120" s="288" t="s">
        <v>11564</v>
      </c>
      <c r="G120" s="288" t="s">
        <v>13931</v>
      </c>
      <c r="H120" s="269">
        <v>44519</v>
      </c>
      <c r="I120" s="269" t="s">
        <v>13459</v>
      </c>
      <c r="J120" s="269">
        <v>44546</v>
      </c>
      <c r="K120" s="286" t="s">
        <v>46</v>
      </c>
      <c r="L120" s="269" t="s">
        <v>13938</v>
      </c>
      <c r="M120" s="344" t="s">
        <v>13479</v>
      </c>
      <c r="N120" s="346"/>
      <c r="O120" s="298" t="s">
        <v>13939</v>
      </c>
      <c r="P120" s="269">
        <v>44547</v>
      </c>
      <c r="Q120" s="283">
        <v>44547</v>
      </c>
      <c r="R120" s="269">
        <v>44550</v>
      </c>
      <c r="S120" s="400" t="s">
        <v>13940</v>
      </c>
      <c r="T120" s="468" t="s">
        <v>6186</v>
      </c>
      <c r="U120" s="471" t="s">
        <v>13941</v>
      </c>
      <c r="V120" s="475"/>
      <c r="W120"/>
    </row>
    <row r="121" spans="1:23" s="10" customFormat="1">
      <c r="A121" s="288" t="s">
        <v>13457</v>
      </c>
      <c r="B121" s="443" t="s">
        <v>13942</v>
      </c>
      <c r="C121" s="288" t="s">
        <v>13943</v>
      </c>
      <c r="D121" s="288" t="s">
        <v>704</v>
      </c>
      <c r="E121" s="329" t="s">
        <v>13467</v>
      </c>
      <c r="F121" s="288" t="s">
        <v>11564</v>
      </c>
      <c r="G121" s="288" t="s">
        <v>13931</v>
      </c>
      <c r="H121" s="269">
        <v>44519</v>
      </c>
      <c r="I121" s="269" t="s">
        <v>13459</v>
      </c>
      <c r="J121" s="269">
        <v>44546</v>
      </c>
      <c r="K121" s="286" t="s">
        <v>46</v>
      </c>
      <c r="L121" s="269" t="s">
        <v>13938</v>
      </c>
      <c r="M121" s="344" t="s">
        <v>13479</v>
      </c>
      <c r="N121" s="346"/>
      <c r="O121" s="298" t="s">
        <v>13944</v>
      </c>
      <c r="P121" s="269">
        <v>44547</v>
      </c>
      <c r="Q121" s="283">
        <v>44547</v>
      </c>
      <c r="R121" s="269">
        <v>44550</v>
      </c>
      <c r="S121" s="400" t="s">
        <v>13940</v>
      </c>
      <c r="T121" s="329" t="s">
        <v>6186</v>
      </c>
      <c r="U121" s="435" t="s">
        <v>13941</v>
      </c>
      <c r="V121" s="346"/>
      <c r="W121"/>
    </row>
    <row r="122" spans="1:23" s="10" customFormat="1">
      <c r="A122" s="288" t="s">
        <v>13457</v>
      </c>
      <c r="B122" s="384">
        <v>268</v>
      </c>
      <c r="C122" s="261" t="s">
        <v>13945</v>
      </c>
      <c r="D122" s="382" t="s">
        <v>28</v>
      </c>
      <c r="E122" s="382">
        <v>11000</v>
      </c>
      <c r="F122" s="383" t="s">
        <v>1828</v>
      </c>
      <c r="G122" s="382">
        <v>213058690</v>
      </c>
      <c r="H122" s="269">
        <v>44535</v>
      </c>
      <c r="I122" s="382" t="s">
        <v>13459</v>
      </c>
      <c r="J122" s="269">
        <v>44555</v>
      </c>
      <c r="K122" s="286" t="s">
        <v>46</v>
      </c>
      <c r="L122" s="381" t="s">
        <v>13946</v>
      </c>
      <c r="M122" s="380" t="s">
        <v>13947</v>
      </c>
      <c r="N122" s="298"/>
      <c r="O122" s="286" t="s">
        <v>13948</v>
      </c>
      <c r="P122" s="269">
        <v>44557</v>
      </c>
      <c r="Q122" s="283">
        <v>44557</v>
      </c>
      <c r="R122" s="259">
        <v>44559</v>
      </c>
      <c r="S122" s="400" t="s">
        <v>13949</v>
      </c>
      <c r="T122" s="288" t="s">
        <v>6186</v>
      </c>
      <c r="U122" s="4705" t="s">
        <v>13873</v>
      </c>
      <c r="V122" s="298"/>
      <c r="W122"/>
    </row>
    <row r="123" spans="1:23" s="10" customFormat="1">
      <c r="A123" s="288" t="s">
        <v>13457</v>
      </c>
      <c r="B123" s="384">
        <v>269</v>
      </c>
      <c r="C123" s="261" t="s">
        <v>13950</v>
      </c>
      <c r="D123" s="382" t="s">
        <v>28</v>
      </c>
      <c r="E123" s="382">
        <v>11000</v>
      </c>
      <c r="F123" s="383" t="s">
        <v>1828</v>
      </c>
      <c r="G123" s="382">
        <v>213058694</v>
      </c>
      <c r="H123" s="259">
        <v>44535</v>
      </c>
      <c r="I123" s="382" t="s">
        <v>13459</v>
      </c>
      <c r="J123" s="269">
        <v>44558</v>
      </c>
      <c r="K123" s="286" t="s">
        <v>46</v>
      </c>
      <c r="L123" s="397" t="s">
        <v>13951</v>
      </c>
      <c r="M123" s="380" t="s">
        <v>13947</v>
      </c>
      <c r="N123" s="184"/>
      <c r="O123" s="411" t="s">
        <v>13952</v>
      </c>
      <c r="P123" s="269">
        <v>44559</v>
      </c>
      <c r="Q123" s="397">
        <v>44559</v>
      </c>
      <c r="R123" s="259">
        <v>44925</v>
      </c>
      <c r="S123" s="389" t="s">
        <v>13953</v>
      </c>
      <c r="T123" s="382" t="s">
        <v>6186</v>
      </c>
      <c r="U123" s="4706" t="s">
        <v>13873</v>
      </c>
      <c r="V123" s="6011"/>
      <c r="W123"/>
    </row>
    <row r="124" spans="1:23">
      <c r="A124" s="288" t="s">
        <v>13457</v>
      </c>
      <c r="B124" s="384">
        <v>270</v>
      </c>
      <c r="C124" s="261" t="s">
        <v>13954</v>
      </c>
      <c r="D124" s="382" t="s">
        <v>28</v>
      </c>
      <c r="E124" s="382">
        <v>11458</v>
      </c>
      <c r="F124" s="383" t="s">
        <v>1828</v>
      </c>
      <c r="G124" s="382">
        <v>213058704</v>
      </c>
      <c r="H124" s="259">
        <v>44535</v>
      </c>
      <c r="I124" s="382" t="s">
        <v>13459</v>
      </c>
      <c r="J124" s="269">
        <v>44558</v>
      </c>
      <c r="K124" s="286" t="s">
        <v>46</v>
      </c>
      <c r="L124" s="397" t="s">
        <v>13955</v>
      </c>
      <c r="M124" s="403" t="s">
        <v>13947</v>
      </c>
      <c r="N124" s="404"/>
      <c r="O124" s="411">
        <v>112367</v>
      </c>
      <c r="P124" s="269">
        <v>44559</v>
      </c>
      <c r="Q124" s="397">
        <v>44559</v>
      </c>
      <c r="R124" s="415">
        <v>44565</v>
      </c>
      <c r="S124" s="389" t="s">
        <v>13956</v>
      </c>
      <c r="T124" s="382" t="s">
        <v>6186</v>
      </c>
      <c r="U124" s="3935" t="s">
        <v>13873</v>
      </c>
      <c r="V124" s="3936"/>
      <c r="W124" t="s">
        <v>13957</v>
      </c>
    </row>
    <row r="125" spans="1:23" s="10" customFormat="1">
      <c r="A125" s="580" t="s">
        <v>13457</v>
      </c>
      <c r="B125" s="581" t="s">
        <v>13958</v>
      </c>
      <c r="C125" s="582" t="s">
        <v>13959</v>
      </c>
      <c r="D125" s="583" t="s">
        <v>704</v>
      </c>
      <c r="E125" s="583">
        <v>16912</v>
      </c>
      <c r="F125" s="583" t="s">
        <v>1374</v>
      </c>
      <c r="G125" s="582" t="s">
        <v>13960</v>
      </c>
      <c r="H125" s="584">
        <v>44561</v>
      </c>
      <c r="I125" s="582" t="s">
        <v>13961</v>
      </c>
      <c r="J125" s="585">
        <v>44573</v>
      </c>
      <c r="K125" s="586" t="s">
        <v>46</v>
      </c>
      <c r="L125" s="587">
        <v>44580</v>
      </c>
      <c r="M125" s="588" t="s">
        <v>13962</v>
      </c>
      <c r="N125" s="589" t="s">
        <v>13963</v>
      </c>
      <c r="O125" s="590" t="s">
        <v>13964</v>
      </c>
      <c r="P125" s="591">
        <v>44576</v>
      </c>
      <c r="Q125" s="587">
        <v>44579</v>
      </c>
      <c r="R125" s="592">
        <v>44581</v>
      </c>
      <c r="S125" s="593" t="s">
        <v>13965</v>
      </c>
      <c r="T125" s="594" t="s">
        <v>6186</v>
      </c>
      <c r="U125" s="595" t="s">
        <v>36</v>
      </c>
      <c r="V125" s="596" t="s">
        <v>13966</v>
      </c>
      <c r="W125" s="531"/>
    </row>
    <row r="126" spans="1:23">
      <c r="A126" s="580" t="s">
        <v>13457</v>
      </c>
      <c r="B126" s="597" t="s">
        <v>13967</v>
      </c>
      <c r="C126" s="598" t="s">
        <v>13968</v>
      </c>
      <c r="D126" s="599" t="s">
        <v>704</v>
      </c>
      <c r="E126" s="599">
        <v>16912</v>
      </c>
      <c r="F126" s="599" t="s">
        <v>1374</v>
      </c>
      <c r="G126" s="600" t="s">
        <v>13960</v>
      </c>
      <c r="H126" s="601">
        <v>44561</v>
      </c>
      <c r="I126" s="598" t="s">
        <v>13961</v>
      </c>
      <c r="J126" s="585">
        <v>44573</v>
      </c>
      <c r="K126" s="586" t="s">
        <v>46</v>
      </c>
      <c r="L126" s="602">
        <v>44581</v>
      </c>
      <c r="M126" s="603" t="s">
        <v>13962</v>
      </c>
      <c r="N126" s="589" t="s">
        <v>13963</v>
      </c>
      <c r="O126" s="604" t="s">
        <v>13969</v>
      </c>
      <c r="P126" s="605">
        <v>44576</v>
      </c>
      <c r="Q126" s="587">
        <v>44579</v>
      </c>
      <c r="R126" s="602">
        <v>44582</v>
      </c>
      <c r="S126" s="606" t="s">
        <v>13970</v>
      </c>
      <c r="T126" s="594" t="s">
        <v>6186</v>
      </c>
      <c r="U126" s="595" t="s">
        <v>36</v>
      </c>
      <c r="V126" s="596" t="s">
        <v>13966</v>
      </c>
      <c r="W126" s="531"/>
    </row>
    <row r="127" spans="1:23">
      <c r="A127" s="580" t="s">
        <v>13457</v>
      </c>
      <c r="B127" s="597" t="s">
        <v>13971</v>
      </c>
      <c r="C127" s="582" t="s">
        <v>13972</v>
      </c>
      <c r="D127" s="583" t="s">
        <v>704</v>
      </c>
      <c r="E127" s="583">
        <v>16912</v>
      </c>
      <c r="F127" s="583" t="s">
        <v>1374</v>
      </c>
      <c r="G127" s="607" t="s">
        <v>13960</v>
      </c>
      <c r="H127" s="584">
        <v>44561</v>
      </c>
      <c r="I127" s="582" t="s">
        <v>13961</v>
      </c>
      <c r="J127" s="585">
        <v>44576</v>
      </c>
      <c r="K127" s="586" t="s">
        <v>46</v>
      </c>
      <c r="L127" s="587">
        <v>44580</v>
      </c>
      <c r="M127" s="603" t="s">
        <v>13962</v>
      </c>
      <c r="N127" s="589" t="s">
        <v>13963</v>
      </c>
      <c r="O127" s="590" t="s">
        <v>13973</v>
      </c>
      <c r="P127" s="591">
        <v>44578</v>
      </c>
      <c r="Q127" s="587">
        <v>44579</v>
      </c>
      <c r="R127" s="602">
        <v>44582</v>
      </c>
      <c r="S127" s="606" t="s">
        <v>13974</v>
      </c>
      <c r="T127" s="594" t="s">
        <v>6186</v>
      </c>
      <c r="U127" s="595" t="s">
        <v>36</v>
      </c>
      <c r="V127" s="596" t="s">
        <v>13966</v>
      </c>
      <c r="W127" s="531"/>
    </row>
    <row r="128" spans="1:23">
      <c r="A128" s="580" t="s">
        <v>13457</v>
      </c>
      <c r="B128" s="608" t="s">
        <v>13975</v>
      </c>
      <c r="C128" s="582" t="s">
        <v>13976</v>
      </c>
      <c r="D128" s="583" t="s">
        <v>704</v>
      </c>
      <c r="E128" s="583">
        <v>16912</v>
      </c>
      <c r="F128" s="583" t="s">
        <v>1374</v>
      </c>
      <c r="G128" s="607" t="s">
        <v>13960</v>
      </c>
      <c r="H128" s="584">
        <v>44561</v>
      </c>
      <c r="I128" s="582" t="s">
        <v>13961</v>
      </c>
      <c r="J128" s="585">
        <v>44573</v>
      </c>
      <c r="K128" s="586" t="s">
        <v>46</v>
      </c>
      <c r="L128" s="602">
        <v>44580</v>
      </c>
      <c r="M128" s="603" t="s">
        <v>13962</v>
      </c>
      <c r="N128" s="589" t="s">
        <v>13963</v>
      </c>
      <c r="O128" s="590" t="s">
        <v>13977</v>
      </c>
      <c r="P128" s="591">
        <v>44576</v>
      </c>
      <c r="Q128" s="587">
        <v>44579</v>
      </c>
      <c r="R128" s="592">
        <v>44581</v>
      </c>
      <c r="S128" s="609" t="s">
        <v>13974</v>
      </c>
      <c r="T128" s="610" t="s">
        <v>6186</v>
      </c>
      <c r="U128" s="595" t="s">
        <v>36</v>
      </c>
      <c r="V128" s="611" t="s">
        <v>13966</v>
      </c>
      <c r="W128" s="531"/>
    </row>
    <row r="129" spans="1:23">
      <c r="A129" s="580" t="s">
        <v>13457</v>
      </c>
      <c r="B129" s="608" t="s">
        <v>13978</v>
      </c>
      <c r="C129" s="582" t="s">
        <v>13979</v>
      </c>
      <c r="D129" s="583" t="s">
        <v>704</v>
      </c>
      <c r="E129" s="583">
        <v>16912</v>
      </c>
      <c r="F129" s="612" t="s">
        <v>1374</v>
      </c>
      <c r="G129" s="582" t="s">
        <v>13960</v>
      </c>
      <c r="H129" s="584">
        <v>44561</v>
      </c>
      <c r="I129" s="613" t="s">
        <v>13961</v>
      </c>
      <c r="J129" s="585">
        <v>44573</v>
      </c>
      <c r="K129" s="586" t="s">
        <v>46</v>
      </c>
      <c r="L129" s="602">
        <v>44581</v>
      </c>
      <c r="M129" s="603" t="s">
        <v>13962</v>
      </c>
      <c r="N129" s="589" t="s">
        <v>13963</v>
      </c>
      <c r="O129" s="614" t="s">
        <v>13980</v>
      </c>
      <c r="P129" s="615">
        <v>44576</v>
      </c>
      <c r="Q129" s="616">
        <v>44580</v>
      </c>
      <c r="R129" s="6026">
        <v>44585</v>
      </c>
      <c r="S129" s="6027" t="s">
        <v>13981</v>
      </c>
      <c r="T129" s="594" t="s">
        <v>6186</v>
      </c>
      <c r="U129" s="595" t="s">
        <v>36</v>
      </c>
      <c r="V129" s="611" t="s">
        <v>13966</v>
      </c>
      <c r="W129" s="531"/>
    </row>
    <row r="130" spans="1:23">
      <c r="A130" s="617" t="s">
        <v>13457</v>
      </c>
      <c r="B130" s="618" t="s">
        <v>13982</v>
      </c>
      <c r="C130" s="598" t="s">
        <v>13983</v>
      </c>
      <c r="D130" s="599" t="s">
        <v>704</v>
      </c>
      <c r="E130" s="599">
        <v>16912</v>
      </c>
      <c r="F130" s="619" t="s">
        <v>1374</v>
      </c>
      <c r="G130" s="582" t="s">
        <v>13960</v>
      </c>
      <c r="H130" s="584">
        <v>44561</v>
      </c>
      <c r="I130" s="613" t="s">
        <v>13961</v>
      </c>
      <c r="J130" s="585">
        <v>44576</v>
      </c>
      <c r="K130" s="586" t="s">
        <v>46</v>
      </c>
      <c r="L130" s="602">
        <v>44581</v>
      </c>
      <c r="M130" s="603" t="s">
        <v>13962</v>
      </c>
      <c r="N130" s="589" t="s">
        <v>13963</v>
      </c>
      <c r="O130" s="590" t="s">
        <v>13984</v>
      </c>
      <c r="P130" s="591">
        <v>44578</v>
      </c>
      <c r="Q130" s="587">
        <v>44579</v>
      </c>
      <c r="R130" s="592">
        <v>44581</v>
      </c>
      <c r="S130" s="620" t="s">
        <v>13985</v>
      </c>
      <c r="T130" s="594" t="s">
        <v>6186</v>
      </c>
      <c r="U130" s="595" t="s">
        <v>36</v>
      </c>
      <c r="V130" s="611" t="s">
        <v>13966</v>
      </c>
      <c r="W130" s="531"/>
    </row>
    <row r="131" spans="1:23">
      <c r="A131" s="621" t="s">
        <v>13457</v>
      </c>
      <c r="B131" s="622" t="s">
        <v>13986</v>
      </c>
      <c r="C131" s="623" t="s">
        <v>13987</v>
      </c>
      <c r="D131" s="624" t="s">
        <v>704</v>
      </c>
      <c r="E131" s="624">
        <v>19129</v>
      </c>
      <c r="F131" s="625" t="s">
        <v>1374</v>
      </c>
      <c r="G131" s="582" t="s">
        <v>13988</v>
      </c>
      <c r="H131" s="584">
        <v>44561</v>
      </c>
      <c r="I131" s="613" t="s">
        <v>13961</v>
      </c>
      <c r="J131" s="585">
        <v>44573</v>
      </c>
      <c r="K131" s="586" t="s">
        <v>46</v>
      </c>
      <c r="L131" s="602">
        <v>19.190000000000001</v>
      </c>
      <c r="M131" s="603" t="s">
        <v>13962</v>
      </c>
      <c r="N131" s="589" t="s">
        <v>13963</v>
      </c>
      <c r="O131" s="590" t="s">
        <v>13989</v>
      </c>
      <c r="P131" s="591">
        <v>44575</v>
      </c>
      <c r="Q131" s="587">
        <v>44579</v>
      </c>
      <c r="R131" s="6026">
        <v>44586</v>
      </c>
      <c r="S131" s="620" t="s">
        <v>13990</v>
      </c>
      <c r="T131" s="594" t="s">
        <v>6186</v>
      </c>
      <c r="U131" s="595" t="s">
        <v>36</v>
      </c>
      <c r="V131" s="611" t="s">
        <v>13966</v>
      </c>
      <c r="W131" s="531"/>
    </row>
    <row r="132" spans="1:23">
      <c r="A132" s="580" t="s">
        <v>13457</v>
      </c>
      <c r="B132" s="608" t="s">
        <v>13991</v>
      </c>
      <c r="C132" s="582" t="s">
        <v>13992</v>
      </c>
      <c r="D132" s="583" t="s">
        <v>704</v>
      </c>
      <c r="E132" s="583">
        <v>19129</v>
      </c>
      <c r="F132" s="612" t="s">
        <v>1374</v>
      </c>
      <c r="G132" s="582" t="s">
        <v>13988</v>
      </c>
      <c r="H132" s="584">
        <v>44561</v>
      </c>
      <c r="I132" s="613" t="s">
        <v>13961</v>
      </c>
      <c r="J132" s="585">
        <v>44573</v>
      </c>
      <c r="K132" s="586" t="s">
        <v>46</v>
      </c>
      <c r="L132" s="592">
        <v>44581</v>
      </c>
      <c r="M132" s="626" t="s">
        <v>13962</v>
      </c>
      <c r="N132" s="627" t="s">
        <v>13963</v>
      </c>
      <c r="O132" s="590" t="s">
        <v>13993</v>
      </c>
      <c r="P132" s="615">
        <v>44576</v>
      </c>
      <c r="Q132" s="616">
        <v>44580</v>
      </c>
      <c r="R132" s="3937">
        <v>44585</v>
      </c>
      <c r="S132" s="620" t="s">
        <v>13994</v>
      </c>
      <c r="T132" s="628" t="s">
        <v>6186</v>
      </c>
      <c r="U132" s="595" t="s">
        <v>36</v>
      </c>
      <c r="V132" s="611" t="s">
        <v>13966</v>
      </c>
      <c r="W132" s="531"/>
    </row>
    <row r="133" spans="1:23">
      <c r="A133" s="580" t="s">
        <v>13457</v>
      </c>
      <c r="B133" s="608" t="s">
        <v>13995</v>
      </c>
      <c r="C133" s="582" t="s">
        <v>13996</v>
      </c>
      <c r="D133" s="583" t="s">
        <v>704</v>
      </c>
      <c r="E133" s="583">
        <v>19129</v>
      </c>
      <c r="F133" s="612" t="s">
        <v>1374</v>
      </c>
      <c r="G133" s="582" t="s">
        <v>13988</v>
      </c>
      <c r="H133" s="584">
        <v>44561</v>
      </c>
      <c r="I133" s="613" t="s">
        <v>13961</v>
      </c>
      <c r="J133" s="585">
        <v>44573</v>
      </c>
      <c r="K133" s="586" t="s">
        <v>46</v>
      </c>
      <c r="L133" s="592">
        <v>44581</v>
      </c>
      <c r="M133" s="626" t="s">
        <v>13962</v>
      </c>
      <c r="N133" s="629" t="s">
        <v>13963</v>
      </c>
      <c r="O133" s="583" t="s">
        <v>13997</v>
      </c>
      <c r="P133" s="591">
        <v>44575</v>
      </c>
      <c r="Q133" s="616">
        <v>44580</v>
      </c>
      <c r="R133" s="602">
        <v>44585</v>
      </c>
      <c r="S133" s="620" t="s">
        <v>13998</v>
      </c>
      <c r="T133" s="630" t="s">
        <v>6186</v>
      </c>
      <c r="U133" s="595" t="s">
        <v>36</v>
      </c>
      <c r="V133" s="611" t="s">
        <v>13966</v>
      </c>
      <c r="W133" s="531"/>
    </row>
    <row r="134" spans="1:23">
      <c r="A134" s="580" t="s">
        <v>13457</v>
      </c>
      <c r="B134" s="608" t="s">
        <v>13999</v>
      </c>
      <c r="C134" s="623" t="s">
        <v>14000</v>
      </c>
      <c r="D134" s="583" t="s">
        <v>704</v>
      </c>
      <c r="E134" s="583">
        <v>19129</v>
      </c>
      <c r="F134" s="612" t="s">
        <v>1374</v>
      </c>
      <c r="G134" s="582" t="s">
        <v>13988</v>
      </c>
      <c r="H134" s="584">
        <v>44561</v>
      </c>
      <c r="I134" s="613" t="s">
        <v>13961</v>
      </c>
      <c r="J134" s="585">
        <v>44573</v>
      </c>
      <c r="K134" s="586" t="s">
        <v>46</v>
      </c>
      <c r="L134" s="587">
        <v>44580</v>
      </c>
      <c r="M134" s="626" t="s">
        <v>13962</v>
      </c>
      <c r="N134" s="629" t="s">
        <v>13963</v>
      </c>
      <c r="O134" s="583" t="s">
        <v>14001</v>
      </c>
      <c r="P134" s="591">
        <v>44576</v>
      </c>
      <c r="Q134" s="587">
        <v>44579</v>
      </c>
      <c r="R134" s="602">
        <v>44580</v>
      </c>
      <c r="S134" s="620" t="s">
        <v>14002</v>
      </c>
      <c r="T134" s="630" t="s">
        <v>6186</v>
      </c>
      <c r="U134" s="595" t="s">
        <v>36</v>
      </c>
      <c r="V134" s="611" t="s">
        <v>13966</v>
      </c>
      <c r="W134" s="531"/>
    </row>
    <row r="135" spans="1:23">
      <c r="A135" s="580" t="s">
        <v>13457</v>
      </c>
      <c r="B135" s="631" t="s">
        <v>14003</v>
      </c>
      <c r="C135" s="580" t="s">
        <v>14004</v>
      </c>
      <c r="D135" s="590" t="s">
        <v>704</v>
      </c>
      <c r="E135" s="583">
        <v>19129</v>
      </c>
      <c r="F135" s="583" t="s">
        <v>1374</v>
      </c>
      <c r="G135" s="632" t="s">
        <v>13988</v>
      </c>
      <c r="H135" s="601">
        <v>44561</v>
      </c>
      <c r="I135" s="582" t="s">
        <v>13961</v>
      </c>
      <c r="J135" s="585">
        <v>44573</v>
      </c>
      <c r="K135" s="586" t="s">
        <v>46</v>
      </c>
      <c r="L135" s="633">
        <v>44581</v>
      </c>
      <c r="M135" s="626" t="s">
        <v>13962</v>
      </c>
      <c r="N135" s="629" t="s">
        <v>13963</v>
      </c>
      <c r="O135" s="586" t="s">
        <v>14005</v>
      </c>
      <c r="P135" s="591">
        <v>44576</v>
      </c>
      <c r="Q135" s="616">
        <v>44580</v>
      </c>
      <c r="R135" s="634">
        <v>44582</v>
      </c>
      <c r="S135" s="606" t="s">
        <v>14006</v>
      </c>
      <c r="T135" s="630" t="s">
        <v>6186</v>
      </c>
      <c r="U135" s="595" t="s">
        <v>36</v>
      </c>
      <c r="V135" s="611" t="s">
        <v>13966</v>
      </c>
      <c r="W135" s="532"/>
    </row>
    <row r="136" spans="1:23">
      <c r="A136" s="288" t="s">
        <v>13457</v>
      </c>
      <c r="B136" s="407" t="s">
        <v>14007</v>
      </c>
      <c r="C136" s="498" t="s">
        <v>14008</v>
      </c>
      <c r="D136" s="261" t="s">
        <v>704</v>
      </c>
      <c r="E136" s="379" t="s">
        <v>13467</v>
      </c>
      <c r="F136" s="260" t="s">
        <v>167</v>
      </c>
      <c r="G136" s="317" t="s">
        <v>14009</v>
      </c>
      <c r="H136" s="259">
        <v>44528</v>
      </c>
      <c r="I136" s="259" t="s">
        <v>13459</v>
      </c>
      <c r="J136" s="269">
        <v>44553</v>
      </c>
      <c r="K136" s="447" t="s">
        <v>46</v>
      </c>
      <c r="L136" s="259" t="s">
        <v>14010</v>
      </c>
      <c r="M136" s="451" t="s">
        <v>13479</v>
      </c>
      <c r="N136" s="453"/>
      <c r="O136" s="343" t="s">
        <v>14011</v>
      </c>
      <c r="P136" s="269">
        <v>44556</v>
      </c>
      <c r="Q136" s="87">
        <v>44554</v>
      </c>
      <c r="R136" s="259">
        <v>44558</v>
      </c>
      <c r="S136" s="298" t="s">
        <v>14012</v>
      </c>
      <c r="T136" s="466" t="s">
        <v>6186</v>
      </c>
      <c r="U136" s="470" t="s">
        <v>13941</v>
      </c>
      <c r="V136" s="346"/>
      <c r="W136"/>
    </row>
    <row r="137" spans="1:23">
      <c r="A137" s="288" t="s">
        <v>13457</v>
      </c>
      <c r="B137" s="407" t="s">
        <v>14013</v>
      </c>
      <c r="C137" s="261" t="s">
        <v>14014</v>
      </c>
      <c r="D137" s="329" t="s">
        <v>704</v>
      </c>
      <c r="E137" s="329" t="s">
        <v>13467</v>
      </c>
      <c r="F137" s="330" t="s">
        <v>167</v>
      </c>
      <c r="G137" s="317" t="s">
        <v>14009</v>
      </c>
      <c r="H137" s="259">
        <v>44528</v>
      </c>
      <c r="I137" s="259" t="s">
        <v>13459</v>
      </c>
      <c r="J137" s="269">
        <v>44553</v>
      </c>
      <c r="K137" s="342" t="s">
        <v>46</v>
      </c>
      <c r="L137" s="381" t="s">
        <v>14015</v>
      </c>
      <c r="M137" s="452" t="s">
        <v>13479</v>
      </c>
      <c r="N137" s="258"/>
      <c r="O137" s="286" t="s">
        <v>14016</v>
      </c>
      <c r="P137" s="269">
        <v>44556</v>
      </c>
      <c r="Q137" s="87">
        <v>44554</v>
      </c>
      <c r="R137" s="259">
        <v>44557</v>
      </c>
      <c r="S137" s="298" t="s">
        <v>14012</v>
      </c>
      <c r="T137" s="466" t="s">
        <v>6186</v>
      </c>
      <c r="U137" s="472" t="s">
        <v>13941</v>
      </c>
      <c r="V137" s="298"/>
      <c r="W137"/>
    </row>
    <row r="138" spans="1:23">
      <c r="A138" s="288" t="s">
        <v>13457</v>
      </c>
      <c r="B138" s="407" t="s">
        <v>14017</v>
      </c>
      <c r="C138" s="261" t="s">
        <v>14018</v>
      </c>
      <c r="D138" s="329" t="s">
        <v>704</v>
      </c>
      <c r="E138" s="329" t="s">
        <v>13467</v>
      </c>
      <c r="F138" s="330" t="s">
        <v>167</v>
      </c>
      <c r="G138" s="317" t="s">
        <v>14019</v>
      </c>
      <c r="H138" s="269">
        <v>44528</v>
      </c>
      <c r="I138" s="261" t="s">
        <v>13459</v>
      </c>
      <c r="J138" s="269">
        <v>44553</v>
      </c>
      <c r="K138" s="342" t="s">
        <v>46</v>
      </c>
      <c r="L138" s="381" t="s">
        <v>14015</v>
      </c>
      <c r="M138" s="452" t="s">
        <v>13479</v>
      </c>
      <c r="N138" s="258"/>
      <c r="O138" s="286" t="s">
        <v>14020</v>
      </c>
      <c r="P138" s="269">
        <v>44556</v>
      </c>
      <c r="Q138" s="87">
        <v>44554</v>
      </c>
      <c r="R138" s="259">
        <v>44557</v>
      </c>
      <c r="S138" s="298" t="s">
        <v>14021</v>
      </c>
      <c r="T138" s="467" t="s">
        <v>6186</v>
      </c>
      <c r="U138" s="298" t="s">
        <v>13464</v>
      </c>
      <c r="V138" s="400"/>
      <c r="W138"/>
    </row>
    <row r="139" spans="1:23">
      <c r="A139" s="288" t="s">
        <v>13457</v>
      </c>
      <c r="B139" s="407" t="s">
        <v>14022</v>
      </c>
      <c r="C139" s="261" t="s">
        <v>14023</v>
      </c>
      <c r="D139" s="329" t="s">
        <v>704</v>
      </c>
      <c r="E139" s="329" t="s">
        <v>13467</v>
      </c>
      <c r="F139" s="330" t="s">
        <v>167</v>
      </c>
      <c r="G139" s="317" t="s">
        <v>14024</v>
      </c>
      <c r="H139" s="269">
        <v>44528</v>
      </c>
      <c r="I139" s="261" t="s">
        <v>13459</v>
      </c>
      <c r="J139" s="269">
        <v>44553</v>
      </c>
      <c r="K139" s="342" t="s">
        <v>46</v>
      </c>
      <c r="L139" s="381" t="s">
        <v>14025</v>
      </c>
      <c r="M139" s="452" t="s">
        <v>13479</v>
      </c>
      <c r="N139" s="258"/>
      <c r="O139" s="286" t="s">
        <v>14026</v>
      </c>
      <c r="P139" s="269">
        <v>44556</v>
      </c>
      <c r="Q139" s="87">
        <v>44554</v>
      </c>
      <c r="R139" s="259">
        <v>44557</v>
      </c>
      <c r="S139" s="298" t="s">
        <v>14012</v>
      </c>
      <c r="T139" s="467" t="s">
        <v>6186</v>
      </c>
      <c r="U139" s="435" t="s">
        <v>13941</v>
      </c>
      <c r="V139" s="281"/>
      <c r="W139"/>
    </row>
    <row r="140" spans="1:23">
      <c r="A140" s="288" t="s">
        <v>13457</v>
      </c>
      <c r="B140" s="407" t="s">
        <v>14027</v>
      </c>
      <c r="C140" s="288" t="s">
        <v>14028</v>
      </c>
      <c r="D140" s="288" t="s">
        <v>704</v>
      </c>
      <c r="E140" s="329" t="s">
        <v>13467</v>
      </c>
      <c r="F140" s="341" t="s">
        <v>11564</v>
      </c>
      <c r="G140" s="341" t="s">
        <v>13931</v>
      </c>
      <c r="H140" s="269">
        <v>44519</v>
      </c>
      <c r="I140" s="269" t="s">
        <v>13459</v>
      </c>
      <c r="J140" s="269">
        <v>44561</v>
      </c>
      <c r="K140" s="342" t="s">
        <v>46</v>
      </c>
      <c r="L140" s="269" t="s">
        <v>14029</v>
      </c>
      <c r="M140" s="282" t="s">
        <v>13479</v>
      </c>
      <c r="N140" s="280"/>
      <c r="O140" s="454" t="s">
        <v>14030</v>
      </c>
      <c r="P140" s="456">
        <v>44564</v>
      </c>
      <c r="Q140" s="456">
        <v>44564</v>
      </c>
      <c r="R140" s="436">
        <v>44564</v>
      </c>
      <c r="S140" s="298" t="s">
        <v>14031</v>
      </c>
      <c r="T140" s="463" t="s">
        <v>6186</v>
      </c>
      <c r="U140" s="340" t="s">
        <v>13464</v>
      </c>
      <c r="V140" s="474"/>
      <c r="W140" t="s">
        <v>13957</v>
      </c>
    </row>
    <row r="141" spans="1:23">
      <c r="A141" s="288" t="s">
        <v>13457</v>
      </c>
      <c r="B141" s="407" t="s">
        <v>14032</v>
      </c>
      <c r="C141" s="288" t="s">
        <v>14033</v>
      </c>
      <c r="D141" s="288" t="s">
        <v>704</v>
      </c>
      <c r="E141" s="329" t="s">
        <v>13467</v>
      </c>
      <c r="F141" s="341" t="s">
        <v>11564</v>
      </c>
      <c r="G141" s="341" t="s">
        <v>13931</v>
      </c>
      <c r="H141" s="269">
        <v>44519</v>
      </c>
      <c r="I141" s="269" t="s">
        <v>13459</v>
      </c>
      <c r="J141" s="269">
        <v>44561</v>
      </c>
      <c r="K141" s="386" t="s">
        <v>46</v>
      </c>
      <c r="L141" s="269" t="s">
        <v>14034</v>
      </c>
      <c r="M141" s="257" t="s">
        <v>13479</v>
      </c>
      <c r="N141" s="258"/>
      <c r="O141" s="320" t="s">
        <v>14035</v>
      </c>
      <c r="P141" s="269">
        <v>44564</v>
      </c>
      <c r="Q141" s="269">
        <v>44564</v>
      </c>
      <c r="R141" s="287">
        <v>44565</v>
      </c>
      <c r="S141" s="298" t="s">
        <v>14036</v>
      </c>
      <c r="T141" s="463" t="s">
        <v>6186</v>
      </c>
      <c r="U141" s="340" t="s">
        <v>13873</v>
      </c>
      <c r="V141" s="474"/>
      <c r="W141" t="s">
        <v>13957</v>
      </c>
    </row>
    <row r="142" spans="1:23">
      <c r="A142" s="288" t="s">
        <v>13457</v>
      </c>
      <c r="B142" s="407" t="s">
        <v>14037</v>
      </c>
      <c r="C142" s="288" t="s">
        <v>14038</v>
      </c>
      <c r="D142" s="288" t="s">
        <v>704</v>
      </c>
      <c r="E142" s="329" t="s">
        <v>13467</v>
      </c>
      <c r="F142" s="341" t="s">
        <v>11564</v>
      </c>
      <c r="G142" s="341" t="s">
        <v>13931</v>
      </c>
      <c r="H142" s="269">
        <v>44519</v>
      </c>
      <c r="I142" s="269" t="s">
        <v>13459</v>
      </c>
      <c r="J142" s="269">
        <v>44561</v>
      </c>
      <c r="K142" s="386" t="s">
        <v>46</v>
      </c>
      <c r="L142" s="269" t="s">
        <v>14029</v>
      </c>
      <c r="M142" s="271" t="s">
        <v>13479</v>
      </c>
      <c r="N142" s="272"/>
      <c r="O142" s="319" t="s">
        <v>14039</v>
      </c>
      <c r="P142" s="457">
        <v>44565</v>
      </c>
      <c r="Q142" s="269">
        <v>44564</v>
      </c>
      <c r="R142" s="269">
        <v>44564</v>
      </c>
      <c r="S142" s="298" t="s">
        <v>14031</v>
      </c>
      <c r="T142" s="463" t="s">
        <v>6186</v>
      </c>
      <c r="U142" s="340" t="s">
        <v>13873</v>
      </c>
      <c r="V142" s="474"/>
      <c r="W142" t="s">
        <v>13957</v>
      </c>
    </row>
    <row r="143" spans="1:23">
      <c r="A143" s="288" t="s">
        <v>13457</v>
      </c>
      <c r="B143" s="382">
        <v>283</v>
      </c>
      <c r="C143" s="261" t="s">
        <v>14040</v>
      </c>
      <c r="D143" s="260" t="s">
        <v>28</v>
      </c>
      <c r="E143" s="385">
        <v>100897</v>
      </c>
      <c r="F143" s="316" t="s">
        <v>1828</v>
      </c>
      <c r="G143" s="317">
        <v>213097338</v>
      </c>
      <c r="H143" s="259">
        <v>44542</v>
      </c>
      <c r="I143" s="261" t="s">
        <v>13459</v>
      </c>
      <c r="J143" s="269">
        <v>44553</v>
      </c>
      <c r="K143" s="386" t="s">
        <v>46</v>
      </c>
      <c r="L143" s="87"/>
      <c r="M143" s="4707" t="s">
        <v>13947</v>
      </c>
      <c r="N143" s="398"/>
      <c r="O143" s="75">
        <v>315656</v>
      </c>
      <c r="P143" s="96">
        <v>44556</v>
      </c>
      <c r="Q143" s="87">
        <v>44554</v>
      </c>
      <c r="R143" s="259">
        <v>44923</v>
      </c>
      <c r="S143" s="389" t="s">
        <v>14041</v>
      </c>
      <c r="T143" s="401" t="s">
        <v>6186</v>
      </c>
      <c r="U143" s="311" t="s">
        <v>13873</v>
      </c>
      <c r="V143" s="402"/>
      <c r="W143" s="318"/>
    </row>
    <row r="144" spans="1:23">
      <c r="A144" s="288" t="s">
        <v>13457</v>
      </c>
      <c r="B144" s="382">
        <v>284</v>
      </c>
      <c r="C144" s="261" t="s">
        <v>14042</v>
      </c>
      <c r="D144" s="260" t="s">
        <v>28</v>
      </c>
      <c r="E144" s="385">
        <v>10080</v>
      </c>
      <c r="F144" s="316" t="s">
        <v>1828</v>
      </c>
      <c r="G144" s="317">
        <v>213097569</v>
      </c>
      <c r="H144" s="259">
        <v>44542</v>
      </c>
      <c r="I144" s="399" t="s">
        <v>13459</v>
      </c>
      <c r="J144" s="269">
        <v>44554</v>
      </c>
      <c r="K144" s="395" t="s">
        <v>46</v>
      </c>
      <c r="L144" s="412" t="s">
        <v>14015</v>
      </c>
      <c r="M144" s="6028" t="s">
        <v>13947</v>
      </c>
      <c r="N144" s="398"/>
      <c r="O144" s="91" t="s">
        <v>14043</v>
      </c>
      <c r="P144" s="96">
        <v>44557</v>
      </c>
      <c r="Q144" s="87">
        <v>44557</v>
      </c>
      <c r="R144" s="259">
        <v>44924</v>
      </c>
      <c r="S144" s="389" t="s">
        <v>14044</v>
      </c>
      <c r="T144" s="413" t="s">
        <v>6186</v>
      </c>
      <c r="U144" s="414" t="s">
        <v>13464</v>
      </c>
      <c r="V144" s="236"/>
      <c r="W144" s="224"/>
    </row>
    <row r="145" spans="1:23" ht="23.25">
      <c r="A145" s="288" t="s">
        <v>13457</v>
      </c>
      <c r="B145" s="382">
        <v>287</v>
      </c>
      <c r="C145" s="261" t="s">
        <v>14045</v>
      </c>
      <c r="D145" s="260" t="s">
        <v>28</v>
      </c>
      <c r="E145" s="385">
        <v>11308</v>
      </c>
      <c r="F145" s="316" t="s">
        <v>93</v>
      </c>
      <c r="G145" s="317" t="s">
        <v>14046</v>
      </c>
      <c r="H145" s="409">
        <v>44553</v>
      </c>
      <c r="I145" s="261" t="s">
        <v>13459</v>
      </c>
      <c r="J145" s="396">
        <v>44562</v>
      </c>
      <c r="K145" s="286" t="s">
        <v>46</v>
      </c>
      <c r="L145" s="87" t="s">
        <v>14047</v>
      </c>
      <c r="M145" s="4708" t="s">
        <v>14048</v>
      </c>
      <c r="N145" s="398"/>
      <c r="O145" s="75">
        <v>940468</v>
      </c>
      <c r="P145" s="96">
        <v>44566</v>
      </c>
      <c r="Q145" s="87">
        <v>44565</v>
      </c>
      <c r="R145" s="283">
        <v>44568</v>
      </c>
      <c r="S145" s="389" t="s">
        <v>14049</v>
      </c>
      <c r="T145" s="439" t="s">
        <v>6186</v>
      </c>
      <c r="U145" s="440" t="s">
        <v>13464</v>
      </c>
      <c r="V145" s="441"/>
      <c r="W145" s="224"/>
    </row>
    <row r="146" spans="1:23">
      <c r="A146" s="550" t="s">
        <v>13457</v>
      </c>
      <c r="B146" s="550"/>
      <c r="C146" s="550" t="s">
        <v>14050</v>
      </c>
      <c r="D146" s="550" t="s">
        <v>704</v>
      </c>
      <c r="E146" s="550">
        <v>16744</v>
      </c>
      <c r="F146" s="550" t="s">
        <v>382</v>
      </c>
      <c r="G146" s="550" t="s">
        <v>14051</v>
      </c>
      <c r="H146" s="551">
        <v>44556</v>
      </c>
      <c r="I146" s="552" t="s">
        <v>13459</v>
      </c>
      <c r="J146" s="553">
        <v>44602</v>
      </c>
      <c r="K146" s="554" t="s">
        <v>13495</v>
      </c>
      <c r="L146" s="555"/>
      <c r="M146" s="4709" t="s">
        <v>14052</v>
      </c>
      <c r="N146" s="20"/>
      <c r="O146" s="560" t="s">
        <v>14053</v>
      </c>
      <c r="P146" s="561">
        <v>44605</v>
      </c>
      <c r="Q146" s="115"/>
      <c r="R146" s="562"/>
      <c r="S146" s="563" t="s">
        <v>14054</v>
      </c>
      <c r="T146" s="564" t="s">
        <v>6186</v>
      </c>
      <c r="U146" s="6029" t="s">
        <v>13618</v>
      </c>
      <c r="V146" s="565" t="s">
        <v>13748</v>
      </c>
      <c r="W146" s="566"/>
    </row>
    <row r="147" spans="1:23">
      <c r="A147" s="550" t="s">
        <v>13457</v>
      </c>
      <c r="B147" s="550"/>
      <c r="C147" s="550" t="s">
        <v>14055</v>
      </c>
      <c r="D147" s="550" t="s">
        <v>704</v>
      </c>
      <c r="E147" s="550">
        <v>16016</v>
      </c>
      <c r="F147" s="550" t="s">
        <v>382</v>
      </c>
      <c r="G147" s="556" t="s">
        <v>14051</v>
      </c>
      <c r="H147" s="557">
        <v>44556</v>
      </c>
      <c r="I147" s="558" t="s">
        <v>13459</v>
      </c>
      <c r="J147" s="553">
        <v>44602</v>
      </c>
      <c r="K147" s="559" t="s">
        <v>13495</v>
      </c>
      <c r="L147" s="115"/>
      <c r="M147" s="4709" t="s">
        <v>14052</v>
      </c>
      <c r="N147" s="20"/>
      <c r="O147" s="560" t="s">
        <v>14056</v>
      </c>
      <c r="P147" s="561">
        <v>44605</v>
      </c>
      <c r="Q147" s="115"/>
      <c r="R147" s="562"/>
      <c r="S147" s="563" t="s">
        <v>14054</v>
      </c>
      <c r="T147" s="564" t="s">
        <v>6186</v>
      </c>
      <c r="U147" s="6029" t="s">
        <v>13618</v>
      </c>
      <c r="V147" s="565" t="s">
        <v>13748</v>
      </c>
      <c r="W147" s="566"/>
    </row>
    <row r="148" spans="1:23">
      <c r="A148" s="550" t="s">
        <v>13457</v>
      </c>
      <c r="B148" s="550"/>
      <c r="C148" s="550" t="s">
        <v>14057</v>
      </c>
      <c r="D148" s="550" t="s">
        <v>704</v>
      </c>
      <c r="E148" s="550">
        <v>16890</v>
      </c>
      <c r="F148" s="550" t="s">
        <v>382</v>
      </c>
      <c r="G148" s="556" t="s">
        <v>14051</v>
      </c>
      <c r="H148" s="557">
        <v>44556</v>
      </c>
      <c r="I148" s="558" t="s">
        <v>13459</v>
      </c>
      <c r="J148" s="553">
        <v>44602</v>
      </c>
      <c r="K148" s="559" t="s">
        <v>13495</v>
      </c>
      <c r="L148" s="115"/>
      <c r="M148" s="4709" t="s">
        <v>14052</v>
      </c>
      <c r="N148" s="20"/>
      <c r="O148" s="560" t="s">
        <v>14058</v>
      </c>
      <c r="P148" s="561">
        <v>44605</v>
      </c>
      <c r="Q148" s="115"/>
      <c r="R148" s="562"/>
      <c r="S148" s="563" t="s">
        <v>14054</v>
      </c>
      <c r="T148" s="564" t="s">
        <v>6186</v>
      </c>
      <c r="U148" s="6029" t="s">
        <v>13618</v>
      </c>
      <c r="V148" s="565" t="s">
        <v>13748</v>
      </c>
      <c r="W148" s="566"/>
    </row>
    <row r="149" spans="1:23">
      <c r="A149" s="550" t="s">
        <v>13457</v>
      </c>
      <c r="B149" s="550"/>
      <c r="C149" s="550" t="s">
        <v>14059</v>
      </c>
      <c r="D149" s="550" t="s">
        <v>704</v>
      </c>
      <c r="E149" s="550">
        <v>16613</v>
      </c>
      <c r="F149" s="550" t="s">
        <v>382</v>
      </c>
      <c r="G149" s="556" t="s">
        <v>14051</v>
      </c>
      <c r="H149" s="557">
        <v>44556</v>
      </c>
      <c r="I149" s="558" t="s">
        <v>13459</v>
      </c>
      <c r="J149" s="553">
        <v>44602</v>
      </c>
      <c r="K149" s="559" t="s">
        <v>13495</v>
      </c>
      <c r="L149" s="115"/>
      <c r="M149" s="4709" t="s">
        <v>14052</v>
      </c>
      <c r="N149" s="20"/>
      <c r="O149" s="567" t="s">
        <v>14060</v>
      </c>
      <c r="P149" s="561">
        <v>44605</v>
      </c>
      <c r="Q149" s="555"/>
      <c r="R149" s="568"/>
      <c r="S149" s="569" t="s">
        <v>14054</v>
      </c>
      <c r="T149" s="570" t="s">
        <v>6186</v>
      </c>
      <c r="U149" s="6029" t="s">
        <v>13618</v>
      </c>
      <c r="V149" s="565" t="s">
        <v>13748</v>
      </c>
      <c r="W149" s="566"/>
    </row>
    <row r="150" spans="1:23">
      <c r="A150" s="571" t="s">
        <v>13457</v>
      </c>
      <c r="B150" s="571"/>
      <c r="C150" s="571" t="s">
        <v>14061</v>
      </c>
      <c r="D150" s="571" t="s">
        <v>704</v>
      </c>
      <c r="E150" s="571">
        <v>16678</v>
      </c>
      <c r="F150" s="571" t="s">
        <v>382</v>
      </c>
      <c r="G150" s="572" t="s">
        <v>14051</v>
      </c>
      <c r="H150" s="573">
        <v>44556</v>
      </c>
      <c r="I150" s="552" t="s">
        <v>13459</v>
      </c>
      <c r="J150" s="574">
        <v>44602</v>
      </c>
      <c r="K150" s="575" t="s">
        <v>13495</v>
      </c>
      <c r="L150" s="555"/>
      <c r="M150" s="3938" t="s">
        <v>14052</v>
      </c>
      <c r="N150" s="20"/>
      <c r="O150" s="567" t="s">
        <v>14062</v>
      </c>
      <c r="P150" s="576">
        <v>44605</v>
      </c>
      <c r="Q150" s="555"/>
      <c r="R150" s="555"/>
      <c r="S150" s="569" t="s">
        <v>14054</v>
      </c>
      <c r="T150" s="570" t="s">
        <v>6186</v>
      </c>
      <c r="U150" s="3939" t="s">
        <v>13618</v>
      </c>
      <c r="V150" s="577" t="s">
        <v>13748</v>
      </c>
      <c r="W150" s="566"/>
    </row>
    <row r="151" spans="1:23" ht="15" customHeight="1">
      <c r="A151" s="5974" t="s">
        <v>13457</v>
      </c>
      <c r="B151" s="6030">
        <v>680847</v>
      </c>
      <c r="C151" s="6031" t="s">
        <v>14063</v>
      </c>
      <c r="D151" s="5974" t="s">
        <v>704</v>
      </c>
      <c r="E151" s="5974">
        <v>17200</v>
      </c>
      <c r="F151" s="5974" t="s">
        <v>382</v>
      </c>
      <c r="G151" s="6031" t="s">
        <v>14064</v>
      </c>
      <c r="H151" s="639" t="s">
        <v>14065</v>
      </c>
      <c r="I151" s="5974" t="s">
        <v>13459</v>
      </c>
      <c r="J151" s="6032">
        <v>44616</v>
      </c>
      <c r="K151" s="5999" t="s">
        <v>13495</v>
      </c>
      <c r="L151" s="639"/>
      <c r="M151" s="4690" t="s">
        <v>14066</v>
      </c>
      <c r="N151" s="97"/>
      <c r="O151" s="6030">
        <v>563400</v>
      </c>
      <c r="P151" s="6032">
        <v>44618</v>
      </c>
      <c r="Q151" s="5975">
        <v>44616</v>
      </c>
      <c r="R151" s="5975">
        <v>44618</v>
      </c>
      <c r="S151" s="5974"/>
      <c r="T151" s="6033" t="s">
        <v>6186</v>
      </c>
      <c r="U151" s="90" t="s">
        <v>13464</v>
      </c>
      <c r="V151" s="4710"/>
      <c r="W151" s="224"/>
    </row>
    <row r="152" spans="1:23" ht="15" customHeight="1">
      <c r="A152" s="5974" t="s">
        <v>13457</v>
      </c>
      <c r="B152" s="6030">
        <v>680850</v>
      </c>
      <c r="C152" s="6031" t="s">
        <v>14067</v>
      </c>
      <c r="D152" s="5974" t="s">
        <v>704</v>
      </c>
      <c r="E152" s="5974">
        <v>17200</v>
      </c>
      <c r="F152" s="5974" t="s">
        <v>382</v>
      </c>
      <c r="G152" s="6034"/>
      <c r="H152" s="639" t="s">
        <v>14068</v>
      </c>
      <c r="I152" s="5974" t="s">
        <v>13459</v>
      </c>
      <c r="J152" s="6032">
        <v>44616</v>
      </c>
      <c r="K152" s="5999" t="s">
        <v>13495</v>
      </c>
      <c r="L152" s="639"/>
      <c r="M152" s="4690" t="s">
        <v>14066</v>
      </c>
      <c r="N152" s="97"/>
      <c r="O152" s="6030">
        <v>695055</v>
      </c>
      <c r="P152" s="6032">
        <v>44618</v>
      </c>
      <c r="Q152" s="5975">
        <v>44616</v>
      </c>
      <c r="R152" s="5975">
        <v>44616</v>
      </c>
      <c r="S152" s="5974"/>
      <c r="T152" s="6033" t="s">
        <v>6186</v>
      </c>
      <c r="U152" s="90" t="s">
        <v>13464</v>
      </c>
      <c r="V152" s="4710"/>
      <c r="W152" s="224"/>
    </row>
    <row r="153" spans="1:23" ht="15" customHeight="1">
      <c r="A153" s="5974" t="s">
        <v>13457</v>
      </c>
      <c r="B153" s="6030">
        <v>680859</v>
      </c>
      <c r="C153" s="6031" t="s">
        <v>14069</v>
      </c>
      <c r="D153" s="5974" t="s">
        <v>704</v>
      </c>
      <c r="E153" s="5974">
        <v>17200</v>
      </c>
      <c r="F153" s="5974" t="s">
        <v>382</v>
      </c>
      <c r="G153" s="6031" t="s">
        <v>14070</v>
      </c>
      <c r="H153" s="639" t="s">
        <v>14071</v>
      </c>
      <c r="I153" s="5974" t="s">
        <v>13459</v>
      </c>
      <c r="J153" s="6032">
        <v>44616</v>
      </c>
      <c r="K153" s="5999" t="s">
        <v>13495</v>
      </c>
      <c r="L153" s="639"/>
      <c r="M153" s="4690" t="s">
        <v>14066</v>
      </c>
      <c r="N153" s="97"/>
      <c r="O153" s="6030">
        <v>868016</v>
      </c>
      <c r="P153" s="6032">
        <v>44618</v>
      </c>
      <c r="Q153" s="5975">
        <v>44617</v>
      </c>
      <c r="R153" s="5975">
        <v>44618</v>
      </c>
      <c r="S153" s="5974"/>
      <c r="T153" s="6033" t="s">
        <v>6186</v>
      </c>
      <c r="U153" s="90" t="s">
        <v>13464</v>
      </c>
      <c r="V153" s="4710"/>
      <c r="W153" s="224"/>
    </row>
    <row r="154" spans="1:23" ht="15" customHeight="1">
      <c r="A154" s="5974" t="s">
        <v>13457</v>
      </c>
      <c r="B154" s="6030">
        <v>680945</v>
      </c>
      <c r="C154" s="6031" t="s">
        <v>14072</v>
      </c>
      <c r="D154" s="5974" t="s">
        <v>704</v>
      </c>
      <c r="E154" s="5974">
        <v>17200</v>
      </c>
      <c r="F154" s="5974" t="s">
        <v>382</v>
      </c>
      <c r="G154" s="6034"/>
      <c r="H154" s="639" t="s">
        <v>14073</v>
      </c>
      <c r="I154" s="5974" t="s">
        <v>13459</v>
      </c>
      <c r="J154" s="6032">
        <v>44616</v>
      </c>
      <c r="K154" s="5999" t="s">
        <v>13495</v>
      </c>
      <c r="L154" s="639"/>
      <c r="M154" s="4690" t="s">
        <v>14066</v>
      </c>
      <c r="N154" s="97"/>
      <c r="O154" s="6030">
        <v>294720</v>
      </c>
      <c r="P154" s="6032">
        <v>44618</v>
      </c>
      <c r="Q154" s="5975">
        <v>44617</v>
      </c>
      <c r="R154" s="5975">
        <v>44620</v>
      </c>
      <c r="S154" s="5974"/>
      <c r="T154" s="6033" t="s">
        <v>6186</v>
      </c>
      <c r="U154" s="90" t="s">
        <v>13464</v>
      </c>
      <c r="V154" s="4710"/>
      <c r="W154" s="224"/>
    </row>
    <row r="155" spans="1:23" ht="15" customHeight="1">
      <c r="A155" s="5974" t="s">
        <v>13457</v>
      </c>
      <c r="B155" s="6030">
        <v>680852</v>
      </c>
      <c r="C155" s="6031" t="s">
        <v>14074</v>
      </c>
      <c r="D155" s="5974" t="s">
        <v>704</v>
      </c>
      <c r="E155" s="5974">
        <v>17200</v>
      </c>
      <c r="F155" s="5974" t="s">
        <v>382</v>
      </c>
      <c r="G155" s="6031" t="s">
        <v>14075</v>
      </c>
      <c r="H155" s="639" t="s">
        <v>14076</v>
      </c>
      <c r="I155" s="5974" t="s">
        <v>13459</v>
      </c>
      <c r="J155" s="6032">
        <v>44616</v>
      </c>
      <c r="K155" s="5999" t="s">
        <v>13495</v>
      </c>
      <c r="L155" s="639"/>
      <c r="M155" s="4690" t="s">
        <v>14066</v>
      </c>
      <c r="N155" s="97"/>
      <c r="O155" s="6030">
        <v>633176</v>
      </c>
      <c r="P155" s="6032">
        <v>44618</v>
      </c>
      <c r="Q155" s="5975">
        <v>44617</v>
      </c>
      <c r="R155" s="5975">
        <v>44620</v>
      </c>
      <c r="S155" s="5974"/>
      <c r="T155" s="6033" t="s">
        <v>6186</v>
      </c>
      <c r="U155" s="90" t="s">
        <v>13464</v>
      </c>
      <c r="V155" s="4710"/>
      <c r="W155" s="224"/>
    </row>
    <row r="156" spans="1:23" ht="15" customHeight="1">
      <c r="A156" s="5974" t="s">
        <v>13457</v>
      </c>
      <c r="B156" s="6030">
        <v>680854</v>
      </c>
      <c r="C156" s="6031" t="s">
        <v>14077</v>
      </c>
      <c r="D156" s="5974" t="s">
        <v>704</v>
      </c>
      <c r="E156" s="5974">
        <v>17200</v>
      </c>
      <c r="F156" s="5974" t="s">
        <v>382</v>
      </c>
      <c r="G156" s="6034"/>
      <c r="H156" s="639" t="s">
        <v>14078</v>
      </c>
      <c r="I156" s="5974" t="s">
        <v>13459</v>
      </c>
      <c r="J156" s="6032">
        <v>44616</v>
      </c>
      <c r="K156" s="5999" t="s">
        <v>13495</v>
      </c>
      <c r="L156" s="639"/>
      <c r="M156" s="4690" t="s">
        <v>14066</v>
      </c>
      <c r="N156" s="97"/>
      <c r="O156" s="6030">
        <v>199651</v>
      </c>
      <c r="P156" s="6032">
        <v>44618</v>
      </c>
      <c r="Q156" s="5975">
        <v>44620</v>
      </c>
      <c r="R156" s="5975">
        <v>44620</v>
      </c>
      <c r="S156" s="5974"/>
      <c r="T156" s="6033" t="s">
        <v>6186</v>
      </c>
      <c r="U156" s="90" t="s">
        <v>13464</v>
      </c>
      <c r="V156" s="4710"/>
      <c r="W156" s="224"/>
    </row>
    <row r="157" spans="1:23" ht="15" customHeight="1">
      <c r="A157" s="5974" t="s">
        <v>13457</v>
      </c>
      <c r="B157" s="6030">
        <v>680907</v>
      </c>
      <c r="C157" s="6031" t="s">
        <v>14079</v>
      </c>
      <c r="D157" s="5974" t="s">
        <v>704</v>
      </c>
      <c r="E157" s="5974">
        <v>17200</v>
      </c>
      <c r="F157" s="5974" t="s">
        <v>382</v>
      </c>
      <c r="G157" s="6034"/>
      <c r="H157" s="639" t="s">
        <v>14080</v>
      </c>
      <c r="I157" s="5974" t="s">
        <v>13459</v>
      </c>
      <c r="J157" s="6032">
        <v>44616</v>
      </c>
      <c r="K157" s="5999" t="s">
        <v>13495</v>
      </c>
      <c r="L157" s="639"/>
      <c r="M157" s="4690" t="s">
        <v>14066</v>
      </c>
      <c r="N157" s="97"/>
      <c r="O157" s="6030">
        <v>402748</v>
      </c>
      <c r="P157" s="6032">
        <v>44618</v>
      </c>
      <c r="Q157" s="5975">
        <v>44617</v>
      </c>
      <c r="R157" s="5975">
        <v>44618</v>
      </c>
      <c r="S157" s="5974"/>
      <c r="T157" s="6033" t="s">
        <v>6186</v>
      </c>
      <c r="U157" s="90" t="s">
        <v>13464</v>
      </c>
      <c r="V157" s="4710"/>
      <c r="W157" s="224"/>
    </row>
    <row r="158" spans="1:23" ht="15" customHeight="1">
      <c r="A158" s="5974" t="s">
        <v>13457</v>
      </c>
      <c r="B158" s="6030">
        <v>680928</v>
      </c>
      <c r="C158" s="6031" t="s">
        <v>14081</v>
      </c>
      <c r="D158" s="5974" t="s">
        <v>704</v>
      </c>
      <c r="E158" s="5974">
        <v>17200</v>
      </c>
      <c r="F158" s="5974" t="s">
        <v>382</v>
      </c>
      <c r="G158" s="6034"/>
      <c r="H158" s="639" t="s">
        <v>14082</v>
      </c>
      <c r="I158" s="5974" t="s">
        <v>13459</v>
      </c>
      <c r="J158" s="6032">
        <v>44616</v>
      </c>
      <c r="K158" s="5999" t="s">
        <v>13495</v>
      </c>
      <c r="L158" s="639"/>
      <c r="M158" s="4690" t="s">
        <v>14066</v>
      </c>
      <c r="N158" s="97"/>
      <c r="O158" s="6030" t="s">
        <v>14083</v>
      </c>
      <c r="P158" s="6032">
        <v>44618</v>
      </c>
      <c r="Q158" s="5975">
        <v>44616</v>
      </c>
      <c r="R158" s="5975">
        <v>44616</v>
      </c>
      <c r="S158" s="5974"/>
      <c r="T158" s="6033" t="s">
        <v>6186</v>
      </c>
      <c r="U158" s="90" t="s">
        <v>13464</v>
      </c>
      <c r="V158" s="4710"/>
      <c r="W158" s="224"/>
    </row>
    <row r="159" spans="1:23" ht="15" customHeight="1">
      <c r="A159" s="5974" t="s">
        <v>13457</v>
      </c>
      <c r="B159" s="6030">
        <v>680848</v>
      </c>
      <c r="C159" s="6031" t="s">
        <v>14084</v>
      </c>
      <c r="D159" s="5974" t="s">
        <v>704</v>
      </c>
      <c r="E159" s="5974">
        <v>17200</v>
      </c>
      <c r="F159" s="5974" t="s">
        <v>382</v>
      </c>
      <c r="G159" s="6031" t="s">
        <v>14085</v>
      </c>
      <c r="H159" s="639" t="s">
        <v>14086</v>
      </c>
      <c r="I159" s="5974" t="s">
        <v>13459</v>
      </c>
      <c r="J159" s="6032">
        <v>44616</v>
      </c>
      <c r="K159" s="5999" t="s">
        <v>13495</v>
      </c>
      <c r="L159" s="639"/>
      <c r="M159" s="4690" t="s">
        <v>14066</v>
      </c>
      <c r="N159" s="97"/>
      <c r="O159" s="6030">
        <v>488822</v>
      </c>
      <c r="P159" s="6032">
        <v>44618</v>
      </c>
      <c r="Q159" s="5975">
        <v>44618</v>
      </c>
      <c r="R159" s="5975">
        <v>44619</v>
      </c>
      <c r="S159" s="5974"/>
      <c r="T159" s="6033" t="s">
        <v>6186</v>
      </c>
      <c r="U159" s="90" t="s">
        <v>13464</v>
      </c>
      <c r="V159" s="4710"/>
      <c r="W159" s="224"/>
    </row>
    <row r="160" spans="1:23" ht="15" customHeight="1">
      <c r="A160" s="5974" t="s">
        <v>13457</v>
      </c>
      <c r="B160" s="6030">
        <v>680905</v>
      </c>
      <c r="C160" s="6031" t="s">
        <v>14087</v>
      </c>
      <c r="D160" s="5974" t="s">
        <v>704</v>
      </c>
      <c r="E160" s="5974">
        <v>17200</v>
      </c>
      <c r="F160" s="5974" t="s">
        <v>382</v>
      </c>
      <c r="G160" s="6034"/>
      <c r="H160" s="639" t="s">
        <v>14088</v>
      </c>
      <c r="I160" s="5974" t="s">
        <v>13459</v>
      </c>
      <c r="J160" s="6032">
        <v>44616</v>
      </c>
      <c r="K160" s="5999" t="s">
        <v>13495</v>
      </c>
      <c r="L160" s="639"/>
      <c r="M160" s="4690" t="s">
        <v>14066</v>
      </c>
      <c r="N160" s="97"/>
      <c r="O160" s="6030">
        <v>122729</v>
      </c>
      <c r="P160" s="6032">
        <v>44618</v>
      </c>
      <c r="Q160" s="5975">
        <v>44617</v>
      </c>
      <c r="R160" s="5975">
        <v>44620</v>
      </c>
      <c r="S160" s="5974"/>
      <c r="T160" s="6033" t="s">
        <v>6186</v>
      </c>
      <c r="U160" s="90" t="s">
        <v>13464</v>
      </c>
      <c r="V160" s="4710"/>
      <c r="W160" s="224"/>
    </row>
    <row r="161" spans="1:23" ht="15" customHeight="1">
      <c r="A161" s="3929" t="s">
        <v>13457</v>
      </c>
      <c r="B161" s="3940">
        <v>680808</v>
      </c>
      <c r="C161" s="3940" t="s">
        <v>14089</v>
      </c>
      <c r="D161" s="3929" t="s">
        <v>44</v>
      </c>
      <c r="E161" s="3929">
        <v>13750</v>
      </c>
      <c r="F161" s="3929" t="s">
        <v>382</v>
      </c>
      <c r="G161" s="3941" t="s">
        <v>14090</v>
      </c>
      <c r="H161" s="639" t="s">
        <v>14091</v>
      </c>
      <c r="I161" s="3929" t="s">
        <v>13459</v>
      </c>
      <c r="J161" s="6032">
        <v>44619</v>
      </c>
      <c r="K161" s="3942" t="s">
        <v>13495</v>
      </c>
      <c r="L161" s="639"/>
      <c r="M161" s="3943" t="s">
        <v>14066</v>
      </c>
      <c r="N161" s="97"/>
      <c r="O161" s="3940" t="s">
        <v>14092</v>
      </c>
      <c r="P161" s="3944">
        <v>44622</v>
      </c>
      <c r="Q161" s="3921">
        <v>44621</v>
      </c>
      <c r="R161" s="3921">
        <v>44621</v>
      </c>
      <c r="S161" s="3929"/>
      <c r="T161" s="6033" t="s">
        <v>6186</v>
      </c>
      <c r="U161" s="90" t="s">
        <v>13464</v>
      </c>
      <c r="V161" s="3945"/>
      <c r="W161" s="224"/>
    </row>
    <row r="162" spans="1:23" ht="15" customHeight="1">
      <c r="A162" s="5974" t="s">
        <v>13457</v>
      </c>
      <c r="B162" s="6035">
        <v>680880</v>
      </c>
      <c r="C162" s="6036" t="s">
        <v>14093</v>
      </c>
      <c r="D162" s="5974" t="s">
        <v>704</v>
      </c>
      <c r="E162" s="5974">
        <v>17200</v>
      </c>
      <c r="F162" s="5974" t="s">
        <v>382</v>
      </c>
      <c r="G162" s="6036" t="s">
        <v>14094</v>
      </c>
      <c r="H162" s="640" t="s">
        <v>14095</v>
      </c>
      <c r="I162" s="5974" t="s">
        <v>13459</v>
      </c>
      <c r="J162" s="6032">
        <v>44616</v>
      </c>
      <c r="K162" s="5999" t="s">
        <v>13495</v>
      </c>
      <c r="L162" s="640"/>
      <c r="M162" s="4690" t="s">
        <v>801</v>
      </c>
      <c r="N162" s="97"/>
      <c r="O162" s="6035">
        <v>644566</v>
      </c>
      <c r="P162" s="6032">
        <v>44618</v>
      </c>
      <c r="Q162" s="5975">
        <v>44617</v>
      </c>
      <c r="R162" s="5975">
        <v>44623</v>
      </c>
      <c r="S162" s="5974" t="s">
        <v>14096</v>
      </c>
      <c r="T162" s="6033" t="s">
        <v>6186</v>
      </c>
      <c r="U162" s="90" t="s">
        <v>13464</v>
      </c>
      <c r="V162" s="5994"/>
      <c r="W162" s="224"/>
    </row>
    <row r="163" spans="1:23" ht="15" customHeight="1">
      <c r="A163" s="5974" t="s">
        <v>13457</v>
      </c>
      <c r="B163" s="6035">
        <v>680881</v>
      </c>
      <c r="C163" s="6036" t="s">
        <v>14097</v>
      </c>
      <c r="D163" s="5974" t="s">
        <v>704</v>
      </c>
      <c r="E163" s="5974">
        <v>17200</v>
      </c>
      <c r="F163" s="5974" t="s">
        <v>382</v>
      </c>
      <c r="G163" s="5974"/>
      <c r="H163" s="640" t="s">
        <v>14098</v>
      </c>
      <c r="I163" s="5974" t="s">
        <v>13459</v>
      </c>
      <c r="J163" s="6032">
        <v>44616</v>
      </c>
      <c r="K163" s="5999" t="s">
        <v>13495</v>
      </c>
      <c r="L163" s="640"/>
      <c r="M163" s="4690" t="s">
        <v>801</v>
      </c>
      <c r="N163" s="97"/>
      <c r="O163" s="6035">
        <v>188565</v>
      </c>
      <c r="P163" s="6032">
        <v>44618</v>
      </c>
      <c r="Q163" s="5975">
        <v>44618</v>
      </c>
      <c r="R163" s="5975">
        <v>44622</v>
      </c>
      <c r="S163" s="5974" t="s">
        <v>14099</v>
      </c>
      <c r="T163" s="6033" t="s">
        <v>6186</v>
      </c>
      <c r="U163" s="90" t="s">
        <v>13464</v>
      </c>
      <c r="V163" s="5994"/>
      <c r="W163" s="224"/>
    </row>
    <row r="164" spans="1:23" ht="15" customHeight="1">
      <c r="A164" s="5974" t="s">
        <v>13457</v>
      </c>
      <c r="B164" s="6035">
        <v>680944</v>
      </c>
      <c r="C164" s="6036" t="s">
        <v>14100</v>
      </c>
      <c r="D164" s="5974" t="s">
        <v>704</v>
      </c>
      <c r="E164" s="5974">
        <v>17200</v>
      </c>
      <c r="F164" s="5974" t="s">
        <v>382</v>
      </c>
      <c r="G164" s="5974"/>
      <c r="H164" s="640" t="s">
        <v>14101</v>
      </c>
      <c r="I164" s="5974" t="s">
        <v>13459</v>
      </c>
      <c r="J164" s="6032">
        <v>44616</v>
      </c>
      <c r="K164" s="5999" t="s">
        <v>13495</v>
      </c>
      <c r="L164" s="640"/>
      <c r="M164" s="4690" t="s">
        <v>801</v>
      </c>
      <c r="N164" s="97"/>
      <c r="O164" s="6035">
        <v>494772</v>
      </c>
      <c r="P164" s="6032">
        <v>44618</v>
      </c>
      <c r="Q164" s="5975">
        <v>44618</v>
      </c>
      <c r="R164" s="5975">
        <v>44622</v>
      </c>
      <c r="S164" s="5974" t="s">
        <v>14099</v>
      </c>
      <c r="T164" s="6033" t="s">
        <v>6186</v>
      </c>
      <c r="U164" s="90" t="s">
        <v>13464</v>
      </c>
      <c r="V164" s="5994"/>
      <c r="W164" s="224"/>
    </row>
    <row r="165" spans="1:23" ht="15" customHeight="1">
      <c r="A165" s="5974" t="s">
        <v>13457</v>
      </c>
      <c r="B165" s="6035">
        <v>680853</v>
      </c>
      <c r="C165" s="6036" t="s">
        <v>14102</v>
      </c>
      <c r="D165" s="5974" t="s">
        <v>704</v>
      </c>
      <c r="E165" s="5974">
        <v>17200</v>
      </c>
      <c r="F165" s="5974" t="s">
        <v>382</v>
      </c>
      <c r="G165" s="5974"/>
      <c r="H165" s="640" t="s">
        <v>14103</v>
      </c>
      <c r="I165" s="5974" t="s">
        <v>13459</v>
      </c>
      <c r="J165" s="6032">
        <v>44616</v>
      </c>
      <c r="K165" s="5999" t="s">
        <v>13495</v>
      </c>
      <c r="L165" s="640"/>
      <c r="M165" s="4690" t="s">
        <v>801</v>
      </c>
      <c r="N165" s="97"/>
      <c r="O165" s="6035">
        <v>861983</v>
      </c>
      <c r="P165" s="6032">
        <v>44618</v>
      </c>
      <c r="Q165" s="5975">
        <v>44620</v>
      </c>
      <c r="R165" s="5975">
        <v>44622</v>
      </c>
      <c r="S165" s="5974" t="s">
        <v>14099</v>
      </c>
      <c r="T165" s="6033" t="s">
        <v>6186</v>
      </c>
      <c r="U165" s="90" t="s">
        <v>13464</v>
      </c>
      <c r="V165" s="5994"/>
      <c r="W165" s="224"/>
    </row>
  </sheetData>
  <autoFilter ref="A1:W169" xr:uid="{3CA7875D-849C-49F8-8B93-E5037E52AE89}"/>
  <conditionalFormatting sqref="C162:C165">
    <cfRule type="duplicateValues" dxfId="58" priority="1"/>
  </conditionalFormatting>
  <hyperlinks>
    <hyperlink ref="N79" r:id="rId1" display="agonzalez@newstarlighting.com / Angela Gonzalez   " xr:uid="{7E9CE6DC-AAAD-48E1-8B8E-C4939EE312BF}"/>
  </hyperlinks>
  <pageMargins left="0.7" right="0.7" top="0.75" bottom="0.75" header="0.3" footer="0.3"/>
  <pageSetup orientation="portrait"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02333-CD60-4F7A-8C7B-9A1225E64F68}">
  <sheetPr codeName="Sheet18"/>
  <dimension ref="A1:N29"/>
  <sheetViews>
    <sheetView zoomScale="110" zoomScaleNormal="110" workbookViewId="0">
      <selection activeCell="K3" sqref="K3"/>
    </sheetView>
  </sheetViews>
  <sheetFormatPr defaultRowHeight="15"/>
  <cols>
    <col min="1" max="1" width="14.25" customWidth="1"/>
    <col min="2" max="2" width="13.25" customWidth="1"/>
    <col min="3" max="3" width="11.875" customWidth="1"/>
    <col min="4" max="4" width="9.25" customWidth="1"/>
    <col min="5" max="5" width="9" customWidth="1"/>
    <col min="6" max="6" width="11.125" customWidth="1"/>
    <col min="7" max="7" width="10" customWidth="1"/>
    <col min="8" max="8" width="11.125" bestFit="1" customWidth="1"/>
    <col min="9" max="9" width="9" bestFit="1" customWidth="1"/>
    <col min="10" max="10" width="14.25" customWidth="1"/>
    <col min="11" max="11" width="17" style="7" customWidth="1"/>
    <col min="12" max="12" width="12.125" customWidth="1"/>
    <col min="13" max="13" width="13" customWidth="1"/>
    <col min="16" max="16" width="9" bestFit="1" customWidth="1"/>
    <col min="19" max="19" width="9" bestFit="1" customWidth="1"/>
  </cols>
  <sheetData>
    <row r="1" spans="1:14">
      <c r="A1" t="s">
        <v>12407</v>
      </c>
      <c r="B1" t="s">
        <v>15</v>
      </c>
      <c r="J1" s="4560" t="s">
        <v>14104</v>
      </c>
      <c r="K1" s="88"/>
      <c r="N1" s="4428"/>
    </row>
    <row r="2" spans="1:14">
      <c r="J2" s="4741" t="s">
        <v>14105</v>
      </c>
      <c r="K2" s="4742" t="s">
        <v>14106</v>
      </c>
      <c r="M2" s="4" t="str">
        <f>HYPERLINK(CONCATENATE("search-ms:displayname=“美雄客户”中的搜索结果&amp;crumb=System.Generic.String：",K3,"&amp;crumb=location:C%3A%5CUsers%5Ctrudy%5CDropbox%5C美雄客户"),"文件夹中搜索")</f>
        <v>文件夹中搜索</v>
      </c>
      <c r="N2" s="4428"/>
    </row>
    <row r="3" spans="1:14" ht="16.5">
      <c r="J3" s="4743" t="s">
        <v>1</v>
      </c>
      <c r="K3" s="89" t="s">
        <v>14107</v>
      </c>
      <c r="L3" s="8"/>
      <c r="M3" s="1538" t="e">
        <v>#N/A</v>
      </c>
      <c r="N3" s="5" t="s">
        <v>14108</v>
      </c>
    </row>
    <row r="4" spans="1:14">
      <c r="J4" s="4744" t="s">
        <v>4</v>
      </c>
      <c r="K4" s="4745" t="e">
        <v>#N/A</v>
      </c>
      <c r="M4" s="1538" t="e">
        <v>#N/A</v>
      </c>
    </row>
    <row r="5" spans="1:14">
      <c r="J5" s="4744" t="s">
        <v>13452</v>
      </c>
      <c r="K5" s="4745" t="e">
        <v>#N/A</v>
      </c>
      <c r="M5" s="4"/>
    </row>
    <row r="6" spans="1:14">
      <c r="J6" s="4744" t="s">
        <v>11</v>
      </c>
      <c r="K6" s="4745" t="e">
        <v>#N/A</v>
      </c>
      <c r="M6" s="1538" t="e">
        <v>#N/A</v>
      </c>
    </row>
    <row r="7" spans="1:14">
      <c r="J7" s="4744" t="s">
        <v>15</v>
      </c>
      <c r="K7" s="4745" t="e">
        <v>#N/A</v>
      </c>
      <c r="M7" s="4"/>
    </row>
    <row r="8" spans="1:14">
      <c r="J8" s="4744" t="s">
        <v>14109</v>
      </c>
      <c r="K8" s="4745" t="e">
        <v>#N/A</v>
      </c>
      <c r="M8" s="4428"/>
    </row>
    <row r="9" spans="1:14">
      <c r="B9">
        <v>600000</v>
      </c>
      <c r="J9" s="4746" t="s">
        <v>7</v>
      </c>
      <c r="K9" s="4747" t="e">
        <v>#N/A</v>
      </c>
      <c r="M9" s="1538" t="e">
        <v>#N/A</v>
      </c>
    </row>
    <row r="10" spans="1:14">
      <c r="B10">
        <v>200000000</v>
      </c>
      <c r="J10" s="4428"/>
      <c r="M10" s="4"/>
    </row>
    <row r="11" spans="1:14">
      <c r="J11" s="4560" t="s">
        <v>14104</v>
      </c>
      <c r="K11" s="88"/>
      <c r="N11" s="4428"/>
    </row>
    <row r="12" spans="1:14">
      <c r="J12" s="4741" t="s">
        <v>14105</v>
      </c>
      <c r="K12" s="4742" t="s">
        <v>14110</v>
      </c>
      <c r="M12" s="4" t="str">
        <f>HYPERLINK(CONCATENATE("search-ms:displayname=“美雄客户”中的搜索结果&amp;crumb=System.Generic.String：",K13,"&amp;crumb=location:C%3A%5CUsers%5Ctrudy%5CDropbox%5C美雄客户"),"文件夹中搜索")</f>
        <v>文件夹中搜索</v>
      </c>
      <c r="N12" s="4428"/>
    </row>
    <row r="13" spans="1:14">
      <c r="J13" s="4743" t="s">
        <v>1</v>
      </c>
      <c r="K13" s="6037" t="s">
        <v>14111</v>
      </c>
      <c r="L13" s="8"/>
      <c r="M13" s="1538" t="e">
        <v>#N/A</v>
      </c>
      <c r="N13" s="5" t="s">
        <v>14108</v>
      </c>
    </row>
    <row r="14" spans="1:14">
      <c r="J14" s="4744" t="s">
        <v>4</v>
      </c>
      <c r="K14" s="4745" t="e">
        <v>#N/A</v>
      </c>
      <c r="M14" s="1538" t="e">
        <v>#N/A</v>
      </c>
    </row>
    <row r="15" spans="1:14">
      <c r="J15" s="4744" t="s">
        <v>13452</v>
      </c>
      <c r="K15" s="4745" t="e">
        <v>#N/A</v>
      </c>
      <c r="M15" s="4"/>
    </row>
    <row r="16" spans="1:14">
      <c r="J16" s="4744" t="s">
        <v>11</v>
      </c>
      <c r="K16" s="4745" t="e">
        <v>#N/A</v>
      </c>
      <c r="M16" s="1538" t="e">
        <v>#N/A</v>
      </c>
    </row>
    <row r="17" spans="10:14">
      <c r="J17" s="4744" t="s">
        <v>15</v>
      </c>
      <c r="K17" s="4745" t="e">
        <v>#N/A</v>
      </c>
      <c r="M17" s="4"/>
    </row>
    <row r="18" spans="10:14">
      <c r="J18" s="4744" t="s">
        <v>14109</v>
      </c>
      <c r="K18" s="4745" t="e">
        <v>#N/A</v>
      </c>
      <c r="M18" s="4428"/>
    </row>
    <row r="19" spans="10:14">
      <c r="J19" s="4746" t="s">
        <v>7</v>
      </c>
      <c r="K19" s="4747" t="e">
        <v>#N/A</v>
      </c>
      <c r="M19" s="1538" t="e">
        <v>#N/A</v>
      </c>
    </row>
    <row r="20" spans="10:14" ht="15.75" thickBot="1">
      <c r="M20" s="4"/>
    </row>
    <row r="21" spans="10:14">
      <c r="J21" s="4561" t="s">
        <v>1</v>
      </c>
      <c r="K21" t="s">
        <v>14112</v>
      </c>
    </row>
    <row r="22" spans="10:14" ht="15.75" thickBot="1">
      <c r="J22" s="4748" t="s">
        <v>14113</v>
      </c>
      <c r="K22" s="4749" t="str">
        <f>HYPERLINK(CONCATENATE("http://www.shippingline.org/track/?container=",K21,"&amp;line=&amp;type=container"),"TRACK")</f>
        <v>TRACK</v>
      </c>
    </row>
    <row r="25" spans="10:14">
      <c r="J25" s="4560" t="s">
        <v>14114</v>
      </c>
      <c r="K25" s="88"/>
      <c r="L25" s="4428" t="s">
        <v>14115</v>
      </c>
    </row>
    <row r="26" spans="10:14">
      <c r="J26" s="4750" t="s">
        <v>14105</v>
      </c>
      <c r="K26" s="4562" t="s">
        <v>14116</v>
      </c>
      <c r="L26" t="s">
        <v>847</v>
      </c>
      <c r="N26" t="s">
        <v>14117</v>
      </c>
    </row>
    <row r="27" spans="10:14">
      <c r="J27" s="4750" t="s">
        <v>14118</v>
      </c>
      <c r="K27" s="4563" t="s">
        <v>14119</v>
      </c>
      <c r="L27" s="4564" t="s">
        <v>14120</v>
      </c>
    </row>
    <row r="28" spans="10:14">
      <c r="J28" s="4711" t="s">
        <v>14121</v>
      </c>
      <c r="K28" s="4565" t="s">
        <v>14122</v>
      </c>
    </row>
    <row r="29" spans="10:14">
      <c r="J29" s="4751" t="s">
        <v>14123</v>
      </c>
      <c r="K29" s="4752" t="e">
        <f ca="1">COUNTIFS(INDIRECT(CONCATENATE("'",K26,"'!A:A")),K27,INDIRECT(CONCATENATE("'",K26,"'!I:I")),功能页!K28)</f>
        <v>#VALUE!</v>
      </c>
    </row>
  </sheetData>
  <customSheetViews>
    <customSheetView guid="{53053441-AA55-48C9-BA46-69A511C3FF32}">
      <pageMargins left="0" right="0" top="0" bottom="0" header="0" footer="0"/>
      <pageSetup orientation="portrait" r:id="rId1"/>
    </customSheetView>
    <customSheetView guid="{5D4B0AD0-79E8-4E52-90BE-76E8AB5C6CB5}" scale="110" showPageBreaks="1">
      <selection activeCell="G3" sqref="G3"/>
      <pageMargins left="0" right="0" top="0" bottom="0" header="0" footer="0"/>
      <pageSetup orientation="portrait" r:id="rId2"/>
    </customSheetView>
  </customSheetViews>
  <phoneticPr fontId="27" type="noConversion"/>
  <pageMargins left="0" right="0" top="0" bottom="0" header="0" footer="0"/>
  <pageSetup orientation="portrait"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2B6D1-92D1-432B-ACAE-7066608B0273}">
  <sheetPr codeName="Sheet24"/>
  <dimension ref="A1:BH342"/>
  <sheetViews>
    <sheetView workbookViewId="0">
      <pane ySplit="1" topLeftCell="A333" activePane="bottomLeft" state="frozen"/>
      <selection pane="bottomLeft" activeCell="I347" sqref="I347"/>
    </sheetView>
  </sheetViews>
  <sheetFormatPr defaultRowHeight="15"/>
  <cols>
    <col min="1" max="1" width="15.25" style="2" customWidth="1"/>
    <col min="2" max="2" width="22.25" style="170" customWidth="1"/>
    <col min="3" max="3" width="22.25" style="178" customWidth="1"/>
    <col min="4" max="4" width="12.25" style="178" customWidth="1"/>
    <col min="5" max="6" width="9" style="178"/>
    <col min="7" max="8" width="13.875" style="178" customWidth="1"/>
    <col min="9" max="9" width="9" style="178"/>
    <col min="10" max="10" width="15.25" style="178" customWidth="1"/>
    <col min="11" max="11" width="26.25" style="178" customWidth="1"/>
    <col min="12" max="12" width="9" style="178"/>
    <col min="13" max="13" width="16.25" style="178" customWidth="1"/>
    <col min="14" max="14" width="12.25" style="178" customWidth="1"/>
    <col min="15" max="15" width="9" style="178"/>
    <col min="16" max="16" width="52" style="170" customWidth="1"/>
    <col min="17" max="17" width="16" customWidth="1"/>
    <col min="18" max="18" width="26.25" customWidth="1"/>
  </cols>
  <sheetData>
    <row r="1" spans="1:21" s="165" customFormat="1" ht="15" customHeight="1">
      <c r="A1" s="768" t="s">
        <v>0</v>
      </c>
      <c r="B1" s="769" t="s">
        <v>1</v>
      </c>
      <c r="C1" s="770" t="s">
        <v>2</v>
      </c>
      <c r="D1" s="770" t="s">
        <v>3</v>
      </c>
      <c r="E1" s="770" t="s">
        <v>4</v>
      </c>
      <c r="F1" s="770" t="s">
        <v>5</v>
      </c>
      <c r="G1" s="770" t="s">
        <v>13452</v>
      </c>
      <c r="H1" s="770" t="s">
        <v>7</v>
      </c>
      <c r="I1" s="770" t="s">
        <v>8</v>
      </c>
      <c r="J1" s="770" t="s">
        <v>9</v>
      </c>
      <c r="K1" s="770" t="s">
        <v>10</v>
      </c>
      <c r="L1" s="770" t="s">
        <v>11</v>
      </c>
      <c r="M1" s="771" t="s">
        <v>12</v>
      </c>
      <c r="N1" s="771" t="s">
        <v>13</v>
      </c>
      <c r="O1" s="771" t="s">
        <v>14</v>
      </c>
      <c r="P1" s="772" t="s">
        <v>15</v>
      </c>
      <c r="Q1" s="773" t="s">
        <v>14124</v>
      </c>
      <c r="R1" s="774" t="s">
        <v>14125</v>
      </c>
      <c r="S1" t="s">
        <v>12747</v>
      </c>
      <c r="T1" s="165" t="s">
        <v>12409</v>
      </c>
      <c r="U1" s="165" t="s">
        <v>14126</v>
      </c>
    </row>
    <row r="2" spans="1:21">
      <c r="A2" s="775" t="s">
        <v>13457</v>
      </c>
      <c r="B2" s="776" t="s">
        <v>14127</v>
      </c>
      <c r="C2" s="777" t="s">
        <v>704</v>
      </c>
      <c r="D2" s="778">
        <v>44497</v>
      </c>
      <c r="E2" s="778">
        <v>44506</v>
      </c>
      <c r="F2" s="777" t="s">
        <v>93</v>
      </c>
      <c r="G2" s="777" t="s">
        <v>361</v>
      </c>
      <c r="H2" s="777" t="s">
        <v>14128</v>
      </c>
      <c r="I2" s="777"/>
      <c r="J2" s="777"/>
      <c r="K2" s="777" t="s">
        <v>14129</v>
      </c>
      <c r="L2" s="777">
        <v>353553</v>
      </c>
      <c r="M2" s="778">
        <v>44509</v>
      </c>
      <c r="N2" s="778">
        <v>44512</v>
      </c>
      <c r="O2" s="778"/>
      <c r="P2" s="779" t="s">
        <v>14130</v>
      </c>
      <c r="Q2" s="4753">
        <v>44512</v>
      </c>
      <c r="R2" s="4754"/>
      <c r="S2" s="77"/>
    </row>
    <row r="3" spans="1:21" ht="30">
      <c r="A3" s="160" t="s">
        <v>14131</v>
      </c>
      <c r="B3" s="167" t="s">
        <v>14132</v>
      </c>
      <c r="C3" s="160" t="s">
        <v>200</v>
      </c>
      <c r="D3" s="171">
        <v>44492</v>
      </c>
      <c r="E3" s="171">
        <v>44510</v>
      </c>
      <c r="F3" s="160" t="s">
        <v>14133</v>
      </c>
      <c r="G3" s="186" t="s">
        <v>886</v>
      </c>
      <c r="H3" s="187"/>
      <c r="I3" s="160" t="s">
        <v>315</v>
      </c>
      <c r="J3" s="160" t="s">
        <v>315</v>
      </c>
      <c r="K3" s="160" t="s">
        <v>14134</v>
      </c>
      <c r="L3" s="160"/>
      <c r="M3" s="188">
        <v>44516</v>
      </c>
      <c r="N3" s="187"/>
      <c r="O3" s="160" t="s">
        <v>162</v>
      </c>
      <c r="P3" s="189" t="s">
        <v>14135</v>
      </c>
      <c r="Q3" s="4755">
        <v>44515</v>
      </c>
      <c r="R3" s="190"/>
      <c r="S3" s="20" t="s">
        <v>315</v>
      </c>
      <c r="T3" s="20" t="s">
        <v>315</v>
      </c>
    </row>
    <row r="4" spans="1:21" ht="30">
      <c r="A4" s="160" t="s">
        <v>14131</v>
      </c>
      <c r="B4" s="167" t="s">
        <v>14136</v>
      </c>
      <c r="C4" s="160" t="s">
        <v>200</v>
      </c>
      <c r="D4" s="171">
        <v>44492</v>
      </c>
      <c r="E4" s="171">
        <v>44510</v>
      </c>
      <c r="F4" s="160" t="s">
        <v>14133</v>
      </c>
      <c r="G4" s="186" t="s">
        <v>886</v>
      </c>
      <c r="H4" s="187"/>
      <c r="I4" s="160" t="s">
        <v>315</v>
      </c>
      <c r="J4" s="160" t="s">
        <v>315</v>
      </c>
      <c r="K4" s="160" t="s">
        <v>14134</v>
      </c>
      <c r="L4" s="160"/>
      <c r="M4" s="188">
        <v>44516</v>
      </c>
      <c r="N4" s="187"/>
      <c r="O4" s="160" t="s">
        <v>162</v>
      </c>
      <c r="P4" s="189" t="s">
        <v>14135</v>
      </c>
      <c r="Q4" s="4755">
        <v>44515</v>
      </c>
      <c r="R4" s="190"/>
      <c r="S4" s="20" t="s">
        <v>315</v>
      </c>
      <c r="T4" s="20"/>
    </row>
    <row r="5" spans="1:21" ht="30">
      <c r="A5" s="160" t="s">
        <v>14131</v>
      </c>
      <c r="B5" s="167" t="s">
        <v>14137</v>
      </c>
      <c r="C5" s="160" t="s">
        <v>200</v>
      </c>
      <c r="D5" s="171">
        <v>44492</v>
      </c>
      <c r="E5" s="171">
        <v>44510</v>
      </c>
      <c r="F5" s="160" t="s">
        <v>14133</v>
      </c>
      <c r="G5" s="186" t="s">
        <v>886</v>
      </c>
      <c r="H5" s="187"/>
      <c r="I5" s="160" t="s">
        <v>315</v>
      </c>
      <c r="J5" s="160" t="s">
        <v>315</v>
      </c>
      <c r="K5" s="160" t="s">
        <v>14134</v>
      </c>
      <c r="L5" s="160"/>
      <c r="M5" s="188">
        <v>44516</v>
      </c>
      <c r="N5" s="187"/>
      <c r="O5" s="160" t="s">
        <v>162</v>
      </c>
      <c r="P5" s="189" t="s">
        <v>14135</v>
      </c>
      <c r="Q5" s="4755">
        <v>44515</v>
      </c>
      <c r="R5" s="190"/>
      <c r="S5" s="20" t="s">
        <v>315</v>
      </c>
      <c r="T5" s="20" t="s">
        <v>315</v>
      </c>
    </row>
    <row r="6" spans="1:21" ht="30">
      <c r="A6" s="160" t="s">
        <v>14131</v>
      </c>
      <c r="B6" s="167" t="s">
        <v>14138</v>
      </c>
      <c r="C6" s="160" t="s">
        <v>200</v>
      </c>
      <c r="D6" s="171">
        <v>44492</v>
      </c>
      <c r="E6" s="171">
        <v>44510</v>
      </c>
      <c r="F6" s="160" t="s">
        <v>14133</v>
      </c>
      <c r="G6" s="186" t="s">
        <v>886</v>
      </c>
      <c r="H6" s="187"/>
      <c r="I6" s="160" t="s">
        <v>315</v>
      </c>
      <c r="J6" s="160" t="s">
        <v>315</v>
      </c>
      <c r="K6" s="160" t="s">
        <v>14134</v>
      </c>
      <c r="L6" s="160"/>
      <c r="M6" s="188">
        <v>44516</v>
      </c>
      <c r="N6" s="187"/>
      <c r="O6" s="160" t="s">
        <v>162</v>
      </c>
      <c r="P6" s="189" t="s">
        <v>14135</v>
      </c>
      <c r="Q6" s="4755">
        <v>44515</v>
      </c>
      <c r="R6" s="190"/>
      <c r="S6" s="20" t="s">
        <v>315</v>
      </c>
      <c r="T6" s="20" t="s">
        <v>315</v>
      </c>
    </row>
    <row r="7" spans="1:21" ht="30">
      <c r="A7" s="160" t="s">
        <v>14131</v>
      </c>
      <c r="B7" s="167" t="s">
        <v>14139</v>
      </c>
      <c r="C7" s="160" t="s">
        <v>200</v>
      </c>
      <c r="D7" s="171">
        <v>44492</v>
      </c>
      <c r="E7" s="171">
        <v>44510</v>
      </c>
      <c r="F7" s="160" t="s">
        <v>14133</v>
      </c>
      <c r="G7" s="186" t="s">
        <v>886</v>
      </c>
      <c r="H7" s="187"/>
      <c r="I7" s="160" t="s">
        <v>315</v>
      </c>
      <c r="J7" s="160" t="s">
        <v>315</v>
      </c>
      <c r="K7" s="160" t="s">
        <v>14134</v>
      </c>
      <c r="L7" s="160"/>
      <c r="M7" s="188">
        <v>44516</v>
      </c>
      <c r="N7" s="187"/>
      <c r="O7" s="160" t="s">
        <v>162</v>
      </c>
      <c r="P7" s="189" t="s">
        <v>14135</v>
      </c>
      <c r="Q7" s="4755">
        <v>44515</v>
      </c>
      <c r="R7" s="190"/>
      <c r="S7" s="20" t="s">
        <v>315</v>
      </c>
      <c r="T7" s="20" t="s">
        <v>315</v>
      </c>
    </row>
    <row r="8" spans="1:21">
      <c r="A8" s="148" t="s">
        <v>13457</v>
      </c>
      <c r="B8" s="167" t="s">
        <v>14140</v>
      </c>
      <c r="C8" s="160" t="s">
        <v>704</v>
      </c>
      <c r="D8" s="171">
        <v>44522</v>
      </c>
      <c r="E8" s="160" t="s">
        <v>14141</v>
      </c>
      <c r="F8" s="160" t="s">
        <v>167</v>
      </c>
      <c r="G8" s="187" t="s">
        <v>382</v>
      </c>
      <c r="H8" s="160"/>
      <c r="I8" s="187"/>
      <c r="J8" s="160"/>
      <c r="K8" s="172" t="s">
        <v>315</v>
      </c>
      <c r="L8" s="160" t="s">
        <v>315</v>
      </c>
      <c r="M8" s="160" t="s">
        <v>315</v>
      </c>
      <c r="N8" s="160" t="s">
        <v>315</v>
      </c>
      <c r="O8" s="160" t="s">
        <v>315</v>
      </c>
      <c r="P8" s="167" t="s">
        <v>14142</v>
      </c>
      <c r="Q8" s="4755">
        <v>44512</v>
      </c>
      <c r="R8" s="190"/>
    </row>
    <row r="9" spans="1:21">
      <c r="A9" s="148" t="s">
        <v>13457</v>
      </c>
      <c r="B9" s="167" t="s">
        <v>14143</v>
      </c>
      <c r="C9" s="160" t="s">
        <v>704</v>
      </c>
      <c r="D9" s="171">
        <v>44522</v>
      </c>
      <c r="E9" s="160" t="s">
        <v>14141</v>
      </c>
      <c r="F9" s="160" t="s">
        <v>167</v>
      </c>
      <c r="G9" s="187" t="s">
        <v>382</v>
      </c>
      <c r="H9" s="160"/>
      <c r="I9" s="187"/>
      <c r="J9" s="160"/>
      <c r="K9" s="160" t="s">
        <v>315</v>
      </c>
      <c r="L9" s="160" t="s">
        <v>315</v>
      </c>
      <c r="M9" s="160" t="s">
        <v>315</v>
      </c>
      <c r="N9" s="160" t="s">
        <v>315</v>
      </c>
      <c r="O9" s="160" t="s">
        <v>315</v>
      </c>
      <c r="P9" s="167" t="s">
        <v>14142</v>
      </c>
      <c r="Q9" s="4755">
        <v>44512</v>
      </c>
      <c r="R9" s="190"/>
    </row>
    <row r="10" spans="1:21">
      <c r="A10" s="148" t="s">
        <v>13457</v>
      </c>
      <c r="B10" s="167" t="s">
        <v>14144</v>
      </c>
      <c r="C10" s="160" t="s">
        <v>704</v>
      </c>
      <c r="D10" s="171">
        <v>44522</v>
      </c>
      <c r="E10" s="160" t="s">
        <v>14141</v>
      </c>
      <c r="F10" s="160" t="s">
        <v>167</v>
      </c>
      <c r="G10" s="187" t="s">
        <v>382</v>
      </c>
      <c r="H10" s="160"/>
      <c r="I10" s="187"/>
      <c r="J10" s="160"/>
      <c r="K10" s="160" t="s">
        <v>315</v>
      </c>
      <c r="L10" s="160" t="s">
        <v>315</v>
      </c>
      <c r="M10" s="160" t="s">
        <v>315</v>
      </c>
      <c r="N10" s="160" t="s">
        <v>315</v>
      </c>
      <c r="O10" s="160" t="s">
        <v>315</v>
      </c>
      <c r="P10" s="167" t="s">
        <v>14142</v>
      </c>
      <c r="Q10" s="4755">
        <v>44512</v>
      </c>
      <c r="R10" s="190"/>
    </row>
    <row r="11" spans="1:21">
      <c r="A11" s="148" t="s">
        <v>13457</v>
      </c>
      <c r="B11" s="167" t="s">
        <v>14145</v>
      </c>
      <c r="C11" s="160" t="s">
        <v>704</v>
      </c>
      <c r="D11" s="171">
        <v>44522</v>
      </c>
      <c r="E11" s="160" t="s">
        <v>14141</v>
      </c>
      <c r="F11" s="160" t="s">
        <v>167</v>
      </c>
      <c r="G11" s="187" t="s">
        <v>382</v>
      </c>
      <c r="H11" s="160"/>
      <c r="I11" s="187"/>
      <c r="J11" s="160"/>
      <c r="K11" s="160" t="s">
        <v>315</v>
      </c>
      <c r="L11" s="160" t="s">
        <v>315</v>
      </c>
      <c r="M11" s="160" t="s">
        <v>315</v>
      </c>
      <c r="N11" s="160" t="s">
        <v>315</v>
      </c>
      <c r="O11" s="160" t="s">
        <v>315</v>
      </c>
      <c r="P11" s="167" t="s">
        <v>14142</v>
      </c>
      <c r="Q11" s="4755">
        <v>44512</v>
      </c>
      <c r="R11" s="190"/>
    </row>
    <row r="12" spans="1:21">
      <c r="A12" s="148" t="s">
        <v>13457</v>
      </c>
      <c r="B12" s="167" t="s">
        <v>14146</v>
      </c>
      <c r="C12" s="160" t="s">
        <v>704</v>
      </c>
      <c r="D12" s="171">
        <v>44522</v>
      </c>
      <c r="E12" s="160" t="s">
        <v>14141</v>
      </c>
      <c r="F12" s="160" t="s">
        <v>167</v>
      </c>
      <c r="G12" s="187" t="s">
        <v>382</v>
      </c>
      <c r="H12" s="160"/>
      <c r="I12" s="187"/>
      <c r="J12" s="160"/>
      <c r="K12" s="161" t="s">
        <v>315</v>
      </c>
      <c r="L12" s="160" t="s">
        <v>315</v>
      </c>
      <c r="M12" s="160" t="s">
        <v>315</v>
      </c>
      <c r="N12" s="160" t="s">
        <v>315</v>
      </c>
      <c r="O12" s="160" t="s">
        <v>315</v>
      </c>
      <c r="P12" s="167" t="s">
        <v>14142</v>
      </c>
      <c r="Q12" s="4755">
        <v>44512</v>
      </c>
      <c r="R12" s="190"/>
    </row>
    <row r="13" spans="1:21">
      <c r="A13" s="162" t="s">
        <v>13457</v>
      </c>
      <c r="B13" s="168" t="s">
        <v>14147</v>
      </c>
      <c r="C13" s="173" t="s">
        <v>704</v>
      </c>
      <c r="D13" s="174">
        <v>44522</v>
      </c>
      <c r="E13" s="173" t="s">
        <v>14141</v>
      </c>
      <c r="F13" s="173" t="s">
        <v>167</v>
      </c>
      <c r="G13" s="191" t="s">
        <v>382</v>
      </c>
      <c r="H13" s="173"/>
      <c r="I13" s="191"/>
      <c r="J13" s="173"/>
      <c r="K13" s="173" t="s">
        <v>315</v>
      </c>
      <c r="L13" s="173" t="s">
        <v>315</v>
      </c>
      <c r="M13" s="173" t="s">
        <v>315</v>
      </c>
      <c r="N13" s="173" t="s">
        <v>315</v>
      </c>
      <c r="O13" s="173" t="s">
        <v>315</v>
      </c>
      <c r="P13" s="168" t="s">
        <v>14142</v>
      </c>
      <c r="Q13" s="4755">
        <v>44512</v>
      </c>
      <c r="R13" s="190"/>
    </row>
    <row r="14" spans="1:21" ht="30">
      <c r="A14" s="160" t="s">
        <v>14131</v>
      </c>
      <c r="B14" s="167" t="s">
        <v>14148</v>
      </c>
      <c r="C14" s="160" t="s">
        <v>200</v>
      </c>
      <c r="D14" s="171">
        <v>44492</v>
      </c>
      <c r="E14" s="171">
        <v>44513</v>
      </c>
      <c r="F14" s="160" t="s">
        <v>14133</v>
      </c>
      <c r="G14" s="186" t="s">
        <v>886</v>
      </c>
      <c r="H14" s="160" t="s">
        <v>315</v>
      </c>
      <c r="I14" s="160" t="s">
        <v>315</v>
      </c>
      <c r="J14" s="160" t="s">
        <v>315</v>
      </c>
      <c r="K14" s="160" t="s">
        <v>14134</v>
      </c>
      <c r="L14" s="160">
        <v>597780</v>
      </c>
      <c r="M14" s="188">
        <v>44515</v>
      </c>
      <c r="N14" s="187"/>
      <c r="O14" s="160" t="s">
        <v>162</v>
      </c>
      <c r="P14" s="189" t="s">
        <v>14135</v>
      </c>
      <c r="Q14" s="4755">
        <v>44515</v>
      </c>
      <c r="R14" s="190"/>
    </row>
    <row r="15" spans="1:21" ht="30">
      <c r="A15" s="160" t="s">
        <v>14131</v>
      </c>
      <c r="B15" s="167" t="s">
        <v>14149</v>
      </c>
      <c r="C15" s="160" t="s">
        <v>200</v>
      </c>
      <c r="D15" s="171">
        <v>44492</v>
      </c>
      <c r="E15" s="171">
        <v>44513</v>
      </c>
      <c r="F15" s="160" t="s">
        <v>14133</v>
      </c>
      <c r="G15" s="186" t="s">
        <v>886</v>
      </c>
      <c r="H15" s="160" t="s">
        <v>315</v>
      </c>
      <c r="I15" s="160" t="s">
        <v>315</v>
      </c>
      <c r="J15" s="160" t="s">
        <v>315</v>
      </c>
      <c r="K15" s="160" t="s">
        <v>14134</v>
      </c>
      <c r="L15" s="160">
        <v>147499</v>
      </c>
      <c r="M15" s="188">
        <v>44515</v>
      </c>
      <c r="N15" s="187"/>
      <c r="O15" s="160" t="s">
        <v>162</v>
      </c>
      <c r="P15" s="189" t="s">
        <v>14135</v>
      </c>
      <c r="Q15" s="4755">
        <v>44515</v>
      </c>
      <c r="R15" s="190"/>
    </row>
    <row r="16" spans="1:21">
      <c r="A16" s="166" t="s">
        <v>13457</v>
      </c>
      <c r="B16" s="169" t="s">
        <v>14150</v>
      </c>
      <c r="C16" s="175" t="s">
        <v>704</v>
      </c>
      <c r="D16" s="176">
        <v>44497</v>
      </c>
      <c r="E16" s="176">
        <v>44506</v>
      </c>
      <c r="F16" s="177" t="s">
        <v>93</v>
      </c>
      <c r="G16" s="175" t="s">
        <v>13495</v>
      </c>
      <c r="H16" s="192"/>
      <c r="I16" s="192"/>
      <c r="J16" s="192"/>
      <c r="K16" s="192"/>
      <c r="L16" s="175">
        <v>641618</v>
      </c>
      <c r="M16" s="176">
        <v>44509</v>
      </c>
      <c r="N16" s="192"/>
      <c r="O16" s="192"/>
      <c r="P16" s="169" t="s">
        <v>14130</v>
      </c>
      <c r="Q16" s="4755">
        <v>44512</v>
      </c>
      <c r="R16" s="190"/>
    </row>
    <row r="17" spans="1:18">
      <c r="A17" s="148" t="s">
        <v>13457</v>
      </c>
      <c r="B17" s="167" t="s">
        <v>14151</v>
      </c>
      <c r="C17" s="160" t="s">
        <v>704</v>
      </c>
      <c r="D17" s="171">
        <v>44497</v>
      </c>
      <c r="E17" s="171">
        <v>44506</v>
      </c>
      <c r="F17" s="161" t="s">
        <v>93</v>
      </c>
      <c r="G17" s="160" t="s">
        <v>13495</v>
      </c>
      <c r="H17" s="187"/>
      <c r="I17" s="187"/>
      <c r="J17" s="187"/>
      <c r="K17" s="187"/>
      <c r="L17" s="160">
        <v>462807</v>
      </c>
      <c r="M17" s="171">
        <v>44509</v>
      </c>
      <c r="N17" s="187"/>
      <c r="O17" s="187"/>
      <c r="P17" s="167" t="s">
        <v>14130</v>
      </c>
      <c r="Q17" s="4755">
        <v>44512</v>
      </c>
      <c r="R17" s="190"/>
    </row>
    <row r="18" spans="1:18">
      <c r="A18" s="148" t="s">
        <v>13457</v>
      </c>
      <c r="B18" s="167" t="s">
        <v>14152</v>
      </c>
      <c r="C18" s="160" t="s">
        <v>704</v>
      </c>
      <c r="D18" s="171">
        <v>44497</v>
      </c>
      <c r="E18" s="171">
        <v>44506</v>
      </c>
      <c r="F18" s="160" t="s">
        <v>93</v>
      </c>
      <c r="G18" s="160" t="s">
        <v>13495</v>
      </c>
      <c r="H18" s="187"/>
      <c r="I18" s="187"/>
      <c r="J18" s="187"/>
      <c r="K18" s="187"/>
      <c r="L18" s="160">
        <v>65770</v>
      </c>
      <c r="M18" s="171">
        <v>44509</v>
      </c>
      <c r="N18" s="187"/>
      <c r="O18" s="187"/>
      <c r="P18" s="167" t="s">
        <v>14153</v>
      </c>
      <c r="Q18" s="4755">
        <v>44511</v>
      </c>
      <c r="R18" s="190"/>
    </row>
    <row r="19" spans="1:18">
      <c r="A19" s="148" t="s">
        <v>13457</v>
      </c>
      <c r="B19" s="167" t="s">
        <v>14154</v>
      </c>
      <c r="C19" s="160" t="s">
        <v>704</v>
      </c>
      <c r="D19" s="171">
        <v>44497</v>
      </c>
      <c r="E19" s="171">
        <v>44506</v>
      </c>
      <c r="F19" s="160" t="s">
        <v>93</v>
      </c>
      <c r="G19" s="160" t="s">
        <v>13495</v>
      </c>
      <c r="H19" s="187"/>
      <c r="I19" s="187"/>
      <c r="J19" s="187"/>
      <c r="K19" s="187"/>
      <c r="L19" s="160">
        <v>444153</v>
      </c>
      <c r="M19" s="171">
        <v>44509</v>
      </c>
      <c r="N19" s="187"/>
      <c r="O19" s="187"/>
      <c r="P19" s="167" t="s">
        <v>14153</v>
      </c>
      <c r="Q19" s="4755">
        <v>44511</v>
      </c>
      <c r="R19" s="190"/>
    </row>
    <row r="20" spans="1:18">
      <c r="A20" s="148" t="s">
        <v>13457</v>
      </c>
      <c r="B20" s="167" t="s">
        <v>14155</v>
      </c>
      <c r="C20" s="160" t="s">
        <v>704</v>
      </c>
      <c r="D20" s="171">
        <v>44497</v>
      </c>
      <c r="E20" s="171">
        <v>44506</v>
      </c>
      <c r="F20" s="160" t="s">
        <v>93</v>
      </c>
      <c r="G20" s="160" t="s">
        <v>13495</v>
      </c>
      <c r="H20" s="187"/>
      <c r="I20" s="187"/>
      <c r="J20" s="187"/>
      <c r="K20" s="187"/>
      <c r="L20" s="160">
        <v>955965</v>
      </c>
      <c r="M20" s="171">
        <v>44509</v>
      </c>
      <c r="N20" s="187"/>
      <c r="O20" s="187"/>
      <c r="P20" s="167" t="s">
        <v>14153</v>
      </c>
      <c r="Q20" s="4755">
        <v>44511</v>
      </c>
      <c r="R20" s="190"/>
    </row>
    <row r="21" spans="1:18">
      <c r="A21" s="148" t="s">
        <v>13457</v>
      </c>
      <c r="B21" s="167" t="s">
        <v>14156</v>
      </c>
      <c r="C21" s="160" t="s">
        <v>704</v>
      </c>
      <c r="D21" s="171">
        <v>44497</v>
      </c>
      <c r="E21" s="171">
        <v>44506</v>
      </c>
      <c r="F21" s="160" t="s">
        <v>93</v>
      </c>
      <c r="G21" s="160" t="s">
        <v>13495</v>
      </c>
      <c r="H21" s="187"/>
      <c r="I21" s="187"/>
      <c r="J21" s="187"/>
      <c r="K21" s="187"/>
      <c r="L21" s="160">
        <v>801150</v>
      </c>
      <c r="M21" s="171">
        <v>44509</v>
      </c>
      <c r="N21" s="187"/>
      <c r="O21" s="187"/>
      <c r="P21" s="167" t="s">
        <v>14153</v>
      </c>
      <c r="Q21" s="4755">
        <v>44511</v>
      </c>
      <c r="R21" s="190"/>
    </row>
    <row r="22" spans="1:18">
      <c r="A22" s="148" t="s">
        <v>13457</v>
      </c>
      <c r="B22" s="167" t="s">
        <v>14157</v>
      </c>
      <c r="C22" s="160" t="s">
        <v>704</v>
      </c>
      <c r="D22" s="171">
        <v>44497</v>
      </c>
      <c r="E22" s="171">
        <v>44506</v>
      </c>
      <c r="F22" s="160" t="s">
        <v>93</v>
      </c>
      <c r="G22" s="160" t="s">
        <v>13495</v>
      </c>
      <c r="H22" s="187"/>
      <c r="I22" s="187"/>
      <c r="J22" s="187"/>
      <c r="K22" s="187"/>
      <c r="L22" s="160">
        <v>476554</v>
      </c>
      <c r="M22" s="171">
        <v>44509</v>
      </c>
      <c r="N22" s="187"/>
      <c r="O22" s="187"/>
      <c r="P22" s="167" t="s">
        <v>14158</v>
      </c>
      <c r="Q22" s="4755">
        <v>44511</v>
      </c>
      <c r="R22" s="190"/>
    </row>
    <row r="23" spans="1:18">
      <c r="A23" s="148" t="s">
        <v>13457</v>
      </c>
      <c r="B23" s="167" t="s">
        <v>14159</v>
      </c>
      <c r="C23" s="160" t="s">
        <v>704</v>
      </c>
      <c r="D23" s="171">
        <v>44497</v>
      </c>
      <c r="E23" s="171">
        <v>44506</v>
      </c>
      <c r="F23" s="160" t="s">
        <v>93</v>
      </c>
      <c r="G23" s="160" t="s">
        <v>13495</v>
      </c>
      <c r="H23" s="187"/>
      <c r="I23" s="187"/>
      <c r="J23" s="187"/>
      <c r="K23" s="187"/>
      <c r="L23" s="160">
        <v>344788</v>
      </c>
      <c r="M23" s="171">
        <v>44509</v>
      </c>
      <c r="N23" s="187"/>
      <c r="O23" s="187"/>
      <c r="P23" s="167" t="s">
        <v>14160</v>
      </c>
      <c r="Q23" s="4755">
        <v>44511</v>
      </c>
      <c r="R23" s="190"/>
    </row>
    <row r="24" spans="1:18">
      <c r="A24" s="148" t="s">
        <v>13457</v>
      </c>
      <c r="B24" s="167" t="s">
        <v>14161</v>
      </c>
      <c r="C24" s="160" t="s">
        <v>704</v>
      </c>
      <c r="D24" s="171">
        <v>44497</v>
      </c>
      <c r="E24" s="171">
        <v>44506</v>
      </c>
      <c r="F24" s="160" t="s">
        <v>93</v>
      </c>
      <c r="G24" s="160" t="s">
        <v>13495</v>
      </c>
      <c r="H24" s="187"/>
      <c r="I24" s="187"/>
      <c r="J24" s="187"/>
      <c r="K24" s="187"/>
      <c r="L24" s="160">
        <v>827153</v>
      </c>
      <c r="M24" s="171">
        <v>44509</v>
      </c>
      <c r="N24" s="187"/>
      <c r="O24" s="187"/>
      <c r="P24" s="167" t="s">
        <v>14158</v>
      </c>
      <c r="Q24" s="4755">
        <v>44511</v>
      </c>
      <c r="R24" s="190"/>
    </row>
    <row r="25" spans="1:18">
      <c r="A25" s="148" t="s">
        <v>13457</v>
      </c>
      <c r="B25" s="167" t="s">
        <v>14162</v>
      </c>
      <c r="C25" s="160" t="s">
        <v>704</v>
      </c>
      <c r="D25" s="171">
        <v>44497</v>
      </c>
      <c r="E25" s="171">
        <v>44506</v>
      </c>
      <c r="F25" s="160" t="s">
        <v>93</v>
      </c>
      <c r="G25" s="160" t="s">
        <v>13495</v>
      </c>
      <c r="H25" s="187"/>
      <c r="I25" s="187"/>
      <c r="J25" s="187"/>
      <c r="K25" s="187"/>
      <c r="L25" s="160">
        <v>665555</v>
      </c>
      <c r="M25" s="171">
        <v>44509</v>
      </c>
      <c r="N25" s="187"/>
      <c r="O25" s="187"/>
      <c r="P25" s="167" t="s">
        <v>14158</v>
      </c>
      <c r="Q25" s="4755">
        <v>44511</v>
      </c>
      <c r="R25" s="190"/>
    </row>
    <row r="26" spans="1:18">
      <c r="A26" s="148" t="s">
        <v>13457</v>
      </c>
      <c r="B26" s="167" t="s">
        <v>14163</v>
      </c>
      <c r="C26" s="160" t="s">
        <v>704</v>
      </c>
      <c r="D26" s="171">
        <v>44497</v>
      </c>
      <c r="E26" s="171">
        <v>44506</v>
      </c>
      <c r="F26" s="160" t="s">
        <v>93</v>
      </c>
      <c r="G26" s="160" t="s">
        <v>13495</v>
      </c>
      <c r="H26" s="187"/>
      <c r="I26" s="187"/>
      <c r="J26" s="187"/>
      <c r="K26" s="187"/>
      <c r="L26" s="160">
        <v>608657</v>
      </c>
      <c r="M26" s="171">
        <v>44509</v>
      </c>
      <c r="N26" s="187"/>
      <c r="O26" s="187"/>
      <c r="P26" s="167" t="s">
        <v>14158</v>
      </c>
      <c r="Q26" s="4755">
        <v>44511</v>
      </c>
      <c r="R26" s="190"/>
    </row>
    <row r="27" spans="1:18">
      <c r="A27" s="148" t="s">
        <v>13457</v>
      </c>
      <c r="B27" s="167" t="s">
        <v>14164</v>
      </c>
      <c r="C27" s="160" t="s">
        <v>704</v>
      </c>
      <c r="D27" s="171">
        <v>44497</v>
      </c>
      <c r="E27" s="171">
        <v>44506</v>
      </c>
      <c r="F27" s="160" t="s">
        <v>93</v>
      </c>
      <c r="G27" s="160" t="s">
        <v>13495</v>
      </c>
      <c r="H27" s="187"/>
      <c r="I27" s="187"/>
      <c r="J27" s="187"/>
      <c r="K27" s="187"/>
      <c r="L27" s="160">
        <v>541651</v>
      </c>
      <c r="M27" s="171">
        <v>44509</v>
      </c>
      <c r="N27" s="187"/>
      <c r="O27" s="187"/>
      <c r="P27" s="167" t="s">
        <v>14158</v>
      </c>
      <c r="Q27" s="4755">
        <v>44511</v>
      </c>
      <c r="R27" s="190"/>
    </row>
    <row r="28" spans="1:18">
      <c r="A28" s="148" t="s">
        <v>13457</v>
      </c>
      <c r="B28" s="664" t="s">
        <v>14165</v>
      </c>
      <c r="C28" s="161" t="s">
        <v>704</v>
      </c>
      <c r="D28" s="171">
        <v>44499</v>
      </c>
      <c r="E28" s="171">
        <v>44508</v>
      </c>
      <c r="F28" s="160" t="s">
        <v>11632</v>
      </c>
      <c r="G28" s="160" t="s">
        <v>57</v>
      </c>
      <c r="H28" s="187"/>
      <c r="I28" s="187"/>
      <c r="J28" s="187"/>
      <c r="K28" s="187"/>
      <c r="L28" s="160" t="s">
        <v>382</v>
      </c>
      <c r="M28" s="171">
        <v>44510</v>
      </c>
      <c r="N28" s="187"/>
      <c r="O28" s="187"/>
      <c r="P28" s="167" t="s">
        <v>14166</v>
      </c>
      <c r="Q28" s="4755">
        <v>44512</v>
      </c>
      <c r="R28" s="190"/>
    </row>
    <row r="29" spans="1:18">
      <c r="A29" s="148" t="s">
        <v>13457</v>
      </c>
      <c r="B29" s="664" t="s">
        <v>14167</v>
      </c>
      <c r="C29" s="161" t="s">
        <v>704</v>
      </c>
      <c r="D29" s="171">
        <v>44499</v>
      </c>
      <c r="E29" s="171">
        <v>44508</v>
      </c>
      <c r="F29" s="160" t="s">
        <v>11632</v>
      </c>
      <c r="G29" s="160" t="s">
        <v>57</v>
      </c>
      <c r="H29" s="187"/>
      <c r="I29" s="187"/>
      <c r="J29" s="187"/>
      <c r="K29" s="187"/>
      <c r="L29" s="160" t="s">
        <v>382</v>
      </c>
      <c r="M29" s="171">
        <v>44510</v>
      </c>
      <c r="N29" s="187"/>
      <c r="O29" s="187"/>
      <c r="P29" s="167" t="s">
        <v>14166</v>
      </c>
      <c r="Q29" s="4755">
        <v>44512</v>
      </c>
      <c r="R29" s="190"/>
    </row>
    <row r="30" spans="1:18">
      <c r="A30" s="148" t="s">
        <v>13457</v>
      </c>
      <c r="B30" s="664" t="s">
        <v>14168</v>
      </c>
      <c r="C30" s="161" t="s">
        <v>704</v>
      </c>
      <c r="D30" s="171">
        <v>44499</v>
      </c>
      <c r="E30" s="171">
        <v>44508</v>
      </c>
      <c r="F30" s="160" t="s">
        <v>11632</v>
      </c>
      <c r="G30" s="160" t="s">
        <v>57</v>
      </c>
      <c r="H30" s="187"/>
      <c r="I30" s="187"/>
      <c r="J30" s="187"/>
      <c r="K30" s="187"/>
      <c r="L30" s="160" t="s">
        <v>382</v>
      </c>
      <c r="M30" s="171">
        <v>44510</v>
      </c>
      <c r="N30" s="187"/>
      <c r="O30" s="187"/>
      <c r="P30" s="167" t="s">
        <v>14166</v>
      </c>
      <c r="Q30" s="4755">
        <v>44512</v>
      </c>
      <c r="R30" s="190"/>
    </row>
    <row r="31" spans="1:18">
      <c r="A31" s="148" t="s">
        <v>13457</v>
      </c>
      <c r="B31" s="664" t="s">
        <v>14169</v>
      </c>
      <c r="C31" s="161" t="s">
        <v>704</v>
      </c>
      <c r="D31" s="171">
        <v>44499</v>
      </c>
      <c r="E31" s="171">
        <v>44508</v>
      </c>
      <c r="F31" s="160" t="s">
        <v>11632</v>
      </c>
      <c r="G31" s="160" t="s">
        <v>57</v>
      </c>
      <c r="H31" s="187"/>
      <c r="I31" s="187"/>
      <c r="J31" s="187"/>
      <c r="K31" s="187"/>
      <c r="L31" s="160" t="s">
        <v>382</v>
      </c>
      <c r="M31" s="171">
        <v>44510</v>
      </c>
      <c r="N31" s="187"/>
      <c r="O31" s="187"/>
      <c r="P31" s="167" t="s">
        <v>14166</v>
      </c>
      <c r="Q31" s="4755">
        <v>44512</v>
      </c>
      <c r="R31" s="190"/>
    </row>
    <row r="32" spans="1:18">
      <c r="A32" s="148" t="s">
        <v>13457</v>
      </c>
      <c r="B32" s="664" t="s">
        <v>14170</v>
      </c>
      <c r="C32" s="161" t="s">
        <v>704</v>
      </c>
      <c r="D32" s="171">
        <v>44499</v>
      </c>
      <c r="E32" s="171">
        <v>44508</v>
      </c>
      <c r="F32" s="160" t="s">
        <v>11632</v>
      </c>
      <c r="G32" s="160" t="s">
        <v>57</v>
      </c>
      <c r="H32" s="187"/>
      <c r="I32" s="187"/>
      <c r="J32" s="187"/>
      <c r="K32" s="187"/>
      <c r="L32" s="160" t="s">
        <v>382</v>
      </c>
      <c r="M32" s="171">
        <v>44510</v>
      </c>
      <c r="N32" s="187"/>
      <c r="O32" s="187"/>
      <c r="P32" s="167" t="s">
        <v>14166</v>
      </c>
      <c r="Q32" s="4755">
        <v>44512</v>
      </c>
      <c r="R32" s="190"/>
    </row>
    <row r="33" spans="1:23">
      <c r="A33" s="148" t="s">
        <v>13457</v>
      </c>
      <c r="B33" s="664" t="s">
        <v>14171</v>
      </c>
      <c r="C33" s="161" t="s">
        <v>704</v>
      </c>
      <c r="D33" s="171">
        <v>44499</v>
      </c>
      <c r="E33" s="171">
        <v>44508</v>
      </c>
      <c r="F33" s="160" t="s">
        <v>11632</v>
      </c>
      <c r="G33" s="160" t="s">
        <v>57</v>
      </c>
      <c r="H33" s="187"/>
      <c r="I33" s="187"/>
      <c r="J33" s="187"/>
      <c r="K33" s="187"/>
      <c r="L33" s="160" t="s">
        <v>382</v>
      </c>
      <c r="M33" s="171">
        <v>44510</v>
      </c>
      <c r="N33" s="187"/>
      <c r="O33" s="187"/>
      <c r="P33" s="167" t="s">
        <v>14172</v>
      </c>
      <c r="Q33" s="4755">
        <v>44511</v>
      </c>
      <c r="R33" s="190"/>
    </row>
    <row r="34" spans="1:23">
      <c r="A34" s="148" t="s">
        <v>13457</v>
      </c>
      <c r="B34" s="664" t="s">
        <v>14173</v>
      </c>
      <c r="C34" s="161" t="s">
        <v>704</v>
      </c>
      <c r="D34" s="171">
        <v>44499</v>
      </c>
      <c r="E34" s="171">
        <v>44508</v>
      </c>
      <c r="F34" s="160" t="s">
        <v>11632</v>
      </c>
      <c r="G34" s="160" t="s">
        <v>57</v>
      </c>
      <c r="H34" s="187"/>
      <c r="I34" s="187"/>
      <c r="J34" s="187"/>
      <c r="K34" s="187"/>
      <c r="L34" s="160" t="s">
        <v>382</v>
      </c>
      <c r="M34" s="171">
        <v>44510</v>
      </c>
      <c r="N34" s="187"/>
      <c r="O34" s="187"/>
      <c r="P34" s="167" t="s">
        <v>14166</v>
      </c>
      <c r="Q34" s="4755">
        <v>44512</v>
      </c>
      <c r="R34" s="190"/>
    </row>
    <row r="35" spans="1:23">
      <c r="A35" s="148" t="s">
        <v>13457</v>
      </c>
      <c r="B35" s="664" t="s">
        <v>14174</v>
      </c>
      <c r="C35" s="161" t="s">
        <v>704</v>
      </c>
      <c r="D35" s="171">
        <v>44499</v>
      </c>
      <c r="E35" s="171">
        <v>44508</v>
      </c>
      <c r="F35" s="160" t="s">
        <v>11632</v>
      </c>
      <c r="G35" s="160" t="s">
        <v>57</v>
      </c>
      <c r="H35" s="187"/>
      <c r="I35" s="187"/>
      <c r="J35" s="187"/>
      <c r="K35" s="187"/>
      <c r="L35" s="160" t="s">
        <v>382</v>
      </c>
      <c r="M35" s="171">
        <v>44510</v>
      </c>
      <c r="N35" s="187"/>
      <c r="O35" s="187"/>
      <c r="P35" s="167" t="s">
        <v>14175</v>
      </c>
      <c r="Q35" s="4755">
        <v>44511</v>
      </c>
      <c r="R35" s="190"/>
    </row>
    <row r="36" spans="1:23">
      <c r="A36" s="148" t="s">
        <v>13457</v>
      </c>
      <c r="B36" s="664" t="s">
        <v>14176</v>
      </c>
      <c r="C36" s="161" t="s">
        <v>704</v>
      </c>
      <c r="D36" s="171">
        <v>44499</v>
      </c>
      <c r="E36" s="171">
        <v>44508</v>
      </c>
      <c r="F36" s="160" t="s">
        <v>11632</v>
      </c>
      <c r="G36" s="160" t="s">
        <v>57</v>
      </c>
      <c r="H36" s="187"/>
      <c r="I36" s="187"/>
      <c r="J36" s="187"/>
      <c r="K36" s="187"/>
      <c r="L36" s="160" t="s">
        <v>382</v>
      </c>
      <c r="M36" s="171">
        <v>44510</v>
      </c>
      <c r="N36" s="187"/>
      <c r="O36" s="187"/>
      <c r="P36" s="167" t="s">
        <v>14175</v>
      </c>
      <c r="Q36" s="4755">
        <v>44511</v>
      </c>
      <c r="R36" s="190"/>
    </row>
    <row r="37" spans="1:23">
      <c r="A37" s="148" t="s">
        <v>13457</v>
      </c>
      <c r="B37" s="664" t="s">
        <v>14177</v>
      </c>
      <c r="C37" s="161" t="s">
        <v>704</v>
      </c>
      <c r="D37" s="171">
        <v>44499</v>
      </c>
      <c r="E37" s="171">
        <v>44509</v>
      </c>
      <c r="F37" s="160" t="s">
        <v>11632</v>
      </c>
      <c r="G37" s="160" t="s">
        <v>57</v>
      </c>
      <c r="H37" s="187"/>
      <c r="I37" s="187"/>
      <c r="J37" s="187"/>
      <c r="K37" s="187"/>
      <c r="L37" s="160" t="s">
        <v>382</v>
      </c>
      <c r="M37" s="171">
        <v>44511</v>
      </c>
      <c r="N37" s="187"/>
      <c r="O37" s="187"/>
      <c r="P37" s="167" t="s">
        <v>14175</v>
      </c>
      <c r="Q37" s="4755">
        <v>44511</v>
      </c>
      <c r="R37" s="190"/>
    </row>
    <row r="38" spans="1:23">
      <c r="A38" s="148" t="s">
        <v>13457</v>
      </c>
      <c r="B38" s="664" t="s">
        <v>14178</v>
      </c>
      <c r="C38" s="161" t="s">
        <v>704</v>
      </c>
      <c r="D38" s="171">
        <v>44464</v>
      </c>
      <c r="E38" s="171">
        <v>44484</v>
      </c>
      <c r="F38" s="160" t="s">
        <v>11632</v>
      </c>
      <c r="G38" s="160" t="s">
        <v>57</v>
      </c>
      <c r="H38" s="187"/>
      <c r="I38" s="187"/>
      <c r="J38" s="187"/>
      <c r="K38" s="187"/>
      <c r="L38" s="160" t="s">
        <v>382</v>
      </c>
      <c r="M38" s="171">
        <v>44486</v>
      </c>
      <c r="N38" s="187"/>
      <c r="O38" s="187"/>
      <c r="P38" s="167" t="s">
        <v>14179</v>
      </c>
      <c r="Q38" s="4755">
        <v>44486</v>
      </c>
    </row>
    <row r="39" spans="1:23" s="213" customFormat="1">
      <c r="A39" s="6086" t="s">
        <v>13457</v>
      </c>
      <c r="B39" s="6087" t="s">
        <v>14180</v>
      </c>
      <c r="C39" s="6086" t="s">
        <v>704</v>
      </c>
      <c r="D39" s="6088">
        <v>44497</v>
      </c>
      <c r="E39" s="6088">
        <v>44506</v>
      </c>
      <c r="F39" s="6086" t="s">
        <v>93</v>
      </c>
      <c r="G39" s="6086" t="s">
        <v>361</v>
      </c>
      <c r="H39" s="6089" t="s">
        <v>810</v>
      </c>
      <c r="I39" s="6086"/>
      <c r="J39" s="6086"/>
      <c r="K39" s="6086" t="s">
        <v>14129</v>
      </c>
      <c r="L39" s="6086">
        <v>789129</v>
      </c>
      <c r="M39" s="6088"/>
      <c r="N39" s="6088"/>
      <c r="O39" s="211"/>
      <c r="P39" s="6090" t="s">
        <v>14130</v>
      </c>
      <c r="Q39" s="6091">
        <v>44512</v>
      </c>
      <c r="R39" s="6086"/>
      <c r="S39" s="6086"/>
      <c r="T39" s="212"/>
      <c r="U39" s="212"/>
      <c r="V39" s="212"/>
      <c r="W39" s="212"/>
    </row>
    <row r="40" spans="1:23" s="213" customFormat="1">
      <c r="A40" s="6086" t="s">
        <v>13457</v>
      </c>
      <c r="B40" s="6087" t="s">
        <v>14181</v>
      </c>
      <c r="C40" s="6086" t="s">
        <v>704</v>
      </c>
      <c r="D40" s="6088">
        <v>44497</v>
      </c>
      <c r="E40" s="6088">
        <v>44506</v>
      </c>
      <c r="F40" s="6086" t="s">
        <v>93</v>
      </c>
      <c r="G40" s="6086" t="s">
        <v>361</v>
      </c>
      <c r="H40" s="6089" t="s">
        <v>810</v>
      </c>
      <c r="I40" s="6086"/>
      <c r="J40" s="6086"/>
      <c r="K40" s="6086" t="s">
        <v>14129</v>
      </c>
      <c r="L40" s="6086">
        <v>522306</v>
      </c>
      <c r="M40" s="6088"/>
      <c r="N40" s="6088"/>
      <c r="O40" s="211"/>
      <c r="P40" s="6090" t="s">
        <v>14130</v>
      </c>
      <c r="Q40" s="6091">
        <v>44512</v>
      </c>
      <c r="R40" s="6086"/>
      <c r="S40" s="6086"/>
      <c r="T40" s="212"/>
      <c r="U40" s="212"/>
      <c r="V40" s="212"/>
      <c r="W40" s="212"/>
    </row>
    <row r="41" spans="1:23" s="53" customFormat="1">
      <c r="A41" s="3946" t="s">
        <v>2525</v>
      </c>
      <c r="B41" s="3947">
        <v>2685036740</v>
      </c>
      <c r="C41" s="6086" t="s">
        <v>14182</v>
      </c>
      <c r="D41" s="6088">
        <v>44541</v>
      </c>
      <c r="E41" s="6088">
        <v>44207</v>
      </c>
      <c r="F41" s="6086" t="s">
        <v>151</v>
      </c>
      <c r="G41" s="6086" t="s">
        <v>46</v>
      </c>
      <c r="H41" s="6089" t="s">
        <v>810</v>
      </c>
      <c r="I41" s="6086"/>
      <c r="J41" s="6086" t="s">
        <v>14183</v>
      </c>
      <c r="K41" s="6086" t="s">
        <v>14184</v>
      </c>
      <c r="L41" s="6086" t="s">
        <v>542</v>
      </c>
      <c r="M41" s="6092" t="s">
        <v>14185</v>
      </c>
      <c r="N41" s="6088"/>
      <c r="O41" s="6088"/>
      <c r="P41" s="6093" t="s">
        <v>14186</v>
      </c>
      <c r="Q41" s="6094" t="s">
        <v>14187</v>
      </c>
      <c r="R41" s="6094" t="s">
        <v>10279</v>
      </c>
    </row>
    <row r="42" spans="1:23" s="53" customFormat="1">
      <c r="A42" s="214" t="s">
        <v>13457</v>
      </c>
      <c r="B42" s="665" t="s">
        <v>14188</v>
      </c>
      <c r="C42" s="4712" t="s">
        <v>704</v>
      </c>
      <c r="D42" s="6095" t="s">
        <v>382</v>
      </c>
      <c r="E42" s="6096" t="s">
        <v>93</v>
      </c>
      <c r="F42" s="6095" t="s">
        <v>382</v>
      </c>
      <c r="G42" s="6097">
        <v>44497</v>
      </c>
      <c r="H42" s="6097" t="s">
        <v>13459</v>
      </c>
      <c r="I42" s="6097">
        <v>44518</v>
      </c>
      <c r="J42" s="6096" t="s">
        <v>13495</v>
      </c>
      <c r="K42" s="6098" t="s">
        <v>810</v>
      </c>
      <c r="L42" s="6099" t="s">
        <v>13496</v>
      </c>
      <c r="M42" s="6100"/>
      <c r="N42" s="6096">
        <v>885978</v>
      </c>
      <c r="O42" s="6097" t="s">
        <v>532</v>
      </c>
      <c r="P42" s="6101" t="s">
        <v>532</v>
      </c>
      <c r="Q42" s="6101"/>
      <c r="R42" s="6102" t="s">
        <v>14189</v>
      </c>
      <c r="S42" s="6103"/>
      <c r="T42" s="6104"/>
      <c r="U42" s="6104"/>
    </row>
    <row r="43" spans="1:23" s="53" customFormat="1">
      <c r="A43" s="214" t="s">
        <v>13457</v>
      </c>
      <c r="B43" s="665" t="s">
        <v>14190</v>
      </c>
      <c r="C43" s="4712" t="s">
        <v>704</v>
      </c>
      <c r="D43" s="6095" t="s">
        <v>382</v>
      </c>
      <c r="E43" s="6096" t="s">
        <v>93</v>
      </c>
      <c r="F43" s="6095" t="s">
        <v>382</v>
      </c>
      <c r="G43" s="6097">
        <v>44497</v>
      </c>
      <c r="H43" s="6097" t="s">
        <v>13459</v>
      </c>
      <c r="I43" s="6097">
        <v>44518</v>
      </c>
      <c r="J43" s="6096" t="s">
        <v>13495</v>
      </c>
      <c r="K43" s="6098" t="s">
        <v>810</v>
      </c>
      <c r="L43" s="6099" t="s">
        <v>13496</v>
      </c>
      <c r="M43" s="6100"/>
      <c r="N43" s="6096">
        <v>978661</v>
      </c>
      <c r="O43" s="6097" t="s">
        <v>532</v>
      </c>
      <c r="P43" s="6101" t="s">
        <v>532</v>
      </c>
      <c r="Q43" s="6101"/>
      <c r="R43" s="6102" t="s">
        <v>14189</v>
      </c>
      <c r="S43" s="6103"/>
      <c r="T43" s="6104"/>
      <c r="U43" s="6104"/>
    </row>
    <row r="44" spans="1:23" s="53" customFormat="1">
      <c r="A44" s="215" t="s">
        <v>14191</v>
      </c>
      <c r="B44" s="666" t="s">
        <v>14192</v>
      </c>
      <c r="C44" s="4713" t="s">
        <v>14182</v>
      </c>
      <c r="D44" s="4714">
        <v>44468</v>
      </c>
      <c r="E44" s="6088"/>
      <c r="F44" s="6093" t="s">
        <v>245</v>
      </c>
      <c r="G44" s="6093" t="s">
        <v>57</v>
      </c>
      <c r="H44" s="6105" t="s">
        <v>14193</v>
      </c>
      <c r="I44" s="6093" t="s">
        <v>315</v>
      </c>
      <c r="J44" s="6093" t="s">
        <v>14194</v>
      </c>
      <c r="K44" s="6093" t="s">
        <v>14195</v>
      </c>
      <c r="L44" s="6106" t="s">
        <v>315</v>
      </c>
      <c r="M44" s="6105" t="s">
        <v>14196</v>
      </c>
      <c r="N44" s="6105" t="s">
        <v>315</v>
      </c>
      <c r="O44" s="6105" t="s">
        <v>315</v>
      </c>
      <c r="P44" s="6107" t="s">
        <v>14197</v>
      </c>
      <c r="Q44" s="6108">
        <v>44522</v>
      </c>
      <c r="R44" s="6107"/>
    </row>
    <row r="45" spans="1:23" s="53" customFormat="1">
      <c r="A45" s="215" t="s">
        <v>14191</v>
      </c>
      <c r="B45" s="666" t="s">
        <v>14198</v>
      </c>
      <c r="C45" s="216" t="s">
        <v>1518</v>
      </c>
      <c r="D45" s="217">
        <v>44476</v>
      </c>
      <c r="E45" s="6088"/>
      <c r="F45" s="6093" t="s">
        <v>245</v>
      </c>
      <c r="G45" s="6093" t="s">
        <v>57</v>
      </c>
      <c r="H45" s="6105" t="s">
        <v>14193</v>
      </c>
      <c r="I45" s="6093" t="s">
        <v>315</v>
      </c>
      <c r="J45" s="6093" t="s">
        <v>14194</v>
      </c>
      <c r="K45" s="6093" t="s">
        <v>14195</v>
      </c>
      <c r="L45" s="6106" t="s">
        <v>315</v>
      </c>
      <c r="M45" s="6105" t="s">
        <v>14196</v>
      </c>
      <c r="N45" s="6105" t="s">
        <v>315</v>
      </c>
      <c r="O45" s="6105" t="s">
        <v>315</v>
      </c>
      <c r="P45" s="6107" t="s">
        <v>315</v>
      </c>
      <c r="Q45" s="226">
        <v>44522</v>
      </c>
      <c r="R45" s="6107"/>
    </row>
    <row r="46" spans="1:23" s="53" customFormat="1">
      <c r="A46" s="215" t="s">
        <v>14191</v>
      </c>
      <c r="B46" s="667" t="s">
        <v>14199</v>
      </c>
      <c r="C46" s="6109" t="s">
        <v>1518</v>
      </c>
      <c r="D46" s="6110">
        <v>44477</v>
      </c>
      <c r="E46" s="6111"/>
      <c r="F46" s="6110" t="s">
        <v>245</v>
      </c>
      <c r="G46" s="6112" t="s">
        <v>57</v>
      </c>
      <c r="H46" s="6105" t="s">
        <v>14193</v>
      </c>
      <c r="I46" s="6110" t="s">
        <v>315</v>
      </c>
      <c r="J46" s="6112" t="s">
        <v>14194</v>
      </c>
      <c r="K46" s="6112" t="s">
        <v>14195</v>
      </c>
      <c r="L46" s="6113" t="s">
        <v>315</v>
      </c>
      <c r="M46" s="6110" t="s">
        <v>14196</v>
      </c>
      <c r="N46" s="6110" t="s">
        <v>315</v>
      </c>
      <c r="O46" s="6110" t="s">
        <v>315</v>
      </c>
      <c r="P46" s="6114" t="s">
        <v>315</v>
      </c>
      <c r="Q46" s="6108">
        <v>44522</v>
      </c>
      <c r="R46" s="6115"/>
    </row>
    <row r="47" spans="1:23">
      <c r="A47" s="160" t="s">
        <v>13457</v>
      </c>
      <c r="B47" s="167" t="s">
        <v>14200</v>
      </c>
      <c r="C47" s="4715" t="s">
        <v>704</v>
      </c>
      <c r="D47" s="6116" t="s">
        <v>13467</v>
      </c>
      <c r="E47" s="5424" t="s">
        <v>11564</v>
      </c>
      <c r="F47" s="5424" t="s">
        <v>14201</v>
      </c>
      <c r="G47" s="6117">
        <v>44504</v>
      </c>
      <c r="H47" s="6117" t="s">
        <v>13459</v>
      </c>
      <c r="I47" s="6117">
        <v>44521</v>
      </c>
      <c r="J47" s="6118" t="s">
        <v>46</v>
      </c>
      <c r="K47" s="6038"/>
      <c r="L47" s="239" t="s">
        <v>13479</v>
      </c>
      <c r="M47" s="239"/>
      <c r="N47" s="229"/>
      <c r="O47" s="240">
        <v>44524</v>
      </c>
      <c r="P47" s="4716" t="s">
        <v>13638</v>
      </c>
      <c r="Q47" s="6117">
        <v>44524</v>
      </c>
      <c r="R47" s="4428" t="s">
        <v>14202</v>
      </c>
      <c r="S47" s="6119"/>
      <c r="T47" s="6120"/>
      <c r="U47" s="6016"/>
      <c r="V47" s="224"/>
    </row>
    <row r="48" spans="1:23">
      <c r="A48" s="160" t="s">
        <v>13457</v>
      </c>
      <c r="B48" s="167" t="s">
        <v>14203</v>
      </c>
      <c r="C48" s="4715" t="s">
        <v>704</v>
      </c>
      <c r="D48" s="6116" t="s">
        <v>13467</v>
      </c>
      <c r="E48" s="5424" t="s">
        <v>11564</v>
      </c>
      <c r="F48" s="5424" t="s">
        <v>14201</v>
      </c>
      <c r="G48" s="6117">
        <v>44504</v>
      </c>
      <c r="H48" s="6117" t="s">
        <v>13459</v>
      </c>
      <c r="I48" s="6117">
        <v>44521</v>
      </c>
      <c r="J48" s="6118" t="s">
        <v>46</v>
      </c>
      <c r="K48" s="6038"/>
      <c r="L48" s="239" t="s">
        <v>13479</v>
      </c>
      <c r="M48" s="239"/>
      <c r="N48" s="229"/>
      <c r="O48" s="240">
        <v>44524</v>
      </c>
      <c r="P48" s="4716" t="s">
        <v>13638</v>
      </c>
      <c r="Q48" s="6117">
        <v>44524</v>
      </c>
      <c r="R48" s="4428" t="s">
        <v>14202</v>
      </c>
      <c r="S48" s="6119"/>
      <c r="T48" s="6120"/>
      <c r="U48" s="6016"/>
      <c r="V48" s="224"/>
    </row>
    <row r="49" spans="1:22">
      <c r="A49" s="160" t="s">
        <v>13457</v>
      </c>
      <c r="B49" s="167" t="s">
        <v>14204</v>
      </c>
      <c r="C49" s="4715" t="s">
        <v>704</v>
      </c>
      <c r="D49" s="6116" t="s">
        <v>13467</v>
      </c>
      <c r="E49" s="5424" t="s">
        <v>11564</v>
      </c>
      <c r="F49" s="5424" t="s">
        <v>14201</v>
      </c>
      <c r="G49" s="6117">
        <v>44504</v>
      </c>
      <c r="H49" s="6117" t="s">
        <v>13459</v>
      </c>
      <c r="I49" s="6117">
        <v>44523</v>
      </c>
      <c r="J49" s="6118" t="s">
        <v>46</v>
      </c>
      <c r="K49" s="6038"/>
      <c r="L49" s="239" t="s">
        <v>13479</v>
      </c>
      <c r="M49" s="239"/>
      <c r="N49" s="229"/>
      <c r="O49" s="240"/>
      <c r="P49" s="4716" t="s">
        <v>13638</v>
      </c>
      <c r="Q49" s="240">
        <v>44524</v>
      </c>
      <c r="R49" s="4428" t="s">
        <v>14202</v>
      </c>
      <c r="S49" s="6119"/>
      <c r="T49" s="6120"/>
      <c r="U49" s="6016"/>
      <c r="V49" s="224"/>
    </row>
    <row r="50" spans="1:22">
      <c r="A50" s="241" t="s">
        <v>13457</v>
      </c>
      <c r="B50" s="668" t="s">
        <v>14205</v>
      </c>
      <c r="C50" s="5424" t="s">
        <v>704</v>
      </c>
      <c r="D50" s="6116" t="s">
        <v>13467</v>
      </c>
      <c r="E50" s="5424" t="s">
        <v>11564</v>
      </c>
      <c r="F50" s="5424" t="s">
        <v>14201</v>
      </c>
      <c r="G50" s="6117">
        <v>44504</v>
      </c>
      <c r="H50" s="6117" t="s">
        <v>13459</v>
      </c>
      <c r="I50" s="6117">
        <v>44521</v>
      </c>
      <c r="J50" s="6118" t="s">
        <v>46</v>
      </c>
      <c r="K50" s="6038"/>
      <c r="L50" s="239" t="s">
        <v>13479</v>
      </c>
      <c r="M50" s="239"/>
      <c r="N50" s="229"/>
      <c r="O50" s="240"/>
      <c r="P50" s="4716" t="s">
        <v>13638</v>
      </c>
      <c r="Q50" s="6117">
        <v>44524</v>
      </c>
      <c r="R50" s="4428" t="s">
        <v>14202</v>
      </c>
      <c r="S50" s="6119"/>
      <c r="T50" s="6120"/>
      <c r="U50" s="6016"/>
      <c r="V50" s="224"/>
    </row>
    <row r="51" spans="1:22" s="53" customFormat="1">
      <c r="A51" s="181" t="s">
        <v>13457</v>
      </c>
      <c r="B51" s="203" t="s">
        <v>14165</v>
      </c>
      <c r="C51" s="242" t="s">
        <v>200</v>
      </c>
      <c r="D51" s="219">
        <v>44499</v>
      </c>
      <c r="E51" s="219">
        <v>44508</v>
      </c>
      <c r="F51" s="242" t="s">
        <v>11632</v>
      </c>
      <c r="G51" s="243" t="s">
        <v>57</v>
      </c>
      <c r="H51" s="6117" t="s">
        <v>810</v>
      </c>
      <c r="I51" s="242"/>
      <c r="J51" s="242"/>
      <c r="K51" s="242" t="s">
        <v>14206</v>
      </c>
      <c r="L51" s="244"/>
      <c r="M51" s="219">
        <v>44510</v>
      </c>
      <c r="N51" s="219"/>
      <c r="O51" s="219"/>
      <c r="P51" s="204" t="s">
        <v>14207</v>
      </c>
      <c r="Q51" s="181" t="s">
        <v>89</v>
      </c>
      <c r="R51" s="181"/>
      <c r="S51" s="181"/>
    </row>
    <row r="52" spans="1:22" s="53" customFormat="1">
      <c r="A52" s="179" t="s">
        <v>13457</v>
      </c>
      <c r="B52" s="205" t="s">
        <v>14177</v>
      </c>
      <c r="C52" s="234" t="s">
        <v>200</v>
      </c>
      <c r="D52" s="220">
        <v>44499</v>
      </c>
      <c r="E52" s="220">
        <v>44509</v>
      </c>
      <c r="F52" s="234" t="s">
        <v>11632</v>
      </c>
      <c r="G52" s="245" t="s">
        <v>57</v>
      </c>
      <c r="H52" s="6117" t="s">
        <v>810</v>
      </c>
      <c r="I52" s="234"/>
      <c r="J52" s="234"/>
      <c r="K52" s="234" t="s">
        <v>14206</v>
      </c>
      <c r="L52" s="246"/>
      <c r="M52" s="220">
        <v>44511</v>
      </c>
      <c r="N52" s="220"/>
      <c r="O52" s="220"/>
      <c r="P52" s="206" t="s">
        <v>14207</v>
      </c>
      <c r="Q52" s="179" t="s">
        <v>89</v>
      </c>
      <c r="R52" s="179"/>
      <c r="S52" s="180"/>
    </row>
    <row r="53" spans="1:22" s="53" customFormat="1">
      <c r="A53" s="180" t="s">
        <v>13457</v>
      </c>
      <c r="B53" s="207" t="s">
        <v>14167</v>
      </c>
      <c r="C53" s="185" t="s">
        <v>200</v>
      </c>
      <c r="D53" s="221">
        <v>44499</v>
      </c>
      <c r="E53" s="221">
        <v>44508</v>
      </c>
      <c r="F53" s="185" t="s">
        <v>11632</v>
      </c>
      <c r="G53" s="247" t="s">
        <v>57</v>
      </c>
      <c r="H53" s="6117" t="s">
        <v>810</v>
      </c>
      <c r="I53" s="185"/>
      <c r="J53" s="185"/>
      <c r="K53" s="185" t="s">
        <v>14206</v>
      </c>
      <c r="L53" s="248"/>
      <c r="M53" s="221">
        <v>44510</v>
      </c>
      <c r="N53" s="221"/>
      <c r="O53" s="221"/>
      <c r="P53" s="208" t="s">
        <v>14207</v>
      </c>
      <c r="Q53" s="180" t="s">
        <v>89</v>
      </c>
      <c r="R53" s="180"/>
      <c r="S53" s="180"/>
    </row>
    <row r="54" spans="1:22" s="53" customFormat="1">
      <c r="A54" s="180" t="s">
        <v>13457</v>
      </c>
      <c r="B54" s="207" t="s">
        <v>14168</v>
      </c>
      <c r="C54" s="249" t="s">
        <v>200</v>
      </c>
      <c r="D54" s="221">
        <v>44499</v>
      </c>
      <c r="E54" s="221">
        <v>44508</v>
      </c>
      <c r="F54" s="185" t="s">
        <v>11632</v>
      </c>
      <c r="G54" s="247" t="s">
        <v>57</v>
      </c>
      <c r="H54" s="6117" t="s">
        <v>810</v>
      </c>
      <c r="I54" s="185"/>
      <c r="J54" s="185"/>
      <c r="K54" s="185" t="s">
        <v>14206</v>
      </c>
      <c r="L54" s="246"/>
      <c r="M54" s="250">
        <v>44510</v>
      </c>
      <c r="N54" s="221"/>
      <c r="O54" s="221"/>
      <c r="P54" s="208" t="s">
        <v>14207</v>
      </c>
      <c r="Q54" s="210" t="s">
        <v>89</v>
      </c>
      <c r="R54" s="180"/>
      <c r="S54" s="180"/>
    </row>
    <row r="55" spans="1:22" s="53" customFormat="1">
      <c r="A55" s="179" t="s">
        <v>13457</v>
      </c>
      <c r="B55" s="205" t="s">
        <v>14169</v>
      </c>
      <c r="C55" s="251" t="s">
        <v>200</v>
      </c>
      <c r="D55" s="221">
        <v>44499</v>
      </c>
      <c r="E55" s="221">
        <v>44508</v>
      </c>
      <c r="F55" s="234" t="s">
        <v>11632</v>
      </c>
      <c r="G55" s="245" t="s">
        <v>57</v>
      </c>
      <c r="H55" s="6117" t="s">
        <v>810</v>
      </c>
      <c r="I55" s="234"/>
      <c r="J55" s="234"/>
      <c r="K55" s="234" t="s">
        <v>14206</v>
      </c>
      <c r="L55" s="246"/>
      <c r="M55" s="250">
        <v>44510</v>
      </c>
      <c r="N55" s="220"/>
      <c r="O55" s="220"/>
      <c r="P55" s="222" t="s">
        <v>14207</v>
      </c>
      <c r="Q55" s="183" t="s">
        <v>89</v>
      </c>
      <c r="R55" s="179"/>
      <c r="S55" s="179"/>
    </row>
    <row r="56" spans="1:22" s="53" customFormat="1">
      <c r="A56" s="181" t="s">
        <v>13457</v>
      </c>
      <c r="B56" s="207" t="s">
        <v>14170</v>
      </c>
      <c r="C56" s="242" t="s">
        <v>200</v>
      </c>
      <c r="D56" s="219">
        <v>44499</v>
      </c>
      <c r="E56" s="219">
        <v>44508</v>
      </c>
      <c r="F56" s="242" t="s">
        <v>11632</v>
      </c>
      <c r="G56" s="243" t="s">
        <v>57</v>
      </c>
      <c r="H56" s="6117" t="s">
        <v>810</v>
      </c>
      <c r="I56" s="242"/>
      <c r="J56" s="242"/>
      <c r="K56" s="252" t="s">
        <v>14206</v>
      </c>
      <c r="L56" s="253"/>
      <c r="M56" s="250">
        <v>44510</v>
      </c>
      <c r="N56" s="219"/>
      <c r="O56" s="221"/>
      <c r="P56" s="223" t="s">
        <v>14207</v>
      </c>
      <c r="Q56" s="209" t="s">
        <v>89</v>
      </c>
      <c r="R56" s="180"/>
      <c r="S56" s="180"/>
    </row>
    <row r="57" spans="1:22" s="202" customFormat="1">
      <c r="A57" s="6121" t="s">
        <v>13457</v>
      </c>
      <c r="B57" s="6122" t="s">
        <v>14208</v>
      </c>
      <c r="C57" s="6121" t="s">
        <v>704</v>
      </c>
      <c r="D57" s="6123" t="s">
        <v>13467</v>
      </c>
      <c r="E57" s="6121" t="s">
        <v>11564</v>
      </c>
      <c r="F57" s="6121" t="s">
        <v>14201</v>
      </c>
      <c r="G57" s="6105">
        <v>44504</v>
      </c>
      <c r="H57" s="6105" t="s">
        <v>13459</v>
      </c>
      <c r="I57" s="6105">
        <v>44523</v>
      </c>
      <c r="J57" s="6093" t="s">
        <v>46</v>
      </c>
      <c r="K57" s="6039"/>
      <c r="L57" s="254" t="s">
        <v>13479</v>
      </c>
      <c r="M57" s="254"/>
      <c r="N57" s="218"/>
      <c r="O57" s="255"/>
      <c r="P57" s="4717" t="s">
        <v>13638</v>
      </c>
      <c r="Q57" s="6105"/>
      <c r="R57" s="212" t="s">
        <v>14202</v>
      </c>
      <c r="S57" s="6123"/>
      <c r="T57" s="6124"/>
      <c r="U57" s="6125"/>
      <c r="V57" s="256"/>
    </row>
    <row r="58" spans="1:22" s="202" customFormat="1">
      <c r="A58" s="6121" t="s">
        <v>13457</v>
      </c>
      <c r="B58" s="6122" t="s">
        <v>14209</v>
      </c>
      <c r="C58" s="6121" t="s">
        <v>704</v>
      </c>
      <c r="D58" s="6123" t="s">
        <v>13467</v>
      </c>
      <c r="E58" s="6121" t="s">
        <v>11564</v>
      </c>
      <c r="F58" s="6121" t="s">
        <v>14201</v>
      </c>
      <c r="G58" s="6105">
        <v>44504</v>
      </c>
      <c r="H58" s="6105" t="s">
        <v>13459</v>
      </c>
      <c r="I58" s="6105">
        <v>44523</v>
      </c>
      <c r="J58" s="6093" t="s">
        <v>46</v>
      </c>
      <c r="K58" s="6039"/>
      <c r="L58" s="254" t="s">
        <v>13479</v>
      </c>
      <c r="M58" s="254"/>
      <c r="N58" s="218"/>
      <c r="O58" s="255"/>
      <c r="P58" s="4717" t="s">
        <v>13638</v>
      </c>
      <c r="Q58" s="255"/>
      <c r="R58" s="212" t="s">
        <v>14202</v>
      </c>
      <c r="S58" s="6123"/>
      <c r="T58" s="6124"/>
      <c r="U58" s="6125"/>
      <c r="V58" s="256"/>
    </row>
    <row r="59" spans="1:22" s="202" customFormat="1" ht="60">
      <c r="A59" s="6126" t="s">
        <v>681</v>
      </c>
      <c r="B59" s="6127">
        <v>2685458280</v>
      </c>
      <c r="C59" s="6126" t="s">
        <v>14210</v>
      </c>
      <c r="D59" s="6128">
        <v>44546</v>
      </c>
      <c r="E59" s="6128">
        <v>44561</v>
      </c>
      <c r="F59" s="6126" t="s">
        <v>151</v>
      </c>
      <c r="G59" s="6126" t="s">
        <v>46</v>
      </c>
      <c r="H59" s="6128"/>
      <c r="I59" s="6126"/>
      <c r="J59" s="6126"/>
      <c r="K59" s="6129"/>
      <c r="L59" s="6126"/>
      <c r="M59" s="6130" t="s">
        <v>14211</v>
      </c>
      <c r="N59" s="6130"/>
      <c r="O59" s="6130"/>
      <c r="P59" s="6131" t="s">
        <v>14212</v>
      </c>
      <c r="Q59" s="6132" t="s">
        <v>14213</v>
      </c>
      <c r="R59" s="6126"/>
      <c r="S59" s="6126"/>
      <c r="T59" s="212"/>
      <c r="U59" s="212"/>
      <c r="V59" s="212"/>
    </row>
    <row r="60" spans="1:22">
      <c r="A60" s="148" t="s">
        <v>14214</v>
      </c>
      <c r="B60" s="669" t="s">
        <v>14215</v>
      </c>
      <c r="C60" s="148" t="s">
        <v>28</v>
      </c>
      <c r="D60" s="233">
        <v>44561</v>
      </c>
      <c r="E60" s="276">
        <v>44574</v>
      </c>
      <c r="F60" s="277" t="s">
        <v>245</v>
      </c>
      <c r="G60" s="277" t="s">
        <v>57</v>
      </c>
      <c r="H60" s="278">
        <v>44537</v>
      </c>
      <c r="I60" s="279" t="s">
        <v>12040</v>
      </c>
      <c r="J60" s="277"/>
      <c r="K60" s="277" t="s">
        <v>14216</v>
      </c>
      <c r="L60" s="277"/>
      <c r="M60" s="5692" t="s">
        <v>14217</v>
      </c>
      <c r="N60" s="148"/>
      <c r="O60" s="148"/>
      <c r="P60" s="275" t="s">
        <v>14218</v>
      </c>
      <c r="Q60" s="148" t="s">
        <v>75</v>
      </c>
      <c r="R60" s="148"/>
      <c r="S60" s="148"/>
    </row>
    <row r="61" spans="1:22" s="10" customFormat="1">
      <c r="A61" s="3948" t="s">
        <v>3849</v>
      </c>
      <c r="B61" s="3949" t="s">
        <v>14219</v>
      </c>
      <c r="C61" s="3950" t="s">
        <v>200</v>
      </c>
      <c r="D61" s="17">
        <v>44530</v>
      </c>
      <c r="E61" s="17">
        <v>44547</v>
      </c>
      <c r="F61" s="47" t="s">
        <v>14220</v>
      </c>
      <c r="G61" s="11" t="s">
        <v>886</v>
      </c>
      <c r="H61" s="50"/>
      <c r="I61" s="11"/>
      <c r="J61" s="11"/>
      <c r="K61" s="51" t="s">
        <v>14221</v>
      </c>
      <c r="L61" s="3951">
        <v>399015</v>
      </c>
      <c r="M61" s="3952"/>
      <c r="N61" s="3952"/>
      <c r="O61" s="3952"/>
      <c r="P61" s="124" t="s">
        <v>14222</v>
      </c>
      <c r="Q61" s="3953" t="s">
        <v>14223</v>
      </c>
      <c r="R61" s="3953"/>
      <c r="S61" s="3953"/>
    </row>
    <row r="62" spans="1:22" s="10" customFormat="1">
      <c r="A62" s="3948" t="s">
        <v>3849</v>
      </c>
      <c r="B62" s="3949" t="s">
        <v>14224</v>
      </c>
      <c r="C62" s="3950" t="s">
        <v>200</v>
      </c>
      <c r="D62" s="17">
        <v>44530</v>
      </c>
      <c r="E62" s="17">
        <v>44548</v>
      </c>
      <c r="F62" s="47" t="s">
        <v>14220</v>
      </c>
      <c r="G62" s="11" t="s">
        <v>886</v>
      </c>
      <c r="H62" s="50"/>
      <c r="I62" s="11"/>
      <c r="J62" s="11"/>
      <c r="K62" s="51" t="s">
        <v>14221</v>
      </c>
      <c r="L62" s="3951">
        <v>923737</v>
      </c>
      <c r="M62" s="3952"/>
      <c r="N62" s="3952"/>
      <c r="O62" s="3952"/>
      <c r="P62" s="124" t="s">
        <v>14222</v>
      </c>
      <c r="Q62" s="3953" t="s">
        <v>14223</v>
      </c>
      <c r="R62" s="3953"/>
      <c r="S62" s="3953"/>
    </row>
    <row r="63" spans="1:22" s="10" customFormat="1">
      <c r="A63" s="3948" t="s">
        <v>3849</v>
      </c>
      <c r="B63" s="3949" t="s">
        <v>14225</v>
      </c>
      <c r="C63" s="3950" t="s">
        <v>200</v>
      </c>
      <c r="D63" s="17">
        <v>44530</v>
      </c>
      <c r="E63" s="17">
        <v>44549</v>
      </c>
      <c r="F63" s="47" t="s">
        <v>14220</v>
      </c>
      <c r="G63" s="11" t="s">
        <v>886</v>
      </c>
      <c r="H63" s="50"/>
      <c r="I63" s="11"/>
      <c r="J63" s="11"/>
      <c r="K63" s="51" t="s">
        <v>14221</v>
      </c>
      <c r="L63" s="3951">
        <v>181845</v>
      </c>
      <c r="M63" s="3952"/>
      <c r="N63" s="3952"/>
      <c r="O63" s="3952"/>
      <c r="P63" s="124" t="s">
        <v>14222</v>
      </c>
      <c r="Q63" s="3953" t="s">
        <v>14223</v>
      </c>
      <c r="R63" s="3953"/>
      <c r="S63" s="3953"/>
    </row>
    <row r="64" spans="1:22" s="10" customFormat="1">
      <c r="A64" s="3948" t="s">
        <v>3849</v>
      </c>
      <c r="B64" s="3949" t="s">
        <v>14226</v>
      </c>
      <c r="C64" s="3950" t="s">
        <v>200</v>
      </c>
      <c r="D64" s="17">
        <v>44530</v>
      </c>
      <c r="E64" s="17">
        <v>44550</v>
      </c>
      <c r="F64" s="47" t="s">
        <v>14220</v>
      </c>
      <c r="G64" s="11" t="s">
        <v>886</v>
      </c>
      <c r="H64" s="50"/>
      <c r="I64" s="11"/>
      <c r="J64" s="11"/>
      <c r="K64" s="51" t="s">
        <v>14221</v>
      </c>
      <c r="L64" s="3951">
        <v>490455</v>
      </c>
      <c r="M64" s="3952"/>
      <c r="N64" s="3952"/>
      <c r="O64" s="3952"/>
      <c r="P64" s="124" t="s">
        <v>14222</v>
      </c>
      <c r="Q64" s="3953" t="s">
        <v>14223</v>
      </c>
      <c r="R64" s="3953"/>
      <c r="S64" s="3953"/>
    </row>
    <row r="65" spans="1:23" s="10" customFormat="1">
      <c r="A65" s="3948" t="s">
        <v>3849</v>
      </c>
      <c r="B65" s="3949" t="s">
        <v>14227</v>
      </c>
      <c r="C65" s="3950" t="s">
        <v>200</v>
      </c>
      <c r="D65" s="41">
        <v>44530</v>
      </c>
      <c r="E65" s="17">
        <v>44551</v>
      </c>
      <c r="F65" s="61" t="s">
        <v>14220</v>
      </c>
      <c r="G65" s="29" t="s">
        <v>886</v>
      </c>
      <c r="H65" s="64"/>
      <c r="I65" s="29"/>
      <c r="J65" s="29"/>
      <c r="K65" s="51" t="s">
        <v>14221</v>
      </c>
      <c r="L65" s="3951">
        <v>77685</v>
      </c>
      <c r="M65" s="3952"/>
      <c r="N65" s="3952"/>
      <c r="O65" s="3952"/>
      <c r="P65" s="124" t="s">
        <v>14222</v>
      </c>
      <c r="Q65" s="3953" t="s">
        <v>14223</v>
      </c>
      <c r="R65" s="3953"/>
      <c r="S65" s="3953"/>
    </row>
    <row r="66" spans="1:23">
      <c r="A66" s="84" t="s">
        <v>14214</v>
      </c>
      <c r="B66" s="670" t="s">
        <v>14228</v>
      </c>
      <c r="C66" s="84" t="s">
        <v>14210</v>
      </c>
      <c r="D66" s="315">
        <v>44607</v>
      </c>
      <c r="E66" s="315">
        <v>44621</v>
      </c>
      <c r="F66" s="84" t="s">
        <v>1357</v>
      </c>
      <c r="G66" s="84" t="s">
        <v>46</v>
      </c>
      <c r="H66" s="390" t="s">
        <v>14229</v>
      </c>
      <c r="I66" s="390" t="s">
        <v>14230</v>
      </c>
      <c r="J66" s="84"/>
      <c r="K66" s="148" t="s">
        <v>14216</v>
      </c>
      <c r="L66" s="84"/>
      <c r="M66" s="390" t="s">
        <v>14231</v>
      </c>
      <c r="N66" s="84"/>
      <c r="O66" s="84"/>
      <c r="P66" s="93" t="s">
        <v>14232</v>
      </c>
      <c r="Q66" s="84" t="s">
        <v>75</v>
      </c>
      <c r="R66" s="84"/>
      <c r="S66" s="84"/>
    </row>
    <row r="67" spans="1:23" s="428" customFormat="1" ht="15" customHeight="1">
      <c r="A67" s="416" t="s">
        <v>13457</v>
      </c>
      <c r="B67" s="671">
        <v>300</v>
      </c>
      <c r="C67" s="416" t="s">
        <v>14233</v>
      </c>
      <c r="D67" s="416" t="s">
        <v>28</v>
      </c>
      <c r="E67" s="416">
        <v>10578.75</v>
      </c>
      <c r="F67" s="416" t="s">
        <v>1828</v>
      </c>
      <c r="G67" s="429">
        <v>214531686</v>
      </c>
      <c r="H67" s="430">
        <v>44600</v>
      </c>
      <c r="I67" s="417" t="s">
        <v>13459</v>
      </c>
      <c r="J67" s="431">
        <v>44607</v>
      </c>
      <c r="K67" s="432" t="s">
        <v>46</v>
      </c>
      <c r="L67" s="432"/>
      <c r="M67" s="4718" t="s">
        <v>13947</v>
      </c>
      <c r="N67" s="421"/>
      <c r="O67" s="422"/>
      <c r="P67" s="433" t="s">
        <v>14234</v>
      </c>
      <c r="Q67" s="423">
        <v>44568</v>
      </c>
      <c r="R67" s="423"/>
      <c r="S67" s="424" t="s">
        <v>14235</v>
      </c>
      <c r="T67" s="425" t="s">
        <v>14236</v>
      </c>
      <c r="U67" s="426"/>
      <c r="V67" s="426"/>
      <c r="W67" s="427"/>
    </row>
    <row r="68" spans="1:23" s="428" customFormat="1">
      <c r="A68" s="416" t="s">
        <v>13457</v>
      </c>
      <c r="B68" s="671">
        <v>301</v>
      </c>
      <c r="C68" s="416" t="s">
        <v>14237</v>
      </c>
      <c r="D68" s="416" t="s">
        <v>28</v>
      </c>
      <c r="E68" s="416">
        <v>11308</v>
      </c>
      <c r="F68" s="416" t="s">
        <v>1828</v>
      </c>
      <c r="G68" s="429">
        <v>214531761</v>
      </c>
      <c r="H68" s="430">
        <v>44600</v>
      </c>
      <c r="I68" s="417" t="s">
        <v>13459</v>
      </c>
      <c r="J68" s="431">
        <v>44607</v>
      </c>
      <c r="K68" s="432" t="s">
        <v>46</v>
      </c>
      <c r="L68" s="432"/>
      <c r="M68" s="4718" t="s">
        <v>13947</v>
      </c>
      <c r="N68" s="421"/>
      <c r="O68" s="422"/>
      <c r="P68" s="433" t="s">
        <v>14234</v>
      </c>
      <c r="Q68" s="423">
        <v>44568</v>
      </c>
      <c r="R68" s="423"/>
      <c r="S68" s="424" t="s">
        <v>14235</v>
      </c>
      <c r="T68" s="425" t="s">
        <v>14236</v>
      </c>
      <c r="U68" s="426"/>
      <c r="V68" s="426"/>
      <c r="W68" s="427"/>
    </row>
    <row r="69" spans="1:23" s="428" customFormat="1">
      <c r="A69" s="416" t="s">
        <v>13457</v>
      </c>
      <c r="B69" s="671">
        <v>302</v>
      </c>
      <c r="C69" s="416" t="s">
        <v>14238</v>
      </c>
      <c r="D69" s="416" t="s">
        <v>28</v>
      </c>
      <c r="E69" s="416">
        <v>6849.5</v>
      </c>
      <c r="F69" s="416" t="s">
        <v>1828</v>
      </c>
      <c r="G69" s="429">
        <v>214531813</v>
      </c>
      <c r="H69" s="430">
        <v>44600</v>
      </c>
      <c r="I69" s="417" t="s">
        <v>13459</v>
      </c>
      <c r="J69" s="431">
        <v>44607</v>
      </c>
      <c r="K69" s="432" t="s">
        <v>46</v>
      </c>
      <c r="L69" s="432"/>
      <c r="M69" s="4718" t="s">
        <v>13947</v>
      </c>
      <c r="N69" s="421"/>
      <c r="O69" s="422"/>
      <c r="P69" s="433" t="s">
        <v>14234</v>
      </c>
      <c r="Q69" s="423">
        <v>44568</v>
      </c>
      <c r="R69" s="423"/>
      <c r="S69" s="424" t="s">
        <v>14235</v>
      </c>
      <c r="T69" s="425" t="s">
        <v>14236</v>
      </c>
      <c r="U69" s="426"/>
      <c r="V69" s="426"/>
      <c r="W69" s="427"/>
    </row>
    <row r="70" spans="1:23" s="428" customFormat="1">
      <c r="A70" s="416" t="s">
        <v>13457</v>
      </c>
      <c r="B70" s="671">
        <v>289</v>
      </c>
      <c r="C70" s="416" t="s">
        <v>14239</v>
      </c>
      <c r="D70" s="416" t="s">
        <v>28</v>
      </c>
      <c r="E70" s="416">
        <v>11308</v>
      </c>
      <c r="F70" s="416" t="s">
        <v>382</v>
      </c>
      <c r="G70" s="416" t="s">
        <v>382</v>
      </c>
      <c r="H70" s="416" t="s">
        <v>382</v>
      </c>
      <c r="I70" s="417" t="s">
        <v>13459</v>
      </c>
      <c r="J70" s="418">
        <v>44584</v>
      </c>
      <c r="K70" s="419" t="s">
        <v>382</v>
      </c>
      <c r="L70" s="419"/>
      <c r="M70" s="420" t="s">
        <v>13947</v>
      </c>
      <c r="N70" s="421"/>
      <c r="O70" s="422"/>
      <c r="P70" s="433" t="s">
        <v>14234</v>
      </c>
      <c r="Q70" s="423">
        <v>44568</v>
      </c>
      <c r="R70" s="423"/>
      <c r="S70" s="424" t="s">
        <v>14235</v>
      </c>
      <c r="T70" s="425" t="s">
        <v>14236</v>
      </c>
      <c r="U70" s="426"/>
      <c r="V70" s="426"/>
      <c r="W70" s="427"/>
    </row>
    <row r="71" spans="1:23" ht="60">
      <c r="A71" s="4895" t="s">
        <v>14214</v>
      </c>
      <c r="B71" s="6133" t="s">
        <v>14240</v>
      </c>
      <c r="C71" s="4895" t="s">
        <v>14210</v>
      </c>
      <c r="D71" s="5169">
        <v>44583</v>
      </c>
      <c r="E71" s="5169">
        <v>44612</v>
      </c>
      <c r="F71" s="4895" t="s">
        <v>245</v>
      </c>
      <c r="G71" s="4895" t="s">
        <v>57</v>
      </c>
      <c r="H71" s="6134">
        <v>44572</v>
      </c>
      <c r="I71" s="5168" t="s">
        <v>178</v>
      </c>
      <c r="J71" s="5171" t="s">
        <v>32</v>
      </c>
      <c r="K71" s="6135" t="s">
        <v>14216</v>
      </c>
      <c r="L71" s="4895"/>
      <c r="M71" s="5168" t="s">
        <v>14241</v>
      </c>
      <c r="N71" s="4895"/>
      <c r="O71" s="4895"/>
      <c r="P71" s="4974" t="s">
        <v>14242</v>
      </c>
      <c r="Q71" s="4895" t="s">
        <v>75</v>
      </c>
      <c r="R71" s="4895"/>
      <c r="S71" s="4895"/>
    </row>
    <row r="72" spans="1:23">
      <c r="A72" s="2" t="s">
        <v>14243</v>
      </c>
      <c r="B72" s="26" t="s">
        <v>14244</v>
      </c>
      <c r="C72" s="437" t="s">
        <v>200</v>
      </c>
      <c r="D72" s="488">
        <v>44585</v>
      </c>
      <c r="E72" s="488">
        <v>44592</v>
      </c>
      <c r="F72" s="437" t="s">
        <v>11632</v>
      </c>
      <c r="G72" s="437"/>
      <c r="H72" s="437"/>
      <c r="I72" s="437"/>
      <c r="J72" s="437"/>
      <c r="K72" s="437"/>
      <c r="L72" s="437"/>
      <c r="M72" s="437"/>
      <c r="N72" s="437"/>
      <c r="O72" s="437"/>
      <c r="P72" s="434" t="s">
        <v>14245</v>
      </c>
      <c r="Q72" t="s">
        <v>14246</v>
      </c>
    </row>
    <row r="73" spans="1:23">
      <c r="A73" s="4591" t="s">
        <v>14243</v>
      </c>
      <c r="B73" s="4874" t="s">
        <v>14247</v>
      </c>
      <c r="C73" s="4895" t="s">
        <v>14210</v>
      </c>
      <c r="D73" s="5169">
        <v>44202</v>
      </c>
      <c r="E73" s="5169">
        <v>44207</v>
      </c>
      <c r="F73" s="4895" t="s">
        <v>11632</v>
      </c>
      <c r="G73" s="4895" t="s">
        <v>30</v>
      </c>
      <c r="H73" s="5169"/>
      <c r="I73" s="4895"/>
      <c r="J73" s="5168" t="s">
        <v>14248</v>
      </c>
      <c r="K73" s="6136" t="s">
        <v>14249</v>
      </c>
      <c r="L73" s="5122"/>
      <c r="M73" s="4895"/>
      <c r="N73" s="5169"/>
      <c r="O73" s="5169"/>
      <c r="P73" s="4874" t="s">
        <v>14250</v>
      </c>
      <c r="Q73" s="4895" t="s">
        <v>14223</v>
      </c>
      <c r="R73" s="4895"/>
      <c r="S73" s="5270" t="s">
        <v>14251</v>
      </c>
    </row>
    <row r="74" spans="1:23">
      <c r="A74" s="495" t="s">
        <v>14252</v>
      </c>
      <c r="B74" s="672" t="s">
        <v>14253</v>
      </c>
      <c r="C74" s="485" t="s">
        <v>704</v>
      </c>
      <c r="D74" s="491">
        <v>44219</v>
      </c>
      <c r="E74" s="4566">
        <v>44228</v>
      </c>
      <c r="F74" s="4567" t="s">
        <v>45</v>
      </c>
      <c r="G74" s="4567"/>
      <c r="H74" s="4566"/>
      <c r="I74" s="4567"/>
      <c r="J74" s="4567"/>
      <c r="K74" s="485" t="s">
        <v>14254</v>
      </c>
      <c r="L74" s="4567"/>
      <c r="M74" s="4566"/>
      <c r="N74" s="4567"/>
      <c r="O74" s="4567" t="s">
        <v>14255</v>
      </c>
      <c r="P74" s="4567" t="s">
        <v>14256</v>
      </c>
      <c r="Q74" s="4567" t="s">
        <v>14223</v>
      </c>
      <c r="R74" s="4567"/>
      <c r="S74" s="496" t="s">
        <v>14251</v>
      </c>
    </row>
    <row r="75" spans="1:23">
      <c r="A75" s="5934" t="s">
        <v>14252</v>
      </c>
      <c r="B75" s="5043" t="s">
        <v>14257</v>
      </c>
      <c r="C75" s="5934" t="s">
        <v>704</v>
      </c>
      <c r="D75" s="5041">
        <v>44219</v>
      </c>
      <c r="E75" s="6137">
        <v>44228</v>
      </c>
      <c r="F75" s="4842" t="s">
        <v>45</v>
      </c>
      <c r="G75" s="4842"/>
      <c r="H75" s="6137"/>
      <c r="I75" s="4842"/>
      <c r="J75" s="4842"/>
      <c r="K75" s="5934" t="s">
        <v>14254</v>
      </c>
      <c r="L75" s="4842"/>
      <c r="M75" s="6137"/>
      <c r="N75" s="4842"/>
      <c r="O75" s="4567" t="s">
        <v>14255</v>
      </c>
      <c r="P75" s="4842" t="s">
        <v>14256</v>
      </c>
      <c r="Q75" s="4842" t="s">
        <v>14223</v>
      </c>
      <c r="R75" s="4842"/>
      <c r="S75" s="4895" t="s">
        <v>14251</v>
      </c>
    </row>
    <row r="76" spans="1:23">
      <c r="A76" s="486" t="s">
        <v>14252</v>
      </c>
      <c r="B76" s="86" t="s">
        <v>14258</v>
      </c>
      <c r="C76" s="490" t="s">
        <v>704</v>
      </c>
      <c r="D76" s="492">
        <v>44219</v>
      </c>
      <c r="E76" s="493">
        <v>44228</v>
      </c>
      <c r="F76" s="16" t="s">
        <v>45</v>
      </c>
      <c r="G76" s="4568"/>
      <c r="H76" s="4569"/>
      <c r="I76" s="4568"/>
      <c r="J76" s="4568"/>
      <c r="K76" s="494" t="s">
        <v>14254</v>
      </c>
      <c r="L76" s="4568"/>
      <c r="M76" s="4569"/>
      <c r="N76" s="4568"/>
      <c r="O76" s="4567" t="s">
        <v>14255</v>
      </c>
      <c r="P76" s="16" t="s">
        <v>14256</v>
      </c>
      <c r="Q76" s="4568" t="s">
        <v>14223</v>
      </c>
      <c r="R76" s="4568"/>
      <c r="S76" s="484"/>
    </row>
    <row r="77" spans="1:23">
      <c r="A77" s="3954" t="s">
        <v>14252</v>
      </c>
      <c r="B77" s="86" t="s">
        <v>14259</v>
      </c>
      <c r="C77" s="490" t="s">
        <v>704</v>
      </c>
      <c r="D77" s="3955">
        <v>44219</v>
      </c>
      <c r="E77" s="3243">
        <v>44228</v>
      </c>
      <c r="F77" s="4895" t="s">
        <v>45</v>
      </c>
      <c r="G77" s="4213"/>
      <c r="H77" s="4216"/>
      <c r="I77" s="4213"/>
      <c r="J77" s="4213"/>
      <c r="K77" s="3956" t="s">
        <v>14254</v>
      </c>
      <c r="L77" s="4213"/>
      <c r="M77" s="4216"/>
      <c r="N77" s="4213"/>
      <c r="O77" s="4567" t="s">
        <v>14255</v>
      </c>
      <c r="P77" s="3241" t="s">
        <v>14256</v>
      </c>
      <c r="Q77" s="4213" t="s">
        <v>14223</v>
      </c>
      <c r="R77" s="4213"/>
      <c r="S77" s="3241"/>
    </row>
    <row r="78" spans="1:23">
      <c r="A78" s="5934" t="s">
        <v>14252</v>
      </c>
      <c r="B78" s="6138" t="s">
        <v>14260</v>
      </c>
      <c r="C78" s="5934" t="s">
        <v>704</v>
      </c>
      <c r="D78" s="5041">
        <v>44219</v>
      </c>
      <c r="E78" s="5169">
        <v>44228</v>
      </c>
      <c r="F78" s="4895" t="s">
        <v>45</v>
      </c>
      <c r="G78" s="4842"/>
      <c r="H78" s="6137"/>
      <c r="I78" s="4842"/>
      <c r="J78" s="4842"/>
      <c r="K78" s="497" t="s">
        <v>14254</v>
      </c>
      <c r="L78" s="4842"/>
      <c r="M78" s="6137"/>
      <c r="N78" s="4842"/>
      <c r="O78" s="4567" t="s">
        <v>14255</v>
      </c>
      <c r="P78" s="4895" t="s">
        <v>14256</v>
      </c>
      <c r="Q78" s="4842" t="s">
        <v>14223</v>
      </c>
      <c r="R78" s="4842"/>
      <c r="S78" s="4895"/>
    </row>
    <row r="79" spans="1:23" s="26" customFormat="1" ht="30">
      <c r="A79" s="84" t="s">
        <v>14214</v>
      </c>
      <c r="B79" s="670" t="s">
        <v>14261</v>
      </c>
      <c r="C79" s="84" t="s">
        <v>14210</v>
      </c>
      <c r="D79" s="315">
        <v>44607</v>
      </c>
      <c r="E79" s="315">
        <v>44621</v>
      </c>
      <c r="F79" s="84" t="s">
        <v>1357</v>
      </c>
      <c r="G79" s="84" t="s">
        <v>46</v>
      </c>
      <c r="H79" s="505" t="s">
        <v>14262</v>
      </c>
      <c r="I79" s="390" t="s">
        <v>14263</v>
      </c>
      <c r="J79" s="277" t="s">
        <v>32</v>
      </c>
      <c r="K79" s="148" t="s">
        <v>14216</v>
      </c>
      <c r="L79" s="84" t="s">
        <v>162</v>
      </c>
      <c r="M79" s="489" t="s">
        <v>14264</v>
      </c>
      <c r="N79" s="84"/>
      <c r="O79" s="84"/>
      <c r="P79" s="504" t="s">
        <v>14265</v>
      </c>
      <c r="Q79" s="84" t="s">
        <v>75</v>
      </c>
      <c r="R79" s="84"/>
      <c r="S79" s="84" t="s">
        <v>14251</v>
      </c>
    </row>
    <row r="80" spans="1:23" s="26" customFormat="1">
      <c r="A80" s="84" t="s">
        <v>14214</v>
      </c>
      <c r="B80" s="670" t="s">
        <v>14266</v>
      </c>
      <c r="C80" s="84" t="s">
        <v>14210</v>
      </c>
      <c r="D80" s="315">
        <v>44604</v>
      </c>
      <c r="E80" s="315">
        <v>44616</v>
      </c>
      <c r="F80" s="84" t="s">
        <v>1357</v>
      </c>
      <c r="G80" s="84" t="s">
        <v>46</v>
      </c>
      <c r="H80" s="505">
        <v>44585</v>
      </c>
      <c r="I80" s="390" t="s">
        <v>445</v>
      </c>
      <c r="J80" s="277" t="s">
        <v>32</v>
      </c>
      <c r="K80" s="148" t="s">
        <v>14216</v>
      </c>
      <c r="L80" s="84" t="s">
        <v>162</v>
      </c>
      <c r="M80" s="489" t="s">
        <v>14267</v>
      </c>
      <c r="N80" s="84"/>
      <c r="O80" s="84"/>
      <c r="P80" s="504" t="s">
        <v>14268</v>
      </c>
      <c r="Q80" s="84" t="s">
        <v>75</v>
      </c>
      <c r="R80" s="84"/>
      <c r="S80" s="84" t="s">
        <v>14251</v>
      </c>
    </row>
    <row r="81" spans="1:24" s="26" customFormat="1" ht="45">
      <c r="A81" s="84" t="s">
        <v>14214</v>
      </c>
      <c r="B81" s="670" t="s">
        <v>14266</v>
      </c>
      <c r="C81" s="84" t="s">
        <v>14210</v>
      </c>
      <c r="D81" s="315">
        <v>44604</v>
      </c>
      <c r="E81" s="315">
        <v>44616</v>
      </c>
      <c r="F81" s="84" t="s">
        <v>1357</v>
      </c>
      <c r="G81" s="84" t="s">
        <v>46</v>
      </c>
      <c r="H81" s="505">
        <v>44585</v>
      </c>
      <c r="I81" s="390" t="s">
        <v>495</v>
      </c>
      <c r="J81" s="277" t="s">
        <v>32</v>
      </c>
      <c r="K81" s="148" t="s">
        <v>14216</v>
      </c>
      <c r="L81" s="84" t="s">
        <v>162</v>
      </c>
      <c r="M81" s="489" t="s">
        <v>14267</v>
      </c>
      <c r="N81" s="84"/>
      <c r="O81" s="84"/>
      <c r="P81" s="504" t="s">
        <v>14269</v>
      </c>
      <c r="Q81" s="84" t="s">
        <v>75</v>
      </c>
      <c r="R81" s="84"/>
      <c r="S81" s="84" t="s">
        <v>14251</v>
      </c>
    </row>
    <row r="82" spans="1:24" s="26" customFormat="1" ht="45">
      <c r="A82" s="84" t="s">
        <v>14214</v>
      </c>
      <c r="B82" s="670" t="s">
        <v>14228</v>
      </c>
      <c r="C82" s="84" t="s">
        <v>14210</v>
      </c>
      <c r="D82" s="315">
        <v>44607</v>
      </c>
      <c r="E82" s="315">
        <v>44621</v>
      </c>
      <c r="F82" s="84" t="s">
        <v>1357</v>
      </c>
      <c r="G82" s="84" t="s">
        <v>46</v>
      </c>
      <c r="H82" s="489">
        <v>44606</v>
      </c>
      <c r="I82" s="503" t="s">
        <v>108</v>
      </c>
      <c r="J82" s="84" t="s">
        <v>32</v>
      </c>
      <c r="K82" s="148" t="s">
        <v>14216</v>
      </c>
      <c r="L82" s="84" t="s">
        <v>162</v>
      </c>
      <c r="M82" s="506" t="s">
        <v>14270</v>
      </c>
      <c r="N82" s="84"/>
      <c r="O82" s="84"/>
      <c r="P82" s="518" t="s">
        <v>14271</v>
      </c>
      <c r="Q82" s="84" t="s">
        <v>75</v>
      </c>
      <c r="R82" s="84"/>
      <c r="S82" s="84"/>
    </row>
    <row r="83" spans="1:24" ht="30">
      <c r="A83" s="4570" t="s">
        <v>14214</v>
      </c>
      <c r="B83" s="670" t="s">
        <v>14272</v>
      </c>
      <c r="C83" s="4563" t="s">
        <v>14210</v>
      </c>
      <c r="D83" s="4571">
        <v>44604</v>
      </c>
      <c r="E83" s="4215">
        <v>44614</v>
      </c>
      <c r="F83" s="4213" t="s">
        <v>1357</v>
      </c>
      <c r="G83" s="4213" t="s">
        <v>46</v>
      </c>
      <c r="H83" s="3242">
        <v>44599</v>
      </c>
      <c r="I83" s="3750" t="s">
        <v>445</v>
      </c>
      <c r="J83" s="3332" t="s">
        <v>32</v>
      </c>
      <c r="K83" s="3954" t="s">
        <v>14216</v>
      </c>
      <c r="L83" s="4213" t="s">
        <v>162</v>
      </c>
      <c r="M83" s="3957" t="s">
        <v>14273</v>
      </c>
      <c r="N83" s="4213"/>
      <c r="O83" s="4213"/>
      <c r="P83" s="519" t="s">
        <v>14274</v>
      </c>
      <c r="Q83" s="4213" t="s">
        <v>75</v>
      </c>
      <c r="R83" s="4213"/>
      <c r="S83" s="3298" t="s">
        <v>14251</v>
      </c>
    </row>
    <row r="84" spans="1:24">
      <c r="A84" s="4214" t="s">
        <v>14214</v>
      </c>
      <c r="B84" s="670" t="s">
        <v>14275</v>
      </c>
      <c r="C84" s="3241" t="s">
        <v>14210</v>
      </c>
      <c r="D84" s="4216">
        <v>44625</v>
      </c>
      <c r="E84" s="4216">
        <v>44632</v>
      </c>
      <c r="F84" s="4213" t="s">
        <v>1357</v>
      </c>
      <c r="G84" s="4213" t="s">
        <v>46</v>
      </c>
      <c r="H84" s="3242">
        <v>44599</v>
      </c>
      <c r="I84" s="3958" t="s">
        <v>31</v>
      </c>
      <c r="J84" s="3241" t="s">
        <v>32</v>
      </c>
      <c r="K84" s="3954" t="s">
        <v>14216</v>
      </c>
      <c r="L84" s="4213" t="s">
        <v>162</v>
      </c>
      <c r="M84" s="3959" t="s">
        <v>14264</v>
      </c>
      <c r="N84" s="4213"/>
      <c r="O84" s="4213"/>
      <c r="P84" s="3552" t="s">
        <v>14276</v>
      </c>
      <c r="Q84" s="4213" t="s">
        <v>75</v>
      </c>
      <c r="R84" s="4213"/>
      <c r="S84" s="3298"/>
    </row>
    <row r="85" spans="1:24">
      <c r="A85" s="4214" t="s">
        <v>14214</v>
      </c>
      <c r="B85" s="670" t="s">
        <v>14277</v>
      </c>
      <c r="C85" s="3241" t="s">
        <v>14210</v>
      </c>
      <c r="D85" s="4571">
        <v>44612</v>
      </c>
      <c r="E85" s="4215">
        <v>44630</v>
      </c>
      <c r="F85" s="4213" t="s">
        <v>1357</v>
      </c>
      <c r="G85" s="4213" t="s">
        <v>46</v>
      </c>
      <c r="H85" s="3242">
        <v>44592</v>
      </c>
      <c r="I85" s="3958" t="s">
        <v>31</v>
      </c>
      <c r="J85" s="3241" t="s">
        <v>32</v>
      </c>
      <c r="K85" s="3954" t="s">
        <v>14216</v>
      </c>
      <c r="L85" s="4213" t="s">
        <v>162</v>
      </c>
      <c r="M85" s="3957" t="s">
        <v>14278</v>
      </c>
      <c r="N85" s="4213"/>
      <c r="O85" s="4213"/>
      <c r="P85" s="3552" t="s">
        <v>14279</v>
      </c>
      <c r="Q85" s="4213" t="s">
        <v>75</v>
      </c>
      <c r="R85" s="4213"/>
      <c r="S85" s="3298"/>
    </row>
    <row r="86" spans="1:24" ht="45">
      <c r="A86" s="84" t="s">
        <v>14214</v>
      </c>
      <c r="B86" s="670" t="s">
        <v>14280</v>
      </c>
      <c r="C86" s="84" t="s">
        <v>14210</v>
      </c>
      <c r="D86" s="315">
        <v>44602</v>
      </c>
      <c r="E86" s="315">
        <v>44616</v>
      </c>
      <c r="F86" s="84" t="s">
        <v>1357</v>
      </c>
      <c r="G86" s="84" t="s">
        <v>46</v>
      </c>
      <c r="H86" s="522" t="s">
        <v>14281</v>
      </c>
      <c r="I86" s="390" t="s">
        <v>31</v>
      </c>
      <c r="J86" s="84" t="s">
        <v>32</v>
      </c>
      <c r="K86" s="148" t="s">
        <v>14216</v>
      </c>
      <c r="L86" s="84" t="s">
        <v>162</v>
      </c>
      <c r="M86" s="523" t="s">
        <v>14282</v>
      </c>
      <c r="N86" s="84"/>
      <c r="O86" s="84"/>
      <c r="P86" s="524" t="s">
        <v>14283</v>
      </c>
      <c r="Q86" s="3239" t="s">
        <v>75</v>
      </c>
      <c r="R86" s="3241"/>
      <c r="S86" s="3298"/>
    </row>
    <row r="87" spans="1:24">
      <c r="A87" s="94" t="s">
        <v>26</v>
      </c>
      <c r="B87" s="673" t="s">
        <v>14284</v>
      </c>
      <c r="C87" s="94" t="s">
        <v>14210</v>
      </c>
      <c r="D87" s="501">
        <v>44627</v>
      </c>
      <c r="E87" s="501">
        <v>44669</v>
      </c>
      <c r="F87" s="94" t="s">
        <v>245</v>
      </c>
      <c r="G87" s="94" t="s">
        <v>57</v>
      </c>
      <c r="H87" s="546">
        <v>44601</v>
      </c>
      <c r="I87" s="544" t="s">
        <v>12226</v>
      </c>
      <c r="J87" s="94" t="s">
        <v>32</v>
      </c>
      <c r="K87" s="521" t="s">
        <v>14285</v>
      </c>
      <c r="L87" s="192">
        <v>825959198</v>
      </c>
      <c r="M87" s="547" t="s">
        <v>14286</v>
      </c>
      <c r="N87" s="500"/>
      <c r="O87" s="500"/>
      <c r="P87" s="110" t="s">
        <v>14287</v>
      </c>
      <c r="Q87" s="500" t="s">
        <v>35</v>
      </c>
      <c r="R87" s="500"/>
      <c r="S87" s="500"/>
    </row>
    <row r="88" spans="1:24">
      <c r="A88" s="21" t="s">
        <v>26</v>
      </c>
      <c r="B88" s="674" t="s">
        <v>14288</v>
      </c>
      <c r="C88" s="21" t="s">
        <v>14210</v>
      </c>
      <c r="D88" s="315">
        <v>44627</v>
      </c>
      <c r="E88" s="315">
        <v>44669</v>
      </c>
      <c r="F88" s="21" t="s">
        <v>245</v>
      </c>
      <c r="G88" s="21" t="s">
        <v>57</v>
      </c>
      <c r="H88" s="539">
        <v>44601</v>
      </c>
      <c r="I88" s="542" t="s">
        <v>12226</v>
      </c>
      <c r="J88" s="84" t="s">
        <v>32</v>
      </c>
      <c r="K88" s="509" t="s">
        <v>14285</v>
      </c>
      <c r="L88" s="528">
        <v>825993493</v>
      </c>
      <c r="M88" s="539" t="s">
        <v>14286</v>
      </c>
      <c r="N88" s="527"/>
      <c r="O88" s="21"/>
      <c r="P88" s="93" t="s">
        <v>14289</v>
      </c>
      <c r="Q88" s="21" t="s">
        <v>35</v>
      </c>
      <c r="R88" s="21"/>
      <c r="S88" s="21"/>
    </row>
    <row r="89" spans="1:24" ht="30">
      <c r="A89" s="85" t="s">
        <v>14214</v>
      </c>
      <c r="B89" s="673" t="s">
        <v>14228</v>
      </c>
      <c r="C89" s="84" t="s">
        <v>14210</v>
      </c>
      <c r="D89" s="315">
        <v>44622</v>
      </c>
      <c r="E89" s="315">
        <v>44638</v>
      </c>
      <c r="F89" s="84" t="s">
        <v>1357</v>
      </c>
      <c r="G89" s="84" t="s">
        <v>46</v>
      </c>
      <c r="H89" s="489">
        <v>44606</v>
      </c>
      <c r="I89" s="503" t="s">
        <v>108</v>
      </c>
      <c r="J89" s="84" t="s">
        <v>32</v>
      </c>
      <c r="K89" s="510" t="s">
        <v>14216</v>
      </c>
      <c r="L89" s="84" t="s">
        <v>162</v>
      </c>
      <c r="M89" s="506" t="s">
        <v>14290</v>
      </c>
      <c r="N89" s="84"/>
      <c r="O89" s="84"/>
      <c r="P89" s="526" t="s">
        <v>14291</v>
      </c>
      <c r="Q89" s="84" t="s">
        <v>75</v>
      </c>
      <c r="R89" s="84"/>
      <c r="S89" s="84"/>
    </row>
    <row r="90" spans="1:24">
      <c r="A90" s="94" t="s">
        <v>14292</v>
      </c>
      <c r="B90" s="110" t="s">
        <v>14293</v>
      </c>
      <c r="C90" s="500" t="s">
        <v>14210</v>
      </c>
      <c r="D90" s="501">
        <v>44593</v>
      </c>
      <c r="E90" s="530">
        <v>44603</v>
      </c>
      <c r="F90" s="94" t="s">
        <v>93</v>
      </c>
      <c r="G90" s="94" t="s">
        <v>46</v>
      </c>
      <c r="H90" s="501"/>
      <c r="I90" s="94"/>
      <c r="J90" s="500" t="s">
        <v>32</v>
      </c>
      <c r="K90" s="535" t="s">
        <v>14294</v>
      </c>
      <c r="L90" s="94" t="s">
        <v>14295</v>
      </c>
      <c r="M90" s="540">
        <v>44605</v>
      </c>
      <c r="N90" s="94"/>
      <c r="O90" s="94"/>
      <c r="P90" s="110" t="s">
        <v>14296</v>
      </c>
      <c r="Q90" s="94" t="s">
        <v>75</v>
      </c>
      <c r="R90" s="94"/>
      <c r="S90" s="94"/>
    </row>
    <row r="91" spans="1:24" ht="45">
      <c r="A91" s="85" t="s">
        <v>14214</v>
      </c>
      <c r="B91" s="675" t="s">
        <v>14297</v>
      </c>
      <c r="C91" s="94" t="s">
        <v>14210</v>
      </c>
      <c r="D91" s="501">
        <v>44620</v>
      </c>
      <c r="E91" s="501">
        <v>44629</v>
      </c>
      <c r="F91" s="94" t="s">
        <v>1357</v>
      </c>
      <c r="G91" s="94" t="s">
        <v>46</v>
      </c>
      <c r="H91" s="387">
        <v>44627</v>
      </c>
      <c r="I91" s="537" t="s">
        <v>31</v>
      </c>
      <c r="J91" s="94" t="s">
        <v>32</v>
      </c>
      <c r="K91" s="535" t="s">
        <v>14216</v>
      </c>
      <c r="L91" s="84" t="s">
        <v>162</v>
      </c>
      <c r="M91" s="315" t="s">
        <v>14298</v>
      </c>
      <c r="N91" s="84"/>
      <c r="O91" s="84" t="s">
        <v>14299</v>
      </c>
      <c r="P91" s="526" t="s">
        <v>14300</v>
      </c>
      <c r="Q91" s="84" t="s">
        <v>75</v>
      </c>
      <c r="R91" s="84"/>
      <c r="S91" s="84"/>
      <c r="T91" s="4872"/>
      <c r="U91" s="4872"/>
      <c r="V91" s="4872"/>
      <c r="W91" s="4872"/>
      <c r="X91" s="4872"/>
    </row>
    <row r="92" spans="1:24" ht="60">
      <c r="A92" s="84" t="s">
        <v>14214</v>
      </c>
      <c r="B92" s="676" t="s">
        <v>14301</v>
      </c>
      <c r="C92" s="84" t="s">
        <v>28</v>
      </c>
      <c r="D92" s="315">
        <v>44630</v>
      </c>
      <c r="E92" s="315">
        <v>44642</v>
      </c>
      <c r="F92" s="84" t="s">
        <v>1357</v>
      </c>
      <c r="G92" s="85" t="s">
        <v>46</v>
      </c>
      <c r="H92" s="541" t="s">
        <v>14302</v>
      </c>
      <c r="I92" s="542" t="s">
        <v>31</v>
      </c>
      <c r="J92" s="84" t="s">
        <v>32</v>
      </c>
      <c r="K92" s="510" t="s">
        <v>14216</v>
      </c>
      <c r="L92" s="84" t="s">
        <v>162</v>
      </c>
      <c r="M92" s="539" t="s">
        <v>14303</v>
      </c>
      <c r="N92" s="84"/>
      <c r="O92" s="84" t="s">
        <v>14299</v>
      </c>
      <c r="P92" s="526" t="s">
        <v>14304</v>
      </c>
      <c r="Q92" s="21" t="s">
        <v>75</v>
      </c>
      <c r="R92" s="84"/>
      <c r="S92" s="84"/>
      <c r="T92" s="4872"/>
      <c r="U92" s="4872"/>
      <c r="V92" s="4872"/>
      <c r="W92" s="4872"/>
      <c r="X92" s="4872"/>
    </row>
    <row r="93" spans="1:24">
      <c r="A93" s="4874" t="s">
        <v>14305</v>
      </c>
      <c r="B93" s="4895" t="s">
        <v>14306</v>
      </c>
      <c r="C93" s="4895" t="s">
        <v>85</v>
      </c>
      <c r="D93" s="5169"/>
      <c r="E93" s="5169"/>
      <c r="F93" s="4895" t="s">
        <v>14307</v>
      </c>
      <c r="G93" s="4895"/>
      <c r="H93" s="5169"/>
      <c r="I93" s="4895"/>
      <c r="J93" s="4895"/>
      <c r="K93" s="4892" t="s">
        <v>14308</v>
      </c>
      <c r="L93" s="4895"/>
      <c r="M93" s="5169"/>
      <c r="N93" s="5169"/>
      <c r="O93" s="5169" t="s">
        <v>14309</v>
      </c>
      <c r="P93" s="200"/>
      <c r="Q93" s="4874"/>
      <c r="R93" s="4895" t="s">
        <v>14223</v>
      </c>
      <c r="S93" s="4895"/>
      <c r="T93" s="4895"/>
    </row>
    <row r="94" spans="1:24">
      <c r="A94" s="4874" t="s">
        <v>90</v>
      </c>
      <c r="B94" s="6139" t="s">
        <v>14310</v>
      </c>
      <c r="C94" s="4895" t="s">
        <v>14210</v>
      </c>
      <c r="D94" s="5169">
        <v>44606</v>
      </c>
      <c r="E94" s="5169">
        <v>44616</v>
      </c>
      <c r="F94" s="4895" t="s">
        <v>45</v>
      </c>
      <c r="G94" s="4895" t="s">
        <v>361</v>
      </c>
      <c r="H94" s="5169"/>
      <c r="I94" s="4895"/>
      <c r="J94" s="4895" t="s">
        <v>32</v>
      </c>
      <c r="K94" s="6135" t="s">
        <v>10424</v>
      </c>
      <c r="L94" s="4895"/>
      <c r="M94" s="5169"/>
      <c r="N94" s="5169"/>
      <c r="O94" s="5169"/>
      <c r="P94" s="200"/>
      <c r="Q94" s="4874" t="s">
        <v>14311</v>
      </c>
      <c r="R94" s="5424" t="s">
        <v>14312</v>
      </c>
      <c r="S94" s="4895"/>
      <c r="T94" s="4895"/>
    </row>
    <row r="95" spans="1:24">
      <c r="A95" s="84" t="s">
        <v>14214</v>
      </c>
      <c r="B95" s="676" t="s">
        <v>14313</v>
      </c>
      <c r="C95" s="84" t="s">
        <v>14210</v>
      </c>
      <c r="D95" s="315">
        <v>44644</v>
      </c>
      <c r="E95" s="315">
        <v>44656</v>
      </c>
      <c r="F95" s="84" t="s">
        <v>1357</v>
      </c>
      <c r="G95" s="277" t="s">
        <v>46</v>
      </c>
      <c r="H95" s="534">
        <v>44627</v>
      </c>
      <c r="I95" s="525" t="s">
        <v>108</v>
      </c>
      <c r="J95" s="84" t="s">
        <v>32</v>
      </c>
      <c r="K95" s="510" t="s">
        <v>14216</v>
      </c>
      <c r="L95" s="84"/>
      <c r="M95" s="513" t="s">
        <v>14298</v>
      </c>
      <c r="N95" s="84"/>
      <c r="O95" s="84"/>
      <c r="P95" t="s">
        <v>14314</v>
      </c>
      <c r="Q95" s="84" t="s">
        <v>75</v>
      </c>
      <c r="R95" s="4895"/>
      <c r="S95" s="4895"/>
    </row>
    <row r="96" spans="1:24" ht="45">
      <c r="A96" s="85" t="s">
        <v>14214</v>
      </c>
      <c r="B96" s="676" t="s">
        <v>14313</v>
      </c>
      <c r="C96" s="94" t="s">
        <v>14210</v>
      </c>
      <c r="D96" s="501">
        <v>44620</v>
      </c>
      <c r="E96" s="501">
        <v>44629</v>
      </c>
      <c r="F96" s="94" t="s">
        <v>1357</v>
      </c>
      <c r="G96" s="94" t="s">
        <v>46</v>
      </c>
      <c r="H96" s="505">
        <v>44627</v>
      </c>
      <c r="I96" s="390" t="s">
        <v>31</v>
      </c>
      <c r="J96" s="94" t="s">
        <v>32</v>
      </c>
      <c r="K96" s="535" t="s">
        <v>14216</v>
      </c>
      <c r="L96" s="84" t="s">
        <v>162</v>
      </c>
      <c r="M96" s="513" t="s">
        <v>14298</v>
      </c>
      <c r="N96" s="84"/>
      <c r="O96" s="84"/>
      <c r="P96" s="538" t="s">
        <v>14315</v>
      </c>
      <c r="Q96" s="84" t="s">
        <v>75</v>
      </c>
      <c r="R96" s="4895"/>
      <c r="S96" s="4895"/>
    </row>
    <row r="97" spans="1:22">
      <c r="A97" s="4895" t="s">
        <v>14316</v>
      </c>
      <c r="B97" s="5919" t="s">
        <v>14317</v>
      </c>
      <c r="C97" s="4895" t="s">
        <v>14210</v>
      </c>
      <c r="D97" s="5169"/>
      <c r="E97" s="5590">
        <v>44614</v>
      </c>
      <c r="F97" s="4895" t="s">
        <v>45</v>
      </c>
      <c r="G97" s="4895" t="s">
        <v>361</v>
      </c>
      <c r="H97" s="4895"/>
      <c r="I97" s="4895"/>
      <c r="J97" s="5168"/>
      <c r="K97" s="6140" t="s">
        <v>624</v>
      </c>
      <c r="L97" s="4895"/>
      <c r="M97" s="5169"/>
      <c r="N97" s="5169"/>
      <c r="O97" s="4895"/>
      <c r="P97" s="5530" t="s">
        <v>14318</v>
      </c>
      <c r="Q97" s="4895" t="s">
        <v>75</v>
      </c>
      <c r="R97" s="4895"/>
      <c r="S97" s="4895"/>
    </row>
    <row r="98" spans="1:22">
      <c r="A98" s="4895" t="s">
        <v>14316</v>
      </c>
      <c r="B98" s="4874" t="s">
        <v>14319</v>
      </c>
      <c r="C98" s="4895" t="s">
        <v>14210</v>
      </c>
      <c r="D98" s="5169"/>
      <c r="E98" s="5590">
        <v>44611</v>
      </c>
      <c r="F98" s="4895" t="s">
        <v>45</v>
      </c>
      <c r="G98" s="4895" t="s">
        <v>361</v>
      </c>
      <c r="H98" s="4895"/>
      <c r="I98" s="4895"/>
      <c r="J98" s="5168"/>
      <c r="K98" s="6140" t="s">
        <v>624</v>
      </c>
      <c r="L98" s="4895"/>
      <c r="M98" s="5169"/>
      <c r="N98" s="5169"/>
      <c r="O98" s="4895"/>
      <c r="P98" s="6141" t="s">
        <v>14320</v>
      </c>
      <c r="Q98" s="4895" t="s">
        <v>75</v>
      </c>
      <c r="R98" s="4895"/>
      <c r="S98" s="4895"/>
    </row>
    <row r="99" spans="1:22">
      <c r="A99" s="4873" t="s">
        <v>14316</v>
      </c>
      <c r="B99" s="5931" t="s">
        <v>14321</v>
      </c>
      <c r="C99" s="4873" t="s">
        <v>14210</v>
      </c>
      <c r="D99" s="4975">
        <v>44599</v>
      </c>
      <c r="E99" s="5040">
        <v>44619</v>
      </c>
      <c r="F99" s="4873" t="s">
        <v>135</v>
      </c>
      <c r="G99" s="6142" t="s">
        <v>57</v>
      </c>
      <c r="H99" s="4873"/>
      <c r="I99" s="4873"/>
      <c r="J99" s="6142"/>
      <c r="K99" s="5074" t="s">
        <v>14322</v>
      </c>
      <c r="L99" s="4873"/>
      <c r="M99" s="5024"/>
      <c r="N99" s="5024"/>
      <c r="O99" s="4873"/>
      <c r="P99" s="4873" t="s">
        <v>14323</v>
      </c>
      <c r="Q99" s="4873" t="s">
        <v>75</v>
      </c>
      <c r="R99" s="4873"/>
      <c r="S99" s="4873"/>
    </row>
    <row r="100" spans="1:22">
      <c r="A100" s="4873" t="s">
        <v>14316</v>
      </c>
      <c r="B100" s="5931" t="s">
        <v>14324</v>
      </c>
      <c r="C100" s="4873" t="s">
        <v>14210</v>
      </c>
      <c r="D100" s="4975">
        <v>44609</v>
      </c>
      <c r="E100" s="4975">
        <v>44619</v>
      </c>
      <c r="F100" s="4873" t="s">
        <v>135</v>
      </c>
      <c r="G100" s="6142" t="s">
        <v>8279</v>
      </c>
      <c r="H100" s="4873"/>
      <c r="I100" s="4873"/>
      <c r="J100" s="6142"/>
      <c r="K100" s="6040" t="s">
        <v>14322</v>
      </c>
      <c r="L100" s="4873"/>
      <c r="M100" s="5024"/>
      <c r="N100" s="5024"/>
      <c r="O100" s="4873"/>
      <c r="P100" s="4873" t="s">
        <v>14325</v>
      </c>
      <c r="Q100" s="4873" t="s">
        <v>75</v>
      </c>
      <c r="R100" s="4873"/>
      <c r="S100" s="4873"/>
    </row>
    <row r="101" spans="1:22">
      <c r="A101" s="4873" t="s">
        <v>14316</v>
      </c>
      <c r="B101" s="6143" t="s">
        <v>14326</v>
      </c>
      <c r="C101" s="4873" t="s">
        <v>14210</v>
      </c>
      <c r="D101" s="4975">
        <v>44609</v>
      </c>
      <c r="E101" s="5040">
        <v>44619</v>
      </c>
      <c r="F101" s="4873" t="s">
        <v>135</v>
      </c>
      <c r="G101" s="6142" t="s">
        <v>57</v>
      </c>
      <c r="H101" s="4873"/>
      <c r="I101" s="4873"/>
      <c r="J101" s="6142"/>
      <c r="K101" s="6040" t="s">
        <v>14322</v>
      </c>
      <c r="L101" s="4873"/>
      <c r="M101" s="5024"/>
      <c r="N101" s="5024"/>
      <c r="O101" s="4873"/>
      <c r="P101" s="4873" t="s">
        <v>14327</v>
      </c>
      <c r="Q101" s="4873" t="s">
        <v>75</v>
      </c>
      <c r="R101" s="4873"/>
      <c r="S101" s="4873"/>
    </row>
    <row r="102" spans="1:22">
      <c r="A102" s="21" t="s">
        <v>14316</v>
      </c>
      <c r="B102" s="677" t="s">
        <v>14328</v>
      </c>
      <c r="C102" s="21" t="s">
        <v>14210</v>
      </c>
      <c r="D102" s="315">
        <v>44614</v>
      </c>
      <c r="E102" s="315">
        <v>44622</v>
      </c>
      <c r="F102" s="21" t="s">
        <v>135</v>
      </c>
      <c r="G102" s="72" t="s">
        <v>8279</v>
      </c>
      <c r="H102" s="21"/>
      <c r="I102" s="21"/>
      <c r="J102" s="72"/>
      <c r="K102" s="578" t="s">
        <v>14322</v>
      </c>
      <c r="L102" s="21"/>
      <c r="M102" s="511"/>
      <c r="N102" s="511"/>
      <c r="O102" s="21"/>
      <c r="P102" s="21" t="s">
        <v>14329</v>
      </c>
      <c r="Q102" s="21" t="s">
        <v>75</v>
      </c>
      <c r="R102" s="21"/>
      <c r="S102" s="21"/>
    </row>
    <row r="103" spans="1:22">
      <c r="A103" s="21" t="s">
        <v>14316</v>
      </c>
      <c r="B103" s="677" t="s">
        <v>14330</v>
      </c>
      <c r="C103" s="21" t="s">
        <v>14210</v>
      </c>
      <c r="D103" s="315">
        <v>44619</v>
      </c>
      <c r="E103" s="315">
        <v>44622</v>
      </c>
      <c r="F103" s="21" t="s">
        <v>135</v>
      </c>
      <c r="G103" s="72" t="s">
        <v>8279</v>
      </c>
      <c r="H103" s="21"/>
      <c r="I103" s="21"/>
      <c r="J103" s="72"/>
      <c r="K103" s="578" t="s">
        <v>14322</v>
      </c>
      <c r="L103" s="21"/>
      <c r="M103" s="511"/>
      <c r="N103" s="511"/>
      <c r="O103" s="21"/>
      <c r="P103" s="21" t="s">
        <v>14331</v>
      </c>
      <c r="Q103" s="21" t="s">
        <v>75</v>
      </c>
      <c r="R103" s="21"/>
      <c r="S103" s="21"/>
    </row>
    <row r="104" spans="1:22">
      <c r="A104" s="4872" t="s">
        <v>14316</v>
      </c>
      <c r="B104" s="5931" t="s">
        <v>14332</v>
      </c>
      <c r="C104" s="4872" t="s">
        <v>14210</v>
      </c>
      <c r="D104" s="5169">
        <v>44633</v>
      </c>
      <c r="E104" s="5169">
        <v>44637</v>
      </c>
      <c r="F104" s="4872" t="s">
        <v>135</v>
      </c>
      <c r="G104" s="5497" t="s">
        <v>14333</v>
      </c>
      <c r="H104" s="4872"/>
      <c r="I104" s="4872"/>
      <c r="J104" s="6041"/>
      <c r="K104" s="578" t="s">
        <v>14322</v>
      </c>
      <c r="L104" s="4666"/>
      <c r="M104" s="5500"/>
      <c r="N104" s="5500"/>
      <c r="O104" s="4872"/>
      <c r="P104" s="2" t="s">
        <v>14334</v>
      </c>
      <c r="Q104" s="4872" t="s">
        <v>75</v>
      </c>
      <c r="R104" s="4872"/>
      <c r="S104" s="4872"/>
    </row>
    <row r="105" spans="1:22">
      <c r="A105" s="4872" t="s">
        <v>14316</v>
      </c>
      <c r="B105" s="5931" t="s">
        <v>14335</v>
      </c>
      <c r="C105" s="4872" t="s">
        <v>14210</v>
      </c>
      <c r="D105" s="5169">
        <v>44605</v>
      </c>
      <c r="E105" s="5312" t="s">
        <v>14336</v>
      </c>
      <c r="F105" s="4872" t="s">
        <v>93</v>
      </c>
      <c r="G105" s="4872" t="s">
        <v>14337</v>
      </c>
      <c r="H105" s="4872"/>
      <c r="I105" s="4872"/>
      <c r="J105" s="6144" t="s">
        <v>322</v>
      </c>
      <c r="K105" s="4873" t="s">
        <v>14322</v>
      </c>
      <c r="L105" s="4872"/>
      <c r="M105" s="5500"/>
      <c r="N105" s="5500"/>
      <c r="O105" s="4872"/>
      <c r="P105" s="4873" t="s">
        <v>14338</v>
      </c>
      <c r="Q105" s="4872" t="s">
        <v>75</v>
      </c>
      <c r="R105" s="4872"/>
      <c r="S105" s="4872"/>
    </row>
    <row r="106" spans="1:22">
      <c r="A106" s="3673" t="s">
        <v>14339</v>
      </c>
      <c r="B106" s="3960" t="s">
        <v>14340</v>
      </c>
      <c r="C106" s="3673" t="s">
        <v>1518</v>
      </c>
      <c r="D106" s="3243">
        <v>44631</v>
      </c>
      <c r="E106" s="3243">
        <v>44648</v>
      </c>
      <c r="F106" s="3673" t="s">
        <v>245</v>
      </c>
      <c r="G106" s="3673" t="s">
        <v>1350</v>
      </c>
      <c r="H106" s="3673"/>
      <c r="I106" s="3673"/>
      <c r="J106" s="3673" t="s">
        <v>32</v>
      </c>
      <c r="K106" s="514" t="s">
        <v>14341</v>
      </c>
      <c r="L106" s="3673"/>
      <c r="M106" s="3961">
        <v>44610</v>
      </c>
      <c r="N106" s="3707"/>
      <c r="O106" s="3673"/>
      <c r="P106" s="3673" t="s">
        <v>541</v>
      </c>
      <c r="Q106" s="3673" t="s">
        <v>14223</v>
      </c>
      <c r="R106" s="3673"/>
      <c r="S106" s="3673"/>
    </row>
    <row r="107" spans="1:22">
      <c r="A107" s="3673" t="s">
        <v>14339</v>
      </c>
      <c r="B107" s="3960" t="s">
        <v>14340</v>
      </c>
      <c r="C107" s="3673" t="s">
        <v>1518</v>
      </c>
      <c r="D107" s="3243">
        <v>44631</v>
      </c>
      <c r="E107" s="3243">
        <v>44648</v>
      </c>
      <c r="F107" s="3673" t="s">
        <v>245</v>
      </c>
      <c r="G107" s="3673" t="s">
        <v>1350</v>
      </c>
      <c r="H107" s="3673"/>
      <c r="I107" s="3673"/>
      <c r="J107" s="3673" t="s">
        <v>32</v>
      </c>
      <c r="K107" s="3962" t="s">
        <v>14341</v>
      </c>
      <c r="L107" s="3673"/>
      <c r="M107" s="3961">
        <v>44610</v>
      </c>
      <c r="N107" s="3707"/>
      <c r="O107" s="3673"/>
      <c r="P107" s="20" t="s">
        <v>541</v>
      </c>
      <c r="Q107" s="3673" t="s">
        <v>14223</v>
      </c>
      <c r="R107" s="3673"/>
      <c r="S107" s="3673"/>
    </row>
    <row r="108" spans="1:22">
      <c r="A108" s="6118" t="s">
        <v>13457</v>
      </c>
      <c r="B108" s="6145">
        <v>680861</v>
      </c>
      <c r="C108" s="6146" t="s">
        <v>14342</v>
      </c>
      <c r="D108" s="6118" t="s">
        <v>704</v>
      </c>
      <c r="E108" s="6118">
        <v>17200</v>
      </c>
      <c r="F108" s="6118" t="s">
        <v>382</v>
      </c>
      <c r="G108" s="6118"/>
      <c r="H108" s="636" t="s">
        <v>14343</v>
      </c>
      <c r="I108" s="6118" t="s">
        <v>13459</v>
      </c>
      <c r="J108" s="6147">
        <v>44616</v>
      </c>
      <c r="K108" s="6042" t="s">
        <v>13495</v>
      </c>
      <c r="L108" s="636"/>
      <c r="M108" s="4719" t="s">
        <v>801</v>
      </c>
      <c r="N108" s="238"/>
      <c r="O108" s="6148">
        <v>614632</v>
      </c>
      <c r="P108" s="6147">
        <v>44618</v>
      </c>
      <c r="Q108" s="6117"/>
      <c r="R108" s="6117"/>
      <c r="S108" s="6118" t="s">
        <v>14344</v>
      </c>
      <c r="T108" s="6119"/>
      <c r="U108" s="6119"/>
      <c r="V108" s="6119"/>
    </row>
    <row r="109" spans="1:22">
      <c r="A109" s="6118" t="s">
        <v>13457</v>
      </c>
      <c r="B109" s="6145">
        <v>680860</v>
      </c>
      <c r="C109" s="6146" t="s">
        <v>14345</v>
      </c>
      <c r="D109" s="6118" t="s">
        <v>704</v>
      </c>
      <c r="E109" s="6118">
        <v>17200</v>
      </c>
      <c r="F109" s="6118" t="s">
        <v>382</v>
      </c>
      <c r="G109" s="6118"/>
      <c r="H109" s="636" t="s">
        <v>14346</v>
      </c>
      <c r="I109" s="6118" t="s">
        <v>13459</v>
      </c>
      <c r="J109" s="6147">
        <v>44616</v>
      </c>
      <c r="K109" s="6042" t="s">
        <v>13495</v>
      </c>
      <c r="L109" s="636"/>
      <c r="M109" s="4719" t="s">
        <v>801</v>
      </c>
      <c r="N109" s="238"/>
      <c r="O109" s="6148">
        <v>871423</v>
      </c>
      <c r="P109" s="6147">
        <v>44618</v>
      </c>
      <c r="Q109" s="6117"/>
      <c r="R109" s="6117"/>
      <c r="S109" s="6118" t="s">
        <v>14344</v>
      </c>
      <c r="T109" s="6119"/>
      <c r="U109" s="6119"/>
      <c r="V109" s="6119"/>
    </row>
    <row r="110" spans="1:22">
      <c r="A110" s="6118" t="s">
        <v>13457</v>
      </c>
      <c r="B110" s="6145">
        <v>680916</v>
      </c>
      <c r="C110" s="6146" t="s">
        <v>14347</v>
      </c>
      <c r="D110" s="6118" t="s">
        <v>704</v>
      </c>
      <c r="E110" s="6118">
        <v>17200</v>
      </c>
      <c r="F110" s="6118" t="s">
        <v>382</v>
      </c>
      <c r="G110" s="6118"/>
      <c r="H110" s="636" t="s">
        <v>14348</v>
      </c>
      <c r="I110" s="6118" t="s">
        <v>13459</v>
      </c>
      <c r="J110" s="6147">
        <v>44616</v>
      </c>
      <c r="K110" s="6042" t="s">
        <v>13495</v>
      </c>
      <c r="L110" s="636"/>
      <c r="M110" s="4719" t="s">
        <v>801</v>
      </c>
      <c r="N110" s="238"/>
      <c r="O110" s="6148">
        <v>439596</v>
      </c>
      <c r="P110" s="6147">
        <v>44618</v>
      </c>
      <c r="Q110" s="6117"/>
      <c r="R110" s="6117"/>
      <c r="S110" s="6118" t="s">
        <v>14344</v>
      </c>
      <c r="T110" s="6119"/>
      <c r="U110" s="6119"/>
      <c r="V110" s="6119"/>
    </row>
    <row r="111" spans="1:22">
      <c r="A111" s="6118" t="s">
        <v>13457</v>
      </c>
      <c r="B111" s="6145">
        <v>680922</v>
      </c>
      <c r="C111" s="6146" t="s">
        <v>14349</v>
      </c>
      <c r="D111" s="6118" t="s">
        <v>704</v>
      </c>
      <c r="E111" s="6118">
        <v>17200</v>
      </c>
      <c r="F111" s="6118" t="s">
        <v>382</v>
      </c>
      <c r="G111" s="6118"/>
      <c r="H111" s="636" t="s">
        <v>14350</v>
      </c>
      <c r="I111" s="6118" t="s">
        <v>13459</v>
      </c>
      <c r="J111" s="6149">
        <v>44616</v>
      </c>
      <c r="K111" s="6042" t="s">
        <v>13495</v>
      </c>
      <c r="L111" s="636"/>
      <c r="M111" s="4719" t="s">
        <v>801</v>
      </c>
      <c r="N111" s="238"/>
      <c r="O111" s="6148">
        <v>527583</v>
      </c>
      <c r="P111" s="6147">
        <v>44618</v>
      </c>
      <c r="Q111" s="6117"/>
      <c r="R111" s="6117"/>
      <c r="S111" s="6118" t="s">
        <v>14344</v>
      </c>
      <c r="T111" s="6119"/>
      <c r="U111" s="6119"/>
      <c r="V111" s="6119"/>
    </row>
    <row r="112" spans="1:22">
      <c r="A112" s="499" t="s">
        <v>14339</v>
      </c>
      <c r="B112" s="3960">
        <v>6326376660</v>
      </c>
      <c r="C112" s="3241" t="s">
        <v>85</v>
      </c>
      <c r="D112" s="3243">
        <v>44623</v>
      </c>
      <c r="E112" s="3243">
        <v>44643</v>
      </c>
      <c r="F112" s="4213" t="s">
        <v>45</v>
      </c>
      <c r="G112" s="4559" t="s">
        <v>14351</v>
      </c>
      <c r="H112" s="3243"/>
      <c r="I112" s="3241"/>
      <c r="J112" s="3963" t="s">
        <v>12536</v>
      </c>
      <c r="K112" s="4428" t="s">
        <v>14352</v>
      </c>
      <c r="L112" s="3241"/>
      <c r="M112" s="3964" t="s">
        <v>14353</v>
      </c>
      <c r="N112" s="3243"/>
      <c r="O112" s="3243"/>
      <c r="P112" s="529" t="s">
        <v>14354</v>
      </c>
      <c r="Q112" s="3965" t="s">
        <v>14223</v>
      </c>
      <c r="R112" s="3255" t="s">
        <v>14355</v>
      </c>
      <c r="S112" s="3298"/>
    </row>
    <row r="113" spans="1:20">
      <c r="A113" s="21" t="s">
        <v>26</v>
      </c>
      <c r="B113" s="93" t="s">
        <v>14356</v>
      </c>
      <c r="C113" s="21" t="s">
        <v>28</v>
      </c>
      <c r="D113" s="315">
        <v>44613</v>
      </c>
      <c r="E113" s="387">
        <v>44626</v>
      </c>
      <c r="F113" s="21" t="s">
        <v>167</v>
      </c>
      <c r="G113" s="21" t="s">
        <v>46</v>
      </c>
      <c r="H113" s="511"/>
      <c r="I113" s="21"/>
      <c r="J113" s="21" t="s">
        <v>32</v>
      </c>
      <c r="K113" s="509" t="s">
        <v>7204</v>
      </c>
      <c r="L113" s="525" t="s">
        <v>14357</v>
      </c>
      <c r="M113" s="534">
        <v>44628</v>
      </c>
      <c r="N113" s="511"/>
      <c r="O113" s="21"/>
      <c r="P113" s="533" t="s">
        <v>14358</v>
      </c>
      <c r="Q113" s="21" t="s">
        <v>35</v>
      </c>
      <c r="R113" s="21" t="s">
        <v>14359</v>
      </c>
      <c r="S113" s="21"/>
    </row>
    <row r="114" spans="1:20">
      <c r="A114" s="84" t="s">
        <v>14360</v>
      </c>
      <c r="B114" s="549" t="s">
        <v>14361</v>
      </c>
      <c r="C114" s="21" t="s">
        <v>14210</v>
      </c>
      <c r="D114" s="315">
        <v>44628</v>
      </c>
      <c r="E114" s="315">
        <v>44651</v>
      </c>
      <c r="F114" s="21" t="s">
        <v>14362</v>
      </c>
      <c r="G114" s="21" t="s">
        <v>14363</v>
      </c>
      <c r="H114" s="511"/>
      <c r="I114" s="21"/>
      <c r="J114" s="21" t="s">
        <v>12536</v>
      </c>
      <c r="K114" s="21" t="s">
        <v>14364</v>
      </c>
      <c r="L114" s="509"/>
      <c r="M114" s="511"/>
      <c r="N114" s="511"/>
      <c r="O114" s="511"/>
      <c r="P114" s="28" t="s">
        <v>14365</v>
      </c>
      <c r="Q114" s="21" t="s">
        <v>14312</v>
      </c>
      <c r="R114" s="21"/>
      <c r="S114" s="28"/>
    </row>
    <row r="115" spans="1:20">
      <c r="A115" s="4756" t="s">
        <v>14360</v>
      </c>
      <c r="B115" s="508" t="s">
        <v>14366</v>
      </c>
      <c r="C115" s="648" t="s">
        <v>28</v>
      </c>
      <c r="D115" s="511">
        <v>44617</v>
      </c>
      <c r="E115" s="511">
        <v>44651</v>
      </c>
      <c r="F115" s="21" t="s">
        <v>167</v>
      </c>
      <c r="G115" s="21" t="s">
        <v>14367</v>
      </c>
      <c r="H115" s="511"/>
      <c r="I115" s="21"/>
      <c r="J115" s="72" t="s">
        <v>14368</v>
      </c>
      <c r="K115" s="21" t="s">
        <v>14369</v>
      </c>
      <c r="L115" s="509"/>
      <c r="M115" s="511"/>
      <c r="N115" s="511"/>
      <c r="O115" s="511"/>
      <c r="P115" s="508" t="s">
        <v>14370</v>
      </c>
      <c r="Q115" s="649" t="s">
        <v>14312</v>
      </c>
      <c r="R115" s="21"/>
      <c r="S115" s="508"/>
    </row>
    <row r="116" spans="1:20" ht="30">
      <c r="A116" s="4874" t="s">
        <v>14214</v>
      </c>
      <c r="B116" s="6150" t="s">
        <v>14297</v>
      </c>
      <c r="C116" s="4874" t="s">
        <v>28</v>
      </c>
      <c r="D116" s="4975">
        <v>44655</v>
      </c>
      <c r="E116" s="4975">
        <v>44674</v>
      </c>
      <c r="F116" s="5026" t="s">
        <v>1357</v>
      </c>
      <c r="G116" s="5026" t="s">
        <v>46</v>
      </c>
      <c r="H116" s="6151">
        <v>44641</v>
      </c>
      <c r="I116" s="6152" t="s">
        <v>31</v>
      </c>
      <c r="J116" s="4873" t="s">
        <v>32</v>
      </c>
      <c r="K116" s="4873" t="s">
        <v>14216</v>
      </c>
      <c r="L116" s="6153"/>
      <c r="M116" s="6151" t="s">
        <v>14371</v>
      </c>
      <c r="N116" s="5024">
        <v>44638</v>
      </c>
      <c r="O116" s="5024"/>
      <c r="P116" s="5087" t="s">
        <v>14372</v>
      </c>
      <c r="Q116" s="6138" t="s">
        <v>75</v>
      </c>
      <c r="R116" s="4873"/>
      <c r="S116" s="4873"/>
      <c r="T116" s="4873"/>
    </row>
    <row r="117" spans="1:20" s="26" customFormat="1" ht="60">
      <c r="A117" s="4591" t="s">
        <v>14214</v>
      </c>
      <c r="B117" s="6150" t="s">
        <v>14373</v>
      </c>
      <c r="C117" s="4874" t="s">
        <v>28</v>
      </c>
      <c r="D117" s="5169">
        <v>44662</v>
      </c>
      <c r="E117" s="5169">
        <v>44677</v>
      </c>
      <c r="F117" s="4895" t="s">
        <v>1357</v>
      </c>
      <c r="G117" s="4895" t="s">
        <v>46</v>
      </c>
      <c r="H117" s="6154" t="s">
        <v>14374</v>
      </c>
      <c r="I117" s="6155" t="s">
        <v>108</v>
      </c>
      <c r="J117" s="4895" t="s">
        <v>32</v>
      </c>
      <c r="K117" s="4895" t="s">
        <v>14216</v>
      </c>
      <c r="L117" s="5779"/>
      <c r="M117" s="5590" t="s">
        <v>14375</v>
      </c>
      <c r="N117" s="4975"/>
      <c r="O117" s="4975"/>
      <c r="P117" s="5120" t="s">
        <v>14376</v>
      </c>
      <c r="Q117" s="6156" t="s">
        <v>75</v>
      </c>
      <c r="R117" s="4874"/>
      <c r="S117" s="4874"/>
      <c r="T117" s="5058"/>
    </row>
    <row r="118" spans="1:20" s="26" customFormat="1" ht="45">
      <c r="A118" s="4591" t="s">
        <v>14214</v>
      </c>
      <c r="B118" s="6150" t="s">
        <v>14280</v>
      </c>
      <c r="C118" s="4874" t="s">
        <v>28</v>
      </c>
      <c r="D118" s="5169">
        <v>44662</v>
      </c>
      <c r="E118" s="5169">
        <v>44677</v>
      </c>
      <c r="F118" s="4895" t="s">
        <v>1357</v>
      </c>
      <c r="G118" s="4895" t="s">
        <v>46</v>
      </c>
      <c r="H118" s="6154" t="s">
        <v>14377</v>
      </c>
      <c r="I118" s="6155" t="s">
        <v>31</v>
      </c>
      <c r="J118" s="4895" t="s">
        <v>32</v>
      </c>
      <c r="K118" s="4895" t="s">
        <v>14216</v>
      </c>
      <c r="L118" s="5779"/>
      <c r="M118" s="5590" t="s">
        <v>14375</v>
      </c>
      <c r="N118" s="4975"/>
      <c r="O118" s="4975"/>
      <c r="P118" s="5120" t="s">
        <v>14378</v>
      </c>
      <c r="Q118" s="6156" t="s">
        <v>75</v>
      </c>
      <c r="R118" s="4874"/>
      <c r="S118" s="4874"/>
      <c r="T118" s="5058"/>
    </row>
    <row r="119" spans="1:20" s="26" customFormat="1">
      <c r="A119" s="678" t="s">
        <v>14214</v>
      </c>
      <c r="B119" s="6150">
        <v>6330470610</v>
      </c>
      <c r="C119" s="659" t="s">
        <v>44</v>
      </c>
      <c r="D119" s="536">
        <v>44682</v>
      </c>
      <c r="E119" s="536">
        <v>44695</v>
      </c>
      <c r="F119" s="512" t="s">
        <v>45</v>
      </c>
      <c r="G119" s="512" t="s">
        <v>46</v>
      </c>
      <c r="H119" s="680" t="s">
        <v>14379</v>
      </c>
      <c r="I119" s="641"/>
      <c r="J119" s="655" t="s">
        <v>32</v>
      </c>
      <c r="K119" s="641" t="s">
        <v>14380</v>
      </c>
      <c r="L119" s="644"/>
      <c r="M119" s="658" t="s">
        <v>14381</v>
      </c>
      <c r="N119" s="642"/>
      <c r="O119" s="642"/>
      <c r="P119" s="44" t="s">
        <v>14382</v>
      </c>
      <c r="Q119" s="512" t="s">
        <v>75</v>
      </c>
      <c r="R119" s="512"/>
      <c r="S119" s="643"/>
    </row>
    <row r="120" spans="1:20" ht="45">
      <c r="A120" s="85" t="s">
        <v>14214</v>
      </c>
      <c r="B120" s="686" t="s">
        <v>14383</v>
      </c>
      <c r="C120" s="93" t="s">
        <v>28</v>
      </c>
      <c r="D120" s="315">
        <v>44671</v>
      </c>
      <c r="E120" s="651">
        <v>44695</v>
      </c>
      <c r="F120" s="229" t="s">
        <v>245</v>
      </c>
      <c r="G120" s="647" t="s">
        <v>57</v>
      </c>
      <c r="H120" s="685" t="s">
        <v>14384</v>
      </c>
      <c r="I120" s="689" t="s">
        <v>445</v>
      </c>
      <c r="J120" s="690" t="s">
        <v>32</v>
      </c>
      <c r="K120" s="648" t="s">
        <v>14216</v>
      </c>
      <c r="L120" s="652"/>
      <c r="M120" s="691" t="s">
        <v>14385</v>
      </c>
      <c r="N120" s="646"/>
      <c r="O120" s="646"/>
      <c r="P120" s="692" t="s">
        <v>14386</v>
      </c>
      <c r="Q120" s="84" t="s">
        <v>75</v>
      </c>
      <c r="R120" s="85"/>
      <c r="S120" s="152"/>
    </row>
    <row r="121" spans="1:20">
      <c r="A121" s="15" t="s">
        <v>32</v>
      </c>
      <c r="B121" s="700" t="s">
        <v>14387</v>
      </c>
      <c r="C121" s="701"/>
      <c r="D121" s="48">
        <v>44655</v>
      </c>
      <c r="E121" s="699">
        <v>44657</v>
      </c>
      <c r="F121" s="15" t="s">
        <v>260</v>
      </c>
      <c r="G121" s="37" t="s">
        <v>14337</v>
      </c>
      <c r="H121" s="687"/>
      <c r="I121" s="693"/>
      <c r="J121" s="24" t="s">
        <v>14388</v>
      </c>
      <c r="K121" s="15" t="s">
        <v>10424</v>
      </c>
      <c r="L121" s="688"/>
      <c r="M121" s="687"/>
      <c r="N121" s="687"/>
      <c r="O121" s="687"/>
      <c r="P121" s="80" t="s">
        <v>14389</v>
      </c>
      <c r="Q121" s="512" t="s">
        <v>128</v>
      </c>
      <c r="R121" s="512"/>
      <c r="S121" s="116"/>
      <c r="T121" s="702"/>
    </row>
    <row r="122" spans="1:20">
      <c r="A122" s="37" t="s">
        <v>32</v>
      </c>
      <c r="B122" s="700" t="s">
        <v>14390</v>
      </c>
      <c r="C122" s="660"/>
      <c r="D122" s="71">
        <v>44655</v>
      </c>
      <c r="E122" s="721">
        <v>44657</v>
      </c>
      <c r="F122" s="37" t="s">
        <v>260</v>
      </c>
      <c r="G122" s="37" t="s">
        <v>14337</v>
      </c>
      <c r="H122" s="687"/>
      <c r="I122" s="693"/>
      <c r="J122" s="40" t="s">
        <v>14388</v>
      </c>
      <c r="K122" s="37" t="s">
        <v>10424</v>
      </c>
      <c r="L122" s="703"/>
      <c r="M122" s="687"/>
      <c r="N122" s="687"/>
      <c r="O122" s="687"/>
      <c r="P122" s="80" t="s">
        <v>14391</v>
      </c>
      <c r="Q122" s="512" t="s">
        <v>128</v>
      </c>
      <c r="R122" s="657"/>
      <c r="S122" s="85"/>
      <c r="T122" s="702"/>
    </row>
    <row r="123" spans="1:20">
      <c r="A123" s="21" t="s">
        <v>799</v>
      </c>
      <c r="B123" s="722" t="s">
        <v>14392</v>
      </c>
      <c r="C123" s="21" t="s">
        <v>14210</v>
      </c>
      <c r="D123" s="511">
        <v>44617</v>
      </c>
      <c r="E123" s="548">
        <v>44680</v>
      </c>
      <c r="F123" s="21" t="s">
        <v>11632</v>
      </c>
      <c r="G123" s="21" t="s">
        <v>30</v>
      </c>
      <c r="H123" s="187"/>
      <c r="I123" s="187"/>
      <c r="J123" s="21" t="s">
        <v>14393</v>
      </c>
      <c r="K123" s="84" t="s">
        <v>14394</v>
      </c>
      <c r="L123" s="720"/>
      <c r="M123" s="387">
        <v>44684</v>
      </c>
      <c r="N123" s="511"/>
      <c r="O123" s="511"/>
      <c r="P123" s="508" t="s">
        <v>14395</v>
      </c>
      <c r="Q123" s="4572" t="s">
        <v>14312</v>
      </c>
      <c r="R123" s="28"/>
      <c r="S123" s="28"/>
      <c r="T123" s="28"/>
    </row>
    <row r="124" spans="1:20">
      <c r="A124" s="4870" t="s">
        <v>313</v>
      </c>
      <c r="B124" s="6157" t="s">
        <v>14396</v>
      </c>
      <c r="C124" s="67" t="s">
        <v>14397</v>
      </c>
      <c r="D124" s="4859">
        <v>44686</v>
      </c>
      <c r="E124" s="4860">
        <v>44700</v>
      </c>
      <c r="F124" s="4913" t="s">
        <v>173</v>
      </c>
      <c r="G124" s="5128" t="s">
        <v>46</v>
      </c>
      <c r="H124" s="4861"/>
      <c r="I124" s="4861"/>
      <c r="J124" s="4870" t="s">
        <v>32</v>
      </c>
      <c r="K124" s="4870" t="s">
        <v>10424</v>
      </c>
      <c r="L124" s="4913" t="s">
        <v>14398</v>
      </c>
      <c r="M124" s="4859"/>
      <c r="N124" s="4839"/>
      <c r="O124" s="4839"/>
      <c r="P124" s="4913" t="s">
        <v>14399</v>
      </c>
      <c r="Q124" s="4870" t="s">
        <v>14400</v>
      </c>
      <c r="R124" s="4870" t="s">
        <v>810</v>
      </c>
      <c r="S124" s="4646"/>
    </row>
    <row r="125" spans="1:20" s="52" customFormat="1">
      <c r="A125" s="28" t="s">
        <v>14360</v>
      </c>
      <c r="B125" s="733" t="s">
        <v>14401</v>
      </c>
      <c r="C125" s="681" t="s">
        <v>28</v>
      </c>
      <c r="D125" s="732">
        <v>44726</v>
      </c>
      <c r="E125" s="732">
        <v>44745</v>
      </c>
      <c r="F125" s="28" t="s">
        <v>245</v>
      </c>
      <c r="G125" s="734" t="s">
        <v>14402</v>
      </c>
      <c r="H125" s="681"/>
      <c r="I125" s="681" t="s">
        <v>14403</v>
      </c>
      <c r="J125" s="735" t="s">
        <v>14404</v>
      </c>
      <c r="K125" s="681" t="s">
        <v>14405</v>
      </c>
      <c r="L125" s="681"/>
      <c r="M125" s="732"/>
      <c r="N125" s="681"/>
      <c r="O125" s="681"/>
      <c r="P125" s="28" t="s">
        <v>14406</v>
      </c>
      <c r="Q125" s="681" t="s">
        <v>14312</v>
      </c>
      <c r="R125" s="681"/>
      <c r="S125" s="681"/>
    </row>
    <row r="126" spans="1:20" s="52" customFormat="1">
      <c r="A126" s="28" t="s">
        <v>14360</v>
      </c>
      <c r="B126" s="733" t="s">
        <v>14407</v>
      </c>
      <c r="C126" s="681" t="s">
        <v>28</v>
      </c>
      <c r="D126" s="732">
        <v>44726</v>
      </c>
      <c r="E126" s="732">
        <v>44745</v>
      </c>
      <c r="F126" s="28" t="s">
        <v>245</v>
      </c>
      <c r="G126" s="734" t="s">
        <v>14402</v>
      </c>
      <c r="H126" s="681"/>
      <c r="I126" s="681" t="s">
        <v>14403</v>
      </c>
      <c r="J126" s="735" t="s">
        <v>14404</v>
      </c>
      <c r="K126" s="681" t="s">
        <v>14405</v>
      </c>
      <c r="L126" s="681"/>
      <c r="M126" s="732"/>
      <c r="N126" s="681"/>
      <c r="O126" s="681"/>
      <c r="P126" s="28" t="s">
        <v>14406</v>
      </c>
      <c r="Q126" s="681" t="s">
        <v>14312</v>
      </c>
      <c r="R126" s="681"/>
      <c r="S126" s="681"/>
    </row>
    <row r="127" spans="1:20" s="736" customFormat="1">
      <c r="A127" s="6158" t="s">
        <v>14214</v>
      </c>
      <c r="B127" s="6158" t="s">
        <v>14408</v>
      </c>
      <c r="C127" s="6159" t="s">
        <v>44</v>
      </c>
      <c r="D127" s="6160">
        <v>44734</v>
      </c>
      <c r="E127" s="6160">
        <v>44746</v>
      </c>
      <c r="F127" s="6159" t="s">
        <v>1357</v>
      </c>
      <c r="G127" s="6159" t="s">
        <v>46</v>
      </c>
      <c r="H127" s="6161">
        <v>44725</v>
      </c>
      <c r="I127" s="6162" t="s">
        <v>618</v>
      </c>
      <c r="J127" s="6163" t="s">
        <v>32</v>
      </c>
      <c r="K127" s="6164" t="s">
        <v>14409</v>
      </c>
      <c r="L127" s="6163"/>
      <c r="M127" s="6165">
        <v>44726.75</v>
      </c>
      <c r="N127" s="6163"/>
      <c r="O127" s="6163"/>
      <c r="P127" s="6164" t="s">
        <v>14410</v>
      </c>
      <c r="Q127" s="6159" t="s">
        <v>75</v>
      </c>
      <c r="R127" s="6163"/>
      <c r="S127" s="6163"/>
    </row>
    <row r="128" spans="1:20" s="737" customFormat="1">
      <c r="A128" s="6158" t="s">
        <v>14214</v>
      </c>
      <c r="B128" s="6158" t="s">
        <v>14408</v>
      </c>
      <c r="C128" s="6159" t="s">
        <v>44</v>
      </c>
      <c r="D128" s="6160">
        <v>44734</v>
      </c>
      <c r="E128" s="6160">
        <v>44746</v>
      </c>
      <c r="F128" s="6159" t="s">
        <v>1357</v>
      </c>
      <c r="G128" s="6159" t="s">
        <v>46</v>
      </c>
      <c r="H128" s="6161">
        <v>44725</v>
      </c>
      <c r="I128" s="6162" t="s">
        <v>445</v>
      </c>
      <c r="J128" s="6163" t="s">
        <v>32</v>
      </c>
      <c r="K128" s="6164" t="s">
        <v>14409</v>
      </c>
      <c r="L128" s="6163"/>
      <c r="M128" s="6165">
        <v>44726.75</v>
      </c>
      <c r="N128" s="6163"/>
      <c r="O128" s="6163"/>
      <c r="P128" s="6164" t="s">
        <v>14411</v>
      </c>
      <c r="Q128" s="6159" t="s">
        <v>75</v>
      </c>
      <c r="R128" s="6163"/>
      <c r="S128" s="6163"/>
    </row>
    <row r="129" spans="1:20" s="737" customFormat="1">
      <c r="A129" s="6158" t="s">
        <v>14214</v>
      </c>
      <c r="B129" s="6158" t="s">
        <v>14408</v>
      </c>
      <c r="C129" s="6159" t="s">
        <v>44</v>
      </c>
      <c r="D129" s="6160">
        <v>44734</v>
      </c>
      <c r="E129" s="6160">
        <v>44746</v>
      </c>
      <c r="F129" s="6159" t="s">
        <v>1357</v>
      </c>
      <c r="G129" s="6159" t="s">
        <v>46</v>
      </c>
      <c r="H129" s="6161">
        <v>44725</v>
      </c>
      <c r="I129" s="6162" t="s">
        <v>790</v>
      </c>
      <c r="J129" s="6163" t="s">
        <v>32</v>
      </c>
      <c r="K129" s="6164" t="s">
        <v>14409</v>
      </c>
      <c r="L129" s="6163"/>
      <c r="M129" s="6165">
        <v>44726.75</v>
      </c>
      <c r="N129" s="6163"/>
      <c r="O129" s="6163"/>
      <c r="P129" s="6164" t="s">
        <v>14412</v>
      </c>
      <c r="Q129" s="6159" t="s">
        <v>75</v>
      </c>
      <c r="R129" s="6163"/>
      <c r="S129" s="6163"/>
    </row>
    <row r="130" spans="1:20">
      <c r="A130" s="487" t="s">
        <v>14214</v>
      </c>
      <c r="B130" s="740">
        <v>6334295360</v>
      </c>
      <c r="C130" s="16" t="s">
        <v>28</v>
      </c>
      <c r="D130" s="493">
        <v>44736</v>
      </c>
      <c r="E130" s="493">
        <v>44753</v>
      </c>
      <c r="F130" s="4573" t="s">
        <v>45</v>
      </c>
      <c r="G130" s="16" t="s">
        <v>46</v>
      </c>
      <c r="H130" s="743" t="s">
        <v>14183</v>
      </c>
      <c r="I130" s="121"/>
      <c r="J130" s="121" t="s">
        <v>32</v>
      </c>
      <c r="K130" s="228" t="s">
        <v>12157</v>
      </c>
      <c r="L130" s="121"/>
      <c r="M130" s="741"/>
      <c r="N130" s="121"/>
      <c r="O130" s="121"/>
      <c r="P130" s="4428" t="s">
        <v>14413</v>
      </c>
      <c r="Q130" s="16" t="s">
        <v>75</v>
      </c>
      <c r="R130" s="4895" t="s">
        <v>14344</v>
      </c>
      <c r="S130" s="121"/>
      <c r="T130" s="121" t="s">
        <v>14236</v>
      </c>
    </row>
    <row r="131" spans="1:20">
      <c r="A131" s="3954" t="s">
        <v>14214</v>
      </c>
      <c r="B131" s="3966">
        <v>6334295360</v>
      </c>
      <c r="C131" s="3241" t="s">
        <v>28</v>
      </c>
      <c r="D131" s="3243">
        <v>44736</v>
      </c>
      <c r="E131" s="3243">
        <v>44753</v>
      </c>
      <c r="F131" s="4213" t="s">
        <v>45</v>
      </c>
      <c r="G131" s="3241" t="s">
        <v>46</v>
      </c>
      <c r="H131" s="744" t="s">
        <v>14183</v>
      </c>
      <c r="I131" s="3255"/>
      <c r="J131" s="3255" t="s">
        <v>32</v>
      </c>
      <c r="K131" s="3075" t="s">
        <v>12157</v>
      </c>
      <c r="L131" s="3255"/>
      <c r="M131" s="3967"/>
      <c r="N131" s="3255"/>
      <c r="O131" s="3255"/>
      <c r="P131" s="4428" t="s">
        <v>14413</v>
      </c>
      <c r="Q131" s="3241" t="s">
        <v>75</v>
      </c>
      <c r="R131" s="4895" t="s">
        <v>14344</v>
      </c>
      <c r="S131" s="3255"/>
      <c r="T131" s="3255" t="s">
        <v>14236</v>
      </c>
    </row>
    <row r="132" spans="1:20" s="26" customFormat="1">
      <c r="A132" s="4390" t="s">
        <v>14214</v>
      </c>
      <c r="B132" s="750" t="s">
        <v>14414</v>
      </c>
      <c r="C132" s="508" t="s">
        <v>44</v>
      </c>
      <c r="D132" s="3069">
        <v>44758</v>
      </c>
      <c r="E132" s="746">
        <v>44777</v>
      </c>
      <c r="F132" s="4390" t="s">
        <v>3794</v>
      </c>
      <c r="G132" s="3714" t="s">
        <v>57</v>
      </c>
      <c r="H132" s="3550">
        <v>44742</v>
      </c>
      <c r="I132" s="747" t="s">
        <v>790</v>
      </c>
      <c r="J132" s="26" t="s">
        <v>32</v>
      </c>
      <c r="K132" s="4874" t="s">
        <v>14415</v>
      </c>
      <c r="L132" s="3075"/>
      <c r="M132" s="747" t="s">
        <v>14416</v>
      </c>
      <c r="N132" s="3550"/>
      <c r="O132" s="3550"/>
      <c r="P132" s="3968" t="s">
        <v>14417</v>
      </c>
      <c r="Q132" s="3075" t="s">
        <v>75</v>
      </c>
      <c r="R132" s="3075"/>
      <c r="S132" s="3075"/>
    </row>
    <row r="133" spans="1:20">
      <c r="A133" s="6135" t="s">
        <v>14360</v>
      </c>
      <c r="B133" s="6135" t="s">
        <v>14418</v>
      </c>
      <c r="C133" s="4895" t="s">
        <v>200</v>
      </c>
      <c r="D133" s="5169">
        <v>44701</v>
      </c>
      <c r="E133" s="5169">
        <v>44734</v>
      </c>
      <c r="F133" s="4895" t="s">
        <v>1828</v>
      </c>
      <c r="G133" s="6118" t="s">
        <v>46</v>
      </c>
      <c r="H133" s="6166"/>
      <c r="I133" s="4873"/>
      <c r="J133" s="4872" t="s">
        <v>14419</v>
      </c>
      <c r="K133" s="4895" t="s">
        <v>1179</v>
      </c>
      <c r="L133" s="4873"/>
      <c r="M133" s="5500"/>
      <c r="N133" s="4873"/>
      <c r="O133" s="5590"/>
      <c r="P133" s="508" t="s">
        <v>14420</v>
      </c>
      <c r="Q133" s="4895" t="s">
        <v>14312</v>
      </c>
      <c r="R133" s="4872"/>
      <c r="S133" s="4873"/>
    </row>
    <row r="134" spans="1:20">
      <c r="A134" s="6135" t="s">
        <v>14360</v>
      </c>
      <c r="B134" s="6135" t="s">
        <v>14421</v>
      </c>
      <c r="C134" s="4895" t="s">
        <v>200</v>
      </c>
      <c r="D134" s="5169">
        <v>44701</v>
      </c>
      <c r="E134" s="5169">
        <v>44737</v>
      </c>
      <c r="F134" s="4895" t="s">
        <v>1828</v>
      </c>
      <c r="G134" s="6118" t="s">
        <v>46</v>
      </c>
      <c r="H134" s="6166"/>
      <c r="I134" s="4873"/>
      <c r="J134" s="4872" t="s">
        <v>14419</v>
      </c>
      <c r="K134" s="4895" t="s">
        <v>1179</v>
      </c>
      <c r="L134" s="4873"/>
      <c r="M134" s="5500"/>
      <c r="N134" s="4873"/>
      <c r="O134" s="5590"/>
      <c r="P134" s="508" t="s">
        <v>14420</v>
      </c>
      <c r="Q134" s="4895" t="s">
        <v>14312</v>
      </c>
      <c r="R134" s="4872"/>
      <c r="S134" s="4873"/>
    </row>
    <row r="135" spans="1:20">
      <c r="A135" s="6135" t="s">
        <v>14360</v>
      </c>
      <c r="B135" s="6135" t="s">
        <v>14422</v>
      </c>
      <c r="C135" s="4895" t="s">
        <v>200</v>
      </c>
      <c r="D135" s="5169">
        <v>44701</v>
      </c>
      <c r="E135" s="5169">
        <v>44737</v>
      </c>
      <c r="F135" s="4895" t="s">
        <v>1828</v>
      </c>
      <c r="G135" s="6118" t="s">
        <v>46</v>
      </c>
      <c r="H135" s="6166"/>
      <c r="I135" s="4873"/>
      <c r="J135" s="4872" t="s">
        <v>14419</v>
      </c>
      <c r="K135" s="4895" t="s">
        <v>1179</v>
      </c>
      <c r="L135" s="4873"/>
      <c r="M135" s="5500"/>
      <c r="N135" s="4873"/>
      <c r="O135" s="5590"/>
      <c r="P135" s="508" t="s">
        <v>14423</v>
      </c>
      <c r="Q135" s="4895" t="s">
        <v>14312</v>
      </c>
      <c r="R135" s="4872"/>
      <c r="S135" s="4873"/>
    </row>
    <row r="136" spans="1:20">
      <c r="A136" s="6135" t="s">
        <v>14360</v>
      </c>
      <c r="B136" s="6135" t="s">
        <v>14424</v>
      </c>
      <c r="C136" s="4895" t="s">
        <v>200</v>
      </c>
      <c r="D136" s="5169">
        <v>44701</v>
      </c>
      <c r="E136" s="5169">
        <v>44737</v>
      </c>
      <c r="F136" s="4895" t="s">
        <v>1828</v>
      </c>
      <c r="G136" s="6118" t="s">
        <v>46</v>
      </c>
      <c r="H136" s="6166"/>
      <c r="I136" s="4873"/>
      <c r="J136" s="4872" t="s">
        <v>14419</v>
      </c>
      <c r="K136" s="4895" t="s">
        <v>1179</v>
      </c>
      <c r="L136" s="4873"/>
      <c r="M136" s="5500"/>
      <c r="N136" s="4873"/>
      <c r="O136" s="5590"/>
      <c r="P136" s="508" t="s">
        <v>14423</v>
      </c>
      <c r="Q136" s="4895" t="s">
        <v>14312</v>
      </c>
      <c r="R136" s="4872"/>
      <c r="S136" s="4873"/>
    </row>
    <row r="137" spans="1:20">
      <c r="A137" s="6135" t="s">
        <v>14360</v>
      </c>
      <c r="B137" s="6135" t="s">
        <v>14425</v>
      </c>
      <c r="C137" s="4895" t="s">
        <v>200</v>
      </c>
      <c r="D137" s="5169">
        <v>44701</v>
      </c>
      <c r="E137" s="5169">
        <v>44737</v>
      </c>
      <c r="F137" s="4895" t="s">
        <v>1828</v>
      </c>
      <c r="G137" s="6118" t="s">
        <v>46</v>
      </c>
      <c r="H137" s="6166"/>
      <c r="I137" s="4873"/>
      <c r="J137" s="4872" t="s">
        <v>14419</v>
      </c>
      <c r="K137" s="4895" t="s">
        <v>1179</v>
      </c>
      <c r="L137" s="4873"/>
      <c r="M137" s="5500"/>
      <c r="N137" s="4873"/>
      <c r="O137" s="5590"/>
      <c r="P137" s="508" t="s">
        <v>14423</v>
      </c>
      <c r="Q137" s="4895" t="s">
        <v>14312</v>
      </c>
      <c r="R137" s="4872"/>
      <c r="S137" s="4873"/>
    </row>
    <row r="138" spans="1:20" s="26" customFormat="1">
      <c r="A138" s="3255" t="s">
        <v>14214</v>
      </c>
      <c r="B138" s="3969" t="s">
        <v>14426</v>
      </c>
      <c r="C138" s="3075" t="s">
        <v>451</v>
      </c>
      <c r="D138" s="3069">
        <v>44739</v>
      </c>
      <c r="E138" s="752">
        <v>44750</v>
      </c>
      <c r="F138" s="3255" t="s">
        <v>151</v>
      </c>
      <c r="G138" s="3714" t="s">
        <v>361</v>
      </c>
      <c r="H138" s="3069"/>
      <c r="I138" s="4874"/>
      <c r="J138" s="26" t="s">
        <v>322</v>
      </c>
      <c r="K138" s="3075" t="s">
        <v>14427</v>
      </c>
      <c r="L138" s="3075"/>
      <c r="M138" s="3970" t="s">
        <v>14428</v>
      </c>
      <c r="N138" s="3069"/>
      <c r="O138" s="3069"/>
      <c r="P138" s="3622" t="s">
        <v>14429</v>
      </c>
      <c r="Q138" s="3075" t="s">
        <v>75</v>
      </c>
      <c r="R138" s="3075"/>
      <c r="S138" s="3075"/>
    </row>
    <row r="139" spans="1:20">
      <c r="A139" s="4895" t="s">
        <v>14316</v>
      </c>
      <c r="B139" s="4895" t="s">
        <v>14430</v>
      </c>
      <c r="C139" s="4895" t="s">
        <v>44</v>
      </c>
      <c r="D139" s="5169">
        <v>44744</v>
      </c>
      <c r="E139" s="5169">
        <v>44745</v>
      </c>
      <c r="F139" s="4895" t="s">
        <v>98</v>
      </c>
      <c r="G139" s="6167" t="s">
        <v>57</v>
      </c>
      <c r="H139" s="6168"/>
      <c r="I139" s="6167"/>
      <c r="J139" s="6167" t="s">
        <v>32</v>
      </c>
      <c r="K139" s="6167" t="s">
        <v>14431</v>
      </c>
      <c r="L139" s="4874"/>
      <c r="M139" s="4975"/>
      <c r="N139" s="4975"/>
      <c r="O139" s="4975"/>
      <c r="P139" s="4874" t="s">
        <v>14432</v>
      </c>
      <c r="Q139" s="4895" t="s">
        <v>128</v>
      </c>
      <c r="R139" s="4874"/>
      <c r="S139" s="4895"/>
    </row>
    <row r="140" spans="1:20">
      <c r="A140" s="7" t="s">
        <v>14433</v>
      </c>
      <c r="B140" s="14" t="s">
        <v>14434</v>
      </c>
      <c r="C140" s="7" t="s">
        <v>55</v>
      </c>
      <c r="D140" s="126">
        <v>44738</v>
      </c>
      <c r="E140" s="748">
        <v>44743</v>
      </c>
      <c r="F140" s="7" t="s">
        <v>285</v>
      </c>
      <c r="G140" s="754" t="s">
        <v>30</v>
      </c>
      <c r="H140" s="755"/>
      <c r="I140" s="753"/>
      <c r="J140" s="6167" t="s">
        <v>32</v>
      </c>
      <c r="K140" s="754" t="s">
        <v>14435</v>
      </c>
      <c r="L140" s="751">
        <v>911051</v>
      </c>
      <c r="M140" s="749">
        <v>44740</v>
      </c>
      <c r="N140" s="756">
        <v>44750</v>
      </c>
      <c r="O140" s="144"/>
      <c r="P140" s="106" t="s">
        <v>14436</v>
      </c>
      <c r="Q140" s="7" t="s">
        <v>35</v>
      </c>
      <c r="R140" s="106"/>
      <c r="S140" s="7" t="s">
        <v>14437</v>
      </c>
      <c r="T140" s="7" t="s">
        <v>14438</v>
      </c>
    </row>
    <row r="141" spans="1:20" ht="75">
      <c r="A141" s="5915" t="s">
        <v>14214</v>
      </c>
      <c r="B141" s="6133" t="s">
        <v>14439</v>
      </c>
      <c r="C141" s="5120" t="s">
        <v>44</v>
      </c>
      <c r="D141" s="5430">
        <v>44763</v>
      </c>
      <c r="E141" s="5430">
        <v>44778</v>
      </c>
      <c r="F141" s="4874" t="s">
        <v>245</v>
      </c>
      <c r="G141" s="6169" t="s">
        <v>57</v>
      </c>
      <c r="H141" s="5040">
        <v>44754</v>
      </c>
      <c r="I141" s="5608" t="s">
        <v>790</v>
      </c>
      <c r="J141" s="4874" t="s">
        <v>32</v>
      </c>
      <c r="K141" s="6169" t="s">
        <v>14216</v>
      </c>
      <c r="L141" s="4874"/>
      <c r="M141" s="5040" t="s">
        <v>14440</v>
      </c>
      <c r="N141" s="6170" t="s">
        <v>14183</v>
      </c>
      <c r="O141" s="4975"/>
      <c r="P141" s="5049" t="s">
        <v>14441</v>
      </c>
      <c r="Q141" s="4874" t="s">
        <v>75</v>
      </c>
      <c r="R141" s="4895" t="s">
        <v>14344</v>
      </c>
      <c r="S141" s="4874"/>
    </row>
    <row r="142" spans="1:20" s="26" customFormat="1">
      <c r="A142" s="6156" t="s">
        <v>14214</v>
      </c>
      <c r="B142" s="6133">
        <v>6339025500</v>
      </c>
      <c r="C142" s="4874" t="s">
        <v>14210</v>
      </c>
      <c r="D142" s="4975">
        <v>44785</v>
      </c>
      <c r="E142" s="4975">
        <v>44802</v>
      </c>
      <c r="F142" s="4874" t="s">
        <v>45</v>
      </c>
      <c r="G142" s="6171" t="s">
        <v>46</v>
      </c>
      <c r="H142" s="6172"/>
      <c r="I142" s="6171"/>
      <c r="J142" s="6171" t="s">
        <v>32</v>
      </c>
      <c r="K142" s="106" t="s">
        <v>12157</v>
      </c>
      <c r="L142" s="4874"/>
      <c r="M142" s="5376" t="s">
        <v>14442</v>
      </c>
      <c r="N142" s="4975"/>
      <c r="O142" s="4975"/>
      <c r="P142" s="6155" t="s">
        <v>14443</v>
      </c>
      <c r="Q142" s="4874" t="s">
        <v>75</v>
      </c>
      <c r="R142" s="4895" t="s">
        <v>14344</v>
      </c>
      <c r="S142" s="4874"/>
    </row>
    <row r="143" spans="1:20">
      <c r="A143" s="3956" t="s">
        <v>14444</v>
      </c>
      <c r="B143" s="3956" t="s">
        <v>14445</v>
      </c>
      <c r="C143" s="3241" t="s">
        <v>28</v>
      </c>
      <c r="D143" s="3243">
        <v>44727</v>
      </c>
      <c r="E143" s="3243">
        <v>44753</v>
      </c>
      <c r="F143" s="3241" t="s">
        <v>167</v>
      </c>
      <c r="G143" s="3241" t="s">
        <v>14446</v>
      </c>
      <c r="H143" s="3067"/>
      <c r="I143" s="3067"/>
      <c r="J143" s="3241" t="s">
        <v>32</v>
      </c>
      <c r="K143" s="3241" t="s">
        <v>14447</v>
      </c>
      <c r="L143" s="3241">
        <v>87242748</v>
      </c>
      <c r="M143" s="3970">
        <v>44753</v>
      </c>
      <c r="N143" s="3067"/>
      <c r="O143" s="3067"/>
      <c r="P143" s="641" t="s">
        <v>14448</v>
      </c>
      <c r="Q143" s="3241" t="s">
        <v>14312</v>
      </c>
      <c r="R143" s="3241" t="s">
        <v>14344</v>
      </c>
      <c r="S143" s="3067"/>
    </row>
    <row r="144" spans="1:20">
      <c r="A144" s="6135" t="s">
        <v>14444</v>
      </c>
      <c r="B144" s="6135" t="s">
        <v>14449</v>
      </c>
      <c r="C144" s="4895" t="s">
        <v>28</v>
      </c>
      <c r="D144" s="5169">
        <v>44736</v>
      </c>
      <c r="E144" s="5169">
        <v>44744</v>
      </c>
      <c r="F144" s="4895" t="s">
        <v>260</v>
      </c>
      <c r="G144" s="4895" t="s">
        <v>14450</v>
      </c>
      <c r="H144" s="5283"/>
      <c r="I144" s="5283"/>
      <c r="J144" s="4895" t="s">
        <v>32</v>
      </c>
      <c r="K144" s="4895" t="s">
        <v>14451</v>
      </c>
      <c r="L144" s="5283"/>
      <c r="M144" s="5169"/>
      <c r="N144" s="5283"/>
      <c r="O144" s="5283"/>
      <c r="P144" s="4873" t="s">
        <v>14452</v>
      </c>
      <c r="Q144" s="4895" t="s">
        <v>14312</v>
      </c>
      <c r="R144" s="4895" t="s">
        <v>14344</v>
      </c>
      <c r="S144" s="5283"/>
    </row>
    <row r="145" spans="1:21">
      <c r="A145" s="6135" t="s">
        <v>14444</v>
      </c>
      <c r="B145" s="6135" t="s">
        <v>14453</v>
      </c>
      <c r="C145" s="4895" t="s">
        <v>28</v>
      </c>
      <c r="D145" s="5169">
        <v>44736</v>
      </c>
      <c r="E145" s="5169">
        <v>44744</v>
      </c>
      <c r="F145" s="4895" t="s">
        <v>167</v>
      </c>
      <c r="G145" s="4895" t="s">
        <v>14450</v>
      </c>
      <c r="H145" s="5283"/>
      <c r="I145" s="5283"/>
      <c r="J145" s="4895" t="s">
        <v>32</v>
      </c>
      <c r="K145" s="4895" t="s">
        <v>14451</v>
      </c>
      <c r="L145" s="5283"/>
      <c r="M145" s="5169"/>
      <c r="N145" s="5283"/>
      <c r="O145" s="5283"/>
      <c r="P145" s="4873" t="s">
        <v>14454</v>
      </c>
      <c r="Q145" s="4895" t="s">
        <v>14312</v>
      </c>
      <c r="R145" s="4895" t="s">
        <v>14344</v>
      </c>
      <c r="S145" s="5283"/>
    </row>
    <row r="146" spans="1:21">
      <c r="A146" s="6135" t="s">
        <v>14444</v>
      </c>
      <c r="B146" s="6135" t="s">
        <v>14455</v>
      </c>
      <c r="C146" s="4895" t="s">
        <v>28</v>
      </c>
      <c r="D146" s="5169">
        <v>44736</v>
      </c>
      <c r="E146" s="5169">
        <v>44744</v>
      </c>
      <c r="F146" s="4895" t="s">
        <v>260</v>
      </c>
      <c r="G146" s="4895" t="s">
        <v>14450</v>
      </c>
      <c r="H146" s="5283"/>
      <c r="I146" s="5283"/>
      <c r="J146" s="4895" t="s">
        <v>32</v>
      </c>
      <c r="K146" s="4895" t="s">
        <v>14451</v>
      </c>
      <c r="L146" s="4895"/>
      <c r="M146" s="5169"/>
      <c r="N146" s="5283"/>
      <c r="O146" s="5283"/>
      <c r="P146" s="4873" t="s">
        <v>14456</v>
      </c>
      <c r="Q146" s="4895" t="s">
        <v>14312</v>
      </c>
      <c r="R146" s="4895" t="s">
        <v>14344</v>
      </c>
      <c r="S146" s="5283"/>
    </row>
    <row r="147" spans="1:21">
      <c r="A147" s="4872" t="s">
        <v>14444</v>
      </c>
      <c r="B147" s="6135" t="s">
        <v>14457</v>
      </c>
      <c r="C147" s="4895" t="s">
        <v>28</v>
      </c>
      <c r="D147" s="5169">
        <v>44727</v>
      </c>
      <c r="E147" s="5500">
        <v>44752</v>
      </c>
      <c r="F147" s="4872" t="s">
        <v>245</v>
      </c>
      <c r="G147" s="5501" t="s">
        <v>57</v>
      </c>
      <c r="H147" s="5169"/>
      <c r="I147" s="4895"/>
      <c r="J147" s="4895" t="s">
        <v>32</v>
      </c>
      <c r="K147" s="4895" t="s">
        <v>14451</v>
      </c>
      <c r="L147" s="4895"/>
      <c r="M147" s="5169"/>
      <c r="N147" s="5169"/>
      <c r="O147" s="5169"/>
      <c r="P147" s="4873" t="s">
        <v>14458</v>
      </c>
      <c r="Q147" s="4895" t="s">
        <v>14312</v>
      </c>
      <c r="R147" s="4895" t="s">
        <v>14344</v>
      </c>
      <c r="S147" s="5283"/>
    </row>
    <row r="148" spans="1:21">
      <c r="A148" s="4872" t="s">
        <v>14444</v>
      </c>
      <c r="B148" s="6135" t="s">
        <v>14459</v>
      </c>
      <c r="C148" s="4895" t="s">
        <v>28</v>
      </c>
      <c r="D148" s="5169">
        <v>44756</v>
      </c>
      <c r="E148" s="5500">
        <v>44763</v>
      </c>
      <c r="F148" s="4872" t="s">
        <v>245</v>
      </c>
      <c r="G148" s="5501" t="s">
        <v>57</v>
      </c>
      <c r="H148" s="5169"/>
      <c r="I148" s="4895"/>
      <c r="J148" s="4895" t="s">
        <v>32</v>
      </c>
      <c r="K148" s="4895" t="s">
        <v>14451</v>
      </c>
      <c r="L148" s="4895"/>
      <c r="M148" s="5169"/>
      <c r="N148" s="5169"/>
      <c r="O148" s="5169"/>
      <c r="P148" s="4873" t="s">
        <v>14460</v>
      </c>
      <c r="Q148" s="4895" t="s">
        <v>14312</v>
      </c>
      <c r="R148" s="4895" t="s">
        <v>14344</v>
      </c>
      <c r="S148" s="5283"/>
    </row>
    <row r="149" spans="1:21" s="26" customFormat="1">
      <c r="A149" s="5043" t="s">
        <v>14214</v>
      </c>
      <c r="B149" s="6133">
        <v>6339832950</v>
      </c>
      <c r="C149" s="4874" t="s">
        <v>28</v>
      </c>
      <c r="D149" s="5086">
        <v>44782</v>
      </c>
      <c r="E149" s="5086">
        <v>44798</v>
      </c>
      <c r="F149" s="4971" t="s">
        <v>45</v>
      </c>
      <c r="G149" s="6173" t="s">
        <v>46</v>
      </c>
      <c r="H149" s="5040" t="s">
        <v>14461</v>
      </c>
      <c r="I149" s="6173"/>
      <c r="J149" s="6171" t="s">
        <v>32</v>
      </c>
      <c r="K149" s="4874" t="s">
        <v>12157</v>
      </c>
      <c r="L149" s="4971"/>
      <c r="M149" s="5040" t="s">
        <v>14462</v>
      </c>
      <c r="N149" s="5086"/>
      <c r="O149" s="5086"/>
      <c r="P149" s="5608" t="s">
        <v>14463</v>
      </c>
      <c r="Q149" s="4874" t="s">
        <v>75</v>
      </c>
      <c r="R149" s="4895" t="s">
        <v>14344</v>
      </c>
      <c r="S149" s="4971"/>
    </row>
    <row r="150" spans="1:21" s="26" customFormat="1">
      <c r="A150" s="5043" t="s">
        <v>14214</v>
      </c>
      <c r="B150" s="6133">
        <v>6339832950</v>
      </c>
      <c r="C150" s="4874" t="s">
        <v>28</v>
      </c>
      <c r="D150" s="5086">
        <v>44782</v>
      </c>
      <c r="E150" s="5086">
        <v>44798</v>
      </c>
      <c r="F150" s="4971" t="s">
        <v>45</v>
      </c>
      <c r="G150" s="6173" t="s">
        <v>46</v>
      </c>
      <c r="H150" s="5040" t="s">
        <v>14461</v>
      </c>
      <c r="I150" s="6173"/>
      <c r="J150" s="6171" t="s">
        <v>32</v>
      </c>
      <c r="K150" s="4874" t="s">
        <v>12157</v>
      </c>
      <c r="L150" s="4971"/>
      <c r="M150" s="5040" t="s">
        <v>14462</v>
      </c>
      <c r="N150" s="5086"/>
      <c r="O150" s="5086"/>
      <c r="P150" s="6155" t="s">
        <v>14463</v>
      </c>
      <c r="Q150" s="4874" t="s">
        <v>75</v>
      </c>
      <c r="R150" s="4895" t="s">
        <v>14344</v>
      </c>
      <c r="S150" s="4971"/>
    </row>
    <row r="151" spans="1:21" s="26" customFormat="1">
      <c r="A151" s="5043" t="s">
        <v>14214</v>
      </c>
      <c r="B151" s="6133">
        <v>6339832950</v>
      </c>
      <c r="C151" s="4874" t="s">
        <v>28</v>
      </c>
      <c r="D151" s="5086">
        <v>44782</v>
      </c>
      <c r="E151" s="5086">
        <v>44798</v>
      </c>
      <c r="F151" s="4971" t="s">
        <v>45</v>
      </c>
      <c r="G151" s="6173" t="s">
        <v>46</v>
      </c>
      <c r="H151" s="5040" t="s">
        <v>14461</v>
      </c>
      <c r="I151" s="6173"/>
      <c r="J151" s="6171" t="s">
        <v>32</v>
      </c>
      <c r="K151" s="4874" t="s">
        <v>12157</v>
      </c>
      <c r="L151" s="4971"/>
      <c r="M151" s="5040" t="s">
        <v>14462</v>
      </c>
      <c r="N151" s="5086"/>
      <c r="O151" s="5086"/>
      <c r="P151" s="6155" t="s">
        <v>14463</v>
      </c>
      <c r="Q151" s="4874" t="s">
        <v>75</v>
      </c>
      <c r="R151" s="4895" t="s">
        <v>14344</v>
      </c>
      <c r="S151" s="4971"/>
    </row>
    <row r="152" spans="1:21" s="26" customFormat="1">
      <c r="A152" s="5043" t="s">
        <v>14214</v>
      </c>
      <c r="B152" s="6133">
        <v>6339832950</v>
      </c>
      <c r="C152" s="4874" t="s">
        <v>28</v>
      </c>
      <c r="D152" s="4975">
        <v>44782</v>
      </c>
      <c r="E152" s="4975">
        <v>44798</v>
      </c>
      <c r="F152" s="4874" t="s">
        <v>45</v>
      </c>
      <c r="G152" s="6171" t="s">
        <v>46</v>
      </c>
      <c r="H152" s="5040" t="s">
        <v>14461</v>
      </c>
      <c r="I152" s="6173"/>
      <c r="J152" s="6171" t="s">
        <v>32</v>
      </c>
      <c r="K152" s="4874" t="s">
        <v>12157</v>
      </c>
      <c r="L152" s="4971"/>
      <c r="M152" s="5040" t="s">
        <v>14462</v>
      </c>
      <c r="N152" s="5086"/>
      <c r="O152" s="5086"/>
      <c r="P152" s="6155" t="s">
        <v>14463</v>
      </c>
      <c r="Q152" s="4874" t="s">
        <v>75</v>
      </c>
      <c r="R152" s="4895" t="s">
        <v>14344</v>
      </c>
      <c r="S152" s="4971"/>
    </row>
    <row r="153" spans="1:21">
      <c r="A153" s="4895" t="s">
        <v>53</v>
      </c>
      <c r="B153" s="6174" t="s">
        <v>14464</v>
      </c>
      <c r="C153" s="4895" t="s">
        <v>28</v>
      </c>
      <c r="D153" s="5169">
        <v>44759</v>
      </c>
      <c r="E153" s="5590">
        <v>44781</v>
      </c>
      <c r="F153" s="4872" t="s">
        <v>245</v>
      </c>
      <c r="G153" s="4872" t="s">
        <v>361</v>
      </c>
      <c r="H153" s="6175"/>
      <c r="I153" s="6176"/>
      <c r="J153" s="6167" t="s">
        <v>32</v>
      </c>
      <c r="K153" s="4872" t="s">
        <v>14465</v>
      </c>
      <c r="L153" s="4872">
        <v>451032</v>
      </c>
      <c r="M153" s="6177">
        <v>44780</v>
      </c>
      <c r="N153" s="5500"/>
      <c r="O153" s="5500"/>
      <c r="P153" s="4873" t="s">
        <v>14466</v>
      </c>
      <c r="Q153" s="4873" t="s">
        <v>14312</v>
      </c>
      <c r="R153" s="4873"/>
      <c r="S153" s="4873"/>
      <c r="T153" s="4873"/>
      <c r="U153" s="4873" t="e">
        <v>#VALUE!</v>
      </c>
    </row>
    <row r="154" spans="1:21">
      <c r="A154" s="4895" t="s">
        <v>53</v>
      </c>
      <c r="B154" s="6174" t="s">
        <v>14467</v>
      </c>
      <c r="C154" s="4895" t="s">
        <v>28</v>
      </c>
      <c r="D154" s="5169">
        <v>44759</v>
      </c>
      <c r="E154" s="5590">
        <v>44781</v>
      </c>
      <c r="F154" s="4872" t="s">
        <v>245</v>
      </c>
      <c r="G154" s="4872" t="s">
        <v>361</v>
      </c>
      <c r="H154" s="6175"/>
      <c r="I154" s="6176"/>
      <c r="J154" s="6167" t="s">
        <v>32</v>
      </c>
      <c r="K154" s="4872" t="s">
        <v>14465</v>
      </c>
      <c r="L154" s="4872">
        <v>416333</v>
      </c>
      <c r="M154" s="6177">
        <v>44780</v>
      </c>
      <c r="N154" s="5500"/>
      <c r="O154" s="5500"/>
      <c r="P154" s="4873" t="s">
        <v>14466</v>
      </c>
      <c r="Q154" s="4873" t="s">
        <v>14312</v>
      </c>
      <c r="R154" s="4873"/>
      <c r="S154" s="4873"/>
      <c r="T154" s="4873"/>
      <c r="U154" s="4873" t="e">
        <v>#VALUE!</v>
      </c>
    </row>
    <row r="155" spans="1:21">
      <c r="A155" s="4895" t="s">
        <v>53</v>
      </c>
      <c r="B155" s="5168" t="s">
        <v>14468</v>
      </c>
      <c r="C155" s="4895" t="s">
        <v>28</v>
      </c>
      <c r="D155" s="5169">
        <v>44759</v>
      </c>
      <c r="E155" s="5590">
        <v>44781</v>
      </c>
      <c r="F155" s="4872" t="s">
        <v>245</v>
      </c>
      <c r="G155" s="4872" t="s">
        <v>361</v>
      </c>
      <c r="H155" s="6175"/>
      <c r="I155" s="6176"/>
      <c r="J155" s="6167" t="s">
        <v>32</v>
      </c>
      <c r="K155" s="4872" t="s">
        <v>14465</v>
      </c>
      <c r="L155" s="4872">
        <v>789189</v>
      </c>
      <c r="M155" s="6177">
        <v>44780</v>
      </c>
      <c r="N155" s="5500"/>
      <c r="O155" s="5500"/>
      <c r="P155" s="4873" t="s">
        <v>14466</v>
      </c>
      <c r="Q155" s="4873" t="s">
        <v>14312</v>
      </c>
      <c r="R155" s="4873"/>
      <c r="S155" s="4873"/>
      <c r="T155" s="4873"/>
      <c r="U155" s="4873" t="e">
        <v>#VALUE!</v>
      </c>
    </row>
    <row r="156" spans="1:21">
      <c r="A156" s="4895" t="s">
        <v>53</v>
      </c>
      <c r="B156" s="5168" t="s">
        <v>14469</v>
      </c>
      <c r="C156" s="4895" t="s">
        <v>28</v>
      </c>
      <c r="D156" s="5169">
        <v>44759</v>
      </c>
      <c r="E156" s="5590">
        <v>44781</v>
      </c>
      <c r="F156" s="4872" t="s">
        <v>245</v>
      </c>
      <c r="G156" s="4872" t="s">
        <v>361</v>
      </c>
      <c r="H156" s="6175"/>
      <c r="I156" s="6176"/>
      <c r="J156" s="6167" t="s">
        <v>32</v>
      </c>
      <c r="K156" s="4872" t="s">
        <v>14465</v>
      </c>
      <c r="L156" s="4872">
        <v>768743</v>
      </c>
      <c r="M156" s="6177">
        <v>44780</v>
      </c>
      <c r="N156" s="5500"/>
      <c r="O156" s="5500"/>
      <c r="P156" s="4873" t="s">
        <v>14466</v>
      </c>
      <c r="Q156" s="4873" t="s">
        <v>14312</v>
      </c>
      <c r="R156" s="4873"/>
      <c r="S156" s="4873"/>
      <c r="T156" s="4873"/>
      <c r="U156" s="4873" t="e">
        <v>#VALUE!</v>
      </c>
    </row>
    <row r="157" spans="1:21">
      <c r="A157" s="4895" t="s">
        <v>53</v>
      </c>
      <c r="B157" s="5168" t="s">
        <v>14470</v>
      </c>
      <c r="C157" s="4895" t="s">
        <v>28</v>
      </c>
      <c r="D157" s="5169">
        <v>44759</v>
      </c>
      <c r="E157" s="5590">
        <v>44781</v>
      </c>
      <c r="F157" s="4872" t="s">
        <v>245</v>
      </c>
      <c r="G157" s="4872" t="s">
        <v>361</v>
      </c>
      <c r="H157" s="6175"/>
      <c r="I157" s="6176"/>
      <c r="J157" s="6167" t="s">
        <v>32</v>
      </c>
      <c r="K157" s="4872" t="s">
        <v>14465</v>
      </c>
      <c r="L157" s="4872">
        <v>304177</v>
      </c>
      <c r="M157" s="6177">
        <v>44780</v>
      </c>
      <c r="N157" s="5500"/>
      <c r="O157" s="5500"/>
      <c r="P157" s="4873" t="s">
        <v>14466</v>
      </c>
      <c r="Q157" s="4873" t="s">
        <v>14312</v>
      </c>
      <c r="R157" s="4873"/>
      <c r="S157" s="4873"/>
      <c r="T157" s="4873"/>
      <c r="U157" s="4873" t="e">
        <v>#VALUE!</v>
      </c>
    </row>
    <row r="158" spans="1:21">
      <c r="A158" s="4895" t="s">
        <v>53</v>
      </c>
      <c r="B158" s="5168" t="s">
        <v>14471</v>
      </c>
      <c r="C158" s="4895" t="s">
        <v>28</v>
      </c>
      <c r="D158" s="5169">
        <v>44759</v>
      </c>
      <c r="E158" s="5590">
        <v>44781</v>
      </c>
      <c r="F158" s="4872" t="s">
        <v>245</v>
      </c>
      <c r="G158" s="4872" t="s">
        <v>361</v>
      </c>
      <c r="H158" s="6175"/>
      <c r="I158" s="6176"/>
      <c r="J158" s="6167" t="s">
        <v>32</v>
      </c>
      <c r="K158" s="4872" t="s">
        <v>14465</v>
      </c>
      <c r="L158" s="4872">
        <v>648959</v>
      </c>
      <c r="M158" s="6177">
        <v>44780</v>
      </c>
      <c r="N158" s="5500"/>
      <c r="O158" s="5500"/>
      <c r="P158" s="4873" t="s">
        <v>14466</v>
      </c>
      <c r="Q158" s="4873" t="s">
        <v>14312</v>
      </c>
      <c r="R158" s="4873"/>
      <c r="S158" s="4873"/>
      <c r="T158" s="4873"/>
      <c r="U158" s="4873" t="e">
        <v>#VALUE!</v>
      </c>
    </row>
    <row r="159" spans="1:21" s="26" customFormat="1">
      <c r="A159" s="3963" t="s">
        <v>53</v>
      </c>
      <c r="B159" s="3963" t="s">
        <v>14472</v>
      </c>
      <c r="C159" s="3963" t="s">
        <v>28</v>
      </c>
      <c r="D159" s="6134">
        <v>44759</v>
      </c>
      <c r="E159" s="6178">
        <v>44778</v>
      </c>
      <c r="F159" s="3703" t="s">
        <v>245</v>
      </c>
      <c r="G159" s="3703" t="s">
        <v>361</v>
      </c>
      <c r="H159" s="6179"/>
      <c r="I159" s="6180"/>
      <c r="J159" s="6181" t="s">
        <v>32</v>
      </c>
      <c r="K159" s="5497" t="s">
        <v>14465</v>
      </c>
      <c r="L159" s="5497">
        <v>234946</v>
      </c>
      <c r="M159" s="6182">
        <v>44783</v>
      </c>
      <c r="N159" s="6183"/>
      <c r="O159" s="6183"/>
      <c r="P159" s="6142" t="s">
        <v>14466</v>
      </c>
      <c r="Q159" s="6142" t="s">
        <v>14312</v>
      </c>
      <c r="R159" s="6142"/>
      <c r="S159" s="6142"/>
      <c r="T159" s="6142"/>
      <c r="U159" s="6142" t="e">
        <v>#VALUE!</v>
      </c>
    </row>
    <row r="160" spans="1:21" s="26" customFormat="1">
      <c r="A160" s="3963" t="s">
        <v>53</v>
      </c>
      <c r="B160" s="3963" t="s">
        <v>14473</v>
      </c>
      <c r="C160" s="3963" t="s">
        <v>28</v>
      </c>
      <c r="D160" s="6134">
        <v>44759</v>
      </c>
      <c r="E160" s="6178">
        <v>44780</v>
      </c>
      <c r="F160" s="3703" t="s">
        <v>245</v>
      </c>
      <c r="G160" s="3703" t="s">
        <v>361</v>
      </c>
      <c r="H160" s="6179"/>
      <c r="I160" s="6180"/>
      <c r="J160" s="6181" t="s">
        <v>32</v>
      </c>
      <c r="K160" s="5497" t="s">
        <v>14465</v>
      </c>
      <c r="L160" s="5497">
        <v>484106</v>
      </c>
      <c r="M160" s="6182">
        <v>44783</v>
      </c>
      <c r="N160" s="6182"/>
      <c r="O160" s="6183"/>
      <c r="P160" s="6142" t="s">
        <v>14466</v>
      </c>
      <c r="Q160" s="6142" t="s">
        <v>14312</v>
      </c>
      <c r="R160" s="6142"/>
      <c r="S160" s="6142"/>
      <c r="T160" s="6142"/>
      <c r="U160" s="6142" t="e">
        <v>#VALUE!</v>
      </c>
    </row>
    <row r="161" spans="1:21" s="26" customFormat="1" ht="17.25">
      <c r="A161" s="3241" t="s">
        <v>14474</v>
      </c>
      <c r="B161" s="3241" t="s">
        <v>14475</v>
      </c>
      <c r="C161" s="3241" t="s">
        <v>28</v>
      </c>
      <c r="D161" s="5169">
        <v>44815</v>
      </c>
      <c r="E161" s="5169">
        <v>44815</v>
      </c>
      <c r="F161" s="3673" t="s">
        <v>173</v>
      </c>
      <c r="G161" s="3673" t="s">
        <v>14476</v>
      </c>
      <c r="H161" s="4873"/>
      <c r="I161" s="4873"/>
      <c r="J161" s="4872" t="s">
        <v>1673</v>
      </c>
      <c r="K161" s="6184" t="s">
        <v>14477</v>
      </c>
      <c r="L161" s="4872"/>
      <c r="M161" s="5500" t="s">
        <v>14478</v>
      </c>
      <c r="N161" s="5500"/>
      <c r="O161" s="5500"/>
      <c r="P161" s="4873" t="s">
        <v>14479</v>
      </c>
      <c r="Q161" s="4873" t="s">
        <v>50</v>
      </c>
      <c r="R161" s="4873"/>
      <c r="S161" s="4873"/>
      <c r="T161" s="4873"/>
      <c r="U161" s="4873" t="e">
        <v>#VALUE!</v>
      </c>
    </row>
    <row r="162" spans="1:21">
      <c r="A162" s="4895" t="s">
        <v>11472</v>
      </c>
      <c r="B162" s="4895" t="s">
        <v>14480</v>
      </c>
      <c r="C162" s="4895" t="s">
        <v>85</v>
      </c>
      <c r="D162" s="5169">
        <v>44765</v>
      </c>
      <c r="E162" s="5169">
        <v>44795</v>
      </c>
      <c r="F162" s="4872" t="s">
        <v>173</v>
      </c>
      <c r="G162" s="4872" t="s">
        <v>361</v>
      </c>
      <c r="H162" s="5024"/>
      <c r="I162" s="4873"/>
      <c r="J162" s="4872" t="s">
        <v>14481</v>
      </c>
      <c r="K162" s="5957" t="s">
        <v>14482</v>
      </c>
      <c r="L162" s="6185"/>
      <c r="M162" s="5500"/>
      <c r="N162" s="5500"/>
      <c r="O162" s="5500"/>
      <c r="P162" s="4873" t="s">
        <v>14483</v>
      </c>
      <c r="Q162" s="4873" t="s">
        <v>14312</v>
      </c>
      <c r="R162" s="4873"/>
      <c r="S162" s="4873"/>
      <c r="T162" s="4873"/>
      <c r="U162" s="4873" t="e">
        <v>#VALUE!</v>
      </c>
    </row>
    <row r="163" spans="1:21">
      <c r="A163" s="4377" t="s">
        <v>14484</v>
      </c>
      <c r="B163" s="5283" t="s">
        <v>14485</v>
      </c>
      <c r="C163" s="5283" t="s">
        <v>28</v>
      </c>
      <c r="D163" s="5390">
        <v>44779</v>
      </c>
      <c r="E163" s="5390">
        <v>44793</v>
      </c>
      <c r="F163" s="4407" t="s">
        <v>1828</v>
      </c>
      <c r="G163" s="4407" t="s">
        <v>46</v>
      </c>
      <c r="H163" s="5523" t="s">
        <v>14486</v>
      </c>
      <c r="I163" s="4892"/>
      <c r="J163" s="5526" t="s">
        <v>32</v>
      </c>
      <c r="K163" s="4892" t="s">
        <v>14487</v>
      </c>
      <c r="L163" s="4892"/>
      <c r="M163" s="5523"/>
      <c r="N163" s="5523"/>
      <c r="O163" s="6043"/>
      <c r="P163" s="6186" t="s">
        <v>14488</v>
      </c>
      <c r="Q163" s="4661" t="s">
        <v>75</v>
      </c>
      <c r="R163" s="5876" t="s">
        <v>14296</v>
      </c>
      <c r="S163" s="4892"/>
      <c r="T163" s="4892"/>
      <c r="U163" s="4892" t="e">
        <v>#VALUE!</v>
      </c>
    </row>
    <row r="164" spans="1:21">
      <c r="A164" s="4377" t="s">
        <v>14484</v>
      </c>
      <c r="B164" s="5283" t="s">
        <v>14489</v>
      </c>
      <c r="C164" s="5283" t="s">
        <v>28</v>
      </c>
      <c r="D164" s="5390">
        <v>44779</v>
      </c>
      <c r="E164" s="5390">
        <v>44793</v>
      </c>
      <c r="F164" s="4407" t="s">
        <v>1828</v>
      </c>
      <c r="G164" s="4407" t="s">
        <v>46</v>
      </c>
      <c r="H164" s="5523" t="s">
        <v>14486</v>
      </c>
      <c r="I164" s="4892"/>
      <c r="J164" s="5526" t="s">
        <v>32</v>
      </c>
      <c r="K164" s="4892" t="s">
        <v>14487</v>
      </c>
      <c r="L164" s="4892"/>
      <c r="M164" s="5523"/>
      <c r="N164" s="5523"/>
      <c r="O164" s="6043"/>
      <c r="P164" s="6186" t="s">
        <v>14488</v>
      </c>
      <c r="Q164" s="4661" t="s">
        <v>75</v>
      </c>
      <c r="R164" s="5876" t="s">
        <v>14296</v>
      </c>
      <c r="S164" s="4892"/>
      <c r="T164" s="4892"/>
      <c r="U164" s="4892" t="e">
        <v>#VALUE!</v>
      </c>
    </row>
    <row r="165" spans="1:21">
      <c r="A165" s="4377" t="s">
        <v>14484</v>
      </c>
      <c r="B165" s="5283" t="s">
        <v>14490</v>
      </c>
      <c r="C165" s="5283" t="s">
        <v>28</v>
      </c>
      <c r="D165" s="5390">
        <v>44779</v>
      </c>
      <c r="E165" s="5390">
        <v>44793</v>
      </c>
      <c r="F165" s="4407" t="s">
        <v>1828</v>
      </c>
      <c r="G165" s="4407" t="s">
        <v>46</v>
      </c>
      <c r="H165" s="5523" t="s">
        <v>14486</v>
      </c>
      <c r="I165" s="4892"/>
      <c r="J165" s="5526" t="s">
        <v>32</v>
      </c>
      <c r="K165" s="4892" t="s">
        <v>14487</v>
      </c>
      <c r="L165" s="4892"/>
      <c r="M165" s="5523"/>
      <c r="N165" s="5523"/>
      <c r="O165" s="6043"/>
      <c r="P165" s="6186" t="s">
        <v>14488</v>
      </c>
      <c r="Q165" s="4661" t="s">
        <v>75</v>
      </c>
      <c r="R165" s="5876" t="s">
        <v>14296</v>
      </c>
      <c r="S165" s="4892"/>
      <c r="T165" s="4892"/>
      <c r="U165" s="4892" t="e">
        <v>#VALUE!</v>
      </c>
    </row>
    <row r="166" spans="1:21">
      <c r="A166" s="4377" t="s">
        <v>14484</v>
      </c>
      <c r="B166" s="5283" t="s">
        <v>14491</v>
      </c>
      <c r="C166" s="5283" t="s">
        <v>28</v>
      </c>
      <c r="D166" s="5390">
        <v>44779</v>
      </c>
      <c r="E166" s="5390">
        <v>44793</v>
      </c>
      <c r="F166" s="4407" t="s">
        <v>1828</v>
      </c>
      <c r="G166" s="4407" t="s">
        <v>46</v>
      </c>
      <c r="H166" s="5523" t="s">
        <v>14486</v>
      </c>
      <c r="I166" s="4892"/>
      <c r="J166" s="5526" t="s">
        <v>32</v>
      </c>
      <c r="K166" s="4892" t="s">
        <v>14487</v>
      </c>
      <c r="L166" s="4892"/>
      <c r="M166" s="5523"/>
      <c r="N166" s="5523"/>
      <c r="O166" s="6043"/>
      <c r="P166" s="6186" t="s">
        <v>14488</v>
      </c>
      <c r="Q166" s="4661" t="s">
        <v>75</v>
      </c>
      <c r="R166" s="5876" t="s">
        <v>14296</v>
      </c>
      <c r="S166" s="4892"/>
      <c r="T166" s="4892"/>
      <c r="U166" s="4892" t="e">
        <v>#VALUE!</v>
      </c>
    </row>
    <row r="167" spans="1:21">
      <c r="A167" s="4377" t="s">
        <v>14484</v>
      </c>
      <c r="B167" s="5283" t="s">
        <v>14492</v>
      </c>
      <c r="C167" s="5283" t="s">
        <v>28</v>
      </c>
      <c r="D167" s="5390">
        <v>44779</v>
      </c>
      <c r="E167" s="5390">
        <v>44793</v>
      </c>
      <c r="F167" s="4407" t="s">
        <v>1828</v>
      </c>
      <c r="G167" s="4407" t="s">
        <v>46</v>
      </c>
      <c r="H167" s="5523" t="s">
        <v>14486</v>
      </c>
      <c r="I167" s="4892"/>
      <c r="J167" s="5526" t="s">
        <v>32</v>
      </c>
      <c r="K167" s="4892" t="s">
        <v>14487</v>
      </c>
      <c r="L167" s="4892"/>
      <c r="M167" s="5523"/>
      <c r="N167" s="5523"/>
      <c r="O167" s="6043"/>
      <c r="P167" s="6186" t="s">
        <v>14488</v>
      </c>
      <c r="Q167" s="4661" t="s">
        <v>75</v>
      </c>
      <c r="R167" s="5876" t="s">
        <v>14296</v>
      </c>
      <c r="S167" s="4892"/>
      <c r="T167" s="4892"/>
      <c r="U167" s="4892" t="e">
        <v>#VALUE!</v>
      </c>
    </row>
    <row r="168" spans="1:21">
      <c r="A168" s="4377" t="s">
        <v>14484</v>
      </c>
      <c r="B168" s="5283" t="s">
        <v>14493</v>
      </c>
      <c r="C168" s="5283" t="s">
        <v>28</v>
      </c>
      <c r="D168" s="5390">
        <v>44785</v>
      </c>
      <c r="E168" s="5390">
        <v>44794</v>
      </c>
      <c r="F168" s="4407" t="s">
        <v>1828</v>
      </c>
      <c r="G168" s="4407" t="s">
        <v>46</v>
      </c>
      <c r="H168" s="5523" t="s">
        <v>14486</v>
      </c>
      <c r="I168" s="4892"/>
      <c r="J168" s="5526" t="s">
        <v>32</v>
      </c>
      <c r="K168" s="4892" t="s">
        <v>14487</v>
      </c>
      <c r="L168" s="4892"/>
      <c r="M168" s="5523"/>
      <c r="N168" s="5523"/>
      <c r="O168" s="6043"/>
      <c r="P168" s="6186" t="s">
        <v>14494</v>
      </c>
      <c r="Q168" s="4661" t="s">
        <v>75</v>
      </c>
      <c r="R168" s="5876" t="s">
        <v>14296</v>
      </c>
      <c r="S168" s="4892"/>
      <c r="T168" s="4892"/>
      <c r="U168" s="4892" t="e">
        <v>#VALUE!</v>
      </c>
    </row>
    <row r="169" spans="1:21">
      <c r="A169" s="4377" t="s">
        <v>14484</v>
      </c>
      <c r="B169" s="5283" t="s">
        <v>14495</v>
      </c>
      <c r="C169" s="5283" t="s">
        <v>28</v>
      </c>
      <c r="D169" s="5390">
        <v>44785</v>
      </c>
      <c r="E169" s="5390">
        <v>44794</v>
      </c>
      <c r="F169" s="4407" t="s">
        <v>1828</v>
      </c>
      <c r="G169" s="4407" t="s">
        <v>46</v>
      </c>
      <c r="H169" s="5523" t="s">
        <v>14486</v>
      </c>
      <c r="I169" s="4892"/>
      <c r="J169" s="5526" t="s">
        <v>32</v>
      </c>
      <c r="K169" s="4892" t="s">
        <v>14487</v>
      </c>
      <c r="L169" s="4892"/>
      <c r="M169" s="5523"/>
      <c r="N169" s="5523"/>
      <c r="O169" s="6043"/>
      <c r="P169" s="6186" t="s">
        <v>14494</v>
      </c>
      <c r="Q169" s="4661" t="s">
        <v>75</v>
      </c>
      <c r="R169" s="5876" t="s">
        <v>14296</v>
      </c>
      <c r="S169" s="4892"/>
      <c r="T169" s="4892"/>
      <c r="U169" s="4892" t="e">
        <v>#VALUE!</v>
      </c>
    </row>
    <row r="170" spans="1:21">
      <c r="A170" s="4377" t="s">
        <v>14484</v>
      </c>
      <c r="B170" s="5283" t="s">
        <v>14496</v>
      </c>
      <c r="C170" s="5283" t="s">
        <v>28</v>
      </c>
      <c r="D170" s="5390">
        <v>44785</v>
      </c>
      <c r="E170" s="5390">
        <v>44794</v>
      </c>
      <c r="F170" s="4407" t="s">
        <v>1828</v>
      </c>
      <c r="G170" s="4407" t="s">
        <v>46</v>
      </c>
      <c r="H170" s="5523" t="s">
        <v>14486</v>
      </c>
      <c r="I170" s="4892"/>
      <c r="J170" s="5526" t="s">
        <v>32</v>
      </c>
      <c r="K170" s="4892" t="s">
        <v>14487</v>
      </c>
      <c r="L170" s="4892"/>
      <c r="M170" s="5523"/>
      <c r="N170" s="5523"/>
      <c r="O170" s="6043"/>
      <c r="P170" s="6186" t="s">
        <v>14494</v>
      </c>
      <c r="Q170" s="4661" t="s">
        <v>75</v>
      </c>
      <c r="R170" s="5876" t="s">
        <v>14296</v>
      </c>
      <c r="S170" s="4892"/>
      <c r="T170" s="4892"/>
      <c r="U170" s="4892" t="e">
        <v>#VALUE!</v>
      </c>
    </row>
    <row r="171" spans="1:21">
      <c r="A171" s="4377" t="s">
        <v>14484</v>
      </c>
      <c r="B171" s="5283" t="s">
        <v>14497</v>
      </c>
      <c r="C171" s="5283" t="s">
        <v>28</v>
      </c>
      <c r="D171" s="5390">
        <v>44785</v>
      </c>
      <c r="E171" s="5390">
        <v>44794</v>
      </c>
      <c r="F171" s="4407" t="s">
        <v>1828</v>
      </c>
      <c r="G171" s="4407" t="s">
        <v>46</v>
      </c>
      <c r="H171" s="5523" t="s">
        <v>14486</v>
      </c>
      <c r="I171" s="4892"/>
      <c r="J171" s="5526" t="s">
        <v>32</v>
      </c>
      <c r="K171" s="4892" t="s">
        <v>14487</v>
      </c>
      <c r="L171" s="4892"/>
      <c r="M171" s="5523"/>
      <c r="N171" s="5523"/>
      <c r="O171" s="6043"/>
      <c r="P171" s="6186" t="s">
        <v>14494</v>
      </c>
      <c r="Q171" s="4661" t="s">
        <v>75</v>
      </c>
      <c r="R171" s="5876" t="s">
        <v>14296</v>
      </c>
      <c r="S171" s="4892"/>
      <c r="T171" s="4892"/>
      <c r="U171" s="4892" t="e">
        <v>#VALUE!</v>
      </c>
    </row>
    <row r="172" spans="1:21">
      <c r="A172" s="4377" t="s">
        <v>14484</v>
      </c>
      <c r="B172" s="5283" t="s">
        <v>14498</v>
      </c>
      <c r="C172" s="5283" t="s">
        <v>28</v>
      </c>
      <c r="D172" s="5390">
        <v>44785</v>
      </c>
      <c r="E172" s="5390">
        <v>44794</v>
      </c>
      <c r="F172" s="4407" t="s">
        <v>1828</v>
      </c>
      <c r="G172" s="4407" t="s">
        <v>46</v>
      </c>
      <c r="H172" s="5523" t="s">
        <v>14486</v>
      </c>
      <c r="I172" s="3368"/>
      <c r="J172" s="5526" t="s">
        <v>32</v>
      </c>
      <c r="K172" s="4892" t="s">
        <v>14487</v>
      </c>
      <c r="L172" s="3368"/>
      <c r="M172" s="3908"/>
      <c r="N172" s="3908"/>
      <c r="O172" s="3971"/>
      <c r="P172" s="6186" t="s">
        <v>14494</v>
      </c>
      <c r="Q172" s="4661" t="s">
        <v>75</v>
      </c>
      <c r="R172" s="5876" t="s">
        <v>14296</v>
      </c>
      <c r="S172" s="3368"/>
      <c r="T172" s="3368"/>
      <c r="U172" s="4892" t="e">
        <v>#VALUE!</v>
      </c>
    </row>
    <row r="173" spans="1:21">
      <c r="A173" s="3067" t="s">
        <v>14484</v>
      </c>
      <c r="B173" s="4377" t="s">
        <v>14499</v>
      </c>
      <c r="C173" s="5283" t="s">
        <v>28</v>
      </c>
      <c r="D173" s="5390">
        <v>44786</v>
      </c>
      <c r="E173" s="5390">
        <v>44796</v>
      </c>
      <c r="F173" s="4407" t="s">
        <v>93</v>
      </c>
      <c r="G173" s="4407" t="s">
        <v>46</v>
      </c>
      <c r="H173" s="5523" t="s">
        <v>14486</v>
      </c>
      <c r="I173" s="4892"/>
      <c r="J173" s="4428" t="s">
        <v>32</v>
      </c>
      <c r="K173" s="4892" t="s">
        <v>14487</v>
      </c>
      <c r="L173" s="4892"/>
      <c r="M173" s="5523"/>
      <c r="N173" s="5523"/>
      <c r="O173" s="5523"/>
      <c r="P173" s="4407" t="s">
        <v>14500</v>
      </c>
      <c r="Q173" s="5283" t="s">
        <v>75</v>
      </c>
      <c r="R173" s="5876" t="s">
        <v>14296</v>
      </c>
      <c r="S173" s="4892"/>
      <c r="T173" s="4892"/>
      <c r="U173" s="4892" t="e">
        <v>#VALUE!</v>
      </c>
    </row>
    <row r="174" spans="1:21">
      <c r="A174" s="3067" t="s">
        <v>14484</v>
      </c>
      <c r="B174" s="4377" t="s">
        <v>14501</v>
      </c>
      <c r="C174" s="5283" t="s">
        <v>28</v>
      </c>
      <c r="D174" s="5390">
        <v>44786</v>
      </c>
      <c r="E174" s="5390">
        <v>44796</v>
      </c>
      <c r="F174" s="4407" t="s">
        <v>93</v>
      </c>
      <c r="G174" s="4407" t="s">
        <v>46</v>
      </c>
      <c r="H174" s="5523" t="s">
        <v>14486</v>
      </c>
      <c r="I174" s="4892"/>
      <c r="J174" s="4428" t="s">
        <v>32</v>
      </c>
      <c r="K174" s="4892" t="s">
        <v>14487</v>
      </c>
      <c r="L174" s="4892"/>
      <c r="M174" s="5523"/>
      <c r="N174" s="5523"/>
      <c r="O174" s="5523"/>
      <c r="P174" s="3368" t="s">
        <v>14500</v>
      </c>
      <c r="Q174" s="5283" t="s">
        <v>75</v>
      </c>
      <c r="R174" s="5876" t="s">
        <v>14296</v>
      </c>
      <c r="S174" s="4892"/>
      <c r="T174" s="4892"/>
      <c r="U174" s="4892" t="e">
        <v>#VALUE!</v>
      </c>
    </row>
    <row r="175" spans="1:21">
      <c r="A175" s="3067" t="s">
        <v>14484</v>
      </c>
      <c r="B175" s="4377" t="s">
        <v>14502</v>
      </c>
      <c r="C175" s="5283" t="s">
        <v>28</v>
      </c>
      <c r="D175" s="5390">
        <v>44786</v>
      </c>
      <c r="E175" s="5390">
        <v>44796</v>
      </c>
      <c r="F175" s="4407" t="s">
        <v>93</v>
      </c>
      <c r="G175" s="4407" t="s">
        <v>46</v>
      </c>
      <c r="H175" s="5523" t="s">
        <v>14486</v>
      </c>
      <c r="I175" s="4892"/>
      <c r="J175" s="4428" t="s">
        <v>32</v>
      </c>
      <c r="K175" s="4892" t="s">
        <v>14487</v>
      </c>
      <c r="L175" s="4892"/>
      <c r="M175" s="5523"/>
      <c r="N175" s="5523"/>
      <c r="O175" s="5523"/>
      <c r="P175" s="3368" t="s">
        <v>14500</v>
      </c>
      <c r="Q175" s="5283" t="s">
        <v>75</v>
      </c>
      <c r="R175" s="5876" t="s">
        <v>14296</v>
      </c>
      <c r="S175" s="4892"/>
      <c r="T175" s="4892"/>
      <c r="U175" s="4892" t="e">
        <v>#VALUE!</v>
      </c>
    </row>
    <row r="176" spans="1:21">
      <c r="A176" s="3067" t="s">
        <v>14484</v>
      </c>
      <c r="B176" s="4377" t="s">
        <v>14503</v>
      </c>
      <c r="C176" s="5283" t="s">
        <v>28</v>
      </c>
      <c r="D176" s="5390">
        <v>44786</v>
      </c>
      <c r="E176" s="5390">
        <v>44796</v>
      </c>
      <c r="F176" s="4407" t="s">
        <v>93</v>
      </c>
      <c r="G176" s="4407" t="s">
        <v>46</v>
      </c>
      <c r="H176" s="5523" t="s">
        <v>14486</v>
      </c>
      <c r="I176" s="3368"/>
      <c r="J176" s="4428" t="s">
        <v>32</v>
      </c>
      <c r="K176" s="4892" t="s">
        <v>14487</v>
      </c>
      <c r="L176" s="3368"/>
      <c r="M176" s="3908"/>
      <c r="N176" s="5523"/>
      <c r="O176" s="3908"/>
      <c r="P176" s="3368" t="s">
        <v>14500</v>
      </c>
      <c r="Q176" s="5283" t="s">
        <v>75</v>
      </c>
      <c r="R176" s="5876" t="s">
        <v>14296</v>
      </c>
      <c r="S176" s="3368"/>
      <c r="T176" s="3368"/>
      <c r="U176" s="4892" t="e">
        <v>#VALUE!</v>
      </c>
    </row>
    <row r="177" spans="1:21">
      <c r="A177" s="4377" t="s">
        <v>14484</v>
      </c>
      <c r="B177" s="4377" t="s">
        <v>14504</v>
      </c>
      <c r="C177" s="3067" t="s">
        <v>28</v>
      </c>
      <c r="D177" s="5390">
        <v>44756</v>
      </c>
      <c r="E177" s="5390">
        <v>44793</v>
      </c>
      <c r="F177" s="4407" t="s">
        <v>1828</v>
      </c>
      <c r="G177" s="4407" t="s">
        <v>46</v>
      </c>
      <c r="H177" s="5523" t="s">
        <v>14486</v>
      </c>
      <c r="I177" s="6187"/>
      <c r="J177" s="6188" t="s">
        <v>32</v>
      </c>
      <c r="K177" s="4892" t="s">
        <v>14487</v>
      </c>
      <c r="L177" s="4892"/>
      <c r="M177" s="5523"/>
      <c r="N177" s="5523"/>
      <c r="O177" s="5523"/>
      <c r="P177" s="5876" t="s">
        <v>14505</v>
      </c>
      <c r="Q177" s="5876" t="s">
        <v>75</v>
      </c>
      <c r="R177" s="5876" t="s">
        <v>14296</v>
      </c>
      <c r="S177" s="4892"/>
      <c r="T177" s="4892"/>
      <c r="U177" s="4892" t="e">
        <v>#VALUE!</v>
      </c>
    </row>
    <row r="178" spans="1:21">
      <c r="A178" s="4377" t="s">
        <v>14484</v>
      </c>
      <c r="B178" s="4377" t="s">
        <v>14506</v>
      </c>
      <c r="C178" s="3067" t="s">
        <v>28</v>
      </c>
      <c r="D178" s="5390">
        <v>44756</v>
      </c>
      <c r="E178" s="5390">
        <v>44793</v>
      </c>
      <c r="F178" s="4407" t="s">
        <v>1828</v>
      </c>
      <c r="G178" s="4407" t="s">
        <v>46</v>
      </c>
      <c r="H178" s="5523" t="s">
        <v>14486</v>
      </c>
      <c r="I178" s="6187"/>
      <c r="J178" s="6188" t="s">
        <v>32</v>
      </c>
      <c r="K178" s="4892" t="s">
        <v>14487</v>
      </c>
      <c r="L178" s="4892"/>
      <c r="M178" s="5523"/>
      <c r="N178" s="5523"/>
      <c r="O178" s="5523"/>
      <c r="P178" s="5876" t="s">
        <v>14505</v>
      </c>
      <c r="Q178" s="5876" t="s">
        <v>75</v>
      </c>
      <c r="R178" s="5876" t="s">
        <v>14296</v>
      </c>
      <c r="S178" s="4892"/>
      <c r="T178" s="4892"/>
      <c r="U178" s="4892" t="e">
        <v>#VALUE!</v>
      </c>
    </row>
    <row r="179" spans="1:21">
      <c r="A179" s="4377" t="s">
        <v>14484</v>
      </c>
      <c r="B179" s="4377" t="s">
        <v>14507</v>
      </c>
      <c r="C179" s="3067" t="s">
        <v>28</v>
      </c>
      <c r="D179" s="5390">
        <v>44756</v>
      </c>
      <c r="E179" s="5390">
        <v>44793</v>
      </c>
      <c r="F179" s="4407" t="s">
        <v>1828</v>
      </c>
      <c r="G179" s="4407" t="s">
        <v>46</v>
      </c>
      <c r="H179" s="5523" t="s">
        <v>14486</v>
      </c>
      <c r="I179" s="6187"/>
      <c r="J179" s="6188" t="s">
        <v>32</v>
      </c>
      <c r="K179" s="4892" t="s">
        <v>14487</v>
      </c>
      <c r="L179" s="4892"/>
      <c r="M179" s="5523"/>
      <c r="N179" s="5523"/>
      <c r="O179" s="5523"/>
      <c r="P179" s="5876" t="s">
        <v>14505</v>
      </c>
      <c r="Q179" s="5876" t="s">
        <v>75</v>
      </c>
      <c r="R179" s="5876" t="s">
        <v>14296</v>
      </c>
      <c r="S179" s="4892"/>
      <c r="T179" s="4892"/>
      <c r="U179" s="4892" t="e">
        <v>#VALUE!</v>
      </c>
    </row>
    <row r="180" spans="1:21">
      <c r="A180" s="4377" t="s">
        <v>14484</v>
      </c>
      <c r="B180" s="4377" t="s">
        <v>14508</v>
      </c>
      <c r="C180" s="3067" t="s">
        <v>28</v>
      </c>
      <c r="D180" s="5390">
        <v>44758</v>
      </c>
      <c r="E180" s="5390">
        <v>44793</v>
      </c>
      <c r="F180" s="4407" t="s">
        <v>1828</v>
      </c>
      <c r="G180" s="4407" t="s">
        <v>46</v>
      </c>
      <c r="H180" s="6189">
        <v>44798</v>
      </c>
      <c r="I180" s="6187" t="s">
        <v>926</v>
      </c>
      <c r="J180" s="6188" t="s">
        <v>32</v>
      </c>
      <c r="K180" s="4892" t="s">
        <v>14487</v>
      </c>
      <c r="L180" s="4892"/>
      <c r="M180" s="5523"/>
      <c r="N180" s="5523"/>
      <c r="O180" s="5523"/>
      <c r="P180" s="5876" t="s">
        <v>14509</v>
      </c>
      <c r="Q180" s="5876" t="s">
        <v>75</v>
      </c>
      <c r="R180" s="5876" t="s">
        <v>14296</v>
      </c>
      <c r="S180" s="4892"/>
      <c r="T180" s="4892"/>
      <c r="U180" s="4892" t="e">
        <v>#VALUE!</v>
      </c>
    </row>
    <row r="181" spans="1:21">
      <c r="A181" s="4377" t="s">
        <v>14484</v>
      </c>
      <c r="B181" s="4377" t="s">
        <v>14510</v>
      </c>
      <c r="C181" s="3067" t="s">
        <v>28</v>
      </c>
      <c r="D181" s="5390">
        <v>44758</v>
      </c>
      <c r="E181" s="5390">
        <v>44793</v>
      </c>
      <c r="F181" s="4407" t="s">
        <v>1828</v>
      </c>
      <c r="G181" s="4407" t="s">
        <v>46</v>
      </c>
      <c r="H181" s="6189"/>
      <c r="I181" s="6187"/>
      <c r="J181" s="6188" t="s">
        <v>32</v>
      </c>
      <c r="K181" s="4892" t="s">
        <v>14487</v>
      </c>
      <c r="L181" s="4892"/>
      <c r="M181" s="5523"/>
      <c r="N181" s="5523"/>
      <c r="O181" s="5523"/>
      <c r="P181" s="5876" t="s">
        <v>14509</v>
      </c>
      <c r="Q181" s="5876" t="s">
        <v>75</v>
      </c>
      <c r="R181" s="5876" t="s">
        <v>14296</v>
      </c>
      <c r="S181" s="4892"/>
      <c r="T181" s="4892"/>
      <c r="U181" s="4892" t="e">
        <v>#VALUE!</v>
      </c>
    </row>
    <row r="182" spans="1:21">
      <c r="A182" s="4377" t="s">
        <v>14484</v>
      </c>
      <c r="B182" s="4377" t="s">
        <v>14511</v>
      </c>
      <c r="C182" s="3067" t="s">
        <v>28</v>
      </c>
      <c r="D182" s="5390">
        <v>44758</v>
      </c>
      <c r="E182" s="5390">
        <v>44793</v>
      </c>
      <c r="F182" s="4407" t="s">
        <v>1828</v>
      </c>
      <c r="G182" s="4407" t="s">
        <v>46</v>
      </c>
      <c r="H182" s="6189"/>
      <c r="I182" s="6187"/>
      <c r="J182" s="6188" t="s">
        <v>32</v>
      </c>
      <c r="K182" s="4892" t="s">
        <v>14487</v>
      </c>
      <c r="L182" s="4892"/>
      <c r="M182" s="5523"/>
      <c r="N182" s="5523"/>
      <c r="O182" s="5523"/>
      <c r="P182" s="5876" t="s">
        <v>14509</v>
      </c>
      <c r="Q182" s="5876" t="s">
        <v>75</v>
      </c>
      <c r="R182" s="5876" t="s">
        <v>14296</v>
      </c>
      <c r="S182" s="4892"/>
      <c r="T182" s="4892"/>
      <c r="U182" s="4892" t="e">
        <v>#VALUE!</v>
      </c>
    </row>
    <row r="183" spans="1:21">
      <c r="A183" s="4377" t="s">
        <v>14484</v>
      </c>
      <c r="B183" s="4377" t="s">
        <v>14512</v>
      </c>
      <c r="C183" s="3067" t="s">
        <v>28</v>
      </c>
      <c r="D183" s="5390">
        <v>44789</v>
      </c>
      <c r="E183" s="5390">
        <v>44794</v>
      </c>
      <c r="F183" s="4407" t="s">
        <v>245</v>
      </c>
      <c r="G183" s="4407" t="s">
        <v>361</v>
      </c>
      <c r="H183" s="6189"/>
      <c r="I183" s="6187"/>
      <c r="J183" s="6188" t="s">
        <v>32</v>
      </c>
      <c r="K183" s="4973" t="s">
        <v>14487</v>
      </c>
      <c r="L183" s="4892"/>
      <c r="M183" s="5523"/>
      <c r="N183" s="5523"/>
      <c r="O183" s="5523"/>
      <c r="P183" s="5876" t="s">
        <v>14513</v>
      </c>
      <c r="Q183" s="4407" t="s">
        <v>75</v>
      </c>
      <c r="R183" s="5876" t="s">
        <v>14296</v>
      </c>
      <c r="S183" s="4892"/>
      <c r="T183" s="4892"/>
      <c r="U183" s="4892" t="e">
        <v>#VALUE!</v>
      </c>
    </row>
    <row r="184" spans="1:21">
      <c r="A184" s="4377" t="s">
        <v>14484</v>
      </c>
      <c r="B184" s="4377" t="s">
        <v>14514</v>
      </c>
      <c r="C184" s="3067" t="s">
        <v>28</v>
      </c>
      <c r="D184" s="5390">
        <v>44789</v>
      </c>
      <c r="E184" s="5390">
        <v>44794</v>
      </c>
      <c r="F184" s="4407" t="s">
        <v>245</v>
      </c>
      <c r="G184" s="4407" t="s">
        <v>361</v>
      </c>
      <c r="H184" s="6189"/>
      <c r="I184" s="6187"/>
      <c r="J184" s="6188" t="s">
        <v>32</v>
      </c>
      <c r="K184" s="4973" t="s">
        <v>14487</v>
      </c>
      <c r="L184" s="4892"/>
      <c r="M184" s="5523"/>
      <c r="N184" s="5523"/>
      <c r="O184" s="5523"/>
      <c r="P184" s="5876" t="s">
        <v>14513</v>
      </c>
      <c r="Q184" s="4407" t="s">
        <v>75</v>
      </c>
      <c r="R184" s="5876" t="s">
        <v>14296</v>
      </c>
      <c r="S184" s="4892"/>
      <c r="T184" s="4892"/>
      <c r="U184" s="4892" t="e">
        <v>#VALUE!</v>
      </c>
    </row>
    <row r="185" spans="1:21">
      <c r="A185" s="4377" t="s">
        <v>14484</v>
      </c>
      <c r="B185" s="4377" t="s">
        <v>14515</v>
      </c>
      <c r="C185" s="3067" t="s">
        <v>28</v>
      </c>
      <c r="D185" s="5390">
        <v>44789</v>
      </c>
      <c r="E185" s="5390">
        <v>44794</v>
      </c>
      <c r="F185" s="4407" t="s">
        <v>245</v>
      </c>
      <c r="G185" s="4407" t="s">
        <v>361</v>
      </c>
      <c r="H185" s="6189"/>
      <c r="I185" s="6187"/>
      <c r="J185" s="6188" t="s">
        <v>32</v>
      </c>
      <c r="K185" s="4973" t="s">
        <v>14487</v>
      </c>
      <c r="L185" s="4892"/>
      <c r="M185" s="5523"/>
      <c r="N185" s="5523"/>
      <c r="O185" s="5523"/>
      <c r="P185" s="5876" t="s">
        <v>14513</v>
      </c>
      <c r="Q185" s="4407" t="s">
        <v>75</v>
      </c>
      <c r="R185" s="5876" t="s">
        <v>14296</v>
      </c>
      <c r="S185" s="4892"/>
      <c r="T185" s="4892"/>
      <c r="U185" s="4892" t="e">
        <v>#VALUE!</v>
      </c>
    </row>
    <row r="186" spans="1:21">
      <c r="A186" s="4377" t="s">
        <v>14484</v>
      </c>
      <c r="B186" s="4377" t="s">
        <v>14516</v>
      </c>
      <c r="C186" s="3067" t="s">
        <v>28</v>
      </c>
      <c r="D186" s="5390">
        <v>44789</v>
      </c>
      <c r="E186" s="5390">
        <v>44794</v>
      </c>
      <c r="F186" s="4407" t="s">
        <v>245</v>
      </c>
      <c r="G186" s="4407" t="s">
        <v>361</v>
      </c>
      <c r="H186" s="6189"/>
      <c r="I186" s="6187"/>
      <c r="J186" s="6188" t="s">
        <v>32</v>
      </c>
      <c r="K186" s="4973" t="s">
        <v>14487</v>
      </c>
      <c r="L186" s="4892"/>
      <c r="M186" s="5523"/>
      <c r="N186" s="5523"/>
      <c r="O186" s="5523"/>
      <c r="P186" s="5876" t="s">
        <v>14513</v>
      </c>
      <c r="Q186" s="4407" t="s">
        <v>75</v>
      </c>
      <c r="R186" s="5876" t="s">
        <v>14296</v>
      </c>
      <c r="S186" s="4892"/>
      <c r="T186" s="4892"/>
      <c r="U186" s="4892" t="e">
        <v>#VALUE!</v>
      </c>
    </row>
    <row r="187" spans="1:21">
      <c r="A187" s="4377" t="s">
        <v>14484</v>
      </c>
      <c r="B187" s="4377" t="s">
        <v>14517</v>
      </c>
      <c r="C187" s="3067" t="s">
        <v>28</v>
      </c>
      <c r="D187" s="5390">
        <v>44789</v>
      </c>
      <c r="E187" s="5390">
        <v>44794</v>
      </c>
      <c r="F187" s="4407" t="s">
        <v>245</v>
      </c>
      <c r="G187" s="4407" t="s">
        <v>361</v>
      </c>
      <c r="H187" s="6189"/>
      <c r="I187" s="6187"/>
      <c r="J187" s="6188" t="s">
        <v>32</v>
      </c>
      <c r="K187" s="4973" t="s">
        <v>14487</v>
      </c>
      <c r="L187" s="4892"/>
      <c r="M187" s="5523"/>
      <c r="N187" s="5523"/>
      <c r="O187" s="5523"/>
      <c r="P187" s="5876" t="s">
        <v>14513</v>
      </c>
      <c r="Q187" s="4407" t="s">
        <v>75</v>
      </c>
      <c r="R187" s="5876" t="s">
        <v>14296</v>
      </c>
      <c r="S187" s="4892"/>
      <c r="T187" s="4892"/>
      <c r="U187" s="4892" t="e">
        <v>#VALUE!</v>
      </c>
    </row>
    <row r="188" spans="1:21">
      <c r="A188" s="4377" t="s">
        <v>14484</v>
      </c>
      <c r="B188" s="4377" t="s">
        <v>14518</v>
      </c>
      <c r="C188" s="3067" t="s">
        <v>28</v>
      </c>
      <c r="D188" s="5390">
        <v>44789</v>
      </c>
      <c r="E188" s="5390">
        <v>44794</v>
      </c>
      <c r="F188" s="4407" t="s">
        <v>245</v>
      </c>
      <c r="G188" s="4407" t="s">
        <v>361</v>
      </c>
      <c r="H188" s="6189"/>
      <c r="I188" s="6187"/>
      <c r="J188" s="6188" t="s">
        <v>32</v>
      </c>
      <c r="K188" s="4973" t="s">
        <v>14487</v>
      </c>
      <c r="L188" s="4892"/>
      <c r="M188" s="5523"/>
      <c r="N188" s="5523"/>
      <c r="O188" s="5523"/>
      <c r="P188" s="4407" t="s">
        <v>14513</v>
      </c>
      <c r="Q188" s="4407" t="s">
        <v>75</v>
      </c>
      <c r="R188" s="5876" t="s">
        <v>14296</v>
      </c>
      <c r="S188" s="4892"/>
      <c r="T188" s="4892"/>
      <c r="U188" s="4892" t="e">
        <v>#VALUE!</v>
      </c>
    </row>
    <row r="189" spans="1:21">
      <c r="A189" s="4377" t="s">
        <v>14484</v>
      </c>
      <c r="B189" s="4377" t="s">
        <v>14519</v>
      </c>
      <c r="C189" s="3067" t="s">
        <v>28</v>
      </c>
      <c r="D189" s="5390">
        <v>44740</v>
      </c>
      <c r="E189" s="5390">
        <v>44793</v>
      </c>
      <c r="F189" s="4407" t="s">
        <v>93</v>
      </c>
      <c r="G189" s="4407" t="s">
        <v>46</v>
      </c>
      <c r="H189" s="6189"/>
      <c r="I189" s="6187"/>
      <c r="J189" s="6188" t="s">
        <v>32</v>
      </c>
      <c r="K189" s="4973" t="s">
        <v>14487</v>
      </c>
      <c r="L189" s="4892"/>
      <c r="M189" s="5523"/>
      <c r="N189" s="5523"/>
      <c r="O189" s="5523"/>
      <c r="P189" s="5876" t="s">
        <v>14520</v>
      </c>
      <c r="Q189" s="5876" t="s">
        <v>75</v>
      </c>
      <c r="R189" s="5876" t="s">
        <v>14296</v>
      </c>
      <c r="S189" s="4892"/>
      <c r="T189" s="4892"/>
      <c r="U189" s="4892" t="e">
        <v>#VALUE!</v>
      </c>
    </row>
    <row r="190" spans="1:21">
      <c r="A190" s="4377" t="s">
        <v>14484</v>
      </c>
      <c r="B190" s="4377" t="s">
        <v>14521</v>
      </c>
      <c r="C190" s="3067" t="s">
        <v>28</v>
      </c>
      <c r="D190" s="5390">
        <v>44740</v>
      </c>
      <c r="E190" s="5390">
        <v>44793</v>
      </c>
      <c r="F190" s="4407" t="s">
        <v>93</v>
      </c>
      <c r="G190" s="4407" t="s">
        <v>46</v>
      </c>
      <c r="H190" s="6189"/>
      <c r="I190" s="6187"/>
      <c r="J190" s="6188" t="s">
        <v>32</v>
      </c>
      <c r="K190" s="4973" t="s">
        <v>14487</v>
      </c>
      <c r="L190" s="4892"/>
      <c r="M190" s="5523"/>
      <c r="N190" s="5523"/>
      <c r="O190" s="5523"/>
      <c r="P190" s="5876" t="s">
        <v>14520</v>
      </c>
      <c r="Q190" s="5876" t="s">
        <v>75</v>
      </c>
      <c r="R190" s="5876" t="s">
        <v>14296</v>
      </c>
      <c r="S190" s="4892"/>
      <c r="T190" s="4892"/>
      <c r="U190" s="4892" t="e">
        <v>#VALUE!</v>
      </c>
    </row>
    <row r="191" spans="1:21">
      <c r="A191" s="4377" t="s">
        <v>14484</v>
      </c>
      <c r="B191" s="4377" t="s">
        <v>14522</v>
      </c>
      <c r="C191" s="3067" t="s">
        <v>28</v>
      </c>
      <c r="D191" s="5390">
        <v>44740</v>
      </c>
      <c r="E191" s="5390">
        <v>44793</v>
      </c>
      <c r="F191" s="4407" t="s">
        <v>93</v>
      </c>
      <c r="G191" s="4407" t="s">
        <v>46</v>
      </c>
      <c r="H191" s="6189"/>
      <c r="I191" s="6187"/>
      <c r="J191" s="6188" t="s">
        <v>32</v>
      </c>
      <c r="K191" s="4973" t="s">
        <v>14487</v>
      </c>
      <c r="L191" s="4892"/>
      <c r="M191" s="5523"/>
      <c r="N191" s="5523"/>
      <c r="O191" s="5523"/>
      <c r="P191" s="5876" t="s">
        <v>14520</v>
      </c>
      <c r="Q191" s="5876" t="s">
        <v>75</v>
      </c>
      <c r="R191" s="5876" t="s">
        <v>14296</v>
      </c>
      <c r="S191" s="4892"/>
      <c r="T191" s="4892"/>
      <c r="U191" s="4892" t="e">
        <v>#VALUE!</v>
      </c>
    </row>
    <row r="192" spans="1:21">
      <c r="A192" s="4377" t="s">
        <v>14484</v>
      </c>
      <c r="B192" s="4377" t="s">
        <v>14523</v>
      </c>
      <c r="C192" s="3067" t="s">
        <v>28</v>
      </c>
      <c r="D192" s="5390">
        <v>44740</v>
      </c>
      <c r="E192" s="5390">
        <v>44793</v>
      </c>
      <c r="F192" s="4407" t="s">
        <v>93</v>
      </c>
      <c r="G192" s="4407" t="s">
        <v>46</v>
      </c>
      <c r="H192" s="6189"/>
      <c r="I192" s="6187"/>
      <c r="J192" s="6188" t="s">
        <v>32</v>
      </c>
      <c r="K192" s="4973" t="s">
        <v>14487</v>
      </c>
      <c r="L192" s="4892"/>
      <c r="M192" s="5523"/>
      <c r="N192" s="5523"/>
      <c r="O192" s="5523"/>
      <c r="P192" s="5876" t="s">
        <v>14524</v>
      </c>
      <c r="Q192" s="5876" t="s">
        <v>75</v>
      </c>
      <c r="R192" s="5876" t="s">
        <v>14296</v>
      </c>
      <c r="S192" s="4892"/>
      <c r="T192" s="4892"/>
      <c r="U192" s="4892" t="e">
        <v>#VALUE!</v>
      </c>
    </row>
    <row r="193" spans="1:21">
      <c r="A193" s="4377" t="s">
        <v>14484</v>
      </c>
      <c r="B193" s="4377" t="s">
        <v>14525</v>
      </c>
      <c r="C193" s="3067" t="s">
        <v>28</v>
      </c>
      <c r="D193" s="5390">
        <v>44740</v>
      </c>
      <c r="E193" s="5390">
        <v>44793</v>
      </c>
      <c r="F193" s="4407" t="s">
        <v>93</v>
      </c>
      <c r="G193" s="4407" t="s">
        <v>46</v>
      </c>
      <c r="H193" s="6189"/>
      <c r="I193" s="6187"/>
      <c r="J193" s="6188" t="s">
        <v>32</v>
      </c>
      <c r="K193" s="4973" t="s">
        <v>14487</v>
      </c>
      <c r="L193" s="4892"/>
      <c r="M193" s="5523"/>
      <c r="N193" s="5523"/>
      <c r="O193" s="5523"/>
      <c r="P193" s="5876" t="s">
        <v>14524</v>
      </c>
      <c r="Q193" s="5876" t="s">
        <v>75</v>
      </c>
      <c r="R193" s="5876" t="s">
        <v>14296</v>
      </c>
      <c r="S193" s="4892"/>
      <c r="T193" s="4892"/>
      <c r="U193" s="4892" t="e">
        <v>#VALUE!</v>
      </c>
    </row>
    <row r="194" spans="1:21" s="106" customFormat="1">
      <c r="A194" s="4971" t="s">
        <v>14526</v>
      </c>
      <c r="B194" s="4971" t="s">
        <v>14527</v>
      </c>
      <c r="C194" s="4971" t="s">
        <v>28</v>
      </c>
      <c r="D194" s="4975">
        <v>44790</v>
      </c>
      <c r="E194" s="4975">
        <v>44803</v>
      </c>
      <c r="F194" s="4874" t="s">
        <v>245</v>
      </c>
      <c r="G194" s="4874" t="s">
        <v>361</v>
      </c>
      <c r="H194" s="6190"/>
      <c r="I194" s="6173"/>
      <c r="J194" s="6169" t="s">
        <v>32</v>
      </c>
      <c r="K194" s="5043" t="s">
        <v>14528</v>
      </c>
      <c r="L194" s="4971"/>
      <c r="M194" s="5086"/>
      <c r="N194" s="5086"/>
      <c r="O194" s="5086"/>
      <c r="P194" s="5049" t="s">
        <v>14529</v>
      </c>
      <c r="Q194" s="4971" t="s">
        <v>75</v>
      </c>
      <c r="R194" s="4971" t="s">
        <v>810</v>
      </c>
      <c r="S194" s="4971"/>
      <c r="T194" s="4874"/>
      <c r="U194" s="4874" t="e">
        <v>#VALUE!</v>
      </c>
    </row>
    <row r="195" spans="1:21" s="106" customFormat="1">
      <c r="A195" s="4874" t="s">
        <v>14526</v>
      </c>
      <c r="B195" s="4874" t="s">
        <v>14530</v>
      </c>
      <c r="C195" s="4874" t="s">
        <v>28</v>
      </c>
      <c r="D195" s="4975">
        <v>44795</v>
      </c>
      <c r="E195" s="4975">
        <v>44806</v>
      </c>
      <c r="F195" s="4971" t="s">
        <v>260</v>
      </c>
      <c r="G195" s="4971" t="s">
        <v>361</v>
      </c>
      <c r="H195" s="4975"/>
      <c r="I195" s="4874"/>
      <c r="J195" s="132"/>
      <c r="K195" s="5043" t="s">
        <v>14528</v>
      </c>
      <c r="L195" s="4874"/>
      <c r="M195" s="4975"/>
      <c r="N195" s="5024"/>
      <c r="O195" s="5024"/>
      <c r="P195" s="4152" t="s">
        <v>14531</v>
      </c>
      <c r="Q195" s="4874" t="s">
        <v>75</v>
      </c>
      <c r="R195" s="4874" t="s">
        <v>810</v>
      </c>
      <c r="S195" s="4874"/>
      <c r="T195" s="4874"/>
      <c r="U195" s="4874" t="e">
        <v>#VALUE!</v>
      </c>
    </row>
    <row r="196" spans="1:21">
      <c r="A196" s="5168" t="s">
        <v>14532</v>
      </c>
      <c r="B196" s="5168" t="s">
        <v>14533</v>
      </c>
      <c r="C196" s="4895" t="s">
        <v>28</v>
      </c>
      <c r="D196" s="5169">
        <v>44751</v>
      </c>
      <c r="E196" s="5590">
        <v>44785</v>
      </c>
      <c r="F196" s="4895" t="s">
        <v>2225</v>
      </c>
      <c r="G196" s="4895" t="s">
        <v>361</v>
      </c>
      <c r="H196" s="6168"/>
      <c r="I196" s="5169" t="s">
        <v>14534</v>
      </c>
      <c r="J196" s="6167" t="s">
        <v>14535</v>
      </c>
      <c r="K196" s="6135" t="s">
        <v>14536</v>
      </c>
      <c r="L196" s="4895">
        <v>228122</v>
      </c>
      <c r="M196" s="5590">
        <v>44787</v>
      </c>
      <c r="N196" s="5169">
        <v>44792</v>
      </c>
      <c r="O196" s="5169">
        <v>44798</v>
      </c>
      <c r="P196" s="4873" t="s">
        <v>14537</v>
      </c>
      <c r="Q196" s="4895" t="s">
        <v>14312</v>
      </c>
      <c r="R196" s="4895"/>
      <c r="S196" s="4895"/>
      <c r="T196" s="4873"/>
      <c r="U196" s="4873" t="e">
        <v>#VALUE!</v>
      </c>
    </row>
    <row r="197" spans="1:21">
      <c r="A197" s="5168" t="s">
        <v>14532</v>
      </c>
      <c r="B197" s="5168" t="s">
        <v>14538</v>
      </c>
      <c r="C197" s="4895" t="s">
        <v>28</v>
      </c>
      <c r="D197" s="5169">
        <v>44740</v>
      </c>
      <c r="E197" s="5590">
        <v>44785</v>
      </c>
      <c r="F197" s="4895" t="s">
        <v>2225</v>
      </c>
      <c r="G197" s="4895" t="s">
        <v>361</v>
      </c>
      <c r="H197" s="6168"/>
      <c r="I197" s="6167"/>
      <c r="J197" s="6167" t="s">
        <v>14535</v>
      </c>
      <c r="K197" s="6135" t="s">
        <v>14536</v>
      </c>
      <c r="L197" s="4895">
        <v>656457</v>
      </c>
      <c r="M197" s="5590">
        <v>44789</v>
      </c>
      <c r="N197" s="5169">
        <v>44792</v>
      </c>
      <c r="O197" s="6191">
        <v>44797</v>
      </c>
      <c r="P197" s="4873" t="s">
        <v>14537</v>
      </c>
      <c r="Q197" s="4895" t="s">
        <v>14312</v>
      </c>
      <c r="R197" s="4895"/>
      <c r="S197" s="4895"/>
      <c r="T197" s="4873"/>
      <c r="U197" s="4873" t="e">
        <v>#VALUE!</v>
      </c>
    </row>
    <row r="198" spans="1:21">
      <c r="A198" s="6192" t="s">
        <v>14539</v>
      </c>
      <c r="B198" s="6192">
        <v>2706099810</v>
      </c>
      <c r="C198" s="767" t="s">
        <v>85</v>
      </c>
      <c r="D198" s="6193"/>
      <c r="E198" s="6193"/>
      <c r="F198" s="6192"/>
      <c r="G198" s="6192"/>
      <c r="H198" s="6193"/>
      <c r="I198" s="6192" t="s">
        <v>14540</v>
      </c>
      <c r="J198" s="6192" t="s">
        <v>32</v>
      </c>
      <c r="K198" s="6194" t="s">
        <v>14541</v>
      </c>
      <c r="L198" s="6192"/>
      <c r="M198" s="6193"/>
      <c r="N198" s="6193"/>
      <c r="O198" s="6193"/>
      <c r="P198" s="6195"/>
      <c r="Q198" s="767" t="s">
        <v>14312</v>
      </c>
      <c r="R198" s="6193"/>
      <c r="S198" s="6193"/>
      <c r="T198" s="6195"/>
      <c r="U198" s="6196" t="e">
        <v>#VALUE!</v>
      </c>
    </row>
    <row r="199" spans="1:21" s="106" customFormat="1" ht="30">
      <c r="A199" s="4217" t="s">
        <v>14542</v>
      </c>
      <c r="B199" s="4217" t="s">
        <v>14543</v>
      </c>
      <c r="C199" s="4217" t="s">
        <v>28</v>
      </c>
      <c r="D199" s="3069">
        <v>44794</v>
      </c>
      <c r="E199" s="3550">
        <v>44807</v>
      </c>
      <c r="F199" s="4217" t="s">
        <v>45</v>
      </c>
      <c r="G199" s="4280" t="s">
        <v>46</v>
      </c>
      <c r="H199" s="3069"/>
      <c r="I199" s="3075"/>
      <c r="J199" s="3712"/>
      <c r="K199" s="3972" t="s">
        <v>14544</v>
      </c>
      <c r="L199" s="4217" t="s">
        <v>14545</v>
      </c>
      <c r="M199" s="3069"/>
      <c r="N199" s="3069"/>
      <c r="O199" s="3069"/>
      <c r="P199" s="4280" t="s">
        <v>14546</v>
      </c>
      <c r="Q199" s="4874" t="s">
        <v>75</v>
      </c>
      <c r="R199" s="4217" t="s">
        <v>810</v>
      </c>
      <c r="S199" s="3075"/>
      <c r="T199" s="3075"/>
      <c r="U199" s="3075"/>
    </row>
    <row r="200" spans="1:21">
      <c r="A200" s="6197" t="s">
        <v>3562</v>
      </c>
      <c r="B200" s="6197" t="s">
        <v>14547</v>
      </c>
      <c r="C200" s="6197" t="s">
        <v>44</v>
      </c>
      <c r="D200" s="6198"/>
      <c r="E200" s="6198">
        <v>44803</v>
      </c>
      <c r="F200" s="6197" t="s">
        <v>151</v>
      </c>
      <c r="G200" s="6197" t="s">
        <v>361</v>
      </c>
      <c r="H200" s="6198">
        <v>44806</v>
      </c>
      <c r="I200" s="6199">
        <v>0.66666666666666663</v>
      </c>
      <c r="J200" s="6200" t="s">
        <v>14548</v>
      </c>
      <c r="K200" s="6201" t="s">
        <v>14549</v>
      </c>
      <c r="L200" s="6202" t="s">
        <v>14550</v>
      </c>
      <c r="M200" s="6198">
        <v>44806</v>
      </c>
      <c r="N200" s="6198"/>
      <c r="O200" s="6198"/>
      <c r="P200" s="6203" t="s">
        <v>14551</v>
      </c>
      <c r="Q200" s="6198" t="s">
        <v>128</v>
      </c>
      <c r="R200" s="6198"/>
      <c r="S200" s="6198"/>
      <c r="T200" s="6203"/>
      <c r="U200" s="6204" t="e">
        <v>#VALUE!</v>
      </c>
    </row>
    <row r="201" spans="1:21">
      <c r="A201" s="6205" t="s">
        <v>14552</v>
      </c>
      <c r="B201" s="6205" t="s">
        <v>14553</v>
      </c>
      <c r="C201" s="6205" t="s">
        <v>28</v>
      </c>
      <c r="D201" s="6206">
        <v>44801</v>
      </c>
      <c r="E201" s="6206">
        <v>44808</v>
      </c>
      <c r="F201" s="6205" t="s">
        <v>63</v>
      </c>
      <c r="G201" s="6205" t="s">
        <v>14554</v>
      </c>
      <c r="H201" s="6206"/>
      <c r="I201" s="6205"/>
      <c r="J201" s="6205" t="s">
        <v>32</v>
      </c>
      <c r="K201" s="6205" t="s">
        <v>14555</v>
      </c>
      <c r="L201" s="6207"/>
      <c r="M201" s="6208"/>
      <c r="N201" s="6208"/>
      <c r="O201" s="6208"/>
      <c r="P201" s="6207" t="s">
        <v>14556</v>
      </c>
      <c r="Q201" s="6205" t="s">
        <v>35</v>
      </c>
      <c r="R201" s="6205" t="s">
        <v>14557</v>
      </c>
      <c r="S201" s="6205" t="s">
        <v>37</v>
      </c>
    </row>
    <row r="202" spans="1:21">
      <c r="A202" s="6197" t="s">
        <v>14552</v>
      </c>
      <c r="B202" s="6197" t="s">
        <v>14558</v>
      </c>
      <c r="C202" s="6197" t="s">
        <v>44</v>
      </c>
      <c r="D202" s="6198">
        <v>44774</v>
      </c>
      <c r="E202" s="6209">
        <v>44779</v>
      </c>
      <c r="F202" s="6197" t="s">
        <v>260</v>
      </c>
      <c r="G202" s="6197" t="s">
        <v>14559</v>
      </c>
      <c r="H202" s="6198"/>
      <c r="I202" s="6197"/>
      <c r="J202" s="6210" t="s">
        <v>32</v>
      </c>
      <c r="K202" s="6211" t="s">
        <v>14560</v>
      </c>
      <c r="L202" s="6212">
        <v>40705708</v>
      </c>
      <c r="M202" s="6209">
        <v>44803</v>
      </c>
      <c r="N202" s="6198"/>
      <c r="O202" s="6198"/>
      <c r="P202" s="6204" t="s">
        <v>14561</v>
      </c>
      <c r="Q202" s="6197" t="s">
        <v>35</v>
      </c>
      <c r="R202" s="6197" t="s">
        <v>14557</v>
      </c>
      <c r="S202" s="6197" t="s">
        <v>37</v>
      </c>
    </row>
    <row r="203" spans="1:21">
      <c r="A203" s="6197" t="s">
        <v>14552</v>
      </c>
      <c r="B203" s="6197" t="s">
        <v>14562</v>
      </c>
      <c r="C203" s="6197" t="s">
        <v>44</v>
      </c>
      <c r="D203" s="6198">
        <v>44774</v>
      </c>
      <c r="E203" s="6209">
        <v>44805</v>
      </c>
      <c r="F203" s="6197" t="s">
        <v>260</v>
      </c>
      <c r="G203" s="6197" t="s">
        <v>14559</v>
      </c>
      <c r="H203" s="6198"/>
      <c r="I203" s="6197"/>
      <c r="J203" s="6210" t="s">
        <v>32</v>
      </c>
      <c r="K203" s="6211" t="s">
        <v>14560</v>
      </c>
      <c r="L203" s="6197"/>
      <c r="M203" s="6198"/>
      <c r="N203" s="6198"/>
      <c r="O203" s="6198"/>
      <c r="P203" s="6204" t="s">
        <v>14563</v>
      </c>
      <c r="Q203" s="6197" t="s">
        <v>35</v>
      </c>
      <c r="R203" s="6197" t="s">
        <v>14557</v>
      </c>
      <c r="S203" s="6197" t="s">
        <v>37</v>
      </c>
    </row>
    <row r="204" spans="1:21">
      <c r="A204" s="6197" t="s">
        <v>14552</v>
      </c>
      <c r="B204" s="6197" t="s">
        <v>14564</v>
      </c>
      <c r="C204" s="6197" t="s">
        <v>44</v>
      </c>
      <c r="D204" s="6198">
        <v>44774</v>
      </c>
      <c r="E204" s="6209">
        <v>44805</v>
      </c>
      <c r="F204" s="6197" t="s">
        <v>260</v>
      </c>
      <c r="G204" s="6197" t="s">
        <v>14559</v>
      </c>
      <c r="H204" s="6198"/>
      <c r="I204" s="6197"/>
      <c r="J204" s="6210" t="s">
        <v>32</v>
      </c>
      <c r="K204" s="6211" t="s">
        <v>14560</v>
      </c>
      <c r="L204" s="6197"/>
      <c r="M204" s="6198"/>
      <c r="N204" s="6198"/>
      <c r="O204" s="6198"/>
      <c r="P204" s="6204" t="s">
        <v>14561</v>
      </c>
      <c r="Q204" s="6197" t="s">
        <v>35</v>
      </c>
      <c r="R204" s="6197" t="s">
        <v>14557</v>
      </c>
      <c r="S204" s="6197" t="s">
        <v>37</v>
      </c>
    </row>
    <row r="205" spans="1:21">
      <c r="A205" s="780" t="s">
        <v>14565</v>
      </c>
      <c r="B205" s="781" t="s">
        <v>14566</v>
      </c>
      <c r="C205" s="780" t="s">
        <v>28</v>
      </c>
      <c r="D205" s="782">
        <v>44781</v>
      </c>
      <c r="E205" s="783">
        <v>44796</v>
      </c>
      <c r="F205" s="780" t="s">
        <v>45</v>
      </c>
      <c r="G205" s="780" t="s">
        <v>46</v>
      </c>
      <c r="H205" s="780" t="s">
        <v>315</v>
      </c>
      <c r="I205" s="780" t="s">
        <v>315</v>
      </c>
      <c r="J205" s="784" t="s">
        <v>14567</v>
      </c>
      <c r="K205" s="785" t="s">
        <v>14568</v>
      </c>
      <c r="L205" s="786" t="s">
        <v>14569</v>
      </c>
      <c r="M205" s="783">
        <v>44798</v>
      </c>
      <c r="N205" s="780" t="s">
        <v>315</v>
      </c>
      <c r="O205" s="780" t="s">
        <v>315</v>
      </c>
      <c r="P205" s="780" t="s">
        <v>14570</v>
      </c>
      <c r="Q205" s="780" t="s">
        <v>35</v>
      </c>
      <c r="R205" s="781" t="s">
        <v>14557</v>
      </c>
      <c r="S205" s="780" t="s">
        <v>37</v>
      </c>
    </row>
    <row r="206" spans="1:21">
      <c r="A206" s="780" t="s">
        <v>14565</v>
      </c>
      <c r="B206" s="780" t="s">
        <v>14571</v>
      </c>
      <c r="C206" s="780" t="s">
        <v>28</v>
      </c>
      <c r="D206" s="782">
        <v>44781</v>
      </c>
      <c r="E206" s="783">
        <v>44797</v>
      </c>
      <c r="F206" s="780" t="s">
        <v>45</v>
      </c>
      <c r="G206" s="780" t="s">
        <v>46</v>
      </c>
      <c r="H206" s="780" t="s">
        <v>315</v>
      </c>
      <c r="I206" s="780" t="s">
        <v>315</v>
      </c>
      <c r="J206" s="787" t="s">
        <v>14567</v>
      </c>
      <c r="K206" s="788" t="s">
        <v>14568</v>
      </c>
      <c r="L206" s="786" t="s">
        <v>14572</v>
      </c>
      <c r="M206" s="786" t="s">
        <v>315</v>
      </c>
      <c r="N206" s="780" t="s">
        <v>315</v>
      </c>
      <c r="O206" s="780" t="s">
        <v>315</v>
      </c>
      <c r="P206" s="780" t="s">
        <v>14573</v>
      </c>
      <c r="Q206" s="780" t="s">
        <v>35</v>
      </c>
      <c r="R206" s="780" t="s">
        <v>14557</v>
      </c>
      <c r="S206" s="780" t="s">
        <v>37</v>
      </c>
    </row>
    <row r="207" spans="1:21">
      <c r="A207" s="780" t="s">
        <v>14565</v>
      </c>
      <c r="B207" s="780" t="s">
        <v>14574</v>
      </c>
      <c r="C207" s="780" t="s">
        <v>28</v>
      </c>
      <c r="D207" s="789">
        <v>44758</v>
      </c>
      <c r="E207" s="790">
        <v>44786</v>
      </c>
      <c r="F207" s="780" t="s">
        <v>45</v>
      </c>
      <c r="G207" s="780" t="s">
        <v>46</v>
      </c>
      <c r="H207" s="787" t="s">
        <v>315</v>
      </c>
      <c r="I207" s="787" t="s">
        <v>315</v>
      </c>
      <c r="J207" s="787" t="s">
        <v>14567</v>
      </c>
      <c r="K207" s="788" t="s">
        <v>14568</v>
      </c>
      <c r="L207" s="791" t="s">
        <v>14575</v>
      </c>
      <c r="M207" s="791" t="s">
        <v>14576</v>
      </c>
      <c r="N207" s="789">
        <v>44799</v>
      </c>
      <c r="O207" s="781" t="s">
        <v>315</v>
      </c>
      <c r="P207" s="780" t="s">
        <v>14577</v>
      </c>
      <c r="Q207" s="780" t="s">
        <v>35</v>
      </c>
      <c r="R207" s="781" t="s">
        <v>14557</v>
      </c>
      <c r="S207" s="781" t="s">
        <v>37</v>
      </c>
    </row>
    <row r="208" spans="1:21">
      <c r="A208" s="780" t="s">
        <v>14565</v>
      </c>
      <c r="B208" s="780" t="s">
        <v>14578</v>
      </c>
      <c r="C208" s="780" t="s">
        <v>28</v>
      </c>
      <c r="D208" s="789">
        <v>44781</v>
      </c>
      <c r="E208" s="790">
        <v>44796</v>
      </c>
      <c r="F208" s="780" t="s">
        <v>45</v>
      </c>
      <c r="G208" s="780" t="s">
        <v>46</v>
      </c>
      <c r="H208" s="781" t="s">
        <v>315</v>
      </c>
      <c r="I208" s="781" t="s">
        <v>315</v>
      </c>
      <c r="J208" s="787" t="s">
        <v>14567</v>
      </c>
      <c r="K208" s="788" t="s">
        <v>14568</v>
      </c>
      <c r="L208" s="791" t="s">
        <v>14579</v>
      </c>
      <c r="M208" s="791" t="s">
        <v>315</v>
      </c>
      <c r="N208" s="781" t="s">
        <v>315</v>
      </c>
      <c r="O208" s="781" t="s">
        <v>315</v>
      </c>
      <c r="P208" s="781" t="s">
        <v>14580</v>
      </c>
      <c r="Q208" s="781" t="s">
        <v>35</v>
      </c>
      <c r="R208" s="781" t="s">
        <v>14557</v>
      </c>
      <c r="S208" s="781" t="s">
        <v>37</v>
      </c>
    </row>
    <row r="209" spans="1:24">
      <c r="A209" s="780" t="s">
        <v>14565</v>
      </c>
      <c r="B209" s="781" t="s">
        <v>14581</v>
      </c>
      <c r="C209" s="780" t="s">
        <v>28</v>
      </c>
      <c r="D209" s="789">
        <v>44762</v>
      </c>
      <c r="E209" s="790">
        <v>44793</v>
      </c>
      <c r="F209" s="780" t="s">
        <v>45</v>
      </c>
      <c r="G209" s="780" t="s">
        <v>46</v>
      </c>
      <c r="H209" s="787" t="s">
        <v>315</v>
      </c>
      <c r="I209" s="787" t="s">
        <v>315</v>
      </c>
      <c r="J209" s="787" t="s">
        <v>14567</v>
      </c>
      <c r="K209" s="788" t="s">
        <v>14568</v>
      </c>
      <c r="L209" s="791" t="s">
        <v>14582</v>
      </c>
      <c r="M209" s="790">
        <v>44796</v>
      </c>
      <c r="N209" s="781" t="s">
        <v>315</v>
      </c>
      <c r="O209" s="781" t="s">
        <v>315</v>
      </c>
      <c r="P209" s="791" t="s">
        <v>14583</v>
      </c>
      <c r="Q209" s="781" t="s">
        <v>35</v>
      </c>
      <c r="R209" s="781" t="s">
        <v>14557</v>
      </c>
      <c r="S209" s="781" t="s">
        <v>37</v>
      </c>
    </row>
    <row r="210" spans="1:24">
      <c r="A210" s="780" t="s">
        <v>14565</v>
      </c>
      <c r="B210" s="780" t="s">
        <v>14584</v>
      </c>
      <c r="C210" s="780" t="s">
        <v>28</v>
      </c>
      <c r="D210" s="782">
        <v>44779</v>
      </c>
      <c r="E210" s="783">
        <v>44793</v>
      </c>
      <c r="F210" s="780" t="s">
        <v>45</v>
      </c>
      <c r="G210" s="780" t="s">
        <v>46</v>
      </c>
      <c r="H210" s="780" t="s">
        <v>315</v>
      </c>
      <c r="I210" s="780" t="s">
        <v>315</v>
      </c>
      <c r="J210" s="787" t="s">
        <v>14567</v>
      </c>
      <c r="K210" s="788" t="s">
        <v>14568</v>
      </c>
      <c r="L210" s="786" t="s">
        <v>14585</v>
      </c>
      <c r="M210" s="783">
        <v>44795</v>
      </c>
      <c r="N210" s="780" t="s">
        <v>315</v>
      </c>
      <c r="O210" s="780" t="s">
        <v>315</v>
      </c>
      <c r="P210" s="780" t="s">
        <v>14586</v>
      </c>
      <c r="Q210" s="780" t="s">
        <v>35</v>
      </c>
      <c r="R210" s="781" t="s">
        <v>14557</v>
      </c>
      <c r="S210" s="780" t="s">
        <v>37</v>
      </c>
    </row>
    <row r="211" spans="1:24" ht="30">
      <c r="A211" s="4895" t="s">
        <v>14587</v>
      </c>
      <c r="B211" s="4895" t="s">
        <v>14588</v>
      </c>
      <c r="C211" s="4874" t="s">
        <v>200</v>
      </c>
      <c r="D211" s="4975">
        <v>44829</v>
      </c>
      <c r="E211" s="4975">
        <v>44829</v>
      </c>
      <c r="F211" s="4895" t="s">
        <v>63</v>
      </c>
      <c r="G211" s="5122" t="s">
        <v>14589</v>
      </c>
      <c r="H211" s="4975"/>
      <c r="I211" s="4874"/>
      <c r="J211" s="4874"/>
      <c r="K211" s="4975" t="s">
        <v>14590</v>
      </c>
      <c r="L211" s="4874"/>
      <c r="M211" s="4874"/>
      <c r="N211" s="4975"/>
      <c r="O211" s="4975"/>
      <c r="P211" s="5120" t="s">
        <v>14591</v>
      </c>
      <c r="Q211" s="5120" t="s">
        <v>75</v>
      </c>
      <c r="R211" s="4874" t="s">
        <v>810</v>
      </c>
      <c r="S211" s="4874"/>
      <c r="T211" s="4874"/>
      <c r="U211" s="4874"/>
    </row>
    <row r="212" spans="1:24" s="106" customFormat="1">
      <c r="A212" s="3241" t="s">
        <v>14360</v>
      </c>
      <c r="B212" s="484" t="s">
        <v>14592</v>
      </c>
      <c r="C212" s="3241" t="s">
        <v>85</v>
      </c>
      <c r="D212" s="3243">
        <v>44782</v>
      </c>
      <c r="E212" s="3970">
        <v>44818</v>
      </c>
      <c r="F212" s="3241" t="s">
        <v>93</v>
      </c>
      <c r="G212" s="3241" t="s">
        <v>46</v>
      </c>
      <c r="H212" s="5169"/>
      <c r="I212" s="4895"/>
      <c r="J212" s="7" t="s">
        <v>490</v>
      </c>
      <c r="K212" s="763" t="s">
        <v>14593</v>
      </c>
      <c r="L212" s="4895" t="s">
        <v>14594</v>
      </c>
      <c r="M212" s="5312">
        <v>44824</v>
      </c>
      <c r="N212" s="5169"/>
      <c r="O212" s="5169"/>
      <c r="P212" s="3782" t="s">
        <v>14595</v>
      </c>
      <c r="Q212" s="3241" t="s">
        <v>14312</v>
      </c>
      <c r="R212" s="4874" t="s">
        <v>810</v>
      </c>
      <c r="S212" s="5169"/>
      <c r="T212" s="5024"/>
      <c r="U212" s="4873" t="e">
        <v>#VALUE!</v>
      </c>
    </row>
    <row r="213" spans="1:24" s="106" customFormat="1" ht="30">
      <c r="A213" s="792" t="s">
        <v>14596</v>
      </c>
      <c r="B213" s="3250" t="s">
        <v>14597</v>
      </c>
      <c r="C213" s="7" t="s">
        <v>44</v>
      </c>
      <c r="D213" s="3973">
        <v>44816</v>
      </c>
      <c r="E213" s="3973">
        <v>44824</v>
      </c>
      <c r="F213" s="3250" t="s">
        <v>167</v>
      </c>
      <c r="G213" s="797" t="s">
        <v>2696</v>
      </c>
      <c r="H213" s="793"/>
      <c r="I213" s="3250"/>
      <c r="J213" s="3298" t="s">
        <v>695</v>
      </c>
      <c r="K213" s="3974" t="s">
        <v>14598</v>
      </c>
      <c r="L213" s="3250"/>
      <c r="M213" s="3973"/>
      <c r="N213" s="3973"/>
      <c r="O213" s="3973"/>
      <c r="P213" s="3250" t="s">
        <v>14599</v>
      </c>
      <c r="Q213" s="3250" t="s">
        <v>50</v>
      </c>
      <c r="R213" s="3250"/>
      <c r="S213" s="3250"/>
      <c r="T213" s="3250"/>
      <c r="U213" s="3075"/>
    </row>
    <row r="214" spans="1:24" s="106" customFormat="1">
      <c r="A214" s="3241" t="s">
        <v>14600</v>
      </c>
      <c r="B214" s="3241" t="s">
        <v>14601</v>
      </c>
      <c r="C214" s="3241" t="s">
        <v>28</v>
      </c>
      <c r="D214" s="3243">
        <v>44804</v>
      </c>
      <c r="E214" s="3243">
        <v>44826</v>
      </c>
      <c r="F214" s="3241" t="s">
        <v>93</v>
      </c>
      <c r="G214" s="3241" t="s">
        <v>46</v>
      </c>
      <c r="H214" s="5169"/>
      <c r="I214" s="3243"/>
      <c r="J214" s="4895" t="s">
        <v>32</v>
      </c>
      <c r="K214" s="764" t="s">
        <v>14602</v>
      </c>
      <c r="L214" s="4895"/>
      <c r="M214" s="5169"/>
      <c r="N214" s="5169"/>
      <c r="O214" s="5169"/>
      <c r="P214" s="3782" t="s">
        <v>14603</v>
      </c>
      <c r="Q214" s="3241" t="s">
        <v>14312</v>
      </c>
      <c r="R214" s="4874" t="s">
        <v>810</v>
      </c>
      <c r="S214" s="5169"/>
      <c r="T214" s="5024"/>
      <c r="U214" s="4873" t="e">
        <v>#VALUE!</v>
      </c>
    </row>
    <row r="215" spans="1:24" s="106" customFormat="1">
      <c r="A215" s="3241" t="s">
        <v>14600</v>
      </c>
      <c r="B215" s="3241" t="s">
        <v>14604</v>
      </c>
      <c r="C215" s="3241" t="s">
        <v>28</v>
      </c>
      <c r="D215" s="3243">
        <v>44804</v>
      </c>
      <c r="E215" s="3243">
        <v>44837</v>
      </c>
      <c r="F215" s="3241" t="s">
        <v>245</v>
      </c>
      <c r="G215" s="3241" t="s">
        <v>57</v>
      </c>
      <c r="H215" s="3243"/>
      <c r="I215" s="3243"/>
      <c r="J215" s="4842" t="s">
        <v>32</v>
      </c>
      <c r="K215" s="764" t="s">
        <v>14602</v>
      </c>
      <c r="L215" s="3241"/>
      <c r="M215" s="3243"/>
      <c r="N215" s="3243"/>
      <c r="O215" s="3243"/>
      <c r="P215" s="3782" t="s">
        <v>14605</v>
      </c>
      <c r="Q215" s="3241" t="s">
        <v>14312</v>
      </c>
      <c r="R215" s="4874" t="s">
        <v>810</v>
      </c>
      <c r="S215" s="3243"/>
      <c r="T215" s="3782"/>
      <c r="U215" s="3255" t="e">
        <v>#VALUE!</v>
      </c>
    </row>
    <row r="216" spans="1:24" s="106" customFormat="1">
      <c r="A216" s="4563" t="s">
        <v>14484</v>
      </c>
      <c r="B216" s="4563" t="s">
        <v>14606</v>
      </c>
      <c r="C216" s="84" t="s">
        <v>28</v>
      </c>
      <c r="D216" s="3975">
        <v>44740</v>
      </c>
      <c r="E216" s="5169">
        <v>44833</v>
      </c>
      <c r="F216" s="4563" t="s">
        <v>93</v>
      </c>
      <c r="G216" s="4563" t="s">
        <v>46</v>
      </c>
      <c r="H216" s="801"/>
      <c r="I216" s="802"/>
      <c r="J216" s="805" t="s">
        <v>32</v>
      </c>
      <c r="K216" s="490" t="s">
        <v>14607</v>
      </c>
      <c r="L216" s="3241"/>
      <c r="M216" s="3243"/>
      <c r="N216" s="3243"/>
      <c r="O216" s="3243"/>
      <c r="P216" s="4217" t="s">
        <v>14608</v>
      </c>
      <c r="Q216" s="4574" t="s">
        <v>75</v>
      </c>
      <c r="R216" s="4874" t="s">
        <v>810</v>
      </c>
      <c r="S216" s="3075"/>
      <c r="T216" s="3075"/>
      <c r="U216" s="3075" t="e">
        <v>#VALUE!</v>
      </c>
    </row>
    <row r="217" spans="1:24" s="106" customFormat="1">
      <c r="A217" s="4213" t="s">
        <v>14484</v>
      </c>
      <c r="B217" s="3241" t="s">
        <v>14609</v>
      </c>
      <c r="C217" s="3241" t="s">
        <v>28</v>
      </c>
      <c r="D217" s="5169">
        <v>44740</v>
      </c>
      <c r="E217" s="5169">
        <v>44833</v>
      </c>
      <c r="F217" s="4213" t="s">
        <v>93</v>
      </c>
      <c r="G217" s="4213" t="s">
        <v>46</v>
      </c>
      <c r="H217" s="5590"/>
      <c r="I217" s="4895"/>
      <c r="J217" s="804" t="s">
        <v>32</v>
      </c>
      <c r="K217" s="485" t="s">
        <v>14607</v>
      </c>
      <c r="L217" s="4895"/>
      <c r="M217" s="5169"/>
      <c r="N217" s="5169"/>
      <c r="O217" s="5169"/>
      <c r="P217" s="4217" t="s">
        <v>14608</v>
      </c>
      <c r="Q217" s="4213" t="s">
        <v>75</v>
      </c>
      <c r="R217" s="4874" t="s">
        <v>810</v>
      </c>
      <c r="S217" s="3075"/>
      <c r="T217" s="4874"/>
      <c r="U217" s="4874" t="e">
        <v>#VALUE!</v>
      </c>
    </row>
    <row r="218" spans="1:24" s="106" customFormat="1">
      <c r="A218" s="3241" t="s">
        <v>14610</v>
      </c>
      <c r="B218" s="3241" t="s">
        <v>14611</v>
      </c>
      <c r="C218" s="3241" t="s">
        <v>200</v>
      </c>
      <c r="D218" s="3243">
        <v>44804</v>
      </c>
      <c r="E218" s="3242">
        <v>44826</v>
      </c>
      <c r="F218" s="3241" t="s">
        <v>167</v>
      </c>
      <c r="G218" s="3241" t="s">
        <v>46</v>
      </c>
      <c r="H218" s="3243"/>
      <c r="I218" s="3976"/>
      <c r="J218" s="6213" t="s">
        <v>32</v>
      </c>
      <c r="K218" s="764" t="s">
        <v>14612</v>
      </c>
      <c r="L218" s="3241"/>
      <c r="M218" s="3243"/>
      <c r="N218" s="3243"/>
      <c r="O218" s="3243"/>
      <c r="P218" s="3782" t="s">
        <v>14613</v>
      </c>
      <c r="Q218" s="3241" t="s">
        <v>14312</v>
      </c>
      <c r="R218" s="4874" t="s">
        <v>810</v>
      </c>
      <c r="S218" s="3243"/>
      <c r="T218" s="3782"/>
      <c r="U218" s="3255" t="e">
        <v>#VALUE!</v>
      </c>
    </row>
    <row r="219" spans="1:24" s="106" customFormat="1" ht="30">
      <c r="A219" s="4720" t="s">
        <v>14360</v>
      </c>
      <c r="B219" s="4874" t="s">
        <v>14614</v>
      </c>
      <c r="C219" s="4874" t="s">
        <v>200</v>
      </c>
      <c r="D219" s="4975">
        <v>44804</v>
      </c>
      <c r="E219" s="4975">
        <v>44826</v>
      </c>
      <c r="F219" s="4874" t="s">
        <v>167</v>
      </c>
      <c r="G219" s="5120" t="s">
        <v>14615</v>
      </c>
      <c r="H219" s="4975"/>
      <c r="I219" s="6214"/>
      <c r="J219" s="6215" t="s">
        <v>14616</v>
      </c>
      <c r="K219" s="5480" t="s">
        <v>14617</v>
      </c>
      <c r="L219" s="4874"/>
      <c r="M219" s="4975"/>
      <c r="N219" s="4975"/>
      <c r="O219" s="4975"/>
      <c r="P219" s="4975" t="s">
        <v>14618</v>
      </c>
      <c r="Q219" s="4895" t="s">
        <v>14312</v>
      </c>
      <c r="R219" s="4874" t="s">
        <v>810</v>
      </c>
      <c r="S219" s="5169"/>
      <c r="T219" s="4975"/>
      <c r="U219" s="5058">
        <v>0</v>
      </c>
      <c r="V219" s="26"/>
      <c r="W219" s="26"/>
      <c r="X219" s="26"/>
    </row>
    <row r="220" spans="1:24" s="106" customFormat="1" ht="30">
      <c r="A220" s="4720" t="s">
        <v>14360</v>
      </c>
      <c r="B220" s="4874" t="s">
        <v>14619</v>
      </c>
      <c r="C220" s="4874" t="s">
        <v>200</v>
      </c>
      <c r="D220" s="4975">
        <v>44804</v>
      </c>
      <c r="E220" s="4975">
        <v>44826</v>
      </c>
      <c r="F220" s="4874" t="s">
        <v>167</v>
      </c>
      <c r="G220" s="5120" t="s">
        <v>14615</v>
      </c>
      <c r="H220" s="4975"/>
      <c r="I220" s="6214"/>
      <c r="J220" s="6215" t="s">
        <v>14616</v>
      </c>
      <c r="K220" s="5480" t="s">
        <v>14620</v>
      </c>
      <c r="L220" s="4874"/>
      <c r="M220" s="4975"/>
      <c r="N220" s="4975"/>
      <c r="O220" s="4975"/>
      <c r="P220" s="4975" t="s">
        <v>14618</v>
      </c>
      <c r="Q220" s="4895" t="s">
        <v>14312</v>
      </c>
      <c r="R220" s="4874" t="s">
        <v>810</v>
      </c>
      <c r="S220" s="5169"/>
      <c r="T220" s="4975"/>
      <c r="U220" s="5058">
        <v>0</v>
      </c>
      <c r="V220" s="26"/>
      <c r="W220" s="26"/>
      <c r="X220" s="26"/>
    </row>
    <row r="221" spans="1:24" s="106" customFormat="1">
      <c r="A221" s="3977" t="s">
        <v>14621</v>
      </c>
      <c r="B221" s="3978" t="s">
        <v>14622</v>
      </c>
      <c r="C221" s="6216" t="s">
        <v>44</v>
      </c>
      <c r="D221" s="3979"/>
      <c r="E221" s="3979"/>
      <c r="F221" s="3978"/>
      <c r="G221" s="3980" t="s">
        <v>285</v>
      </c>
      <c r="H221" s="3979" t="s">
        <v>14623</v>
      </c>
      <c r="I221" s="3978" t="s">
        <v>14624</v>
      </c>
      <c r="J221" s="6217" t="s">
        <v>32</v>
      </c>
      <c r="K221" s="6218" t="s">
        <v>46</v>
      </c>
      <c r="L221" s="3978"/>
      <c r="M221" s="3979"/>
      <c r="N221" s="3979"/>
      <c r="O221" s="3979"/>
      <c r="P221" s="3978" t="s">
        <v>14622</v>
      </c>
      <c r="Q221" s="3981" t="s">
        <v>14312</v>
      </c>
      <c r="R221" s="3981"/>
      <c r="S221" s="3981"/>
      <c r="T221" s="3978"/>
      <c r="U221" s="3982"/>
    </row>
    <row r="222" spans="1:24" s="106" customFormat="1">
      <c r="A222" s="4214" t="s">
        <v>14360</v>
      </c>
      <c r="B222" s="3241" t="s">
        <v>14592</v>
      </c>
      <c r="C222" s="3241" t="s">
        <v>85</v>
      </c>
      <c r="D222" s="3243">
        <v>44782</v>
      </c>
      <c r="E222" s="3970">
        <v>44818</v>
      </c>
      <c r="F222" s="3241" t="s">
        <v>93</v>
      </c>
      <c r="G222" s="3295" t="s">
        <v>46</v>
      </c>
      <c r="H222" s="3243"/>
      <c r="I222" s="3241"/>
      <c r="J222" s="3241" t="s">
        <v>490</v>
      </c>
      <c r="K222" s="3983" t="s">
        <v>14593</v>
      </c>
      <c r="L222" s="3241" t="s">
        <v>14594</v>
      </c>
      <c r="M222" s="3970">
        <v>44824</v>
      </c>
      <c r="N222" s="3243"/>
      <c r="O222" s="3243"/>
      <c r="P222" s="3069" t="s">
        <v>14595</v>
      </c>
      <c r="Q222" s="4213" t="s">
        <v>14312</v>
      </c>
      <c r="R222" s="3243"/>
      <c r="S222" s="3243"/>
      <c r="T222" s="3243"/>
      <c r="U222" s="3298">
        <v>0</v>
      </c>
      <c r="V222" s="26"/>
      <c r="W222" s="26"/>
      <c r="X222" s="26"/>
    </row>
    <row r="223" spans="1:24" s="106" customFormat="1">
      <c r="A223" s="809" t="s">
        <v>14360</v>
      </c>
      <c r="B223" s="809" t="s">
        <v>14625</v>
      </c>
      <c r="C223" s="809" t="s">
        <v>44</v>
      </c>
      <c r="D223" s="810"/>
      <c r="E223" s="810"/>
      <c r="F223" s="809"/>
      <c r="G223" s="811" t="s">
        <v>285</v>
      </c>
      <c r="H223" s="810" t="s">
        <v>14626</v>
      </c>
      <c r="I223" s="812" t="s">
        <v>14627</v>
      </c>
      <c r="J223" s="809" t="s">
        <v>32</v>
      </c>
      <c r="K223" s="813" t="s">
        <v>46</v>
      </c>
      <c r="L223" s="809">
        <v>12590</v>
      </c>
      <c r="M223" s="810"/>
      <c r="N223" s="810"/>
      <c r="O223" s="810"/>
      <c r="P223" s="814" t="s">
        <v>14625</v>
      </c>
      <c r="Q223" s="809" t="s">
        <v>14312</v>
      </c>
      <c r="R223" s="810"/>
      <c r="S223" s="810"/>
      <c r="T223" s="810"/>
      <c r="U223" s="809">
        <v>0</v>
      </c>
    </row>
    <row r="224" spans="1:24" s="106" customFormat="1">
      <c r="A224" s="93" t="s">
        <v>14628</v>
      </c>
      <c r="B224" s="670" t="s">
        <v>14629</v>
      </c>
      <c r="C224" s="93" t="s">
        <v>44</v>
      </c>
      <c r="D224" s="315">
        <v>44844</v>
      </c>
      <c r="E224" s="315">
        <v>44859</v>
      </c>
      <c r="F224" s="93" t="s">
        <v>245</v>
      </c>
      <c r="G224" s="504" t="s">
        <v>57</v>
      </c>
      <c r="H224" s="815"/>
      <c r="I224" s="816"/>
      <c r="J224" s="93" t="s">
        <v>32</v>
      </c>
      <c r="K224" s="817" t="s">
        <v>14216</v>
      </c>
      <c r="L224" s="93"/>
      <c r="M224" s="815" t="s">
        <v>14630</v>
      </c>
      <c r="N224" s="818"/>
      <c r="O224" s="818"/>
      <c r="P224" s="93" t="s">
        <v>14631</v>
      </c>
      <c r="Q224" s="93" t="s">
        <v>75</v>
      </c>
      <c r="R224" s="93" t="s">
        <v>810</v>
      </c>
      <c r="S224" s="93"/>
      <c r="T224" s="93"/>
      <c r="U224" s="93"/>
    </row>
    <row r="225" spans="1:24" s="106" customFormat="1">
      <c r="A225" s="85" t="s">
        <v>53</v>
      </c>
      <c r="B225" s="85" t="s">
        <v>14632</v>
      </c>
      <c r="C225" s="85" t="s">
        <v>85</v>
      </c>
      <c r="D225" s="651">
        <v>44782</v>
      </c>
      <c r="E225" s="651">
        <v>44813</v>
      </c>
      <c r="F225" s="85" t="s">
        <v>245</v>
      </c>
      <c r="G225" s="850" t="s">
        <v>361</v>
      </c>
      <c r="H225" s="651"/>
      <c r="I225" s="651"/>
      <c r="J225" s="85" t="s">
        <v>10393</v>
      </c>
      <c r="K225" s="851" t="s">
        <v>14633</v>
      </c>
      <c r="L225" s="85"/>
      <c r="M225" s="651"/>
      <c r="N225" s="651"/>
      <c r="O225" s="651"/>
      <c r="P225" s="852" t="s">
        <v>14634</v>
      </c>
      <c r="Q225" s="85" t="s">
        <v>14312</v>
      </c>
      <c r="R225" s="651" t="s">
        <v>14635</v>
      </c>
      <c r="S225" s="651"/>
      <c r="T225" s="651"/>
      <c r="U225" s="85">
        <v>0</v>
      </c>
      <c r="V225" s="26"/>
      <c r="W225" s="26"/>
      <c r="X225" s="26"/>
    </row>
    <row r="226" spans="1:24" s="106" customFormat="1">
      <c r="A226" s="84" t="s">
        <v>14600</v>
      </c>
      <c r="B226" s="84" t="s">
        <v>14636</v>
      </c>
      <c r="C226" s="84" t="s">
        <v>85</v>
      </c>
      <c r="D226" s="315">
        <v>44815</v>
      </c>
      <c r="E226" s="315">
        <v>44851</v>
      </c>
      <c r="F226" s="93" t="s">
        <v>135</v>
      </c>
      <c r="G226" s="647" t="s">
        <v>57</v>
      </c>
      <c r="H226" s="818"/>
      <c r="I226" s="93"/>
      <c r="J226" s="84" t="s">
        <v>32</v>
      </c>
      <c r="K226" s="819" t="s">
        <v>14602</v>
      </c>
      <c r="L226" s="93"/>
      <c r="M226" s="818"/>
      <c r="N226" s="818"/>
      <c r="O226" s="818"/>
      <c r="P226" s="504" t="s">
        <v>14637</v>
      </c>
      <c r="Q226" s="84" t="s">
        <v>14312</v>
      </c>
      <c r="R226" s="84" t="s">
        <v>541</v>
      </c>
      <c r="S226" s="84"/>
      <c r="T226" s="93"/>
      <c r="U226" s="93"/>
    </row>
    <row r="227" spans="1:24">
      <c r="A227" s="84" t="s">
        <v>14638</v>
      </c>
      <c r="B227" s="84" t="s">
        <v>14639</v>
      </c>
      <c r="C227" s="84" t="s">
        <v>28</v>
      </c>
      <c r="D227" s="315">
        <v>44719</v>
      </c>
      <c r="E227" s="315">
        <v>44764</v>
      </c>
      <c r="F227" s="84" t="s">
        <v>56</v>
      </c>
      <c r="G227" s="84" t="s">
        <v>57</v>
      </c>
      <c r="H227" s="489"/>
      <c r="I227" s="802"/>
      <c r="J227" s="277" t="s">
        <v>32</v>
      </c>
      <c r="K227" s="229" t="s">
        <v>10424</v>
      </c>
      <c r="L227" s="84"/>
      <c r="M227" s="315"/>
      <c r="N227" s="315"/>
      <c r="O227" s="315"/>
      <c r="P227" s="93" t="s">
        <v>14640</v>
      </c>
      <c r="Q227" s="84" t="s">
        <v>35</v>
      </c>
      <c r="R227" s="84" t="s">
        <v>810</v>
      </c>
      <c r="S227" s="28"/>
      <c r="T227" s="28"/>
      <c r="U227" s="28"/>
    </row>
    <row r="228" spans="1:24" s="117" customFormat="1">
      <c r="A228" s="820" t="s">
        <v>14600</v>
      </c>
      <c r="B228" s="820" t="s">
        <v>14641</v>
      </c>
      <c r="C228" s="820" t="s">
        <v>85</v>
      </c>
      <c r="D228" s="315">
        <v>44815</v>
      </c>
      <c r="E228" s="315">
        <v>44851</v>
      </c>
      <c r="F228" s="93" t="s">
        <v>135</v>
      </c>
      <c r="G228" s="647" t="s">
        <v>57</v>
      </c>
      <c r="H228" s="818"/>
      <c r="I228" s="93"/>
      <c r="J228" s="84" t="s">
        <v>14481</v>
      </c>
      <c r="K228" s="819" t="s">
        <v>14642</v>
      </c>
      <c r="L228" s="93"/>
      <c r="M228" s="818"/>
      <c r="N228" s="818"/>
      <c r="O228" s="818"/>
      <c r="P228" s="504" t="s">
        <v>14643</v>
      </c>
      <c r="Q228" s="84" t="s">
        <v>14312</v>
      </c>
      <c r="R228" s="84" t="s">
        <v>810</v>
      </c>
      <c r="S228" s="84"/>
      <c r="T228" s="93"/>
      <c r="U228" s="93"/>
    </row>
    <row r="229" spans="1:24">
      <c r="A229" s="84" t="s">
        <v>14600</v>
      </c>
      <c r="B229" s="275" t="s">
        <v>14644</v>
      </c>
      <c r="C229" s="84" t="s">
        <v>28</v>
      </c>
      <c r="D229" s="315">
        <v>44815</v>
      </c>
      <c r="E229" s="315">
        <v>44851</v>
      </c>
      <c r="F229" s="821" t="s">
        <v>245</v>
      </c>
      <c r="G229" s="647" t="s">
        <v>57</v>
      </c>
      <c r="H229" s="821"/>
      <c r="I229" s="821"/>
      <c r="J229" s="821"/>
      <c r="K229" s="821" t="s">
        <v>14602</v>
      </c>
      <c r="L229" s="821"/>
      <c r="M229" s="821"/>
      <c r="N229" s="821"/>
      <c r="O229" s="821"/>
      <c r="P229" s="275" t="s">
        <v>14645</v>
      </c>
      <c r="Q229" s="84" t="s">
        <v>14312</v>
      </c>
      <c r="R229" s="84" t="s">
        <v>810</v>
      </c>
      <c r="S229" s="28"/>
      <c r="T229" s="28"/>
      <c r="U229" s="28"/>
    </row>
    <row r="230" spans="1:24" s="106" customFormat="1" ht="30">
      <c r="A230" s="3075" t="s">
        <v>14646</v>
      </c>
      <c r="B230" s="106" t="s">
        <v>14647</v>
      </c>
      <c r="C230" s="3075" t="s">
        <v>44</v>
      </c>
      <c r="D230" s="3069">
        <v>44871</v>
      </c>
      <c r="E230" s="3069">
        <v>44871</v>
      </c>
      <c r="F230" s="106" t="s">
        <v>14648</v>
      </c>
      <c r="G230" s="3984" t="s">
        <v>14649</v>
      </c>
      <c r="H230" s="3075"/>
      <c r="I230" s="3075"/>
      <c r="J230" s="3075" t="s">
        <v>14650</v>
      </c>
      <c r="K230" s="3972" t="s">
        <v>14651</v>
      </c>
      <c r="L230" s="3075"/>
      <c r="M230" s="3075"/>
      <c r="N230" s="3075"/>
      <c r="O230" s="3075"/>
      <c r="P230" s="106" t="s">
        <v>14652</v>
      </c>
      <c r="Q230" s="3075" t="s">
        <v>89</v>
      </c>
      <c r="R230" s="3075" t="s">
        <v>541</v>
      </c>
      <c r="S230" s="3075"/>
      <c r="T230" s="4874"/>
      <c r="U230" s="4874"/>
      <c r="V230" s="4874" t="e">
        <v>#VALUE!</v>
      </c>
      <c r="W230" s="6219" t="s">
        <v>12040</v>
      </c>
    </row>
    <row r="231" spans="1:24" s="106" customFormat="1" ht="30">
      <c r="A231" s="3075" t="s">
        <v>14646</v>
      </c>
      <c r="B231" s="106" t="s">
        <v>14653</v>
      </c>
      <c r="C231" s="3075" t="s">
        <v>44</v>
      </c>
      <c r="D231" s="3069">
        <v>44871</v>
      </c>
      <c r="E231" s="3069">
        <v>44871</v>
      </c>
      <c r="F231" s="106" t="s">
        <v>14648</v>
      </c>
      <c r="G231" s="3984" t="s">
        <v>14649</v>
      </c>
      <c r="H231" s="3075"/>
      <c r="I231" s="3075"/>
      <c r="J231" s="3075" t="s">
        <v>772</v>
      </c>
      <c r="K231" s="3972" t="s">
        <v>14651</v>
      </c>
      <c r="L231" s="3075"/>
      <c r="M231" s="3075"/>
      <c r="N231" s="3075"/>
      <c r="O231" s="3075"/>
      <c r="P231" s="106" t="s">
        <v>14652</v>
      </c>
      <c r="Q231" s="3075" t="s">
        <v>50</v>
      </c>
      <c r="R231" s="3075" t="s">
        <v>541</v>
      </c>
      <c r="S231" s="3075"/>
      <c r="T231" s="4874"/>
      <c r="U231" s="4874"/>
      <c r="V231" s="4874" t="e">
        <v>#VALUE!</v>
      </c>
      <c r="W231" s="6219" t="s">
        <v>12040</v>
      </c>
    </row>
    <row r="232" spans="1:24" s="106" customFormat="1">
      <c r="A232" s="3239" t="s">
        <v>14360</v>
      </c>
      <c r="B232" s="3985">
        <v>2707730640</v>
      </c>
      <c r="C232" s="3241" t="s">
        <v>28</v>
      </c>
      <c r="D232" s="3243"/>
      <c r="E232" s="3970"/>
      <c r="F232" s="4874" t="s">
        <v>151</v>
      </c>
      <c r="G232" s="3295" t="s">
        <v>46</v>
      </c>
      <c r="H232" s="3243" t="s">
        <v>14654</v>
      </c>
      <c r="I232" s="3241" t="s">
        <v>14655</v>
      </c>
      <c r="J232" s="3075" t="s">
        <v>32</v>
      </c>
      <c r="K232" s="3983" t="s">
        <v>14656</v>
      </c>
      <c r="L232" s="3241"/>
      <c r="M232" s="3970"/>
      <c r="N232" s="3243"/>
      <c r="O232" s="3243"/>
      <c r="P232" s="3075">
        <v>2707730640</v>
      </c>
      <c r="Q232" s="4895" t="s">
        <v>14312</v>
      </c>
      <c r="R232" s="3243"/>
      <c r="S232" s="3243"/>
      <c r="T232" s="3986"/>
      <c r="U232" s="3241"/>
      <c r="V232" s="3241" t="e">
        <v>#REF!</v>
      </c>
      <c r="W232" s="3987" t="s">
        <v>12040</v>
      </c>
    </row>
    <row r="233" spans="1:24" s="26" customFormat="1">
      <c r="A233" s="3988" t="s">
        <v>283</v>
      </c>
      <c r="B233" s="9" t="s">
        <v>14657</v>
      </c>
      <c r="C233" s="3988" t="s">
        <v>28</v>
      </c>
      <c r="D233" s="3989">
        <v>44863</v>
      </c>
      <c r="E233" s="3989">
        <v>44878</v>
      </c>
      <c r="F233" s="3988" t="s">
        <v>29</v>
      </c>
      <c r="G233" s="3988" t="s">
        <v>57</v>
      </c>
      <c r="H233" s="3988"/>
      <c r="I233" s="3988"/>
      <c r="J233" s="3990" t="s">
        <v>32</v>
      </c>
      <c r="K233" s="3929" t="s">
        <v>14658</v>
      </c>
      <c r="L233" s="3988"/>
      <c r="M233" s="3988"/>
      <c r="N233" s="3988"/>
      <c r="O233" s="3988"/>
      <c r="P233" s="39" t="s">
        <v>14659</v>
      </c>
      <c r="Q233" s="3988" t="s">
        <v>35</v>
      </c>
      <c r="R233" s="3988" t="s">
        <v>14660</v>
      </c>
      <c r="S233" s="3991" t="s">
        <v>37</v>
      </c>
      <c r="T233" s="3075"/>
      <c r="U233" s="3075"/>
      <c r="V233" s="3075"/>
      <c r="W233" s="3075"/>
    </row>
    <row r="234" spans="1:24" s="106" customFormat="1">
      <c r="A234" s="792" t="s">
        <v>14214</v>
      </c>
      <c r="B234" s="3992" t="s">
        <v>14661</v>
      </c>
      <c r="C234" s="3250" t="s">
        <v>28</v>
      </c>
      <c r="D234" s="3973">
        <v>44872</v>
      </c>
      <c r="E234" s="3973">
        <v>44887</v>
      </c>
      <c r="F234" s="3250" t="s">
        <v>245</v>
      </c>
      <c r="G234" s="3993" t="s">
        <v>57</v>
      </c>
      <c r="H234" s="3973">
        <v>44861</v>
      </c>
      <c r="I234" s="3250" t="s">
        <v>115</v>
      </c>
      <c r="J234" s="3994" t="s">
        <v>32</v>
      </c>
      <c r="K234" s="3995" t="s">
        <v>14216</v>
      </c>
      <c r="L234" s="3250"/>
      <c r="M234" s="3996" t="s">
        <v>14662</v>
      </c>
      <c r="N234" s="3250"/>
      <c r="O234" s="3307"/>
      <c r="P234" s="3997" t="s">
        <v>14663</v>
      </c>
      <c r="Q234" s="3250" t="s">
        <v>75</v>
      </c>
      <c r="R234" s="4892" t="s">
        <v>14296</v>
      </c>
      <c r="S234" s="3250"/>
      <c r="T234" s="3250"/>
      <c r="U234" s="3250"/>
      <c r="V234" s="3250" t="e">
        <v>#REF!</v>
      </c>
      <c r="W234" s="3998" t="s">
        <v>12040</v>
      </c>
    </row>
    <row r="235" spans="1:24">
      <c r="A235" s="6197" t="s">
        <v>14664</v>
      </c>
      <c r="B235" s="6197" t="s">
        <v>14665</v>
      </c>
      <c r="C235" s="6197" t="s">
        <v>451</v>
      </c>
      <c r="D235" s="6198">
        <v>44814</v>
      </c>
      <c r="E235" s="6209">
        <v>44865</v>
      </c>
      <c r="F235" s="6197" t="s">
        <v>135</v>
      </c>
      <c r="G235" s="6197" t="s">
        <v>46</v>
      </c>
      <c r="H235" s="6198"/>
      <c r="I235" s="6197"/>
      <c r="J235" s="6220" t="s">
        <v>32</v>
      </c>
      <c r="K235" s="5974" t="s">
        <v>14666</v>
      </c>
      <c r="L235" s="6197"/>
      <c r="M235" s="6209"/>
      <c r="N235" s="6198"/>
      <c r="O235" s="6198"/>
      <c r="P235" s="6221" t="s">
        <v>14667</v>
      </c>
      <c r="Q235" s="6197" t="s">
        <v>35</v>
      </c>
      <c r="R235" s="6198" t="s">
        <v>14668</v>
      </c>
      <c r="S235" s="6198" t="s">
        <v>37</v>
      </c>
    </row>
    <row r="236" spans="1:24">
      <c r="A236" s="3988" t="s">
        <v>14664</v>
      </c>
      <c r="B236" s="3988" t="s">
        <v>14669</v>
      </c>
      <c r="C236" s="3988" t="s">
        <v>451</v>
      </c>
      <c r="D236" s="3991">
        <v>44870</v>
      </c>
      <c r="E236" s="3991">
        <v>44874</v>
      </c>
      <c r="F236" s="3988" t="s">
        <v>135</v>
      </c>
      <c r="G236" s="3988" t="s">
        <v>57</v>
      </c>
      <c r="H236" s="3949"/>
      <c r="I236" s="3949"/>
      <c r="J236" s="3999" t="s">
        <v>32</v>
      </c>
      <c r="K236" s="3929" t="s">
        <v>14666</v>
      </c>
      <c r="L236" s="3988"/>
      <c r="M236" s="3988"/>
      <c r="N236" s="3988"/>
      <c r="O236" s="3988"/>
      <c r="P236" s="3949" t="s">
        <v>14670</v>
      </c>
      <c r="Q236" s="3988" t="s">
        <v>35</v>
      </c>
      <c r="R236" s="3988" t="s">
        <v>14660</v>
      </c>
      <c r="S236" s="3991" t="s">
        <v>37</v>
      </c>
    </row>
    <row r="237" spans="1:24" s="106" customFormat="1">
      <c r="A237" s="84" t="s">
        <v>53</v>
      </c>
      <c r="B237" s="3241" t="s">
        <v>14671</v>
      </c>
      <c r="C237" s="3241" t="s">
        <v>85</v>
      </c>
      <c r="D237" s="3243">
        <v>44883</v>
      </c>
      <c r="E237" s="3243">
        <v>44892</v>
      </c>
      <c r="F237" s="4895" t="s">
        <v>245</v>
      </c>
      <c r="G237" s="5122" t="s">
        <v>57</v>
      </c>
      <c r="H237" s="3069"/>
      <c r="I237" s="84"/>
      <c r="J237" s="3241" t="s">
        <v>32</v>
      </c>
      <c r="K237" s="3983" t="s">
        <v>14672</v>
      </c>
      <c r="L237" s="3075"/>
      <c r="M237" s="3651"/>
      <c r="N237" s="3069"/>
      <c r="O237" s="3069"/>
      <c r="P237" s="3857" t="s">
        <v>14673</v>
      </c>
      <c r="Q237" s="4895" t="s">
        <v>14312</v>
      </c>
      <c r="R237" s="3069"/>
      <c r="S237" s="3069"/>
      <c r="T237" s="4000"/>
      <c r="U237" s="4000"/>
      <c r="V237" s="4001"/>
      <c r="W237" s="4000" t="e">
        <v>#REF!</v>
      </c>
      <c r="X237" s="3998" t="s">
        <v>542</v>
      </c>
    </row>
    <row r="238" spans="1:24">
      <c r="A238" s="4895" t="s">
        <v>14674</v>
      </c>
      <c r="B238" s="4895" t="s">
        <v>14675</v>
      </c>
      <c r="C238" s="4895" t="s">
        <v>28</v>
      </c>
      <c r="D238" s="5169">
        <v>44857</v>
      </c>
      <c r="E238" s="5169">
        <v>44877</v>
      </c>
      <c r="F238" s="4895" t="s">
        <v>63</v>
      </c>
      <c r="G238" s="6135" t="s">
        <v>14676</v>
      </c>
      <c r="H238" s="5169"/>
      <c r="I238" s="4895"/>
      <c r="J238" s="5171" t="s">
        <v>14677</v>
      </c>
      <c r="K238" s="6118" t="s">
        <v>14678</v>
      </c>
      <c r="L238" s="4895"/>
      <c r="M238" s="4895"/>
      <c r="N238" s="4895"/>
      <c r="O238" s="4895"/>
      <c r="P238" s="5611" t="s">
        <v>14679</v>
      </c>
      <c r="Q238" s="4895" t="s">
        <v>35</v>
      </c>
      <c r="R238" s="4895" t="s">
        <v>14668</v>
      </c>
      <c r="S238" s="5169" t="s">
        <v>37</v>
      </c>
    </row>
    <row r="239" spans="1:24">
      <c r="A239" s="4895" t="s">
        <v>14674</v>
      </c>
      <c r="B239" s="4895" t="s">
        <v>14680</v>
      </c>
      <c r="C239" s="4895" t="s">
        <v>28</v>
      </c>
      <c r="D239" s="5169">
        <v>44857</v>
      </c>
      <c r="E239" s="6191">
        <v>44876</v>
      </c>
      <c r="F239" s="4895" t="s">
        <v>63</v>
      </c>
      <c r="G239" s="6135" t="s">
        <v>361</v>
      </c>
      <c r="H239" s="5169"/>
      <c r="I239" s="4895"/>
      <c r="J239" s="5171" t="s">
        <v>297</v>
      </c>
      <c r="K239" s="6118" t="s">
        <v>14681</v>
      </c>
      <c r="L239" s="4895"/>
      <c r="M239" s="4895"/>
      <c r="N239" s="4895"/>
      <c r="O239" s="5169"/>
      <c r="P239" s="4873" t="s">
        <v>14682</v>
      </c>
      <c r="Q239" s="4895" t="s">
        <v>35</v>
      </c>
      <c r="R239" s="4895" t="s">
        <v>14668</v>
      </c>
      <c r="S239" s="5169" t="s">
        <v>37</v>
      </c>
    </row>
    <row r="240" spans="1:24" s="52" customFormat="1" ht="30">
      <c r="A240" s="704" t="s">
        <v>61</v>
      </c>
      <c r="B240" s="759" t="s">
        <v>14683</v>
      </c>
      <c r="C240" s="704" t="s">
        <v>28</v>
      </c>
      <c r="D240" s="866">
        <v>44916</v>
      </c>
      <c r="E240" s="866"/>
      <c r="F240" s="704" t="s">
        <v>167</v>
      </c>
      <c r="G240" s="4002" t="s">
        <v>14684</v>
      </c>
      <c r="H240" s="704"/>
      <c r="I240" s="704"/>
      <c r="J240" s="867"/>
      <c r="K240" s="868" t="s">
        <v>14685</v>
      </c>
      <c r="L240" s="704"/>
      <c r="M240" s="704"/>
      <c r="N240" s="704"/>
      <c r="O240" s="704"/>
      <c r="P240" s="704" t="s">
        <v>14686</v>
      </c>
      <c r="Q240" s="704" t="s">
        <v>75</v>
      </c>
      <c r="R240" s="704"/>
      <c r="S240" s="866"/>
      <c r="T240" s="704"/>
      <c r="U240" s="704"/>
      <c r="V240" s="704"/>
      <c r="W240" s="704" t="e">
        <v>#REF!</v>
      </c>
      <c r="X240" s="705" t="s">
        <v>542</v>
      </c>
    </row>
    <row r="241" spans="1:24" s="52" customFormat="1" ht="30">
      <c r="A241" s="704" t="s">
        <v>61</v>
      </c>
      <c r="B241" s="759" t="s">
        <v>14687</v>
      </c>
      <c r="C241" s="704" t="s">
        <v>28</v>
      </c>
      <c r="D241" s="866">
        <v>44916</v>
      </c>
      <c r="E241" s="866"/>
      <c r="F241" s="704" t="s">
        <v>167</v>
      </c>
      <c r="G241" s="871" t="s">
        <v>14684</v>
      </c>
      <c r="H241" s="704"/>
      <c r="I241" s="704"/>
      <c r="J241" s="867"/>
      <c r="K241" s="868" t="s">
        <v>14685</v>
      </c>
      <c r="L241" s="704"/>
      <c r="M241" s="704"/>
      <c r="N241" s="704"/>
      <c r="O241" s="704"/>
      <c r="P241" s="704" t="s">
        <v>14688</v>
      </c>
      <c r="Q241" s="704" t="s">
        <v>75</v>
      </c>
      <c r="R241" s="704"/>
      <c r="S241" s="866"/>
      <c r="T241" s="704"/>
      <c r="U241" s="704"/>
      <c r="V241" s="704"/>
      <c r="W241" s="704" t="e">
        <v>#REF!</v>
      </c>
      <c r="X241" s="705" t="s">
        <v>542</v>
      </c>
    </row>
    <row r="242" spans="1:24" s="106" customFormat="1" ht="30">
      <c r="A242" s="3250" t="s">
        <v>14587</v>
      </c>
      <c r="B242" s="657" t="s">
        <v>14689</v>
      </c>
      <c r="C242" s="116" t="s">
        <v>28</v>
      </c>
      <c r="D242" s="862">
        <v>44935</v>
      </c>
      <c r="E242" s="869">
        <v>44938</v>
      </c>
      <c r="F242" s="116" t="s">
        <v>135</v>
      </c>
      <c r="G242" s="122" t="s">
        <v>14690</v>
      </c>
      <c r="H242" s="862"/>
      <c r="I242" s="864"/>
      <c r="J242" s="878"/>
      <c r="K242" s="863" t="s">
        <v>14691</v>
      </c>
      <c r="L242" s="874"/>
      <c r="M242" s="873"/>
      <c r="N242" s="870"/>
      <c r="O242"/>
      <c r="P242" s="865" t="s">
        <v>14692</v>
      </c>
      <c r="Q242" s="645" t="s">
        <v>75</v>
      </c>
      <c r="R242" s="645" t="s">
        <v>810</v>
      </c>
      <c r="S242" s="862"/>
      <c r="T242" s="645"/>
      <c r="U242" s="146"/>
      <c r="V242" s="146"/>
      <c r="W242" s="645" t="e">
        <v>#REF!</v>
      </c>
      <c r="X242" s="875" t="s">
        <v>542</v>
      </c>
    </row>
    <row r="243" spans="1:24" s="106" customFormat="1" ht="30">
      <c r="A243" s="3250" t="s">
        <v>14587</v>
      </c>
      <c r="B243" s="657" t="s">
        <v>14693</v>
      </c>
      <c r="C243" s="116" t="s">
        <v>28</v>
      </c>
      <c r="D243" s="862">
        <v>44935</v>
      </c>
      <c r="E243" s="869">
        <v>44938</v>
      </c>
      <c r="F243" s="116" t="s">
        <v>135</v>
      </c>
      <c r="G243" s="122" t="s">
        <v>14690</v>
      </c>
      <c r="H243" s="862"/>
      <c r="I243" s="864"/>
      <c r="J243" s="878"/>
      <c r="K243" s="863" t="s">
        <v>14691</v>
      </c>
      <c r="L243" s="874"/>
      <c r="M243" s="873"/>
      <c r="N243" s="870"/>
      <c r="O243" s="861"/>
      <c r="P243" s="865" t="s">
        <v>14692</v>
      </c>
      <c r="Q243" s="645" t="s">
        <v>75</v>
      </c>
      <c r="R243" s="645" t="s">
        <v>810</v>
      </c>
      <c r="S243" s="862"/>
      <c r="T243" s="645"/>
      <c r="U243" s="146"/>
      <c r="V243" s="146"/>
      <c r="W243" s="645" t="e">
        <v>#REF!</v>
      </c>
      <c r="X243" s="875" t="s">
        <v>542</v>
      </c>
    </row>
    <row r="244" spans="1:24" s="106" customFormat="1" ht="135">
      <c r="A244" s="4874" t="s">
        <v>14587</v>
      </c>
      <c r="B244" s="4874" t="s">
        <v>14694</v>
      </c>
      <c r="C244" s="4874" t="s">
        <v>28</v>
      </c>
      <c r="D244" s="4975">
        <v>44962</v>
      </c>
      <c r="E244" s="4975">
        <v>44965</v>
      </c>
      <c r="F244" s="4874" t="s">
        <v>1671</v>
      </c>
      <c r="G244" s="4874" t="s">
        <v>14695</v>
      </c>
      <c r="H244" s="4874"/>
      <c r="I244" s="4874"/>
      <c r="J244" s="4874"/>
      <c r="K244" s="4874" t="s">
        <v>14696</v>
      </c>
      <c r="L244" s="4874"/>
      <c r="M244" s="4874"/>
      <c r="N244" s="4874"/>
      <c r="O244" s="4874"/>
      <c r="P244" s="5087" t="s">
        <v>14697</v>
      </c>
      <c r="Q244" s="4874" t="s">
        <v>75</v>
      </c>
      <c r="R244" s="4874" t="s">
        <v>810</v>
      </c>
      <c r="S244" s="4874"/>
      <c r="T244" s="4874"/>
      <c r="U244" s="4874"/>
      <c r="V244" s="4874"/>
      <c r="W244" s="4874" t="e">
        <v>#REF!</v>
      </c>
      <c r="X244" s="4875" t="s">
        <v>542</v>
      </c>
    </row>
    <row r="245" spans="1:24" s="106" customFormat="1" ht="13.5" customHeight="1">
      <c r="A245" s="4874" t="s">
        <v>14587</v>
      </c>
      <c r="B245" s="4874" t="s">
        <v>14698</v>
      </c>
      <c r="C245" s="4874" t="s">
        <v>28</v>
      </c>
      <c r="D245" s="4975">
        <v>44962</v>
      </c>
      <c r="E245" s="4975">
        <v>44965</v>
      </c>
      <c r="F245" s="4874" t="s">
        <v>1671</v>
      </c>
      <c r="G245" s="4874" t="s">
        <v>14695</v>
      </c>
      <c r="H245" s="4874"/>
      <c r="I245" s="4874"/>
      <c r="J245" s="4874"/>
      <c r="K245" s="4874" t="s">
        <v>14696</v>
      </c>
      <c r="L245" s="4874"/>
      <c r="M245" s="4874"/>
      <c r="N245" s="4874"/>
      <c r="O245" s="4874"/>
      <c r="P245" s="6222" t="s">
        <v>14697</v>
      </c>
      <c r="Q245" s="4874" t="s">
        <v>75</v>
      </c>
      <c r="R245" s="4874" t="s">
        <v>810</v>
      </c>
      <c r="S245" s="4874"/>
      <c r="T245" s="4874"/>
      <c r="U245" s="4874"/>
      <c r="V245" s="4874"/>
      <c r="W245" s="4874" t="e">
        <v>#REF!</v>
      </c>
      <c r="X245" s="4875" t="s">
        <v>542</v>
      </c>
    </row>
    <row r="246" spans="1:24">
      <c r="A246" s="4895" t="s">
        <v>14699</v>
      </c>
      <c r="B246" s="4895" t="s">
        <v>14700</v>
      </c>
      <c r="C246" s="4895" t="s">
        <v>200</v>
      </c>
      <c r="D246" s="5169">
        <v>44963</v>
      </c>
      <c r="E246" s="5169">
        <v>44968</v>
      </c>
      <c r="F246" s="4895" t="s">
        <v>167</v>
      </c>
      <c r="G246" s="5168" t="s">
        <v>6074</v>
      </c>
      <c r="H246" s="4895"/>
      <c r="I246" s="4895"/>
      <c r="J246" s="4895" t="s">
        <v>32</v>
      </c>
      <c r="K246" s="4895" t="s">
        <v>14701</v>
      </c>
      <c r="L246" s="6223"/>
      <c r="M246" s="6144"/>
      <c r="N246" s="4874"/>
      <c r="O246" s="4874"/>
      <c r="P246" s="4874" t="s">
        <v>14702</v>
      </c>
      <c r="Q246" s="4895" t="s">
        <v>35</v>
      </c>
      <c r="R246" s="6224" t="s">
        <v>810</v>
      </c>
      <c r="S246" s="4895" t="s">
        <v>37</v>
      </c>
      <c r="T246" s="4892"/>
      <c r="U246" s="4892"/>
      <c r="V246" s="4892"/>
      <c r="W246" s="4892"/>
      <c r="X246" s="4892"/>
    </row>
    <row r="247" spans="1:24" ht="13.9" customHeight="1">
      <c r="A247" s="5283" t="s">
        <v>14542</v>
      </c>
      <c r="B247" s="5283" t="s">
        <v>14703</v>
      </c>
      <c r="C247" s="5283" t="s">
        <v>28</v>
      </c>
      <c r="D247" s="5390">
        <v>44939</v>
      </c>
      <c r="E247" s="5390">
        <v>44959</v>
      </c>
      <c r="F247" s="5283" t="s">
        <v>93</v>
      </c>
      <c r="G247" s="5283" t="s">
        <v>14704</v>
      </c>
      <c r="H247" s="5283"/>
      <c r="I247" s="5283"/>
      <c r="J247" s="5283" t="s">
        <v>32</v>
      </c>
      <c r="K247" s="5283" t="s">
        <v>14544</v>
      </c>
      <c r="L247" s="5827" t="s">
        <v>14705</v>
      </c>
      <c r="M247" s="5631">
        <v>44962</v>
      </c>
      <c r="N247" s="5283"/>
      <c r="O247" s="5283"/>
      <c r="P247" s="5105" t="s">
        <v>14706</v>
      </c>
      <c r="Q247" s="5283" t="s">
        <v>75</v>
      </c>
      <c r="R247" s="5283" t="s">
        <v>810</v>
      </c>
      <c r="S247" s="5283"/>
      <c r="T247" s="5283"/>
      <c r="U247" s="5283"/>
      <c r="V247" s="5283"/>
      <c r="W247" s="5283" t="e">
        <v>#REF!</v>
      </c>
      <c r="X247" s="6225" t="s">
        <v>542</v>
      </c>
    </row>
    <row r="248" spans="1:24" s="52" customFormat="1">
      <c r="A248" s="5283" t="s">
        <v>14542</v>
      </c>
      <c r="B248" s="4892" t="s">
        <v>14707</v>
      </c>
      <c r="C248" s="5283" t="s">
        <v>28</v>
      </c>
      <c r="D248" s="5390">
        <v>44943</v>
      </c>
      <c r="E248" s="5388">
        <v>44960</v>
      </c>
      <c r="F248" s="5283" t="s">
        <v>1357</v>
      </c>
      <c r="G248" s="5283" t="s">
        <v>46</v>
      </c>
      <c r="H248" s="5283"/>
      <c r="I248" s="5283"/>
      <c r="J248" s="4892" t="s">
        <v>32</v>
      </c>
      <c r="K248" s="5283" t="s">
        <v>14544</v>
      </c>
      <c r="L248" s="5532" t="s">
        <v>14708</v>
      </c>
      <c r="M248" s="5390">
        <v>44962</v>
      </c>
      <c r="N248" s="5283"/>
      <c r="O248" s="5283"/>
      <c r="P248" s="4892" t="s">
        <v>14709</v>
      </c>
      <c r="Q248" s="5283" t="s">
        <v>75</v>
      </c>
      <c r="R248" s="5283" t="s">
        <v>810</v>
      </c>
      <c r="S248" s="5283"/>
      <c r="T248" s="5283"/>
      <c r="U248" s="5283"/>
      <c r="V248" s="5283"/>
      <c r="W248" s="5283" t="e">
        <v>#REF!</v>
      </c>
      <c r="X248" s="6225" t="s">
        <v>542</v>
      </c>
    </row>
    <row r="249" spans="1:24">
      <c r="A249" s="4874" t="s">
        <v>14526</v>
      </c>
      <c r="B249" s="6226">
        <v>6352279690</v>
      </c>
      <c r="C249" s="4895" t="s">
        <v>28</v>
      </c>
      <c r="D249" s="5169">
        <v>44989</v>
      </c>
      <c r="E249" s="5169">
        <v>45009</v>
      </c>
      <c r="F249" s="4895" t="s">
        <v>45</v>
      </c>
      <c r="G249" s="4895" t="s">
        <v>361</v>
      </c>
      <c r="H249" s="5169"/>
      <c r="I249" s="4895"/>
      <c r="J249" s="5168" t="s">
        <v>32</v>
      </c>
      <c r="K249" s="4895" t="s">
        <v>14710</v>
      </c>
      <c r="L249" s="4874"/>
      <c r="M249" s="6155"/>
      <c r="N249" s="4975"/>
      <c r="O249" s="4975"/>
      <c r="P249" s="5120" t="s">
        <v>14711</v>
      </c>
      <c r="Q249" s="4895" t="s">
        <v>75</v>
      </c>
      <c r="R249" t="s">
        <v>14712</v>
      </c>
      <c r="S249" s="5283"/>
      <c r="T249" s="4874"/>
      <c r="U249" s="4874"/>
      <c r="V249" s="4874"/>
      <c r="W249" s="4874" t="e">
        <v>#REF!</v>
      </c>
      <c r="X249" s="4875" t="s">
        <v>542</v>
      </c>
    </row>
    <row r="250" spans="1:24" s="147" customFormat="1">
      <c r="A250" s="647" t="s">
        <v>14552</v>
      </c>
      <c r="B250" s="647" t="s">
        <v>14713</v>
      </c>
      <c r="C250" s="647" t="s">
        <v>85</v>
      </c>
      <c r="D250" s="951">
        <v>44985</v>
      </c>
      <c r="E250" s="966">
        <v>44991</v>
      </c>
      <c r="F250" s="647" t="s">
        <v>14714</v>
      </c>
      <c r="G250" s="647" t="s">
        <v>1350</v>
      </c>
      <c r="H250" s="951"/>
      <c r="I250" s="954"/>
      <c r="J250" s="959" t="s">
        <v>32</v>
      </c>
      <c r="K250" s="956" t="s">
        <v>14715</v>
      </c>
      <c r="L250" s="647"/>
      <c r="M250" s="506"/>
      <c r="N250" s="951"/>
      <c r="O250" s="504"/>
      <c r="P250" s="957" t="s">
        <v>14716</v>
      </c>
      <c r="Q250" s="647" t="s">
        <v>170</v>
      </c>
      <c r="R250" s="504" t="s">
        <v>14717</v>
      </c>
      <c r="S250" s="504"/>
      <c r="T250" s="504"/>
      <c r="U250" s="504"/>
      <c r="V250" s="504"/>
      <c r="W250" s="504" t="e">
        <v>#REF!</v>
      </c>
      <c r="X250" s="955" t="s">
        <v>542</v>
      </c>
    </row>
    <row r="251" spans="1:24" s="147" customFormat="1">
      <c r="A251" s="647" t="s">
        <v>14552</v>
      </c>
      <c r="B251" s="647" t="s">
        <v>14718</v>
      </c>
      <c r="C251" s="647" t="s">
        <v>85</v>
      </c>
      <c r="D251" s="951">
        <v>44985</v>
      </c>
      <c r="E251" s="966">
        <v>44991</v>
      </c>
      <c r="F251" s="647" t="s">
        <v>14714</v>
      </c>
      <c r="G251" s="647" t="s">
        <v>1350</v>
      </c>
      <c r="H251" s="951"/>
      <c r="I251" s="954"/>
      <c r="J251" s="959" t="s">
        <v>32</v>
      </c>
      <c r="K251" s="956" t="s">
        <v>14715</v>
      </c>
      <c r="L251" s="647"/>
      <c r="M251" s="506"/>
      <c r="N251" s="951"/>
      <c r="O251" s="504"/>
      <c r="P251" s="957" t="s">
        <v>14719</v>
      </c>
      <c r="Q251" s="647" t="s">
        <v>170</v>
      </c>
      <c r="R251" s="504" t="s">
        <v>14717</v>
      </c>
      <c r="S251" s="504"/>
      <c r="T251" s="504"/>
      <c r="U251" s="504"/>
      <c r="V251" s="504"/>
      <c r="W251" s="504" t="e">
        <v>#REF!</v>
      </c>
      <c r="X251" s="955" t="s">
        <v>542</v>
      </c>
    </row>
    <row r="252" spans="1:24" s="147" customFormat="1">
      <c r="A252" s="647" t="s">
        <v>14552</v>
      </c>
      <c r="B252" s="956" t="s">
        <v>14720</v>
      </c>
      <c r="C252" s="647" t="s">
        <v>85</v>
      </c>
      <c r="D252" s="951">
        <v>44985</v>
      </c>
      <c r="E252" s="951">
        <v>44992</v>
      </c>
      <c r="F252" s="647" t="s">
        <v>14714</v>
      </c>
      <c r="G252" s="647" t="s">
        <v>1350</v>
      </c>
      <c r="H252" s="951"/>
      <c r="I252" s="954"/>
      <c r="J252" s="959" t="s">
        <v>32</v>
      </c>
      <c r="K252" s="956" t="s">
        <v>14715</v>
      </c>
      <c r="L252" s="647"/>
      <c r="M252" s="506"/>
      <c r="N252" s="951"/>
      <c r="O252" s="504"/>
      <c r="P252" s="957" t="s">
        <v>14721</v>
      </c>
      <c r="Q252" s="647" t="s">
        <v>170</v>
      </c>
      <c r="R252" s="504" t="s">
        <v>14717</v>
      </c>
      <c r="S252" s="504"/>
      <c r="T252" s="504"/>
      <c r="U252" s="504"/>
      <c r="V252" s="504"/>
      <c r="W252" s="504" t="e">
        <v>#REF!</v>
      </c>
      <c r="X252" s="955" t="s">
        <v>542</v>
      </c>
    </row>
    <row r="253" spans="1:24" s="147" customFormat="1">
      <c r="A253" s="647" t="s">
        <v>14552</v>
      </c>
      <c r="B253" s="647" t="s">
        <v>14722</v>
      </c>
      <c r="C253" s="647" t="s">
        <v>85</v>
      </c>
      <c r="D253" s="951">
        <v>44988</v>
      </c>
      <c r="E253" s="951">
        <v>44995</v>
      </c>
      <c r="F253" s="647" t="s">
        <v>14714</v>
      </c>
      <c r="G253" s="647" t="s">
        <v>1350</v>
      </c>
      <c r="H253" s="951"/>
      <c r="I253" s="954"/>
      <c r="J253" s="959" t="s">
        <v>32</v>
      </c>
      <c r="K253" s="956" t="s">
        <v>14715</v>
      </c>
      <c r="L253" s="647"/>
      <c r="M253" s="506"/>
      <c r="N253" s="951"/>
      <c r="O253" s="504"/>
      <c r="P253" s="957" t="s">
        <v>14723</v>
      </c>
      <c r="Q253" s="647" t="s">
        <v>170</v>
      </c>
      <c r="R253" s="504" t="s">
        <v>14717</v>
      </c>
      <c r="S253" s="504"/>
      <c r="T253" s="504"/>
      <c r="U253" s="504"/>
      <c r="V253" s="504"/>
      <c r="W253" s="504" t="e">
        <v>#REF!</v>
      </c>
      <c r="X253" s="955" t="s">
        <v>542</v>
      </c>
    </row>
    <row r="254" spans="1:24" s="106" customFormat="1" ht="45">
      <c r="A254" s="4591" t="s">
        <v>14724</v>
      </c>
      <c r="B254" s="4842" t="s">
        <v>14725</v>
      </c>
      <c r="C254" s="3241" t="s">
        <v>200</v>
      </c>
      <c r="D254" s="3243">
        <v>44992</v>
      </c>
      <c r="E254" s="3970">
        <v>44997</v>
      </c>
      <c r="F254" s="3241" t="s">
        <v>1671</v>
      </c>
      <c r="G254" s="964" t="s">
        <v>57</v>
      </c>
      <c r="H254" s="4895"/>
      <c r="I254" s="4895"/>
      <c r="J254" s="3241"/>
      <c r="K254" s="3742" t="s">
        <v>14726</v>
      </c>
      <c r="L254" s="5283"/>
      <c r="M254" s="5283"/>
      <c r="N254" s="5390"/>
      <c r="O254" s="5283"/>
      <c r="P254" s="3473" t="s">
        <v>14727</v>
      </c>
      <c r="Q254" s="3067" t="s">
        <v>14728</v>
      </c>
      <c r="R254" s="3075"/>
      <c r="S254" s="3075"/>
      <c r="T254" s="4874"/>
      <c r="U254" s="4874"/>
      <c r="V254" s="4874"/>
      <c r="W254" s="4874"/>
      <c r="X254" s="4875"/>
    </row>
    <row r="255" spans="1:24">
      <c r="A255" s="6224" t="s">
        <v>53</v>
      </c>
      <c r="B255" s="4895" t="s">
        <v>14729</v>
      </c>
      <c r="C255" s="4895" t="s">
        <v>85</v>
      </c>
      <c r="D255" s="6227">
        <v>45007</v>
      </c>
      <c r="E255" s="6227">
        <v>45014</v>
      </c>
      <c r="F255" s="4895" t="s">
        <v>151</v>
      </c>
      <c r="G255" s="971" t="s">
        <v>361</v>
      </c>
      <c r="H255" s="4895"/>
      <c r="I255" s="4895"/>
      <c r="J255" s="4895" t="s">
        <v>32</v>
      </c>
      <c r="K255" s="6118" t="s">
        <v>14730</v>
      </c>
      <c r="L255" s="4895"/>
      <c r="M255" s="4895"/>
      <c r="N255" s="5169"/>
      <c r="O255" s="5390"/>
      <c r="P255" s="5105" t="s">
        <v>14731</v>
      </c>
      <c r="Q255" s="4895" t="s">
        <v>35</v>
      </c>
      <c r="R255" s="4874"/>
      <c r="S255" s="4895" t="s">
        <v>37</v>
      </c>
    </row>
    <row r="256" spans="1:24" s="26" customFormat="1" ht="45">
      <c r="A256" s="93" t="s">
        <v>14732</v>
      </c>
      <c r="B256" s="985" t="s">
        <v>14733</v>
      </c>
      <c r="C256" s="93" t="s">
        <v>44</v>
      </c>
      <c r="D256" s="5430">
        <v>45028</v>
      </c>
      <c r="E256" s="5430">
        <v>45028</v>
      </c>
      <c r="F256" s="93" t="s">
        <v>167</v>
      </c>
      <c r="G256" s="969" t="s">
        <v>1316</v>
      </c>
      <c r="H256" s="93"/>
      <c r="I256" s="93"/>
      <c r="J256" s="969" t="s">
        <v>510</v>
      </c>
      <c r="K256" s="972" t="s">
        <v>1317</v>
      </c>
      <c r="L256" s="984" t="s">
        <v>14734</v>
      </c>
      <c r="M256" s="93"/>
      <c r="N256" s="818"/>
      <c r="O256" s="93"/>
      <c r="P256" s="543" t="s">
        <v>14735</v>
      </c>
      <c r="Q256" s="93" t="s">
        <v>75</v>
      </c>
      <c r="R256" s="93" t="s">
        <v>810</v>
      </c>
      <c r="S256" s="93"/>
      <c r="T256" s="93"/>
      <c r="U256" s="93"/>
      <c r="V256" s="93"/>
      <c r="W256" s="93"/>
      <c r="X256" s="970"/>
    </row>
    <row r="257" spans="1:27" s="26" customFormat="1">
      <c r="A257" s="987" t="s">
        <v>165</v>
      </c>
      <c r="B257" s="988" t="s">
        <v>14736</v>
      </c>
      <c r="C257" s="987" t="s">
        <v>85</v>
      </c>
      <c r="D257" s="973">
        <v>45023</v>
      </c>
      <c r="E257" s="989">
        <v>45023</v>
      </c>
      <c r="F257" s="987" t="s">
        <v>1671</v>
      </c>
      <c r="G257" s="987" t="s">
        <v>14737</v>
      </c>
      <c r="H257" s="988" t="s">
        <v>14738</v>
      </c>
      <c r="I257" s="990"/>
      <c r="J257" s="21" t="s">
        <v>11371</v>
      </c>
      <c r="K257" s="4895" t="s">
        <v>1495</v>
      </c>
      <c r="L257" s="987"/>
      <c r="M257" s="990"/>
      <c r="N257" s="990"/>
      <c r="O257" s="990"/>
      <c r="P257" s="5283" t="s">
        <v>14739</v>
      </c>
      <c r="Q257" s="987" t="s">
        <v>170</v>
      </c>
      <c r="R257" s="991"/>
      <c r="S257" s="991"/>
      <c r="T257" s="992"/>
      <c r="U257" s="992"/>
      <c r="V257" s="992"/>
      <c r="W257" s="990" t="e">
        <v>#REF!</v>
      </c>
      <c r="X257" s="990" t="s">
        <v>542</v>
      </c>
      <c r="Y257" s="508"/>
      <c r="Z257" s="508"/>
    </row>
    <row r="258" spans="1:27">
      <c r="A258" s="84" t="s">
        <v>556</v>
      </c>
      <c r="B258" s="84" t="s">
        <v>14740</v>
      </c>
      <c r="C258" s="84" t="s">
        <v>28</v>
      </c>
      <c r="D258" s="315">
        <v>45058</v>
      </c>
      <c r="E258" s="315">
        <v>45060</v>
      </c>
      <c r="F258" s="84" t="s">
        <v>151</v>
      </c>
      <c r="G258" s="229" t="s">
        <v>851</v>
      </c>
      <c r="H258" s="489" t="s">
        <v>14741</v>
      </c>
      <c r="I258" s="84"/>
      <c r="J258" s="986" t="s">
        <v>14742</v>
      </c>
      <c r="K258" s="277" t="s">
        <v>14743</v>
      </c>
      <c r="L258" s="84"/>
      <c r="M258" s="84"/>
      <c r="N258" s="84"/>
      <c r="O258" s="84"/>
      <c r="P258" s="533" t="s">
        <v>14744</v>
      </c>
      <c r="Q258" s="84" t="s">
        <v>35</v>
      </c>
      <c r="R258" s="84" t="s">
        <v>810</v>
      </c>
      <c r="S258" s="84" t="s">
        <v>37</v>
      </c>
    </row>
    <row r="259" spans="1:27">
      <c r="A259" s="987" t="s">
        <v>556</v>
      </c>
      <c r="B259" s="990" t="s">
        <v>14745</v>
      </c>
      <c r="C259" s="990" t="s">
        <v>85</v>
      </c>
      <c r="D259" s="995">
        <v>45052</v>
      </c>
      <c r="E259" s="996">
        <v>45053</v>
      </c>
      <c r="F259" s="990" t="s">
        <v>151</v>
      </c>
      <c r="G259" s="997" t="s">
        <v>851</v>
      </c>
      <c r="H259" s="998" t="s">
        <v>14741</v>
      </c>
      <c r="I259" s="987"/>
      <c r="J259" s="986" t="s">
        <v>14742</v>
      </c>
      <c r="K259" s="999" t="s">
        <v>14743</v>
      </c>
      <c r="L259" s="987"/>
      <c r="M259" s="1000"/>
      <c r="N259" s="1000"/>
      <c r="O259" s="1000"/>
      <c r="P259" s="1001" t="s">
        <v>14746</v>
      </c>
      <c r="Q259" s="987" t="s">
        <v>35</v>
      </c>
      <c r="R259" s="987" t="s">
        <v>810</v>
      </c>
      <c r="S259" s="987" t="s">
        <v>37</v>
      </c>
    </row>
    <row r="260" spans="1:27">
      <c r="A260" s="19" t="s">
        <v>2358</v>
      </c>
      <c r="B260" s="6228" t="s">
        <v>14747</v>
      </c>
      <c r="C260" s="19" t="s">
        <v>704</v>
      </c>
      <c r="D260" s="1006">
        <v>45048</v>
      </c>
      <c r="E260" s="49">
        <v>45056</v>
      </c>
      <c r="F260" s="15" t="s">
        <v>245</v>
      </c>
      <c r="G260" s="19" t="s">
        <v>57</v>
      </c>
      <c r="H260" s="49"/>
      <c r="I260" s="19"/>
      <c r="J260" s="993" t="s">
        <v>32</v>
      </c>
      <c r="K260" s="684" t="s">
        <v>14748</v>
      </c>
      <c r="L260" s="19"/>
      <c r="M260" s="49"/>
      <c r="N260" s="49"/>
      <c r="O260" s="635"/>
      <c r="P260" s="6228" t="s">
        <v>14749</v>
      </c>
      <c r="Q260" s="19" t="s">
        <v>128</v>
      </c>
      <c r="R260" s="120" t="s">
        <v>36</v>
      </c>
      <c r="S260" s="120"/>
      <c r="T260" s="120"/>
      <c r="U260" s="120"/>
      <c r="V260" s="120"/>
      <c r="W260" s="19" t="e">
        <v>#REF!</v>
      </c>
      <c r="X260" s="19" t="s">
        <v>542</v>
      </c>
      <c r="Y260" s="120"/>
      <c r="Z260" s="120"/>
    </row>
    <row r="261" spans="1:27">
      <c r="A261" s="1034" t="s">
        <v>409</v>
      </c>
      <c r="B261" s="1034" t="s">
        <v>14750</v>
      </c>
      <c r="C261" s="1034" t="s">
        <v>44</v>
      </c>
      <c r="D261" s="1035">
        <v>45062</v>
      </c>
      <c r="E261" s="1035">
        <v>45062</v>
      </c>
      <c r="F261" s="1034" t="s">
        <v>45</v>
      </c>
      <c r="G261" s="1034" t="s">
        <v>14751</v>
      </c>
      <c r="H261" s="1034"/>
      <c r="I261" s="1034"/>
      <c r="J261" s="1034" t="s">
        <v>11371</v>
      </c>
      <c r="K261" s="1034" t="s">
        <v>14752</v>
      </c>
      <c r="L261" s="1034"/>
      <c r="M261" s="1035"/>
      <c r="N261" s="1034"/>
      <c r="O261" s="1034"/>
      <c r="P261" s="1036" t="s">
        <v>14753</v>
      </c>
      <c r="Q261" s="1034" t="s">
        <v>50</v>
      </c>
      <c r="R261" s="1034"/>
      <c r="S261" s="1034"/>
      <c r="T261" s="1037"/>
      <c r="U261" s="1037"/>
      <c r="V261" s="1037"/>
      <c r="W261" s="1038" t="e">
        <v>#REF!</v>
      </c>
      <c r="X261" s="1039" t="s">
        <v>542</v>
      </c>
      <c r="Y261" s="1038"/>
      <c r="Z261" s="1038"/>
    </row>
    <row r="262" spans="1:27" ht="30">
      <c r="A262" s="4971" t="s">
        <v>14754</v>
      </c>
      <c r="B262" s="4971" t="s">
        <v>14755</v>
      </c>
      <c r="C262" s="4971" t="s">
        <v>28</v>
      </c>
      <c r="D262" s="4975">
        <v>45073</v>
      </c>
      <c r="E262" s="4975">
        <v>45081</v>
      </c>
      <c r="F262" s="4971" t="s">
        <v>151</v>
      </c>
      <c r="G262" s="4971" t="s">
        <v>46</v>
      </c>
      <c r="H262" s="4874"/>
      <c r="I262" s="4874"/>
      <c r="J262" s="4874"/>
      <c r="K262" s="5049" t="s">
        <v>14756</v>
      </c>
      <c r="L262" s="4874"/>
      <c r="M262" s="4975"/>
      <c r="N262" s="4874"/>
      <c r="O262" s="4975"/>
      <c r="P262" s="6229" t="s">
        <v>14757</v>
      </c>
      <c r="Q262" s="4971" t="s">
        <v>75</v>
      </c>
      <c r="R262" s="4874" t="s">
        <v>810</v>
      </c>
      <c r="S262" s="4874"/>
      <c r="T262" s="4874"/>
      <c r="U262" s="4874"/>
      <c r="V262" s="4874"/>
      <c r="W262" s="4874" t="e">
        <f>IFERROR((JUN_2023[[#This Row],[Sales Amount]]-JUN_2023[[#This Row],[Cost]])/JUN_2023[[#This Row],[CNTR AMOUNT]],JUN_2023[[#This Row],[Sales Amount]]-JUN_2023[[#This Row],[Cost]])</f>
        <v>#VALUE!</v>
      </c>
      <c r="X262" s="4875" t="str">
        <f>IFERROR((JUN_2023[[#This Row],[Sales Amount]]-JUN_2023[[#This Row],[Cost]])/JUN_2023[[#This Row],[Cost]],"-")</f>
        <v>-</v>
      </c>
      <c r="Y262" s="4874"/>
      <c r="Z262" s="4874"/>
    </row>
    <row r="263" spans="1:27" s="106" customFormat="1" ht="30">
      <c r="A263" s="4971" t="s">
        <v>14754</v>
      </c>
      <c r="B263" s="4971" t="s">
        <v>14758</v>
      </c>
      <c r="C263" s="4971" t="s">
        <v>28</v>
      </c>
      <c r="D263" s="4975">
        <v>45073</v>
      </c>
      <c r="E263" s="4975">
        <v>45081</v>
      </c>
      <c r="F263" s="4971" t="s">
        <v>151</v>
      </c>
      <c r="G263" s="4971" t="s">
        <v>46</v>
      </c>
      <c r="H263" s="4874"/>
      <c r="I263" s="4874"/>
      <c r="J263" s="4874"/>
      <c r="K263" s="5049" t="s">
        <v>14756</v>
      </c>
      <c r="L263" s="4874"/>
      <c r="M263" s="4975"/>
      <c r="N263" s="4874"/>
      <c r="O263" s="4975"/>
      <c r="P263" s="4971" t="s">
        <v>14759</v>
      </c>
      <c r="Q263" s="4971" t="s">
        <v>75</v>
      </c>
      <c r="R263" s="4874" t="s">
        <v>810</v>
      </c>
      <c r="S263" s="4874"/>
      <c r="T263" s="4874"/>
      <c r="U263" s="4874"/>
      <c r="V263" s="4874"/>
      <c r="W263" s="4874" t="e">
        <f>IFERROR((JUN_2023[[#This Row],[Sales Amount]]-JUN_2023[[#This Row],[Cost]])/JUN_2023[[#This Row],[CNTR AMOUNT]],JUN_2023[[#This Row],[Sales Amount]]-JUN_2023[[#This Row],[Cost]])</f>
        <v>#VALUE!</v>
      </c>
      <c r="X263" s="4875" t="str">
        <f>IFERROR((JUN_2023[[#This Row],[Sales Amount]]-JUN_2023[[#This Row],[Cost]])/JUN_2023[[#This Row],[Cost]],"-")</f>
        <v>-</v>
      </c>
      <c r="Y263" s="4874"/>
      <c r="Z263" s="4874"/>
    </row>
    <row r="264" spans="1:27" s="106" customFormat="1" ht="30">
      <c r="A264" s="4971" t="s">
        <v>14754</v>
      </c>
      <c r="B264" s="4971" t="s">
        <v>14760</v>
      </c>
      <c r="C264" s="4971" t="s">
        <v>28</v>
      </c>
      <c r="D264" s="4975">
        <v>45073</v>
      </c>
      <c r="E264" s="4975">
        <v>45081</v>
      </c>
      <c r="F264" s="4971" t="s">
        <v>151</v>
      </c>
      <c r="G264" s="4971" t="s">
        <v>46</v>
      </c>
      <c r="H264" s="4874"/>
      <c r="I264" s="4874"/>
      <c r="J264" s="4874"/>
      <c r="K264" s="5049" t="s">
        <v>14756</v>
      </c>
      <c r="L264" s="4874"/>
      <c r="M264" s="4975"/>
      <c r="N264" s="4874"/>
      <c r="O264" s="4975"/>
      <c r="P264" s="5049" t="s">
        <v>14761</v>
      </c>
      <c r="Q264" s="4971" t="s">
        <v>75</v>
      </c>
      <c r="R264" s="4874" t="s">
        <v>810</v>
      </c>
      <c r="S264" s="4874"/>
      <c r="T264" s="4874"/>
      <c r="U264" s="4874"/>
      <c r="V264" s="4874"/>
      <c r="W264" s="4874" t="e">
        <f>IFERROR((JUN_2023[[#This Row],[Sales Amount]]-JUN_2023[[#This Row],[Cost]])/JUN_2023[[#This Row],[CNTR AMOUNT]],JUN_2023[[#This Row],[Sales Amount]]-JUN_2023[[#This Row],[Cost]])</f>
        <v>#VALUE!</v>
      </c>
      <c r="X264" s="4875" t="str">
        <f>IFERROR((JUN_2023[[#This Row],[Sales Amount]]-JUN_2023[[#This Row],[Cost]])/JUN_2023[[#This Row],[Cost]],"-")</f>
        <v>-</v>
      </c>
      <c r="Y264" s="4874"/>
      <c r="Z264" s="4874"/>
    </row>
    <row r="265" spans="1:27" s="106" customFormat="1" ht="30">
      <c r="A265" s="4895" t="s">
        <v>14762</v>
      </c>
      <c r="B265" s="4971" t="s">
        <v>14763</v>
      </c>
      <c r="C265" s="4874" t="s">
        <v>28</v>
      </c>
      <c r="D265" s="4975">
        <v>45053</v>
      </c>
      <c r="E265" s="6230">
        <v>45065</v>
      </c>
      <c r="F265" s="4874" t="s">
        <v>29</v>
      </c>
      <c r="G265" s="4874" t="s">
        <v>57</v>
      </c>
      <c r="H265" s="6231" t="s">
        <v>14764</v>
      </c>
      <c r="I265" s="4874"/>
      <c r="J265" s="4971" t="s">
        <v>322</v>
      </c>
      <c r="K265" s="4842" t="s">
        <v>14765</v>
      </c>
      <c r="L265" s="5516" t="s">
        <v>14766</v>
      </c>
      <c r="M265" s="6232">
        <v>45067</v>
      </c>
      <c r="N265" s="5516"/>
      <c r="O265" s="4975"/>
      <c r="P265" s="5049" t="s">
        <v>14767</v>
      </c>
      <c r="Q265" s="4874" t="s">
        <v>75</v>
      </c>
      <c r="R265" s="4971" t="s">
        <v>810</v>
      </c>
      <c r="S265" s="4874"/>
      <c r="T265" s="4874"/>
      <c r="U265" s="4874"/>
      <c r="V265" s="4874"/>
      <c r="W265" s="4874" t="e">
        <v>#REF!</v>
      </c>
      <c r="X265" s="5184" t="s">
        <v>542</v>
      </c>
      <c r="Y265" s="4874"/>
      <c r="Z265" s="4874"/>
    </row>
    <row r="266" spans="1:27" ht="30">
      <c r="B266" s="200"/>
      <c r="C266" s="437"/>
      <c r="D266" s="987" t="s">
        <v>14768</v>
      </c>
      <c r="E266" s="991" t="s">
        <v>14769</v>
      </c>
      <c r="F266" s="991" t="s">
        <v>44</v>
      </c>
      <c r="G266" s="1044">
        <v>45067</v>
      </c>
      <c r="H266" s="1045">
        <v>45079</v>
      </c>
      <c r="I266" s="991" t="s">
        <v>173</v>
      </c>
      <c r="J266" s="991" t="s">
        <v>30</v>
      </c>
      <c r="K266" s="1044"/>
      <c r="L266" s="991"/>
      <c r="M266" s="1046"/>
      <c r="N266" s="5497" t="s">
        <v>8279</v>
      </c>
      <c r="O266" s="991"/>
      <c r="P266" s="1044"/>
      <c r="Q266" s="991"/>
      <c r="R266" s="991"/>
      <c r="S266" s="1047" t="s">
        <v>14770</v>
      </c>
      <c r="T266" s="991" t="s">
        <v>128</v>
      </c>
      <c r="U266" s="991"/>
      <c r="V266" s="991"/>
      <c r="W266" s="991"/>
      <c r="X266" s="991"/>
      <c r="Y266" s="991"/>
      <c r="Z266" s="991" t="e">
        <v>#REF!</v>
      </c>
      <c r="AA266" s="1048" t="s">
        <v>542</v>
      </c>
    </row>
    <row r="267" spans="1:27">
      <c r="B267" s="200"/>
      <c r="C267" s="437"/>
      <c r="D267" s="987" t="s">
        <v>788</v>
      </c>
      <c r="E267" s="1040" t="s">
        <v>14771</v>
      </c>
      <c r="F267" s="991" t="s">
        <v>44</v>
      </c>
      <c r="G267" s="1044">
        <v>45111</v>
      </c>
      <c r="H267" s="1044">
        <v>45111</v>
      </c>
      <c r="I267" s="991" t="s">
        <v>245</v>
      </c>
      <c r="J267" s="991" t="s">
        <v>57</v>
      </c>
      <c r="K267" s="1051" t="s">
        <v>810</v>
      </c>
      <c r="L267" s="1052"/>
      <c r="M267" s="4892" t="s">
        <v>297</v>
      </c>
      <c r="N267" s="4892" t="s">
        <v>14772</v>
      </c>
      <c r="O267" s="991"/>
      <c r="P267" s="4892" t="s">
        <v>14773</v>
      </c>
      <c r="Q267" s="991"/>
      <c r="R267" s="991"/>
      <c r="S267" s="4873" t="s">
        <v>14774</v>
      </c>
      <c r="T267" s="991" t="s">
        <v>128</v>
      </c>
      <c r="U267" s="991"/>
      <c r="V267" s="991"/>
      <c r="W267" s="991"/>
      <c r="X267" s="991"/>
      <c r="Y267" s="991"/>
      <c r="Z267" s="991" t="e">
        <v>#REF!</v>
      </c>
      <c r="AA267" s="1053" t="s">
        <v>542</v>
      </c>
    </row>
    <row r="268" spans="1:27">
      <c r="B268" s="200"/>
      <c r="C268" s="437"/>
      <c r="D268" s="84" t="s">
        <v>788</v>
      </c>
      <c r="E268" s="1040" t="s">
        <v>14771</v>
      </c>
      <c r="F268" s="93" t="s">
        <v>44</v>
      </c>
      <c r="G268" s="818">
        <v>45111</v>
      </c>
      <c r="H268" s="818">
        <v>45111</v>
      </c>
      <c r="I268" s="93" t="s">
        <v>245</v>
      </c>
      <c r="J268" s="93" t="s">
        <v>57</v>
      </c>
      <c r="K268" s="1049" t="s">
        <v>810</v>
      </c>
      <c r="L268" s="1042"/>
      <c r="M268" s="93" t="s">
        <v>297</v>
      </c>
      <c r="N268" s="84" t="s">
        <v>14772</v>
      </c>
      <c r="O268" s="93"/>
      <c r="P268" s="818" t="s">
        <v>14773</v>
      </c>
      <c r="Q268" s="93"/>
      <c r="R268" s="93"/>
      <c r="S268" s="6233" t="s">
        <v>14774</v>
      </c>
      <c r="T268" s="93" t="s">
        <v>128</v>
      </c>
      <c r="U268" s="93"/>
      <c r="V268" s="93"/>
      <c r="W268" s="93"/>
      <c r="X268" s="93"/>
      <c r="Y268" s="93"/>
      <c r="Z268" s="93" t="e">
        <v>#REF!</v>
      </c>
      <c r="AA268" s="970" t="s">
        <v>542</v>
      </c>
    </row>
    <row r="269" spans="1:27" s="106" customFormat="1">
      <c r="A269" s="152" t="s">
        <v>1051</v>
      </c>
      <c r="B269" s="152" t="s">
        <v>14775</v>
      </c>
      <c r="C269" s="152" t="s">
        <v>200</v>
      </c>
      <c r="D269" s="646">
        <v>45097</v>
      </c>
      <c r="E269" s="685">
        <v>45107</v>
      </c>
      <c r="F269" s="93" t="s">
        <v>93</v>
      </c>
      <c r="G269" s="93" t="s">
        <v>46</v>
      </c>
      <c r="H269" s="4874"/>
      <c r="I269" s="152"/>
      <c r="J269" s="106" t="s">
        <v>32</v>
      </c>
      <c r="K269" s="152" t="s">
        <v>1053</v>
      </c>
      <c r="L269" s="152"/>
      <c r="M269" s="646"/>
      <c r="O269" s="44" t="s">
        <v>1564</v>
      </c>
      <c r="P269" s="44" t="s">
        <v>14776</v>
      </c>
      <c r="Q269" s="152" t="s">
        <v>75</v>
      </c>
      <c r="R269" s="4874" t="s">
        <v>810</v>
      </c>
      <c r="S269" s="152"/>
      <c r="T269" s="152"/>
      <c r="U269" s="152"/>
      <c r="V269" s="152"/>
      <c r="W269" s="152" t="e">
        <f>IFERROR((JUN_2023[[#This Row],[Sales Amount]]-JUN_2023[[#This Row],[Cost]])/JUN_2023[[#This Row],[CNTR AMOUNT]],JUN_2023[[#This Row],[Sales Amount]]-JUN_2023[[#This Row],[Cost]])</f>
        <v>#VALUE!</v>
      </c>
      <c r="X269" s="888" t="str">
        <f>IFERROR((JUN_2023[[#This Row],[Sales Amount]]-JUN_2023[[#This Row],[Cost]])/JUN_2023[[#This Row],[Cost]],"-")</f>
        <v>-</v>
      </c>
      <c r="Y269" s="152"/>
      <c r="Z269" s="152"/>
    </row>
    <row r="270" spans="1:27">
      <c r="B270" s="6234" t="s">
        <v>210</v>
      </c>
      <c r="C270" s="4895" t="s">
        <v>14777</v>
      </c>
      <c r="D270" s="6118" t="s">
        <v>28</v>
      </c>
      <c r="E270" s="5169">
        <v>45124</v>
      </c>
      <c r="F270" s="5169">
        <v>45129</v>
      </c>
      <c r="G270" s="4895" t="s">
        <v>98</v>
      </c>
      <c r="H270" s="5168" t="s">
        <v>6074</v>
      </c>
      <c r="I270" s="4874"/>
      <c r="J270" s="4874"/>
      <c r="K270" s="5516"/>
      <c r="L270" s="4895" t="s">
        <v>14778</v>
      </c>
      <c r="M270" s="4874"/>
      <c r="N270" s="4874"/>
      <c r="O270" s="4874"/>
      <c r="P270" s="4874"/>
      <c r="Q270" s="4874" t="s">
        <v>14779</v>
      </c>
      <c r="R270" s="4895" t="s">
        <v>35</v>
      </c>
      <c r="S270" s="4895" t="s">
        <v>810</v>
      </c>
      <c r="T270" s="4895" t="s">
        <v>37</v>
      </c>
    </row>
    <row r="271" spans="1:27" ht="90">
      <c r="B271" s="647" t="s">
        <v>806</v>
      </c>
      <c r="C271" s="4892" t="s">
        <v>807</v>
      </c>
      <c r="D271" s="1120" t="s">
        <v>85</v>
      </c>
      <c r="E271" s="1121">
        <v>45095</v>
      </c>
      <c r="F271" s="1122">
        <v>45102</v>
      </c>
      <c r="G271" s="1120" t="s">
        <v>29</v>
      </c>
      <c r="H271" s="5122" t="s">
        <v>57</v>
      </c>
      <c r="I271" s="6235"/>
      <c r="J271" s="6141"/>
      <c r="K271" s="5122"/>
      <c r="L271" s="1123" t="s">
        <v>808</v>
      </c>
      <c r="M271" s="1120"/>
      <c r="N271" s="5291"/>
      <c r="O271" s="5291"/>
      <c r="P271" s="1121"/>
      <c r="Q271" s="1047" t="s">
        <v>809</v>
      </c>
      <c r="R271" s="1120" t="s">
        <v>35</v>
      </c>
      <c r="S271" s="1120" t="s">
        <v>36</v>
      </c>
      <c r="T271" s="6141" t="s">
        <v>14780</v>
      </c>
    </row>
    <row r="272" spans="1:27">
      <c r="B272" s="987" t="s">
        <v>96</v>
      </c>
      <c r="C272" s="6236" t="s">
        <v>14781</v>
      </c>
      <c r="D272" s="6236" t="s">
        <v>28</v>
      </c>
      <c r="E272" s="5169">
        <v>45113</v>
      </c>
      <c r="F272" s="5312">
        <v>45117</v>
      </c>
      <c r="G272" s="4895" t="s">
        <v>98</v>
      </c>
      <c r="H272" s="4895" t="s">
        <v>46</v>
      </c>
      <c r="I272" s="4895"/>
      <c r="J272" s="4895"/>
      <c r="K272" s="4895" t="s">
        <v>32</v>
      </c>
      <c r="L272" s="987" t="s">
        <v>47</v>
      </c>
      <c r="M272" s="4895"/>
      <c r="N272" s="4895"/>
      <c r="O272" s="4895"/>
      <c r="P272" s="4895"/>
      <c r="Q272" s="4874" t="s">
        <v>14782</v>
      </c>
      <c r="R272" s="4895" t="s">
        <v>35</v>
      </c>
      <c r="S272" s="4895" t="s">
        <v>810</v>
      </c>
      <c r="T272" s="4895" t="s">
        <v>101</v>
      </c>
    </row>
    <row r="273" spans="1:26">
      <c r="A273" s="3241" t="s">
        <v>329</v>
      </c>
      <c r="B273" s="4003" t="s">
        <v>14783</v>
      </c>
      <c r="C273" s="3241" t="s">
        <v>28</v>
      </c>
      <c r="D273" s="3243">
        <v>45159</v>
      </c>
      <c r="E273" s="3243">
        <v>45180</v>
      </c>
      <c r="F273" s="3241" t="s">
        <v>29</v>
      </c>
      <c r="G273" s="3241" t="s">
        <v>57</v>
      </c>
      <c r="H273" s="4004">
        <v>45146</v>
      </c>
      <c r="I273" s="4005" t="s">
        <v>2045</v>
      </c>
      <c r="J273" s="3241" t="s">
        <v>32</v>
      </c>
      <c r="K273" s="3241" t="s">
        <v>661</v>
      </c>
      <c r="L273" s="4005" t="s">
        <v>542</v>
      </c>
      <c r="M273" s="4004">
        <v>45147</v>
      </c>
      <c r="N273" s="3241"/>
      <c r="O273" s="3241"/>
      <c r="P273" s="3075" t="s">
        <v>14784</v>
      </c>
      <c r="Q273" s="3241" t="s">
        <v>35</v>
      </c>
      <c r="R273" s="3241" t="s">
        <v>810</v>
      </c>
      <c r="S273" s="3241" t="s">
        <v>664</v>
      </c>
    </row>
    <row r="274" spans="1:26">
      <c r="A274" s="4895" t="s">
        <v>329</v>
      </c>
      <c r="B274" s="6237" t="s">
        <v>14785</v>
      </c>
      <c r="C274" s="4895" t="s">
        <v>28</v>
      </c>
      <c r="D274" s="5169">
        <v>45159</v>
      </c>
      <c r="E274" s="5169">
        <v>45180</v>
      </c>
      <c r="F274" s="4895" t="s">
        <v>29</v>
      </c>
      <c r="G274" s="4895" t="s">
        <v>57</v>
      </c>
      <c r="H274" s="6178">
        <v>45146</v>
      </c>
      <c r="I274" s="6238" t="s">
        <v>2042</v>
      </c>
      <c r="J274" s="4895" t="s">
        <v>32</v>
      </c>
      <c r="K274" s="4895" t="s">
        <v>661</v>
      </c>
      <c r="L274" s="6238" t="s">
        <v>542</v>
      </c>
      <c r="M274" s="6178">
        <v>45147</v>
      </c>
      <c r="N274" s="4895"/>
      <c r="O274" s="4895"/>
      <c r="P274" s="4874" t="s">
        <v>14784</v>
      </c>
      <c r="Q274" s="4895" t="s">
        <v>35</v>
      </c>
      <c r="R274" s="4895" t="s">
        <v>810</v>
      </c>
      <c r="S274" s="4895" t="s">
        <v>664</v>
      </c>
      <c r="T274" s="4892"/>
    </row>
    <row r="275" spans="1:26" s="52" customFormat="1">
      <c r="A275" s="5483" t="s">
        <v>1735</v>
      </c>
      <c r="B275" s="5483" t="s">
        <v>14786</v>
      </c>
      <c r="C275" s="5483" t="s">
        <v>28</v>
      </c>
      <c r="D275" s="5522">
        <v>45158</v>
      </c>
      <c r="E275" s="5390">
        <v>45162</v>
      </c>
      <c r="F275" s="5283" t="s">
        <v>135</v>
      </c>
      <c r="G275" s="5483" t="s">
        <v>46</v>
      </c>
      <c r="H275" s="5390"/>
      <c r="I275" s="5283"/>
      <c r="J275" s="6239" t="s">
        <v>32</v>
      </c>
      <c r="K275" s="5105" t="s">
        <v>310</v>
      </c>
      <c r="L275" s="5283"/>
      <c r="M275" s="5390"/>
      <c r="N275" s="5390"/>
      <c r="O275" s="5390"/>
      <c r="P275" s="5483" t="s">
        <v>14787</v>
      </c>
      <c r="Q275" s="5283" t="s">
        <v>75</v>
      </c>
      <c r="R275" s="4895" t="s">
        <v>810</v>
      </c>
      <c r="S275" s="5283"/>
      <c r="T275" s="5283"/>
      <c r="W275" s="52" t="e">
        <f>AUG_2023[[#This Row],[Sales Amount]]-AUG_2023[[#This Row],[Cost]]</f>
        <v>#VALUE!</v>
      </c>
      <c r="X275" s="1198" t="e">
        <f>AUG_2023[[#This Row],[Profit]]/AUG_2023[[#This Row],[Cost]]</f>
        <v>#VALUE!</v>
      </c>
    </row>
    <row r="276" spans="1:26" ht="120">
      <c r="A276" s="4874" t="s">
        <v>319</v>
      </c>
      <c r="B276" s="4874" t="s">
        <v>14788</v>
      </c>
      <c r="C276" s="4874" t="s">
        <v>28</v>
      </c>
      <c r="D276" s="4975">
        <v>45170</v>
      </c>
      <c r="E276" s="4975">
        <v>45170</v>
      </c>
      <c r="F276" s="4874" t="s">
        <v>151</v>
      </c>
      <c r="G276" s="5120" t="s">
        <v>14789</v>
      </c>
      <c r="H276" s="4975"/>
      <c r="I276" s="4874"/>
      <c r="J276" s="4874"/>
      <c r="K276" s="4874" t="s">
        <v>14790</v>
      </c>
      <c r="L276" s="4874"/>
      <c r="M276" s="4975"/>
      <c r="N276" s="4975"/>
      <c r="O276" s="4975"/>
      <c r="P276" s="5120" t="s">
        <v>14791</v>
      </c>
      <c r="Q276" s="4874" t="s">
        <v>75</v>
      </c>
      <c r="R276" s="4874" t="s">
        <v>810</v>
      </c>
      <c r="S276" s="4874"/>
      <c r="T276" s="4874"/>
      <c r="U276" s="4874"/>
      <c r="V276" s="4874"/>
      <c r="W276" s="4874" t="e">
        <f>AUG_2023[[#This Row],[Sales Amount]]-AUG_2023[[#This Row],[Cost]]</f>
        <v>#VALUE!</v>
      </c>
      <c r="X276" s="4875" t="e">
        <f>AUG_2023[[#This Row],[Profit]]/AUG_2023[[#This Row],[Cost]]</f>
        <v>#VALUE!</v>
      </c>
    </row>
    <row r="277" spans="1:26">
      <c r="A277" s="2" t="s">
        <v>497</v>
      </c>
      <c r="B277" s="1483" t="s">
        <v>14792</v>
      </c>
      <c r="C277" s="434" t="s">
        <v>44</v>
      </c>
      <c r="D277" s="434">
        <v>45170</v>
      </c>
      <c r="E277" s="434">
        <v>45181</v>
      </c>
      <c r="F277" s="434" t="s">
        <v>1017</v>
      </c>
      <c r="G277" s="434" t="s">
        <v>829</v>
      </c>
      <c r="H277" s="434"/>
      <c r="I277" s="434"/>
      <c r="J277" s="434" t="s">
        <v>168</v>
      </c>
      <c r="K277" s="434" t="s">
        <v>2226</v>
      </c>
      <c r="L277" s="434"/>
      <c r="M277" s="434"/>
      <c r="N277" s="434"/>
      <c r="O277" s="434"/>
      <c r="P277" s="1483" t="s">
        <v>14793</v>
      </c>
      <c r="Q277" t="s">
        <v>50</v>
      </c>
      <c r="R277" t="s">
        <v>541</v>
      </c>
      <c r="W277">
        <v>0</v>
      </c>
      <c r="X277" t="e">
        <v>#DIV/0!</v>
      </c>
    </row>
    <row r="278" spans="1:26" s="106" customFormat="1" ht="105">
      <c r="A278" s="4874" t="s">
        <v>468</v>
      </c>
      <c r="B278" s="4874" t="s">
        <v>14794</v>
      </c>
      <c r="C278" s="4874" t="s">
        <v>1518</v>
      </c>
      <c r="D278" s="4975">
        <v>45197</v>
      </c>
      <c r="E278" s="5376">
        <v>45197</v>
      </c>
      <c r="F278" s="5433" t="s">
        <v>245</v>
      </c>
      <c r="G278" s="4874" t="s">
        <v>14795</v>
      </c>
      <c r="H278" s="4874"/>
      <c r="I278" s="4874"/>
      <c r="J278" s="4874" t="s">
        <v>859</v>
      </c>
      <c r="K278" s="4874" t="s">
        <v>860</v>
      </c>
      <c r="L278" s="4874"/>
      <c r="M278" s="4874"/>
      <c r="N278" s="4874"/>
      <c r="O278" s="4874"/>
      <c r="P278" s="5120" t="s">
        <v>14796</v>
      </c>
      <c r="Q278" s="4874" t="s">
        <v>75</v>
      </c>
      <c r="R278" s="4874" t="s">
        <v>810</v>
      </c>
      <c r="S278" s="4874"/>
      <c r="T278" s="4874"/>
      <c r="U278" s="4874"/>
      <c r="V278" s="4874"/>
      <c r="W278" s="4874" t="e">
        <f>#REF!-#REF!</f>
        <v>#REF!</v>
      </c>
      <c r="X278" s="4875" t="e">
        <f>#REF!/#REF!</f>
        <v>#REF!</v>
      </c>
    </row>
    <row r="279" spans="1:26" s="106" customFormat="1">
      <c r="A279" s="4971" t="s">
        <v>468</v>
      </c>
      <c r="B279" s="4971" t="s">
        <v>14797</v>
      </c>
      <c r="C279" s="5433" t="s">
        <v>200</v>
      </c>
      <c r="D279" s="5086">
        <v>45201</v>
      </c>
      <c r="E279" s="5086">
        <v>45201</v>
      </c>
      <c r="F279" s="5433" t="s">
        <v>245</v>
      </c>
      <c r="G279" s="4971" t="s">
        <v>14798</v>
      </c>
      <c r="H279" s="4975"/>
      <c r="I279" s="4874"/>
      <c r="J279" s="4971" t="s">
        <v>859</v>
      </c>
      <c r="K279" s="4971" t="s">
        <v>14799</v>
      </c>
      <c r="L279" s="4874"/>
      <c r="M279" s="4975"/>
      <c r="N279" s="4975"/>
      <c r="O279" s="4975"/>
      <c r="P279" s="4971" t="s">
        <v>14800</v>
      </c>
      <c r="Q279" s="4874" t="s">
        <v>75</v>
      </c>
      <c r="R279" s="4874" t="s">
        <v>810</v>
      </c>
      <c r="W279" s="4874" t="e">
        <f>#REF!-#REF!</f>
        <v>#REF!</v>
      </c>
      <c r="X279" s="4875" t="e">
        <f>#REF!/#REF!</f>
        <v>#REF!</v>
      </c>
    </row>
    <row r="280" spans="1:26">
      <c r="A280" s="2" t="s">
        <v>497</v>
      </c>
      <c r="B280" s="1483" t="s">
        <v>14801</v>
      </c>
      <c r="C280" s="434" t="s">
        <v>3181</v>
      </c>
      <c r="D280" s="434">
        <v>45202</v>
      </c>
      <c r="E280" s="434">
        <v>45209</v>
      </c>
      <c r="F280" s="434" t="s">
        <v>990</v>
      </c>
      <c r="G280" s="434" t="s">
        <v>829</v>
      </c>
      <c r="H280" s="434"/>
      <c r="I280" s="434"/>
      <c r="J280" s="434" t="s">
        <v>168</v>
      </c>
      <c r="K280" s="434" t="s">
        <v>310</v>
      </c>
      <c r="L280" s="434"/>
      <c r="M280" s="434"/>
      <c r="N280" s="434"/>
      <c r="O280" s="434" t="s">
        <v>14635</v>
      </c>
      <c r="P280" s="1483" t="s">
        <v>14802</v>
      </c>
      <c r="Q280" t="s">
        <v>50</v>
      </c>
      <c r="W280">
        <v>0</v>
      </c>
      <c r="X280" t="s">
        <v>532</v>
      </c>
    </row>
    <row r="281" spans="1:26" s="106" customFormat="1" ht="60">
      <c r="A281" s="4874" t="s">
        <v>2714</v>
      </c>
      <c r="B281" s="4874" t="s">
        <v>14803</v>
      </c>
      <c r="C281" s="4874" t="s">
        <v>28</v>
      </c>
      <c r="D281" s="4975">
        <v>45209</v>
      </c>
      <c r="E281" s="5040">
        <v>45214</v>
      </c>
      <c r="F281" s="4874" t="s">
        <v>45</v>
      </c>
      <c r="G281" s="4874" t="s">
        <v>14804</v>
      </c>
      <c r="H281" s="6170" t="s">
        <v>14805</v>
      </c>
      <c r="I281" s="4874"/>
      <c r="J281" s="4874" t="s">
        <v>322</v>
      </c>
      <c r="K281" s="4874" t="s">
        <v>14806</v>
      </c>
      <c r="L281" s="4971" t="s">
        <v>14766</v>
      </c>
      <c r="M281" s="4975"/>
      <c r="N281" s="4975"/>
      <c r="O281" s="4975"/>
      <c r="P281" s="5049" t="s">
        <v>14807</v>
      </c>
      <c r="Q281" s="4874" t="s">
        <v>75</v>
      </c>
      <c r="R281" s="4874" t="s">
        <v>810</v>
      </c>
      <c r="S281" s="4874"/>
      <c r="W281" s="106" t="e">
        <f>IFERROR((OCT_2023[[#This Row],[Sales Amount]]-OCT_2023[[#This Row],[Cost]])/OCT_2023[[#This Row],[CNTR AMOUNT]],OCT_2023[[#This Row],[Sales Amount]]-OCT_2023[[#This Row],[Cost]])</f>
        <v>#VALUE!</v>
      </c>
      <c r="X281" s="106" t="str">
        <f>IFERROR(OCT_2023[[#This Row],[Profit]]/OCT_2023[[#This Row],[Cost]]," ")</f>
        <v xml:space="preserve"> </v>
      </c>
    </row>
    <row r="282" spans="1:26" s="26" customFormat="1" ht="30">
      <c r="A282" s="4152" t="s">
        <v>367</v>
      </c>
      <c r="B282" s="4152" t="s">
        <v>14808</v>
      </c>
      <c r="C282" s="106" t="s">
        <v>28</v>
      </c>
      <c r="D282" s="144">
        <v>45207</v>
      </c>
      <c r="E282" s="144">
        <v>45222</v>
      </c>
      <c r="F282" s="4152" t="s">
        <v>151</v>
      </c>
      <c r="G282" s="4152" t="s">
        <v>302</v>
      </c>
      <c r="H282" s="106"/>
      <c r="I282" s="106"/>
      <c r="J282" s="106" t="s">
        <v>322</v>
      </c>
      <c r="K282" s="4152" t="s">
        <v>2802</v>
      </c>
      <c r="M282" s="746"/>
      <c r="N282" s="746"/>
      <c r="O282" s="746"/>
      <c r="P282" s="4219" t="s">
        <v>14809</v>
      </c>
      <c r="Q282" s="26" t="s">
        <v>75</v>
      </c>
      <c r="R282" s="106" t="s">
        <v>810</v>
      </c>
      <c r="S282" s="106"/>
      <c r="T282" s="106"/>
      <c r="U282" s="106"/>
      <c r="V282" s="106"/>
      <c r="W282" s="3075"/>
      <c r="X282" s="3075"/>
      <c r="Y282" s="3075"/>
      <c r="Z282" s="3250"/>
    </row>
    <row r="283" spans="1:26">
      <c r="A283" s="4895" t="s">
        <v>3409</v>
      </c>
      <c r="B283" s="4895" t="s">
        <v>3410</v>
      </c>
      <c r="C283" s="4895" t="s">
        <v>28</v>
      </c>
      <c r="D283" s="5169">
        <v>45230</v>
      </c>
      <c r="E283" s="5169">
        <v>45239</v>
      </c>
      <c r="F283" s="4895" t="s">
        <v>45</v>
      </c>
      <c r="G283" s="4895" t="s">
        <v>46</v>
      </c>
      <c r="H283" s="4895"/>
      <c r="I283" s="4895"/>
      <c r="J283" s="5168"/>
      <c r="K283" s="4872" t="s">
        <v>14810</v>
      </c>
      <c r="L283" s="4895"/>
      <c r="M283" s="4895"/>
      <c r="N283" s="4895"/>
      <c r="O283" s="4895"/>
      <c r="P283" s="4874" t="s">
        <v>14811</v>
      </c>
      <c r="Q283" s="4872" t="s">
        <v>35</v>
      </c>
      <c r="R283" s="4895" t="s">
        <v>14812</v>
      </c>
      <c r="S283" s="4895" t="s">
        <v>67</v>
      </c>
    </row>
    <row r="284" spans="1:26" s="106" customFormat="1">
      <c r="A284" s="4971" t="s">
        <v>219</v>
      </c>
      <c r="B284" s="4971" t="s">
        <v>14813</v>
      </c>
      <c r="C284" s="4874" t="s">
        <v>28</v>
      </c>
      <c r="D284" s="4975">
        <v>45208</v>
      </c>
      <c r="E284" s="144">
        <v>45230</v>
      </c>
      <c r="F284" s="4971" t="s">
        <v>1357</v>
      </c>
      <c r="G284" s="4971" t="s">
        <v>958</v>
      </c>
      <c r="I284" s="4874"/>
      <c r="J284" s="4971" t="s">
        <v>247</v>
      </c>
      <c r="K284" s="4971" t="s">
        <v>14814</v>
      </c>
      <c r="L284" s="4874"/>
      <c r="M284" s="4975"/>
      <c r="N284" s="4975"/>
      <c r="O284" s="144"/>
      <c r="P284" s="5049" t="s">
        <v>14815</v>
      </c>
      <c r="Q284" s="4874" t="s">
        <v>75</v>
      </c>
      <c r="R284" s="4152" t="s">
        <v>810</v>
      </c>
      <c r="W284" s="106" t="e">
        <f>IFERROR((OCT_2023[[#This Row],[Sales Amount]]-OCT_2023[[#This Row],[Cost]])/OCT_2023[[#This Row],[CNTR AMOUNT]],OCT_2023[[#This Row],[Sales Amount]]-OCT_2023[[#This Row],[Cost]])</f>
        <v>#VALUE!</v>
      </c>
      <c r="X284" s="106" t="str">
        <f>IFERROR(OCT_2023[[#This Row],[Profit]]/OCT_2023[[#This Row],[Cost]]," ")</f>
        <v xml:space="preserve"> </v>
      </c>
    </row>
    <row r="285" spans="1:26" s="106" customFormat="1">
      <c r="A285" s="3075" t="s">
        <v>2714</v>
      </c>
      <c r="B285" s="4575" t="s">
        <v>14816</v>
      </c>
      <c r="C285" s="3075" t="s">
        <v>28</v>
      </c>
      <c r="D285" s="3069">
        <v>45221</v>
      </c>
      <c r="E285" s="3550">
        <v>45224</v>
      </c>
      <c r="F285" s="3075" t="s">
        <v>45</v>
      </c>
      <c r="G285" s="3075" t="s">
        <v>14804</v>
      </c>
      <c r="H285" t="s">
        <v>14817</v>
      </c>
      <c r="I285" s="4428" t="s">
        <v>14818</v>
      </c>
      <c r="J285" s="3075" t="s">
        <v>322</v>
      </c>
      <c r="K285" s="3075" t="s">
        <v>14806</v>
      </c>
      <c r="L285" s="3075"/>
      <c r="M285" s="3069"/>
      <c r="N285" s="3069"/>
      <c r="O285" s="144"/>
      <c r="P285" s="4141" t="s">
        <v>14819</v>
      </c>
      <c r="Q285" s="3075" t="s">
        <v>75</v>
      </c>
      <c r="R285" s="4217" t="s">
        <v>810</v>
      </c>
      <c r="S285" s="3075"/>
      <c r="T285" s="3075"/>
      <c r="U285" s="3075"/>
      <c r="V285" s="3075"/>
      <c r="W285" s="3075" t="e">
        <f>IFERROR((OCT_2023[[#This Row],[Sales Amount]]-OCT_2023[[#This Row],[Cost]])/OCT_2023[[#This Row],[CNTR AMOUNT]],OCT_2023[[#This Row],[Sales Amount]]-OCT_2023[[#This Row],[Cost]])</f>
        <v>#VALUE!</v>
      </c>
      <c r="X285" s="3075" t="str">
        <f>IFERROR(OCT_2023[[#This Row],[Profit]]/OCT_2023[[#This Row],[Cost]]," ")</f>
        <v xml:space="preserve"> </v>
      </c>
      <c r="Y285" s="3075"/>
      <c r="Z285" s="3075"/>
    </row>
    <row r="286" spans="1:26" s="106" customFormat="1">
      <c r="A286" s="106" t="s">
        <v>2714</v>
      </c>
      <c r="B286" s="910" t="s">
        <v>14820</v>
      </c>
      <c r="C286" s="152" t="s">
        <v>28</v>
      </c>
      <c r="D286" s="3069">
        <v>45221</v>
      </c>
      <c r="E286" s="3651">
        <v>45224</v>
      </c>
      <c r="F286" s="106" t="s">
        <v>45</v>
      </c>
      <c r="G286" s="106" t="s">
        <v>14804</v>
      </c>
      <c r="H286" t="s">
        <v>14821</v>
      </c>
      <c r="I286" s="4428" t="s">
        <v>14822</v>
      </c>
      <c r="J286" s="106" t="s">
        <v>322</v>
      </c>
      <c r="K286" s="106" t="s">
        <v>14806</v>
      </c>
      <c r="M286" s="144"/>
      <c r="N286" s="144"/>
      <c r="O286" s="144"/>
      <c r="P286" s="4141" t="s">
        <v>14819</v>
      </c>
      <c r="Q286" s="152" t="s">
        <v>75</v>
      </c>
      <c r="R286" s="4217" t="s">
        <v>810</v>
      </c>
      <c r="W286" s="106" t="e">
        <f>IFERROR((OCT_2023[[#This Row],[Sales Amount]]-OCT_2023[[#This Row],[Cost]])/OCT_2023[[#This Row],[CNTR AMOUNT]],OCT_2023[[#This Row],[Sales Amount]]-OCT_2023[[#This Row],[Cost]])</f>
        <v>#VALUE!</v>
      </c>
      <c r="X286" s="106" t="str">
        <f>IFERROR(OCT_2023[[#This Row],[Profit]]/OCT_2023[[#This Row],[Cost]]," ")</f>
        <v xml:space="preserve"> </v>
      </c>
    </row>
    <row r="287" spans="1:26" s="106" customFormat="1">
      <c r="A287" s="106" t="s">
        <v>1113</v>
      </c>
      <c r="B287" s="4576" t="s">
        <v>14823</v>
      </c>
      <c r="C287" s="152" t="s">
        <v>28</v>
      </c>
      <c r="D287" s="3069">
        <v>45221</v>
      </c>
      <c r="E287" s="3651">
        <v>45224</v>
      </c>
      <c r="F287" s="106" t="s">
        <v>45</v>
      </c>
      <c r="G287" s="4152" t="s">
        <v>14804</v>
      </c>
      <c r="H287" t="s">
        <v>14824</v>
      </c>
      <c r="I287" s="4428" t="s">
        <v>14825</v>
      </c>
      <c r="J287" s="4248" t="s">
        <v>322</v>
      </c>
      <c r="K287" s="4248" t="s">
        <v>14806</v>
      </c>
      <c r="M287" s="144"/>
      <c r="N287" s="144"/>
      <c r="O287" s="144"/>
      <c r="P287" s="4141" t="s">
        <v>14826</v>
      </c>
      <c r="Q287" s="152" t="s">
        <v>75</v>
      </c>
      <c r="R287" s="4217" t="s">
        <v>810</v>
      </c>
      <c r="S287" s="152"/>
      <c r="W287" s="106" t="e">
        <f>IFERROR((OCT_2023[[#This Row],[Sales Amount]]-OCT_2023[[#This Row],[Cost]])/OCT_2023[[#This Row],[CNTR AMOUNT]],OCT_2023[[#This Row],[Sales Amount]]-OCT_2023[[#This Row],[Cost]])</f>
        <v>#VALUE!</v>
      </c>
      <c r="X287" s="106" t="str">
        <f>IFERROR(OCT_2023[[#This Row],[Profit]]/OCT_2023[[#This Row],[Cost]]," ")</f>
        <v xml:space="preserve"> </v>
      </c>
    </row>
    <row r="288" spans="1:26" s="106" customFormat="1">
      <c r="A288" s="106" t="s">
        <v>1113</v>
      </c>
      <c r="B288" s="4576" t="s">
        <v>14827</v>
      </c>
      <c r="C288" s="152" t="s">
        <v>28</v>
      </c>
      <c r="D288" s="3069">
        <v>45221</v>
      </c>
      <c r="E288" s="144">
        <v>45225</v>
      </c>
      <c r="F288" s="106" t="s">
        <v>45</v>
      </c>
      <c r="G288" s="106" t="s">
        <v>14804</v>
      </c>
      <c r="J288" s="4248" t="s">
        <v>322</v>
      </c>
      <c r="K288" s="152" t="s">
        <v>14806</v>
      </c>
      <c r="M288" s="144"/>
      <c r="N288" s="144"/>
      <c r="O288" s="144"/>
      <c r="P288" s="4141" t="s">
        <v>14826</v>
      </c>
      <c r="Q288" s="152" t="s">
        <v>75</v>
      </c>
      <c r="R288" s="4217" t="s">
        <v>810</v>
      </c>
      <c r="S288" s="152"/>
      <c r="W288" s="106" t="e">
        <f>IFERROR((OCT_2023[[#This Row],[Sales Amount]]-OCT_2023[[#This Row],[Cost]])/OCT_2023[[#This Row],[CNTR AMOUNT]],OCT_2023[[#This Row],[Sales Amount]]-OCT_2023[[#This Row],[Cost]])</f>
        <v>#VALUE!</v>
      </c>
      <c r="X288" s="106" t="str">
        <f>IFERROR(OCT_2023[[#This Row],[Profit]]/OCT_2023[[#This Row],[Cost]]," ")</f>
        <v xml:space="preserve"> </v>
      </c>
    </row>
    <row r="289" spans="1:60">
      <c r="A289" s="4895" t="s">
        <v>68</v>
      </c>
      <c r="B289" s="5497" t="s">
        <v>3700</v>
      </c>
      <c r="C289" s="4872" t="s">
        <v>28</v>
      </c>
      <c r="D289" s="5169">
        <v>45235</v>
      </c>
      <c r="E289" s="5169">
        <v>45246</v>
      </c>
      <c r="F289" s="4895" t="s">
        <v>45</v>
      </c>
      <c r="G289" s="5168"/>
      <c r="H289" s="5170" t="s">
        <v>4135</v>
      </c>
      <c r="I289" s="4895"/>
      <c r="J289" s="5168"/>
      <c r="K289" s="4895" t="s">
        <v>14828</v>
      </c>
      <c r="L289" s="4895"/>
      <c r="M289" s="4895"/>
      <c r="N289" s="4895"/>
      <c r="O289" s="4895"/>
      <c r="P289" s="6240" t="s">
        <v>4136</v>
      </c>
      <c r="Q289" s="4895" t="s">
        <v>35</v>
      </c>
      <c r="R289" s="4895" t="s">
        <v>14812</v>
      </c>
      <c r="S289" s="4895" t="s">
        <v>4137</v>
      </c>
    </row>
    <row r="290" spans="1:60">
      <c r="A290" s="4895" t="s">
        <v>68</v>
      </c>
      <c r="B290" s="5168" t="s">
        <v>3703</v>
      </c>
      <c r="C290" s="4872" t="s">
        <v>28</v>
      </c>
      <c r="D290" s="5169">
        <v>45235</v>
      </c>
      <c r="E290" s="5169">
        <v>45246</v>
      </c>
      <c r="F290" s="4895" t="s">
        <v>45</v>
      </c>
      <c r="G290" s="5168"/>
      <c r="H290" s="5170" t="s">
        <v>4135</v>
      </c>
      <c r="I290" s="4895"/>
      <c r="J290" s="5168"/>
      <c r="K290" s="4895" t="s">
        <v>14828</v>
      </c>
      <c r="L290" s="4895"/>
      <c r="M290" s="4895"/>
      <c r="N290" s="4895"/>
      <c r="O290" s="4895"/>
      <c r="P290" s="6240" t="s">
        <v>4136</v>
      </c>
      <c r="Q290" s="4895" t="s">
        <v>35</v>
      </c>
      <c r="R290" s="4895" t="s">
        <v>14812</v>
      </c>
      <c r="S290" s="4895" t="s">
        <v>4137</v>
      </c>
    </row>
    <row r="291" spans="1:60">
      <c r="A291" s="4895" t="s">
        <v>68</v>
      </c>
      <c r="B291" s="5168" t="s">
        <v>3711</v>
      </c>
      <c r="C291" s="4872" t="s">
        <v>28</v>
      </c>
      <c r="D291" s="5169">
        <v>45235</v>
      </c>
      <c r="E291" s="5169">
        <v>45246</v>
      </c>
      <c r="F291" s="4895" t="s">
        <v>45</v>
      </c>
      <c r="G291" s="5168"/>
      <c r="H291" s="5170" t="s">
        <v>4135</v>
      </c>
      <c r="I291" s="4895"/>
      <c r="J291" s="5168"/>
      <c r="K291" s="4895" t="s">
        <v>14828</v>
      </c>
      <c r="L291" s="4895"/>
      <c r="M291" s="4895"/>
      <c r="N291" s="4895"/>
      <c r="O291" s="4895"/>
      <c r="P291" s="6240" t="s">
        <v>4136</v>
      </c>
      <c r="Q291" s="4895" t="s">
        <v>35</v>
      </c>
      <c r="R291" s="4895" t="s">
        <v>14812</v>
      </c>
      <c r="S291" s="4895" t="s">
        <v>4137</v>
      </c>
    </row>
    <row r="292" spans="1:60">
      <c r="A292" s="4895" t="s">
        <v>68</v>
      </c>
      <c r="B292" s="5168" t="s">
        <v>3713</v>
      </c>
      <c r="C292" s="4872" t="s">
        <v>28</v>
      </c>
      <c r="D292" s="5169">
        <v>45235</v>
      </c>
      <c r="E292" s="5169">
        <v>45246</v>
      </c>
      <c r="F292" s="4895" t="s">
        <v>45</v>
      </c>
      <c r="G292" s="5168"/>
      <c r="H292" s="5170" t="s">
        <v>4135</v>
      </c>
      <c r="I292" s="4895"/>
      <c r="J292" s="5168"/>
      <c r="K292" s="4895" t="s">
        <v>14828</v>
      </c>
      <c r="L292" s="4895"/>
      <c r="M292" s="4895"/>
      <c r="N292" s="4895"/>
      <c r="O292" s="4895"/>
      <c r="P292" s="6240" t="s">
        <v>4136</v>
      </c>
      <c r="Q292" s="4895" t="s">
        <v>35</v>
      </c>
      <c r="R292" s="4895" t="s">
        <v>14812</v>
      </c>
      <c r="S292" s="4895" t="s">
        <v>4137</v>
      </c>
    </row>
    <row r="293" spans="1:60" s="106" customFormat="1" ht="60">
      <c r="A293" s="4971" t="s">
        <v>165</v>
      </c>
      <c r="B293" s="4971" t="s">
        <v>14829</v>
      </c>
      <c r="C293" s="4874" t="s">
        <v>44</v>
      </c>
      <c r="D293" s="4975">
        <v>45226</v>
      </c>
      <c r="E293" s="5040">
        <v>45226</v>
      </c>
      <c r="F293" s="4971" t="s">
        <v>45</v>
      </c>
      <c r="G293" s="5049" t="s">
        <v>14830</v>
      </c>
      <c r="H293" s="5083" t="s">
        <v>14831</v>
      </c>
      <c r="I293" s="5083" t="s">
        <v>14832</v>
      </c>
      <c r="J293" s="4971" t="s">
        <v>510</v>
      </c>
      <c r="K293" s="5049" t="s">
        <v>14833</v>
      </c>
      <c r="L293" s="4874" t="s">
        <v>162</v>
      </c>
      <c r="M293" s="5602">
        <v>45232</v>
      </c>
      <c r="N293" s="4874"/>
      <c r="O293" s="4975"/>
      <c r="P293" s="5049" t="s">
        <v>14834</v>
      </c>
      <c r="Q293" s="4874" t="s">
        <v>75</v>
      </c>
      <c r="R293" s="4971" t="s">
        <v>810</v>
      </c>
      <c r="S293" s="4874"/>
      <c r="W293" s="3075" t="e">
        <f>IFERROR((OCT_2023[[#This Row],[Sales Amount]]-OCT_2023[[#This Row],[Cost]])/OCT_2023[[#This Row],[CNTR AMOUNT]],OCT_2023[[#This Row],[Sales Amount]]-OCT_2023[[#This Row],[Cost]])</f>
        <v>#VALUE!</v>
      </c>
      <c r="X293" s="3276" t="str">
        <f>IFERROR(OCT_2023[[#This Row],[Profit]]/OCT_2023[[#This Row],[Cost]]," ")</f>
        <v xml:space="preserve"> </v>
      </c>
      <c r="Y293" s="3075"/>
      <c r="Z293" s="3307"/>
    </row>
    <row r="294" spans="1:60">
      <c r="A294" s="4895" t="s">
        <v>26</v>
      </c>
      <c r="B294" s="4895" t="s">
        <v>3440</v>
      </c>
      <c r="C294" s="4895" t="s">
        <v>200</v>
      </c>
      <c r="D294" s="5169">
        <v>45224</v>
      </c>
      <c r="E294" s="5312">
        <v>45238</v>
      </c>
      <c r="F294" s="4895" t="s">
        <v>245</v>
      </c>
      <c r="G294" s="4895" t="s">
        <v>57</v>
      </c>
      <c r="H294" s="4895"/>
      <c r="I294" s="4895"/>
      <c r="J294" s="5168"/>
      <c r="K294" s="4895" t="s">
        <v>3441</v>
      </c>
      <c r="L294" s="6241" t="s">
        <v>3442</v>
      </c>
      <c r="M294" s="6242">
        <v>45239</v>
      </c>
      <c r="N294" s="4895"/>
      <c r="O294" s="4895"/>
      <c r="P294" s="4874" t="s">
        <v>14835</v>
      </c>
      <c r="Q294" s="4872" t="s">
        <v>35</v>
      </c>
      <c r="R294" s="4872" t="s">
        <v>14812</v>
      </c>
      <c r="S294" s="4895" t="s">
        <v>37</v>
      </c>
    </row>
    <row r="295" spans="1:60" s="826" customFormat="1" ht="30">
      <c r="A295" s="4006" t="s">
        <v>319</v>
      </c>
      <c r="B295" s="4006" t="s">
        <v>14836</v>
      </c>
      <c r="C295" s="3307" t="s">
        <v>44</v>
      </c>
      <c r="D295" s="4007">
        <v>45250</v>
      </c>
      <c r="E295" s="4008">
        <v>45250</v>
      </c>
      <c r="F295" s="4006" t="s">
        <v>135</v>
      </c>
      <c r="G295" s="4006" t="s">
        <v>14837</v>
      </c>
      <c r="H295" s="4007"/>
      <c r="I295" s="4006"/>
      <c r="J295" s="4006"/>
      <c r="K295" s="4006" t="s">
        <v>14790</v>
      </c>
      <c r="L295" s="4006"/>
      <c r="M295" s="4007"/>
      <c r="N295" s="4007"/>
      <c r="O295" s="4007"/>
      <c r="P295" s="4006" t="s">
        <v>14838</v>
      </c>
      <c r="Q295" s="4006" t="s">
        <v>75</v>
      </c>
      <c r="R295" s="4577" t="s">
        <v>810</v>
      </c>
      <c r="S295" s="4006"/>
      <c r="T295" s="4006"/>
      <c r="U295" s="4006"/>
      <c r="V295" s="4006"/>
      <c r="W295" s="4006" t="e">
        <f>IFERROR((Table6[[#This Row],[Sales Amount]]-Table6[[#This Row],[Cost]])/Table6[[#This Row],[CNTR AMOUNT]],Table6[[#This Row],[Sales Amount]]-Table6[[#This Row],[Cost]])</f>
        <v>#VALUE!</v>
      </c>
      <c r="X295" s="4006" t="str">
        <f>IFERROR(Table6[[#This Row],[Profit]]/Table6[[#This Row],[Cost]]," ")</f>
        <v xml:space="preserve"> </v>
      </c>
      <c r="Y295" s="4006"/>
      <c r="Z295" s="3473"/>
    </row>
    <row r="296" spans="1:60" s="147" customFormat="1" ht="39" customHeight="1">
      <c r="A296" s="4578" t="s">
        <v>165</v>
      </c>
      <c r="B296" s="4578" t="s">
        <v>14839</v>
      </c>
      <c r="C296" s="1691" t="s">
        <v>44</v>
      </c>
      <c r="D296" s="1741">
        <v>45260</v>
      </c>
      <c r="E296" s="1741">
        <v>45268</v>
      </c>
      <c r="F296" s="4578" t="s">
        <v>2225</v>
      </c>
      <c r="G296" s="4578" t="s">
        <v>886</v>
      </c>
      <c r="H296" s="1741"/>
      <c r="I296" s="1691"/>
      <c r="J296" s="1742"/>
      <c r="K296" s="4578" t="s">
        <v>14840</v>
      </c>
      <c r="L296" s="1691"/>
      <c r="M296" s="1741"/>
      <c r="N296" s="1741"/>
      <c r="O296" s="1737"/>
      <c r="P296" s="4578" t="s">
        <v>14841</v>
      </c>
      <c r="Q296" s="1691" t="s">
        <v>75</v>
      </c>
      <c r="R296" s="4578" t="s">
        <v>810</v>
      </c>
      <c r="S296" s="1691"/>
      <c r="T296" s="1691"/>
      <c r="U296" s="1691"/>
      <c r="V296" s="1691"/>
      <c r="W296" s="1691" t="e">
        <f>IFERROR((Table6[[#This Row],[Sales Amount]]-Table6[[#This Row],[Cost]])/Table6[[#This Row],[CNTR AMOUNT]],Table6[[#This Row],[Sales Amount]]-Table6[[#This Row],[Cost]])</f>
        <v>#VALUE!</v>
      </c>
      <c r="X296" s="1733" t="str">
        <f>IFERROR(Table6[[#This Row],[Profit]]/Table6[[#This Row],[Cost]]," ")</f>
        <v xml:space="preserve"> </v>
      </c>
      <c r="Y296" s="1691"/>
      <c r="Z296" s="1691"/>
    </row>
    <row r="297" spans="1:60">
      <c r="A297" s="18" t="s">
        <v>622</v>
      </c>
      <c r="B297" s="18" t="s">
        <v>3821</v>
      </c>
      <c r="C297" s="1062" t="s">
        <v>28</v>
      </c>
      <c r="D297" s="661">
        <v>45258</v>
      </c>
      <c r="E297" s="661">
        <v>45268</v>
      </c>
      <c r="F297" s="18" t="s">
        <v>29</v>
      </c>
      <c r="G297" s="18" t="s">
        <v>57</v>
      </c>
      <c r="H297" s="982">
        <v>45280</v>
      </c>
      <c r="I297" s="18"/>
      <c r="J297" s="1062" t="s">
        <v>32</v>
      </c>
      <c r="K297" s="84" t="s">
        <v>1445</v>
      </c>
      <c r="L297" s="1639">
        <v>3025501</v>
      </c>
      <c r="M297" s="1824">
        <v>45281</v>
      </c>
      <c r="N297" s="1812">
        <v>45279</v>
      </c>
      <c r="O297" s="1812">
        <v>45281</v>
      </c>
      <c r="P297" s="93" t="s">
        <v>14842</v>
      </c>
      <c r="Q297" s="84" t="s">
        <v>35</v>
      </c>
      <c r="R297" s="84" t="s">
        <v>14843</v>
      </c>
      <c r="S297" s="84" t="s">
        <v>67</v>
      </c>
    </row>
    <row r="298" spans="1:60" s="26" customFormat="1" ht="60">
      <c r="A298" s="3065" t="s">
        <v>1051</v>
      </c>
      <c r="B298" s="4009" t="s">
        <v>14844</v>
      </c>
      <c r="C298" s="3075" t="s">
        <v>200</v>
      </c>
      <c r="D298" s="3069">
        <v>45313</v>
      </c>
      <c r="E298" s="3069">
        <v>45324</v>
      </c>
      <c r="F298" s="3075" t="s">
        <v>29</v>
      </c>
      <c r="G298" s="3075" t="s">
        <v>14845</v>
      </c>
      <c r="H298" s="3857"/>
      <c r="I298" s="3075"/>
      <c r="J298" s="3075"/>
      <c r="K298" s="3075" t="s">
        <v>1053</v>
      </c>
      <c r="L298" s="3075"/>
      <c r="M298" s="3069"/>
      <c r="N298" s="3069"/>
      <c r="O298" s="3069"/>
      <c r="P298" s="3622" t="s">
        <v>14846</v>
      </c>
      <c r="Q298" s="3255" t="s">
        <v>75</v>
      </c>
      <c r="R298" s="2121" t="s">
        <v>810</v>
      </c>
      <c r="S298" s="152"/>
      <c r="T298" s="152"/>
      <c r="U298" s="152"/>
      <c r="V298" s="152"/>
      <c r="W298" s="152" t="e">
        <f>表12[[#This Row],[Sales Amount]]-表12[[#This Row],[Cost]]</f>
        <v>#VALUE!</v>
      </c>
      <c r="X298" s="2135" t="str">
        <f>IFERROR(Table6[[#This Row],[Profit]]/Table6[[#This Row],[Cost]]," ")</f>
        <v xml:space="preserve"> </v>
      </c>
      <c r="Y298" s="152"/>
      <c r="Z298" s="645"/>
    </row>
    <row r="299" spans="1:60" s="26" customFormat="1" ht="45">
      <c r="A299" s="3065" t="s">
        <v>468</v>
      </c>
      <c r="B299" s="106" t="s">
        <v>14847</v>
      </c>
      <c r="C299" s="3075" t="s">
        <v>28</v>
      </c>
      <c r="D299" s="3069">
        <v>45338</v>
      </c>
      <c r="E299" s="3069">
        <v>45338</v>
      </c>
      <c r="F299" s="3075" t="s">
        <v>260</v>
      </c>
      <c r="G299" s="3309" t="s">
        <v>4355</v>
      </c>
      <c r="H299" s="3444"/>
      <c r="I299" s="3241"/>
      <c r="J299" s="3241" t="s">
        <v>14848</v>
      </c>
      <c r="K299" s="3075" t="s">
        <v>14849</v>
      </c>
      <c r="L299" s="3241"/>
      <c r="M299" s="3243"/>
      <c r="N299" s="3243"/>
      <c r="O299" s="3243"/>
      <c r="P299" s="3853" t="s">
        <v>14850</v>
      </c>
      <c r="Q299" s="4873" t="s">
        <v>75</v>
      </c>
      <c r="R299" s="2136" t="s">
        <v>810</v>
      </c>
      <c r="S299" s="85"/>
      <c r="T299" s="641"/>
      <c r="U299" s="1725"/>
      <c r="V299" s="2133"/>
      <c r="W299" s="994" t="e">
        <f>表12[[#This Row],[Sales Amount]]-表12[[#This Row],[Cost]]</f>
        <v>#VALUE!</v>
      </c>
      <c r="X299" s="2122" t="str">
        <f>IFERROR(Table6[[#This Row],[Profit]]/Table6[[#This Row],[Cost]]," ")</f>
        <v xml:space="preserve"> </v>
      </c>
      <c r="Y299" s="2133"/>
      <c r="Z299" s="2134"/>
      <c r="AA299" s="746"/>
    </row>
    <row r="300" spans="1:60" s="26" customFormat="1" ht="45">
      <c r="A300" s="3065" t="s">
        <v>468</v>
      </c>
      <c r="B300" s="106" t="s">
        <v>14851</v>
      </c>
      <c r="C300" s="3075" t="s">
        <v>28</v>
      </c>
      <c r="D300" s="3069">
        <v>45338</v>
      </c>
      <c r="E300" s="3069">
        <v>45338</v>
      </c>
      <c r="F300" s="3075" t="s">
        <v>260</v>
      </c>
      <c r="G300" s="3309" t="s">
        <v>4355</v>
      </c>
      <c r="H300" s="3444"/>
      <c r="I300" s="3241"/>
      <c r="J300" s="3241" t="s">
        <v>14848</v>
      </c>
      <c r="K300" s="3075" t="s">
        <v>14849</v>
      </c>
      <c r="L300" s="3241"/>
      <c r="M300" s="3243"/>
      <c r="N300" s="3243"/>
      <c r="O300" s="3243"/>
      <c r="P300" s="3853" t="s">
        <v>14850</v>
      </c>
      <c r="Q300" s="4873" t="s">
        <v>75</v>
      </c>
      <c r="R300" s="2136" t="s">
        <v>810</v>
      </c>
      <c r="S300" s="85"/>
      <c r="T300" s="641"/>
      <c r="U300" s="1725"/>
      <c r="V300" s="2133"/>
      <c r="W300" s="994" t="e">
        <f>表12[[#This Row],[Sales Amount]]-表12[[#This Row],[Cost]]</f>
        <v>#VALUE!</v>
      </c>
      <c r="X300" s="2122" t="str">
        <f>IFERROR(Table6[[#This Row],[Profit]]/Table6[[#This Row],[Cost]]," ")</f>
        <v xml:space="preserve"> </v>
      </c>
      <c r="Y300" s="2133"/>
      <c r="Z300" s="2134"/>
      <c r="AA300" s="746"/>
    </row>
    <row r="301" spans="1:60" s="26" customFormat="1" ht="45">
      <c r="A301" s="3065" t="s">
        <v>468</v>
      </c>
      <c r="B301" s="2116" t="s">
        <v>14852</v>
      </c>
      <c r="C301" s="3075" t="s">
        <v>28</v>
      </c>
      <c r="D301" s="3069">
        <v>45338</v>
      </c>
      <c r="E301" s="3069">
        <v>45338</v>
      </c>
      <c r="F301" s="3075" t="s">
        <v>260</v>
      </c>
      <c r="G301" s="3309" t="s">
        <v>4355</v>
      </c>
      <c r="H301" s="3444"/>
      <c r="I301" s="3241"/>
      <c r="J301" s="3241" t="s">
        <v>14848</v>
      </c>
      <c r="K301" s="3075" t="s">
        <v>14849</v>
      </c>
      <c r="L301" s="3241"/>
      <c r="M301" s="3243"/>
      <c r="N301" s="3243"/>
      <c r="O301" s="3243"/>
      <c r="P301" s="3853" t="s">
        <v>14850</v>
      </c>
      <c r="Q301" s="4873" t="s">
        <v>75</v>
      </c>
      <c r="R301" s="2136" t="s">
        <v>810</v>
      </c>
      <c r="S301" s="85"/>
      <c r="T301" s="641"/>
      <c r="U301" s="1725"/>
      <c r="V301" s="2133"/>
      <c r="W301" s="994" t="e">
        <f>表12[[#This Row],[Sales Amount]]-表12[[#This Row],[Cost]]</f>
        <v>#VALUE!</v>
      </c>
      <c r="X301" s="2122" t="str">
        <f>IFERROR(Table6[[#This Row],[Profit]]/Table6[[#This Row],[Cost]]," ")</f>
        <v xml:space="preserve"> </v>
      </c>
      <c r="Y301" s="2133"/>
      <c r="Z301" s="2134"/>
      <c r="AA301" s="746"/>
    </row>
    <row r="302" spans="1:60">
      <c r="A302" s="4839" t="s">
        <v>1945</v>
      </c>
      <c r="B302" s="4839" t="s">
        <v>7029</v>
      </c>
      <c r="C302" s="4839" t="s">
        <v>28</v>
      </c>
      <c r="D302" s="4957">
        <v>45371</v>
      </c>
      <c r="E302" s="4957">
        <v>45374</v>
      </c>
      <c r="F302" s="4839" t="s">
        <v>56</v>
      </c>
      <c r="G302" s="4839" t="s">
        <v>7030</v>
      </c>
      <c r="H302" s="4839"/>
      <c r="I302" s="4839"/>
      <c r="J302" s="4839"/>
      <c r="K302" s="4839" t="s">
        <v>7031</v>
      </c>
      <c r="L302" s="4913"/>
      <c r="M302" s="4913"/>
      <c r="N302" s="4913"/>
      <c r="O302" s="4913"/>
      <c r="P302" s="4757" t="s">
        <v>7032</v>
      </c>
      <c r="Q302" s="4839" t="s">
        <v>35</v>
      </c>
      <c r="R302" s="4839" t="s">
        <v>810</v>
      </c>
      <c r="S302" s="4839" t="s">
        <v>67</v>
      </c>
    </row>
    <row r="303" spans="1:60" s="647" customFormat="1" ht="150">
      <c r="A303" s="5483" t="s">
        <v>4793</v>
      </c>
      <c r="B303" s="5483" t="s">
        <v>14853</v>
      </c>
      <c r="C303" s="4895" t="s">
        <v>28</v>
      </c>
      <c r="D303" s="5430">
        <v>45383</v>
      </c>
      <c r="E303" s="5479">
        <v>45383</v>
      </c>
      <c r="F303" s="5483" t="s">
        <v>135</v>
      </c>
      <c r="G303" s="5481" t="s">
        <v>14837</v>
      </c>
      <c r="H303" s="5390"/>
      <c r="I303" s="5283"/>
      <c r="J303" s="5483" t="s">
        <v>984</v>
      </c>
      <c r="K303" s="5483" t="s">
        <v>14854</v>
      </c>
      <c r="L303" s="5283"/>
      <c r="M303" s="5390"/>
      <c r="N303" s="5390"/>
      <c r="O303" s="5390"/>
      <c r="P303" s="5481" t="s">
        <v>14855</v>
      </c>
      <c r="Q303" s="4895" t="s">
        <v>75</v>
      </c>
      <c r="R303" s="2459" t="s">
        <v>810</v>
      </c>
      <c r="S303" s="681"/>
      <c r="T303" s="681"/>
      <c r="U303" s="681"/>
      <c r="V303" s="681"/>
      <c r="W303" s="681"/>
      <c r="X303" s="681"/>
      <c r="Y303" s="681"/>
      <c r="Z303" s="681"/>
      <c r="AA303" s="681"/>
      <c r="AB303" s="681"/>
      <c r="AC303" s="681"/>
      <c r="AD303" s="681"/>
      <c r="AE303" s="681"/>
      <c r="AF303" s="681"/>
      <c r="AG303" s="681"/>
      <c r="AH303" s="681"/>
      <c r="AI303" s="681"/>
      <c r="AJ303" s="681"/>
      <c r="AK303" s="681"/>
      <c r="AL303" s="681"/>
      <c r="AM303" s="681"/>
      <c r="AN303" s="681"/>
      <c r="AO303" s="681"/>
      <c r="AP303" s="681"/>
      <c r="AQ303" s="681"/>
      <c r="AR303" s="681"/>
      <c r="AS303" s="681"/>
      <c r="AT303" s="681"/>
      <c r="AU303" s="681"/>
      <c r="AV303" s="681"/>
      <c r="AW303" s="681"/>
      <c r="AX303" s="681"/>
      <c r="AY303" s="681"/>
      <c r="AZ303" s="681"/>
      <c r="BA303" s="681"/>
      <c r="BB303" s="681"/>
      <c r="BC303" s="681"/>
      <c r="BD303" s="681"/>
      <c r="BE303" s="681"/>
      <c r="BF303" s="681"/>
      <c r="BG303" s="681"/>
      <c r="BH303" s="681"/>
    </row>
    <row r="304" spans="1:60" s="52" customFormat="1" ht="30">
      <c r="A304" s="5483" t="s">
        <v>3064</v>
      </c>
      <c r="B304" s="5483" t="s">
        <v>14856</v>
      </c>
      <c r="C304" s="5283" t="s">
        <v>28</v>
      </c>
      <c r="D304" s="5923">
        <v>45397</v>
      </c>
      <c r="E304" s="5923">
        <v>45407</v>
      </c>
      <c r="F304" s="5483" t="s">
        <v>167</v>
      </c>
      <c r="G304" s="5483" t="s">
        <v>12267</v>
      </c>
      <c r="H304" s="5533" t="s">
        <v>899</v>
      </c>
      <c r="I304" s="5283"/>
      <c r="J304" s="5483" t="s">
        <v>32</v>
      </c>
      <c r="K304" s="5483" t="s">
        <v>14857</v>
      </c>
      <c r="L304" s="5283"/>
      <c r="M304" s="5390"/>
      <c r="N304" s="5390"/>
      <c r="O304" s="5390"/>
      <c r="P304" s="5524" t="s">
        <v>14858</v>
      </c>
      <c r="Q304" s="5283" t="s">
        <v>75</v>
      </c>
      <c r="R304" s="4892" t="s">
        <v>14296</v>
      </c>
      <c r="S304" s="4892"/>
      <c r="T304" s="4892"/>
      <c r="U304" s="4892"/>
      <c r="V304" s="4892"/>
      <c r="W304" s="4892"/>
      <c r="X304" s="4892"/>
      <c r="Y304" s="4892"/>
      <c r="Z304" s="4892"/>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row>
    <row r="305" spans="1:35" ht="15.75">
      <c r="A305" s="500" t="s">
        <v>3343</v>
      </c>
      <c r="B305" s="2597" t="s">
        <v>14859</v>
      </c>
      <c r="C305" s="2497" t="s">
        <v>28</v>
      </c>
      <c r="D305" s="2498">
        <v>45388</v>
      </c>
      <c r="E305" s="2499">
        <v>45397</v>
      </c>
      <c r="F305" s="2497" t="s">
        <v>45</v>
      </c>
      <c r="G305" s="2497" t="s">
        <v>46</v>
      </c>
      <c r="H305" s="2498"/>
      <c r="I305" s="2497"/>
      <c r="J305" s="2501" t="s">
        <v>32</v>
      </c>
      <c r="K305" s="2501" t="s">
        <v>47</v>
      </c>
      <c r="L305" s="2502" t="s">
        <v>14860</v>
      </c>
      <c r="M305" s="2504"/>
      <c r="N305" s="2504" t="s">
        <v>738</v>
      </c>
      <c r="O305" s="2504"/>
      <c r="P305" s="2506" t="s">
        <v>14861</v>
      </c>
      <c r="Q305" s="2497" t="s">
        <v>6852</v>
      </c>
      <c r="R305" s="2497"/>
      <c r="S305" s="2497"/>
      <c r="T305" s="2497"/>
      <c r="U305" s="2497"/>
      <c r="V305" s="2497"/>
      <c r="W305" s="2497"/>
      <c r="X305" s="2497"/>
      <c r="Y305" s="2497"/>
      <c r="Z305" s="2497"/>
      <c r="AA305" s="2497"/>
      <c r="AB305" s="2497"/>
      <c r="AC305" s="2497"/>
      <c r="AD305" s="2497"/>
      <c r="AE305" s="2497"/>
      <c r="AF305" s="2497"/>
    </row>
    <row r="306" spans="1:35">
      <c r="A306" s="4861" t="s">
        <v>6848</v>
      </c>
      <c r="B306" s="5323" t="s">
        <v>14862</v>
      </c>
      <c r="C306" s="5323" t="s">
        <v>44</v>
      </c>
      <c r="D306" s="5403">
        <v>45353</v>
      </c>
      <c r="E306" s="5634">
        <v>45362</v>
      </c>
      <c r="F306" s="4861" t="s">
        <v>45</v>
      </c>
      <c r="G306" s="4861" t="s">
        <v>46</v>
      </c>
      <c r="H306" s="5406"/>
      <c r="I306" s="5277"/>
      <c r="J306" s="5326" t="s">
        <v>32</v>
      </c>
      <c r="K306" s="4861" t="s">
        <v>47</v>
      </c>
      <c r="L306" s="4861"/>
      <c r="M306" s="5406"/>
      <c r="N306" s="5406" t="s">
        <v>14635</v>
      </c>
      <c r="O306" s="5406"/>
      <c r="P306" s="5277" t="s">
        <v>14863</v>
      </c>
      <c r="Q306" s="5277" t="s">
        <v>6852</v>
      </c>
      <c r="R306" s="5277"/>
      <c r="S306" s="5277"/>
    </row>
    <row r="307" spans="1:35">
      <c r="A307" s="6243" t="s">
        <v>3343</v>
      </c>
      <c r="B307" s="5323" t="s">
        <v>14864</v>
      </c>
      <c r="C307" s="4861" t="s">
        <v>28</v>
      </c>
      <c r="D307" s="4953">
        <v>45346</v>
      </c>
      <c r="E307" s="4953">
        <v>45365</v>
      </c>
      <c r="F307" s="4861" t="s">
        <v>86</v>
      </c>
      <c r="G307" s="4861" t="s">
        <v>46</v>
      </c>
      <c r="H307" s="5352" t="s">
        <v>8463</v>
      </c>
      <c r="I307" s="4861"/>
      <c r="J307" s="6244" t="s">
        <v>32</v>
      </c>
      <c r="K307" s="4882" t="s">
        <v>310</v>
      </c>
      <c r="L307" s="4861"/>
      <c r="M307" s="5352"/>
      <c r="N307" s="4861" t="s">
        <v>541</v>
      </c>
      <c r="O307" s="4861"/>
      <c r="P307" s="4871" t="s">
        <v>14865</v>
      </c>
      <c r="Q307" s="4861" t="s">
        <v>50</v>
      </c>
      <c r="R307" s="2766"/>
      <c r="S307" s="2767"/>
      <c r="T307" s="2767"/>
      <c r="U307" s="2767"/>
      <c r="V307" s="2767"/>
      <c r="W307" s="2767"/>
      <c r="X307" s="2768"/>
      <c r="Y307" s="2767"/>
      <c r="Z307" s="2767"/>
    </row>
    <row r="308" spans="1:35" s="106" customFormat="1">
      <c r="A308" s="3781" t="s">
        <v>14866</v>
      </c>
      <c r="B308" s="4280" t="s">
        <v>14867</v>
      </c>
      <c r="C308" s="4971" t="s">
        <v>200</v>
      </c>
      <c r="D308" s="3069">
        <v>45482</v>
      </c>
      <c r="E308" s="3069">
        <v>45482</v>
      </c>
      <c r="F308" s="4579" t="s">
        <v>45</v>
      </c>
      <c r="G308" s="4971" t="s">
        <v>1037</v>
      </c>
      <c r="H308" s="3075"/>
      <c r="I308" s="3075"/>
      <c r="J308" s="5471"/>
      <c r="K308" s="4874"/>
      <c r="L308" s="3075"/>
      <c r="M308" s="3069"/>
      <c r="N308" s="3069"/>
      <c r="O308" s="3069"/>
      <c r="P308" s="4280" t="s">
        <v>14868</v>
      </c>
      <c r="Q308" s="5480" t="s">
        <v>75</v>
      </c>
      <c r="R308" s="4217" t="s">
        <v>810</v>
      </c>
      <c r="S308" s="3075"/>
      <c r="T308" s="3075"/>
      <c r="U308" s="3075"/>
      <c r="V308" s="3075"/>
      <c r="W308" s="3075"/>
      <c r="X308" s="3075"/>
      <c r="Y308" s="3075"/>
      <c r="Z308" s="3250"/>
    </row>
    <row r="309" spans="1:35" s="106" customFormat="1">
      <c r="A309" s="3781" t="s">
        <v>14866</v>
      </c>
      <c r="B309" s="4280" t="s">
        <v>14869</v>
      </c>
      <c r="C309" s="4874" t="s">
        <v>28</v>
      </c>
      <c r="D309" s="3694"/>
      <c r="E309" s="3694"/>
      <c r="F309" s="3075" t="s">
        <v>45</v>
      </c>
      <c r="G309" s="3075" t="s">
        <v>1037</v>
      </c>
      <c r="H309" s="2835"/>
      <c r="I309" s="3075"/>
      <c r="J309" s="3800"/>
      <c r="K309" s="3075"/>
      <c r="L309" s="3075"/>
      <c r="M309" s="3069">
        <v>45462</v>
      </c>
      <c r="N309" s="3782"/>
      <c r="O309" s="3782"/>
      <c r="P309" s="3368" t="s">
        <v>14870</v>
      </c>
      <c r="Q309" s="5553" t="s">
        <v>75</v>
      </c>
      <c r="R309" s="4217" t="s">
        <v>810</v>
      </c>
      <c r="S309" s="3255"/>
      <c r="T309" s="3255"/>
      <c r="U309" s="3255"/>
      <c r="V309" s="3255"/>
      <c r="W309" s="3784" t="e">
        <f>表15_17[[#This Row],[Sales Amount]]-表15_17[[#This Row],[Cost]]</f>
        <v>#VALUE!</v>
      </c>
      <c r="X309" s="3255" t="e">
        <f>表15_17[[#This Row],[Profit]]/表15_17[[#This Row],[Cost]]</f>
        <v>#VALUE!</v>
      </c>
      <c r="Y309" s="3255"/>
      <c r="Z309" s="3256"/>
    </row>
    <row r="310" spans="1:35" ht="45">
      <c r="B310" s="5622" t="s">
        <v>4815</v>
      </c>
      <c r="C310" s="4839" t="s">
        <v>14871</v>
      </c>
      <c r="D310" s="4839" t="s">
        <v>44</v>
      </c>
      <c r="E310" s="4957">
        <v>45475</v>
      </c>
      <c r="F310" s="4957" t="e">
        <f>7+表15_1731[[#This Row],[ETA PORT]]</f>
        <v>#VALUE!</v>
      </c>
      <c r="G310" s="4839" t="s">
        <v>45</v>
      </c>
      <c r="H310" s="4839" t="s">
        <v>46</v>
      </c>
      <c r="I310" s="6245"/>
      <c r="J310" s="4861"/>
      <c r="K310" s="4901" t="s">
        <v>14872</v>
      </c>
      <c r="L310" s="4839" t="s">
        <v>47</v>
      </c>
      <c r="M310" s="4834"/>
      <c r="N310" s="4953"/>
      <c r="O310" s="4953" t="s">
        <v>738</v>
      </c>
      <c r="P310" s="4953" t="s">
        <v>738</v>
      </c>
      <c r="Q310" s="4864" t="s">
        <v>14873</v>
      </c>
      <c r="R310" s="5620" t="s">
        <v>6852</v>
      </c>
      <c r="S310" s="4861"/>
      <c r="T310" s="4834"/>
      <c r="U310" s="4861"/>
      <c r="V310" s="4861"/>
      <c r="W310" s="4861"/>
      <c r="X310" s="4861"/>
      <c r="Y310" s="4861"/>
      <c r="Z310" s="4861"/>
      <c r="AA310" s="4861"/>
    </row>
    <row r="311" spans="1:35">
      <c r="A311" s="5622" t="s">
        <v>7424</v>
      </c>
      <c r="B311" s="4839" t="s">
        <v>14874</v>
      </c>
      <c r="C311" s="4839" t="s">
        <v>28</v>
      </c>
      <c r="D311" s="4957">
        <v>45470</v>
      </c>
      <c r="E311" s="5071">
        <v>45478</v>
      </c>
      <c r="F311" s="4839" t="s">
        <v>167</v>
      </c>
      <c r="G311" s="4839" t="s">
        <v>14875</v>
      </c>
      <c r="H311" s="6245"/>
      <c r="I311" s="4861"/>
      <c r="J311" s="4901" t="s">
        <v>14876</v>
      </c>
      <c r="K311" s="4839" t="s">
        <v>14877</v>
      </c>
      <c r="L311" s="4834"/>
      <c r="M311" s="4953">
        <v>45480</v>
      </c>
      <c r="N311" s="4953"/>
      <c r="O311" s="4953"/>
      <c r="P311" s="4864" t="s">
        <v>14878</v>
      </c>
      <c r="Q311" s="5620" t="s">
        <v>9226</v>
      </c>
      <c r="R311" s="4861"/>
      <c r="S311" s="4834"/>
      <c r="T311" s="4861"/>
      <c r="U311" s="4861"/>
      <c r="V311" s="4861"/>
      <c r="W311" s="4861"/>
      <c r="X311" s="4861"/>
      <c r="Y311" s="4861"/>
      <c r="Z311" s="4861"/>
    </row>
    <row r="312" spans="1:35">
      <c r="A312" s="2" t="s">
        <v>9108</v>
      </c>
      <c r="B312" s="200" t="s">
        <v>14879</v>
      </c>
      <c r="C312" s="437" t="s">
        <v>28</v>
      </c>
      <c r="D312" s="437">
        <v>45480</v>
      </c>
      <c r="E312" s="437">
        <v>45480</v>
      </c>
      <c r="F312" s="437" t="s">
        <v>151</v>
      </c>
      <c r="G312" s="437" t="s">
        <v>7437</v>
      </c>
      <c r="H312" s="437" t="s">
        <v>844</v>
      </c>
      <c r="I312" s="437" t="s">
        <v>14880</v>
      </c>
      <c r="J312" s="437" t="s">
        <v>14876</v>
      </c>
      <c r="K312" s="437" t="s">
        <v>14881</v>
      </c>
      <c r="L312" s="437"/>
      <c r="M312" s="437" t="s">
        <v>14882</v>
      </c>
      <c r="N312" s="437" t="s">
        <v>14883</v>
      </c>
      <c r="O312" s="437"/>
      <c r="P312" s="200" t="s">
        <v>14884</v>
      </c>
      <c r="Q312" t="s">
        <v>75</v>
      </c>
      <c r="R312" s="4428" t="s">
        <v>810</v>
      </c>
      <c r="S312" t="s">
        <v>9659</v>
      </c>
      <c r="W312">
        <v>165</v>
      </c>
      <c r="X312">
        <v>0.15789473684210525</v>
      </c>
    </row>
    <row r="313" spans="1:35">
      <c r="A313" s="6246" t="s">
        <v>14885</v>
      </c>
      <c r="B313" s="4895" t="s">
        <v>14886</v>
      </c>
      <c r="C313" s="4895" t="s">
        <v>28</v>
      </c>
      <c r="D313" s="5493">
        <v>45500</v>
      </c>
      <c r="E313" s="5493">
        <v>45500</v>
      </c>
      <c r="F313" s="4895" t="s">
        <v>260</v>
      </c>
      <c r="G313" s="4895"/>
      <c r="H313" s="6247"/>
      <c r="I313" s="4874"/>
      <c r="J313" s="5171"/>
      <c r="K313" s="4895" t="s">
        <v>9730</v>
      </c>
      <c r="L313" s="5122"/>
      <c r="M313" s="4975"/>
      <c r="N313" s="4975"/>
      <c r="O313" s="4975"/>
      <c r="P313" s="5120" t="s">
        <v>14887</v>
      </c>
      <c r="Q313" s="5633" t="s">
        <v>9226</v>
      </c>
      <c r="R313" s="4874"/>
      <c r="S313" s="5122"/>
      <c r="T313" s="4874"/>
      <c r="U313" s="4874"/>
      <c r="V313" s="4874"/>
      <c r="W313" s="4874"/>
      <c r="X313" s="5184"/>
      <c r="Y313" s="4874"/>
      <c r="Z313" s="4874"/>
    </row>
    <row r="314" spans="1:35" ht="33.75" customHeight="1">
      <c r="A314" s="518" t="s">
        <v>2396</v>
      </c>
      <c r="B314" s="93" t="s">
        <v>14888</v>
      </c>
      <c r="C314" s="93" t="s">
        <v>28</v>
      </c>
      <c r="D314" s="818">
        <v>45520</v>
      </c>
      <c r="E314" s="818">
        <v>45520</v>
      </c>
      <c r="F314" s="84" t="s">
        <v>45</v>
      </c>
      <c r="G314" s="84" t="s">
        <v>14889</v>
      </c>
      <c r="H314" s="315"/>
      <c r="I314" s="84"/>
      <c r="J314" s="277" t="s">
        <v>14890</v>
      </c>
      <c r="K314" s="647" t="s">
        <v>14891</v>
      </c>
      <c r="L314" s="504"/>
      <c r="M314" s="818"/>
      <c r="N314" s="818"/>
      <c r="O314" s="818"/>
      <c r="P314" s="504" t="s">
        <v>14892</v>
      </c>
      <c r="Q314" s="817" t="s">
        <v>9226</v>
      </c>
      <c r="R314" s="93"/>
      <c r="S314" s="504"/>
      <c r="T314" s="93"/>
      <c r="U314" s="93"/>
      <c r="V314" s="93"/>
      <c r="W314" s="2921" t="e">
        <f>表15_1731[[#This Row],[Sales Amount]]-表15_1731[[#This Row],[Cost]]</f>
        <v>#VALUE!</v>
      </c>
      <c r="X314" s="1005" t="e">
        <f>表15_1731[[#This Row],[Profit]]/表15_1731[[#This Row],[Cost]]</f>
        <v>#VALUE!</v>
      </c>
      <c r="Y314" s="93"/>
      <c r="Z314" s="93"/>
      <c r="AA314" s="52"/>
      <c r="AB314" s="52"/>
      <c r="AC314" s="52"/>
      <c r="AD314" s="52"/>
      <c r="AE314" s="52"/>
      <c r="AF314" s="52"/>
      <c r="AG314" s="52"/>
      <c r="AH314" s="52"/>
      <c r="AI314" s="52"/>
    </row>
    <row r="315" spans="1:35">
      <c r="A315" s="2914" t="s">
        <v>2396</v>
      </c>
      <c r="B315" s="228" t="s">
        <v>14893</v>
      </c>
      <c r="C315" s="228" t="s">
        <v>28</v>
      </c>
      <c r="D315" s="2911">
        <v>45520</v>
      </c>
      <c r="E315" s="2911">
        <v>45520</v>
      </c>
      <c r="F315" s="16" t="s">
        <v>45</v>
      </c>
      <c r="G315" s="16" t="s">
        <v>14889</v>
      </c>
      <c r="H315" s="493"/>
      <c r="I315" s="16"/>
      <c r="J315" s="2917" t="s">
        <v>14890</v>
      </c>
      <c r="K315" s="16" t="s">
        <v>12308</v>
      </c>
      <c r="L315" s="2912"/>
      <c r="M315" s="2911"/>
      <c r="N315" s="2911"/>
      <c r="O315" s="2911"/>
      <c r="P315" s="2912" t="s">
        <v>14892</v>
      </c>
      <c r="Q315" s="2915" t="s">
        <v>9226</v>
      </c>
      <c r="R315" s="228"/>
      <c r="S315" s="2912"/>
      <c r="T315" s="228"/>
      <c r="U315" s="228"/>
      <c r="V315" s="228"/>
      <c r="W315" s="2916" t="e">
        <f>表15_1731[[#This Row],[Sales Amount]]-表15_1731[[#This Row],[Cost]]</f>
        <v>#VALUE!</v>
      </c>
      <c r="X315" s="2913" t="e">
        <f>表15_1731[[#This Row],[Profit]]/表15_1731[[#This Row],[Cost]]</f>
        <v>#VALUE!</v>
      </c>
      <c r="Y315" s="228"/>
      <c r="Z315" s="228"/>
      <c r="AA315" s="106"/>
      <c r="AB315" s="106"/>
      <c r="AC315" s="106"/>
      <c r="AD315" s="106"/>
      <c r="AE315" s="106"/>
      <c r="AF315" s="106"/>
      <c r="AG315" s="106"/>
      <c r="AH315" s="106"/>
      <c r="AI315" s="106"/>
    </row>
    <row r="316" spans="1:35">
      <c r="A316" s="3800" t="s">
        <v>2396</v>
      </c>
      <c r="B316" s="3067" t="s">
        <v>14894</v>
      </c>
      <c r="C316" s="3075" t="s">
        <v>28</v>
      </c>
      <c r="D316" s="3069">
        <v>45523</v>
      </c>
      <c r="E316" s="3069">
        <v>45523</v>
      </c>
      <c r="F316" s="3241" t="s">
        <v>45</v>
      </c>
      <c r="G316" s="3241" t="s">
        <v>14889</v>
      </c>
      <c r="H316" s="3243"/>
      <c r="I316" s="3241"/>
      <c r="J316" s="3332" t="s">
        <v>14890</v>
      </c>
      <c r="K316" s="3241" t="s">
        <v>12308</v>
      </c>
      <c r="L316" s="3309"/>
      <c r="M316" s="3069"/>
      <c r="N316" s="3069"/>
      <c r="O316" s="3069"/>
      <c r="P316" s="3309" t="s">
        <v>14895</v>
      </c>
      <c r="Q316" s="3714" t="s">
        <v>9226</v>
      </c>
      <c r="R316" s="3075"/>
      <c r="S316" s="3309"/>
      <c r="T316" s="3075"/>
      <c r="U316" s="3075"/>
      <c r="V316" s="3075"/>
      <c r="W316" s="3836" t="e">
        <f>表15_1731[[#This Row],[Sales Amount]]-表15_1731[[#This Row],[Cost]]</f>
        <v>#VALUE!</v>
      </c>
      <c r="X316" s="3271" t="e">
        <f>表15_1731[[#This Row],[Profit]]/表15_1731[[#This Row],[Cost]]</f>
        <v>#VALUE!</v>
      </c>
      <c r="Y316" s="3075"/>
      <c r="Z316" s="3075"/>
      <c r="AA316" s="52"/>
      <c r="AB316" s="52"/>
      <c r="AC316" s="52"/>
      <c r="AD316" s="52"/>
      <c r="AE316" s="52"/>
      <c r="AF316" s="52"/>
      <c r="AG316" s="52"/>
      <c r="AH316" s="52"/>
      <c r="AI316" s="52"/>
    </row>
    <row r="317" spans="1:35" s="52" customFormat="1" ht="30">
      <c r="A317" s="4971" t="s">
        <v>3849</v>
      </c>
      <c r="B317" s="4971" t="s">
        <v>14896</v>
      </c>
      <c r="C317" s="4874" t="s">
        <v>28</v>
      </c>
      <c r="D317" s="5390">
        <v>45524</v>
      </c>
      <c r="E317" s="5533">
        <v>45544</v>
      </c>
      <c r="F317" s="4971" t="s">
        <v>14897</v>
      </c>
      <c r="G317" s="4971" t="s">
        <v>302</v>
      </c>
      <c r="H317" s="4874"/>
      <c r="I317" s="4874"/>
      <c r="J317" s="4874"/>
      <c r="K317" s="5049" t="s">
        <v>14898</v>
      </c>
      <c r="L317" s="4874"/>
      <c r="M317" s="2975"/>
      <c r="N317" s="1846"/>
      <c r="O317" s="1846"/>
      <c r="P317" s="4579" t="s">
        <v>14899</v>
      </c>
      <c r="Q317" s="2968" t="s">
        <v>75</v>
      </c>
      <c r="R317" s="4428" t="s">
        <v>810</v>
      </c>
      <c r="S317" s="4579" t="s">
        <v>14900</v>
      </c>
      <c r="T317" s="1846"/>
      <c r="U317" s="1846"/>
      <c r="V317" s="1846"/>
      <c r="W317" s="1846"/>
      <c r="X317" s="1846"/>
      <c r="Y317" s="1846"/>
      <c r="Z317" s="1846"/>
    </row>
    <row r="318" spans="1:35" ht="60">
      <c r="A318" s="5105" t="s">
        <v>10905</v>
      </c>
      <c r="B318" s="5283" t="s">
        <v>14901</v>
      </c>
      <c r="C318" s="5283" t="s">
        <v>28</v>
      </c>
      <c r="D318" s="5390">
        <v>45538</v>
      </c>
      <c r="E318" s="5388">
        <v>45550</v>
      </c>
      <c r="F318" s="5283" t="s">
        <v>167</v>
      </c>
      <c r="G318" s="5105" t="s">
        <v>302</v>
      </c>
      <c r="H318" s="5283"/>
      <c r="I318" s="5283"/>
      <c r="J318" s="5173" t="s">
        <v>32</v>
      </c>
      <c r="K318" s="5283" t="s">
        <v>10907</v>
      </c>
      <c r="L318" s="5283"/>
      <c r="M318" s="5283"/>
      <c r="N318" s="5283"/>
      <c r="O318" s="5283"/>
      <c r="P318" s="5105" t="s">
        <v>14902</v>
      </c>
      <c r="Q318" s="5482" t="s">
        <v>9226</v>
      </c>
      <c r="R318" s="5283"/>
      <c r="S318" s="5105" t="s">
        <v>9659</v>
      </c>
      <c r="T318" s="5283"/>
      <c r="U318" s="5283"/>
      <c r="V318" s="5283"/>
      <c r="W318" s="5283"/>
      <c r="X318" s="5283"/>
      <c r="Y318" s="5283"/>
      <c r="Z318" s="5283"/>
      <c r="AA318" s="52"/>
      <c r="AB318" s="52"/>
      <c r="AC318" s="52"/>
      <c r="AD318" s="52"/>
      <c r="AE318" s="52"/>
      <c r="AF318" s="52"/>
      <c r="AG318" s="52"/>
      <c r="AH318" s="52"/>
      <c r="AI318" s="52"/>
    </row>
    <row r="319" spans="1:35" ht="60">
      <c r="A319" s="5105" t="s">
        <v>10905</v>
      </c>
      <c r="B319" s="5283" t="s">
        <v>14903</v>
      </c>
      <c r="C319" s="5283" t="s">
        <v>28</v>
      </c>
      <c r="D319" s="5390">
        <v>45538</v>
      </c>
      <c r="E319" s="5388">
        <v>45547</v>
      </c>
      <c r="F319" s="5283" t="s">
        <v>167</v>
      </c>
      <c r="G319" s="5105" t="s">
        <v>302</v>
      </c>
      <c r="H319" s="5283"/>
      <c r="I319" s="5283"/>
      <c r="J319" s="5173" t="s">
        <v>32</v>
      </c>
      <c r="K319" s="5283" t="s">
        <v>10907</v>
      </c>
      <c r="L319" s="5283"/>
      <c r="M319" s="5283"/>
      <c r="N319" s="5283"/>
      <c r="O319" s="5283"/>
      <c r="P319" s="5105" t="s">
        <v>14902</v>
      </c>
      <c r="Q319" s="5482" t="s">
        <v>9226</v>
      </c>
      <c r="R319" s="5283"/>
      <c r="S319" s="5105" t="s">
        <v>9659</v>
      </c>
      <c r="T319" s="5283"/>
      <c r="U319" s="5283"/>
      <c r="V319" s="5283"/>
      <c r="W319" s="5283"/>
      <c r="X319" s="5283"/>
      <c r="Y319" s="5283"/>
      <c r="Z319" s="5283"/>
      <c r="AA319" s="52"/>
      <c r="AB319" s="52"/>
      <c r="AC319" s="52"/>
      <c r="AD319" s="52"/>
      <c r="AE319" s="52"/>
      <c r="AF319" s="52"/>
      <c r="AG319" s="52"/>
      <c r="AH319" s="52"/>
      <c r="AI319" s="52"/>
    </row>
    <row r="320" spans="1:35" ht="60">
      <c r="A320" s="2977" t="s">
        <v>10905</v>
      </c>
      <c r="B320" s="2966" t="s">
        <v>14904</v>
      </c>
      <c r="C320" s="2966" t="s">
        <v>28</v>
      </c>
      <c r="D320" s="2967">
        <v>45538</v>
      </c>
      <c r="E320" s="5388">
        <v>45550</v>
      </c>
      <c r="F320" s="2966" t="s">
        <v>167</v>
      </c>
      <c r="G320" s="2977" t="s">
        <v>302</v>
      </c>
      <c r="H320" s="2966"/>
      <c r="I320" s="2966"/>
      <c r="J320" s="4010" t="s">
        <v>32</v>
      </c>
      <c r="K320" s="2966" t="s">
        <v>10907</v>
      </c>
      <c r="L320" s="2966"/>
      <c r="M320" s="2966"/>
      <c r="N320" s="2966"/>
      <c r="O320" s="2966"/>
      <c r="P320" s="2977" t="s">
        <v>14902</v>
      </c>
      <c r="Q320" s="2910" t="s">
        <v>9226</v>
      </c>
      <c r="R320" s="2908"/>
      <c r="S320" s="1393" t="s">
        <v>9659</v>
      </c>
      <c r="T320" s="2908"/>
      <c r="U320" s="2908"/>
      <c r="V320" s="2908"/>
      <c r="W320" s="2908"/>
      <c r="X320" s="2908"/>
      <c r="Y320" s="2908"/>
      <c r="Z320" s="2908"/>
      <c r="AA320" s="52"/>
      <c r="AB320" s="52"/>
      <c r="AC320" s="52"/>
      <c r="AD320" s="52"/>
      <c r="AE320" s="52"/>
      <c r="AF320" s="52"/>
      <c r="AG320" s="52"/>
      <c r="AH320" s="52"/>
      <c r="AI320" s="52"/>
    </row>
    <row r="321" spans="1:35" ht="60">
      <c r="A321" s="5105" t="s">
        <v>10905</v>
      </c>
      <c r="B321" s="5283" t="s">
        <v>14905</v>
      </c>
      <c r="C321" s="5283" t="s">
        <v>28</v>
      </c>
      <c r="D321" s="5390">
        <v>45538</v>
      </c>
      <c r="E321" s="5390">
        <v>45547</v>
      </c>
      <c r="F321" s="5283" t="s">
        <v>167</v>
      </c>
      <c r="G321" s="5105" t="s">
        <v>302</v>
      </c>
      <c r="H321" s="5283"/>
      <c r="I321" s="5283"/>
      <c r="J321" s="5173" t="s">
        <v>32</v>
      </c>
      <c r="K321" s="5283" t="s">
        <v>10907</v>
      </c>
      <c r="L321" s="5283"/>
      <c r="M321" s="5283"/>
      <c r="N321" s="5283"/>
      <c r="O321" s="5283"/>
      <c r="P321" s="5105" t="s">
        <v>14902</v>
      </c>
      <c r="Q321" s="4721" t="s">
        <v>9226</v>
      </c>
      <c r="R321" s="5283"/>
      <c r="S321" s="5105" t="s">
        <v>9659</v>
      </c>
      <c r="T321" s="5283"/>
      <c r="U321" s="5283"/>
      <c r="V321" s="5283"/>
      <c r="W321" s="5283"/>
      <c r="X321" s="5283"/>
      <c r="Y321" s="5283"/>
      <c r="Z321" s="5283"/>
      <c r="AA321" s="52"/>
      <c r="AB321" s="52"/>
      <c r="AC321" s="52"/>
      <c r="AD321" s="52"/>
      <c r="AE321" s="52"/>
      <c r="AF321" s="52"/>
      <c r="AG321" s="52"/>
      <c r="AH321" s="52"/>
      <c r="AI321" s="52"/>
    </row>
    <row r="322" spans="1:35" ht="60">
      <c r="A322" s="5105" t="s">
        <v>10905</v>
      </c>
      <c r="B322" s="5283" t="s">
        <v>14906</v>
      </c>
      <c r="C322" s="5283" t="s">
        <v>28</v>
      </c>
      <c r="D322" s="5390">
        <v>45544</v>
      </c>
      <c r="E322" s="5390">
        <v>45554</v>
      </c>
      <c r="F322" s="5283" t="s">
        <v>167</v>
      </c>
      <c r="G322" s="5105" t="s">
        <v>302</v>
      </c>
      <c r="H322" s="5283"/>
      <c r="I322" s="5283"/>
      <c r="J322" s="5173" t="s">
        <v>32</v>
      </c>
      <c r="K322" s="5283" t="s">
        <v>10907</v>
      </c>
      <c r="L322" s="5283"/>
      <c r="M322" s="5283"/>
      <c r="N322" s="5283"/>
      <c r="O322" s="5283"/>
      <c r="P322" s="5105" t="s">
        <v>14907</v>
      </c>
      <c r="Q322" s="4721" t="s">
        <v>9226</v>
      </c>
      <c r="R322" s="5283"/>
      <c r="S322" s="5105" t="s">
        <v>9659</v>
      </c>
      <c r="T322" s="5283"/>
      <c r="U322" s="5283"/>
      <c r="V322" s="5283"/>
      <c r="W322" s="5283"/>
      <c r="X322" s="5283"/>
      <c r="Y322" s="5283"/>
      <c r="Z322" s="5283"/>
      <c r="AA322" s="52"/>
      <c r="AB322" s="52"/>
      <c r="AC322" s="52"/>
      <c r="AD322" s="52"/>
      <c r="AE322" s="52"/>
      <c r="AF322" s="52"/>
      <c r="AG322" s="52"/>
      <c r="AH322" s="52"/>
      <c r="AI322" s="52"/>
    </row>
    <row r="323" spans="1:35" ht="60">
      <c r="A323" s="1393" t="s">
        <v>10905</v>
      </c>
      <c r="B323" s="2908" t="s">
        <v>14908</v>
      </c>
      <c r="C323" s="2908" t="s">
        <v>28</v>
      </c>
      <c r="D323" s="2909">
        <v>45544</v>
      </c>
      <c r="E323" s="2909">
        <v>45554</v>
      </c>
      <c r="F323" s="2908" t="s">
        <v>167</v>
      </c>
      <c r="G323" s="1393" t="s">
        <v>302</v>
      </c>
      <c r="H323" s="2908"/>
      <c r="I323" s="2908"/>
      <c r="J323" s="2908" t="s">
        <v>32</v>
      </c>
      <c r="K323" s="2908" t="s">
        <v>10907</v>
      </c>
      <c r="L323" s="2908"/>
      <c r="M323" s="2908"/>
      <c r="N323" s="2908"/>
      <c r="O323" s="2908"/>
      <c r="P323" s="1393" t="s">
        <v>14907</v>
      </c>
      <c r="Q323" s="5482" t="s">
        <v>9226</v>
      </c>
      <c r="R323" s="5283"/>
      <c r="S323" s="5105" t="s">
        <v>9659</v>
      </c>
      <c r="T323" s="5283"/>
      <c r="U323" s="5283"/>
      <c r="V323" s="5283"/>
      <c r="W323" s="5283"/>
      <c r="X323" s="5283"/>
      <c r="Y323" s="5283"/>
      <c r="Z323" s="5283"/>
      <c r="AA323" s="52"/>
      <c r="AB323" s="52"/>
      <c r="AC323" s="52"/>
      <c r="AD323" s="52"/>
      <c r="AE323" s="52"/>
      <c r="AF323" s="52"/>
      <c r="AG323" s="52"/>
      <c r="AH323" s="52"/>
      <c r="AI323" s="52"/>
    </row>
    <row r="324" spans="1:35" ht="60">
      <c r="A324" s="5105" t="s">
        <v>10905</v>
      </c>
      <c r="B324" s="5283" t="s">
        <v>14909</v>
      </c>
      <c r="C324" s="5283" t="s">
        <v>28</v>
      </c>
      <c r="D324" s="5390">
        <v>45544</v>
      </c>
      <c r="E324" s="5390">
        <v>45554</v>
      </c>
      <c r="F324" s="5283" t="s">
        <v>167</v>
      </c>
      <c r="G324" s="5105" t="s">
        <v>302</v>
      </c>
      <c r="H324" s="5283"/>
      <c r="I324" s="5283"/>
      <c r="J324" s="5283" t="s">
        <v>32</v>
      </c>
      <c r="K324" s="5283" t="s">
        <v>10907</v>
      </c>
      <c r="L324" s="5283"/>
      <c r="M324" s="5283"/>
      <c r="N324" s="5283"/>
      <c r="O324" s="5283"/>
      <c r="P324" s="5105" t="s">
        <v>14907</v>
      </c>
      <c r="Q324" s="5482" t="s">
        <v>9226</v>
      </c>
      <c r="R324" s="5283"/>
      <c r="S324" s="5105" t="s">
        <v>9659</v>
      </c>
      <c r="T324" s="5283"/>
      <c r="U324" s="5283"/>
      <c r="V324" s="5283"/>
      <c r="W324" s="5283"/>
      <c r="X324" s="5283"/>
      <c r="Y324" s="5283"/>
      <c r="Z324" s="5283"/>
      <c r="AA324" s="52"/>
      <c r="AB324" s="52"/>
      <c r="AC324" s="52"/>
      <c r="AD324" s="52"/>
      <c r="AE324" s="52"/>
      <c r="AF324" s="52"/>
      <c r="AG324" s="52"/>
      <c r="AH324" s="52"/>
      <c r="AI324" s="52"/>
    </row>
    <row r="325" spans="1:35" ht="60">
      <c r="A325" s="5105" t="s">
        <v>10905</v>
      </c>
      <c r="B325" s="5283" t="s">
        <v>14910</v>
      </c>
      <c r="C325" s="5283" t="s">
        <v>28</v>
      </c>
      <c r="D325" s="5390">
        <v>45544</v>
      </c>
      <c r="E325" s="5390">
        <v>45554</v>
      </c>
      <c r="F325" s="5283" t="s">
        <v>167</v>
      </c>
      <c r="G325" s="5105" t="s">
        <v>302</v>
      </c>
      <c r="H325" s="5283"/>
      <c r="I325" s="5283"/>
      <c r="J325" s="5283" t="s">
        <v>32</v>
      </c>
      <c r="K325" s="5283" t="s">
        <v>10907</v>
      </c>
      <c r="L325" s="5283"/>
      <c r="M325" s="5283"/>
      <c r="N325" s="5283"/>
      <c r="O325" s="5283"/>
      <c r="P325" s="5105" t="s">
        <v>14907</v>
      </c>
      <c r="Q325" s="5482" t="s">
        <v>9226</v>
      </c>
      <c r="R325" s="5283"/>
      <c r="S325" s="5105" t="s">
        <v>9659</v>
      </c>
      <c r="T325" s="5283"/>
      <c r="U325" s="5283"/>
      <c r="V325" s="5283"/>
      <c r="W325" s="5283"/>
      <c r="X325" s="5283"/>
      <c r="Y325" s="5283"/>
      <c r="Z325" s="5283"/>
      <c r="AA325" s="2429"/>
      <c r="AB325" s="1161"/>
      <c r="AC325" s="1161"/>
      <c r="AD325" s="1161"/>
      <c r="AE325" s="1161"/>
      <c r="AF325" s="1161"/>
      <c r="AG325" s="1161"/>
      <c r="AH325" s="1161"/>
      <c r="AI325" s="1161"/>
    </row>
    <row r="326" spans="1:35" ht="60">
      <c r="A326" s="5105" t="s">
        <v>10905</v>
      </c>
      <c r="B326" s="5283" t="s">
        <v>14911</v>
      </c>
      <c r="C326" s="5283" t="s">
        <v>28</v>
      </c>
      <c r="D326" s="5390">
        <v>45544</v>
      </c>
      <c r="E326" s="5390">
        <v>45554</v>
      </c>
      <c r="F326" s="5283" t="s">
        <v>167</v>
      </c>
      <c r="G326" s="5105" t="s">
        <v>302</v>
      </c>
      <c r="H326" s="5283"/>
      <c r="I326" s="5283"/>
      <c r="J326" s="5283" t="s">
        <v>32</v>
      </c>
      <c r="K326" s="5283" t="s">
        <v>10907</v>
      </c>
      <c r="L326" s="5283"/>
      <c r="M326" s="5283"/>
      <c r="N326" s="5283"/>
      <c r="O326" s="5283"/>
      <c r="P326" s="5105" t="s">
        <v>14907</v>
      </c>
      <c r="Q326" s="5482" t="s">
        <v>9226</v>
      </c>
      <c r="R326" s="5283"/>
      <c r="S326" s="5105" t="s">
        <v>9659</v>
      </c>
      <c r="T326" s="5283"/>
      <c r="U326" s="5283"/>
      <c r="V326" s="5283"/>
      <c r="W326" s="5283"/>
      <c r="X326" s="5283"/>
      <c r="Y326" s="5283"/>
      <c r="Z326" s="5283"/>
      <c r="AA326" s="52"/>
      <c r="AB326" s="52"/>
      <c r="AC326" s="52"/>
      <c r="AD326" s="52"/>
      <c r="AE326" s="52"/>
      <c r="AF326" s="52"/>
      <c r="AG326" s="52"/>
      <c r="AH326" s="52"/>
      <c r="AI326" s="52"/>
    </row>
    <row r="327" spans="1:35" ht="60">
      <c r="A327" s="5105" t="s">
        <v>10905</v>
      </c>
      <c r="B327" s="5283" t="s">
        <v>14912</v>
      </c>
      <c r="C327" s="5283" t="s">
        <v>28</v>
      </c>
      <c r="D327" s="5390">
        <v>45544</v>
      </c>
      <c r="E327" s="5390">
        <v>45554</v>
      </c>
      <c r="F327" s="5283" t="s">
        <v>167</v>
      </c>
      <c r="G327" s="5105" t="s">
        <v>302</v>
      </c>
      <c r="H327" s="5283"/>
      <c r="I327" s="5283"/>
      <c r="J327" s="5283" t="s">
        <v>32</v>
      </c>
      <c r="K327" s="5283" t="s">
        <v>10907</v>
      </c>
      <c r="L327" s="5283"/>
      <c r="M327" s="5283"/>
      <c r="N327" s="5283"/>
      <c r="O327" s="5283"/>
      <c r="P327" s="5105" t="s">
        <v>14907</v>
      </c>
      <c r="Q327" s="5482" t="s">
        <v>9226</v>
      </c>
      <c r="R327" s="5283"/>
      <c r="S327" s="5105" t="s">
        <v>9659</v>
      </c>
      <c r="T327" s="5283"/>
      <c r="U327" s="5283"/>
      <c r="V327" s="5283"/>
      <c r="W327" s="5283"/>
      <c r="X327" s="5283"/>
      <c r="Y327" s="5283"/>
      <c r="Z327" s="5283"/>
      <c r="AA327" s="2459"/>
      <c r="AB327" s="681"/>
      <c r="AC327" s="681"/>
      <c r="AD327" s="681"/>
      <c r="AE327" s="681"/>
      <c r="AF327" s="681"/>
      <c r="AG327" s="681"/>
      <c r="AH327" s="681"/>
      <c r="AI327" s="681"/>
    </row>
    <row r="328" spans="1:35" ht="60">
      <c r="A328" s="1393" t="s">
        <v>10905</v>
      </c>
      <c r="B328" s="2908" t="s">
        <v>14913</v>
      </c>
      <c r="C328" s="2908" t="s">
        <v>28</v>
      </c>
      <c r="D328" s="2909">
        <v>45544</v>
      </c>
      <c r="E328" s="5390">
        <v>45554</v>
      </c>
      <c r="F328" s="2908" t="s">
        <v>167</v>
      </c>
      <c r="G328" s="1393" t="s">
        <v>302</v>
      </c>
      <c r="H328" s="5283"/>
      <c r="I328" s="2908"/>
      <c r="J328" s="5283" t="s">
        <v>32</v>
      </c>
      <c r="K328" s="2908" t="s">
        <v>10907</v>
      </c>
      <c r="L328" s="2908"/>
      <c r="M328" s="5283"/>
      <c r="N328" s="2908"/>
      <c r="O328" s="2908"/>
      <c r="P328" s="1393" t="s">
        <v>14914</v>
      </c>
      <c r="Q328" s="5482" t="s">
        <v>9226</v>
      </c>
      <c r="R328" s="2908"/>
      <c r="S328" s="1393" t="s">
        <v>9659</v>
      </c>
      <c r="T328" s="2908"/>
      <c r="U328" s="2908"/>
      <c r="V328" s="2908"/>
      <c r="W328" s="2908"/>
      <c r="X328" s="2908"/>
      <c r="Y328" s="2908"/>
      <c r="Z328" s="2908"/>
      <c r="AA328" s="2965"/>
      <c r="AB328" s="2920"/>
      <c r="AC328" s="2920"/>
      <c r="AD328" s="2920"/>
      <c r="AE328" s="2920"/>
      <c r="AF328" s="2920"/>
      <c r="AG328" s="2920"/>
      <c r="AH328" s="2920"/>
      <c r="AI328" s="2920"/>
    </row>
    <row r="329" spans="1:35" ht="60">
      <c r="A329" s="1206" t="s">
        <v>10905</v>
      </c>
      <c r="B329" s="681" t="s">
        <v>14915</v>
      </c>
      <c r="C329" s="681" t="s">
        <v>28</v>
      </c>
      <c r="D329" s="732">
        <v>45544</v>
      </c>
      <c r="E329" s="732">
        <v>45554</v>
      </c>
      <c r="F329" s="681" t="s">
        <v>167</v>
      </c>
      <c r="G329" s="1206" t="s">
        <v>302</v>
      </c>
      <c r="H329" s="681"/>
      <c r="I329" s="681"/>
      <c r="J329" s="681" t="s">
        <v>32</v>
      </c>
      <c r="K329" s="681" t="s">
        <v>10907</v>
      </c>
      <c r="L329" s="681"/>
      <c r="M329" s="681"/>
      <c r="N329" s="681"/>
      <c r="O329" s="681"/>
      <c r="P329" s="1206" t="s">
        <v>14914</v>
      </c>
      <c r="Q329" s="2978" t="s">
        <v>9226</v>
      </c>
      <c r="R329" s="681"/>
      <c r="S329" s="1206" t="s">
        <v>9659</v>
      </c>
      <c r="T329" s="681"/>
      <c r="U329" s="681"/>
      <c r="V329" s="681"/>
      <c r="W329" s="681"/>
      <c r="X329" s="681"/>
      <c r="Y329" s="681"/>
      <c r="Z329" s="681"/>
      <c r="AA329" s="681"/>
      <c r="AB329" s="681"/>
      <c r="AC329" s="681"/>
      <c r="AD329" s="681"/>
      <c r="AE329" s="681"/>
      <c r="AF329" s="681"/>
      <c r="AG329" s="681"/>
      <c r="AH329" s="681"/>
      <c r="AI329" s="681"/>
    </row>
    <row r="330" spans="1:35" ht="60">
      <c r="A330" s="1246" t="s">
        <v>10905</v>
      </c>
      <c r="B330" s="152" t="s">
        <v>14916</v>
      </c>
      <c r="C330" s="705" t="s">
        <v>28</v>
      </c>
      <c r="D330" s="1208">
        <v>45551</v>
      </c>
      <c r="E330" s="1208">
        <v>45561</v>
      </c>
      <c r="F330" s="705" t="s">
        <v>167</v>
      </c>
      <c r="G330" s="2976" t="s">
        <v>302</v>
      </c>
      <c r="H330" s="152"/>
      <c r="I330" s="152"/>
      <c r="J330" s="705" t="s">
        <v>32</v>
      </c>
      <c r="K330" s="705" t="s">
        <v>10907</v>
      </c>
      <c r="L330" s="152"/>
      <c r="M330" s="152"/>
      <c r="N330" s="152"/>
      <c r="O330" s="152"/>
      <c r="P330" s="994" t="s">
        <v>14917</v>
      </c>
      <c r="Q330" s="2978" t="s">
        <v>9226</v>
      </c>
      <c r="R330" s="681"/>
      <c r="S330" s="1206" t="s">
        <v>9659</v>
      </c>
      <c r="T330" s="93"/>
      <c r="U330" s="93"/>
      <c r="V330" s="93"/>
      <c r="W330" s="93"/>
      <c r="X330" s="93"/>
      <c r="Y330" s="93"/>
      <c r="Z330" s="93"/>
      <c r="AA330" s="93"/>
      <c r="AB330" s="93"/>
      <c r="AC330" s="93"/>
      <c r="AD330" s="93"/>
      <c r="AE330" s="93"/>
      <c r="AF330" s="93"/>
      <c r="AG330" s="93"/>
      <c r="AH330" s="93"/>
      <c r="AI330" s="93"/>
    </row>
    <row r="331" spans="1:35" ht="60">
      <c r="A331" s="5105" t="s">
        <v>10905</v>
      </c>
      <c r="B331" s="4874" t="s">
        <v>14918</v>
      </c>
      <c r="C331" s="5283" t="s">
        <v>28</v>
      </c>
      <c r="D331" s="5390">
        <v>45551</v>
      </c>
      <c r="E331" s="5390">
        <v>45561</v>
      </c>
      <c r="F331" s="5283" t="s">
        <v>167</v>
      </c>
      <c r="G331" s="5105" t="s">
        <v>302</v>
      </c>
      <c r="H331" s="4874"/>
      <c r="I331" s="4874"/>
      <c r="J331" s="5283" t="s">
        <v>32</v>
      </c>
      <c r="K331" s="5283" t="s">
        <v>10907</v>
      </c>
      <c r="L331" s="4874"/>
      <c r="M331" s="4874"/>
      <c r="N331" s="4874"/>
      <c r="O331" s="4874"/>
      <c r="P331" s="5120" t="s">
        <v>14917</v>
      </c>
      <c r="Q331" s="2973" t="s">
        <v>9226</v>
      </c>
      <c r="R331" s="705"/>
      <c r="S331" s="1246" t="s">
        <v>9659</v>
      </c>
      <c r="T331" s="152"/>
      <c r="U331" s="152"/>
      <c r="V331" s="152"/>
      <c r="W331" s="152"/>
      <c r="X331" s="152"/>
      <c r="Y331" s="152"/>
      <c r="Z331" s="152"/>
      <c r="AA331" s="152"/>
      <c r="AB331" s="152"/>
      <c r="AC331" s="152"/>
      <c r="AD331" s="152"/>
      <c r="AE331" s="152"/>
      <c r="AF331" s="152"/>
      <c r="AG331" s="152"/>
      <c r="AH331" s="152"/>
      <c r="AI331" s="152"/>
    </row>
    <row r="332" spans="1:35" ht="60">
      <c r="A332" s="2979" t="s">
        <v>10905</v>
      </c>
      <c r="B332" s="110" t="s">
        <v>14919</v>
      </c>
      <c r="C332" s="2920" t="s">
        <v>28</v>
      </c>
      <c r="D332" s="2972">
        <v>45551</v>
      </c>
      <c r="E332" s="2972">
        <v>45561</v>
      </c>
      <c r="F332" s="2920" t="s">
        <v>167</v>
      </c>
      <c r="G332" s="2979" t="s">
        <v>302</v>
      </c>
      <c r="H332" s="110"/>
      <c r="I332" s="110"/>
      <c r="J332" s="2920" t="s">
        <v>32</v>
      </c>
      <c r="K332" s="2920" t="s">
        <v>10907</v>
      </c>
      <c r="L332" s="110"/>
      <c r="M332" s="110"/>
      <c r="N332" s="110"/>
      <c r="O332" s="110"/>
      <c r="P332" s="2974" t="s">
        <v>14917</v>
      </c>
      <c r="Q332" s="2978" t="s">
        <v>9226</v>
      </c>
      <c r="R332" s="681"/>
      <c r="S332" s="1206" t="s">
        <v>9659</v>
      </c>
      <c r="T332" s="93"/>
      <c r="U332" s="93"/>
      <c r="V332" s="93"/>
      <c r="W332" s="93"/>
      <c r="X332" s="93"/>
      <c r="Y332" s="93"/>
      <c r="Z332" s="93"/>
      <c r="AA332" s="93"/>
      <c r="AB332" s="93"/>
      <c r="AC332" s="93"/>
      <c r="AD332" s="93"/>
      <c r="AE332" s="93"/>
      <c r="AF332" s="93"/>
      <c r="AG332" s="93"/>
      <c r="AH332" s="93"/>
      <c r="AI332" s="93"/>
    </row>
    <row r="333" spans="1:35" ht="60">
      <c r="A333" s="5105" t="s">
        <v>10905</v>
      </c>
      <c r="B333" s="106" t="s">
        <v>14920</v>
      </c>
      <c r="C333" s="5283" t="s">
        <v>28</v>
      </c>
      <c r="D333" s="5390">
        <v>45551</v>
      </c>
      <c r="E333" s="5390">
        <v>45561</v>
      </c>
      <c r="F333" s="5283" t="s">
        <v>167</v>
      </c>
      <c r="G333" s="5105" t="s">
        <v>302</v>
      </c>
      <c r="H333" s="4874"/>
      <c r="I333" s="4874"/>
      <c r="J333" s="5283" t="s">
        <v>32</v>
      </c>
      <c r="K333" s="5283" t="s">
        <v>10907</v>
      </c>
      <c r="L333" s="4874"/>
      <c r="M333" s="4874"/>
      <c r="N333" s="4874"/>
      <c r="O333" s="4874"/>
      <c r="P333" s="5120" t="s">
        <v>14921</v>
      </c>
      <c r="Q333" s="5482" t="s">
        <v>9226</v>
      </c>
      <c r="R333" s="5283"/>
      <c r="S333" s="5105" t="s">
        <v>9659</v>
      </c>
      <c r="T333" s="4874"/>
      <c r="U333" s="4874"/>
      <c r="V333" s="4874"/>
      <c r="W333" s="4874"/>
      <c r="X333" s="4874"/>
      <c r="Y333" s="4874"/>
      <c r="Z333" s="4874"/>
      <c r="AA333" s="2964"/>
      <c r="AB333" s="2269"/>
      <c r="AC333" s="2269"/>
      <c r="AD333" s="2269"/>
      <c r="AE333" s="2269"/>
      <c r="AF333" s="2269"/>
      <c r="AG333" s="2269"/>
      <c r="AH333" s="2269"/>
      <c r="AI333" s="2269"/>
    </row>
    <row r="334" spans="1:35" ht="60">
      <c r="A334" s="5105" t="s">
        <v>10905</v>
      </c>
      <c r="B334" s="4874" t="s">
        <v>14922</v>
      </c>
      <c r="C334" s="5283" t="s">
        <v>28</v>
      </c>
      <c r="D334" s="5390">
        <v>45551</v>
      </c>
      <c r="E334" s="5390">
        <v>45561</v>
      </c>
      <c r="F334" s="5283" t="s">
        <v>167</v>
      </c>
      <c r="G334" s="5105" t="s">
        <v>302</v>
      </c>
      <c r="H334" s="4874"/>
      <c r="I334" s="4874"/>
      <c r="J334" s="5283" t="s">
        <v>32</v>
      </c>
      <c r="K334" s="5283" t="s">
        <v>10907</v>
      </c>
      <c r="L334" s="4874"/>
      <c r="M334" s="4874"/>
      <c r="N334" s="4874"/>
      <c r="O334" s="4874"/>
      <c r="P334" s="5120" t="s">
        <v>14921</v>
      </c>
      <c r="Q334" s="5482" t="s">
        <v>9226</v>
      </c>
      <c r="R334" s="5283"/>
      <c r="S334" s="5105" t="s">
        <v>9659</v>
      </c>
      <c r="T334" s="4874"/>
      <c r="U334" s="4874"/>
      <c r="V334" s="4874"/>
      <c r="W334" s="4874"/>
      <c r="X334" s="4874"/>
      <c r="Y334" s="4874"/>
      <c r="Z334" s="4874"/>
      <c r="AA334" s="2964"/>
      <c r="AB334" s="2269"/>
      <c r="AC334" s="2269"/>
      <c r="AD334" s="2269"/>
      <c r="AE334" s="2269"/>
      <c r="AF334" s="2269"/>
      <c r="AG334" s="2269"/>
      <c r="AH334" s="2269"/>
      <c r="AI334" s="2269"/>
    </row>
    <row r="335" spans="1:35" ht="60">
      <c r="A335" s="5105" t="s">
        <v>10905</v>
      </c>
      <c r="B335" s="4874" t="s">
        <v>14923</v>
      </c>
      <c r="C335" s="5283" t="s">
        <v>28</v>
      </c>
      <c r="D335" s="5390">
        <v>45551</v>
      </c>
      <c r="E335" s="5390">
        <v>45561</v>
      </c>
      <c r="F335" s="5283" t="s">
        <v>167</v>
      </c>
      <c r="G335" s="5105" t="s">
        <v>302</v>
      </c>
      <c r="H335" s="4874"/>
      <c r="I335" s="4874"/>
      <c r="J335" s="5283" t="s">
        <v>32</v>
      </c>
      <c r="K335" s="5283" t="s">
        <v>10907</v>
      </c>
      <c r="L335" s="106"/>
      <c r="M335" s="4874"/>
      <c r="N335" s="4874"/>
      <c r="O335" s="4874"/>
      <c r="P335" s="5120" t="s">
        <v>14921</v>
      </c>
      <c r="Q335" s="5482" t="s">
        <v>9226</v>
      </c>
      <c r="R335" s="5283"/>
      <c r="S335" s="5105" t="s">
        <v>9659</v>
      </c>
      <c r="T335" s="4874"/>
      <c r="U335" s="4874"/>
      <c r="V335" s="4874"/>
      <c r="W335" s="4874"/>
      <c r="X335" s="4874"/>
      <c r="Y335" s="4874"/>
      <c r="Z335" s="4874"/>
      <c r="AA335" s="2964"/>
      <c r="AB335" s="2269"/>
      <c r="AC335" s="2269"/>
      <c r="AD335" s="2269"/>
      <c r="AE335" s="2269"/>
      <c r="AF335" s="2269"/>
      <c r="AG335" s="2269"/>
      <c r="AH335" s="2269"/>
      <c r="AI335" s="2269"/>
    </row>
    <row r="336" spans="1:35">
      <c r="A336" s="4892" t="s">
        <v>3866</v>
      </c>
      <c r="B336" s="4892" t="s">
        <v>14924</v>
      </c>
      <c r="C336" s="5283" t="s">
        <v>28</v>
      </c>
      <c r="D336" s="5500">
        <v>45575</v>
      </c>
      <c r="E336" s="5500">
        <v>45582</v>
      </c>
      <c r="F336" s="4892" t="s">
        <v>151</v>
      </c>
      <c r="G336" s="4892" t="s">
        <v>11557</v>
      </c>
      <c r="H336" s="4892"/>
      <c r="I336" s="4892"/>
      <c r="J336" s="6248" t="s">
        <v>14925</v>
      </c>
      <c r="K336" s="4892" t="s">
        <v>14926</v>
      </c>
      <c r="L336" s="4892"/>
      <c r="M336" s="4892"/>
      <c r="N336" s="4892"/>
      <c r="O336" s="28"/>
      <c r="P336" s="4892" t="s">
        <v>14927</v>
      </c>
      <c r="Q336" s="4892" t="s">
        <v>9226</v>
      </c>
      <c r="R336" s="4892"/>
      <c r="S336" s="4892" t="s">
        <v>10279</v>
      </c>
      <c r="T336" s="4892"/>
      <c r="U336" s="4892"/>
      <c r="V336" s="4892"/>
      <c r="W336" s="4892"/>
      <c r="X336" s="4892"/>
      <c r="Y336" s="4892"/>
      <c r="Z336" s="4892"/>
      <c r="AA336" s="106"/>
      <c r="AB336" s="106"/>
      <c r="AC336" s="106"/>
      <c r="AD336" s="106"/>
      <c r="AE336" s="106"/>
      <c r="AF336" s="106"/>
      <c r="AG336" s="106"/>
      <c r="AH336" s="106"/>
      <c r="AI336" s="106"/>
    </row>
    <row r="337" spans="1:35" s="3045" customFormat="1" ht="45">
      <c r="A337" s="5471" t="s">
        <v>622</v>
      </c>
      <c r="B337" s="6249" t="s">
        <v>14928</v>
      </c>
      <c r="C337" s="4874" t="s">
        <v>14929</v>
      </c>
      <c r="D337" s="5956"/>
      <c r="E337" s="5956"/>
      <c r="F337" s="5026"/>
      <c r="G337" s="5026"/>
      <c r="H337" s="5026"/>
      <c r="I337" s="5026"/>
      <c r="J337" s="5931"/>
      <c r="K337" s="5433" t="s">
        <v>1445</v>
      </c>
      <c r="L337" s="5026"/>
      <c r="M337" s="6250"/>
      <c r="N337" s="5026"/>
      <c r="O337" s="5026"/>
      <c r="P337" s="5027" t="s">
        <v>14930</v>
      </c>
      <c r="Q337" s="4874" t="s">
        <v>75</v>
      </c>
      <c r="R337" s="4874"/>
      <c r="S337" s="4874" t="s">
        <v>67</v>
      </c>
      <c r="T337" s="5026"/>
      <c r="U337" s="5026"/>
      <c r="V337" s="5026"/>
      <c r="W337" s="5026"/>
      <c r="X337" s="5026"/>
      <c r="Y337" s="5026"/>
      <c r="Z337" s="5026"/>
      <c r="AA337" s="4180"/>
      <c r="AB337" s="4180"/>
      <c r="AC337" s="4180"/>
      <c r="AD337" s="4180"/>
      <c r="AE337" s="4180"/>
      <c r="AF337" s="4180"/>
      <c r="AG337" s="4180"/>
      <c r="AH337" s="4180"/>
      <c r="AI337" s="4180"/>
    </row>
    <row r="338" spans="1:35">
      <c r="A338" s="28" t="s">
        <v>11674</v>
      </c>
      <c r="B338" s="28" t="s">
        <v>14931</v>
      </c>
      <c r="C338" s="28" t="s">
        <v>28</v>
      </c>
      <c r="D338" s="3046">
        <v>45620</v>
      </c>
      <c r="E338" s="3061"/>
      <c r="F338" s="3058" t="s">
        <v>14932</v>
      </c>
      <c r="G338" s="28" t="s">
        <v>12238</v>
      </c>
      <c r="H338" s="3058" t="s">
        <v>14933</v>
      </c>
      <c r="I338" s="3058"/>
      <c r="J338" s="28"/>
      <c r="K338" s="28" t="s">
        <v>14934</v>
      </c>
      <c r="L338" s="28"/>
      <c r="M338" s="28"/>
      <c r="N338" s="28"/>
      <c r="O338" s="28"/>
      <c r="P338" s="3058" t="s">
        <v>14935</v>
      </c>
      <c r="Q338" s="28" t="s">
        <v>11554</v>
      </c>
      <c r="R338" s="28" t="s">
        <v>810</v>
      </c>
      <c r="S338" s="28"/>
      <c r="T338" s="28"/>
      <c r="U338" s="28"/>
    </row>
    <row r="339" spans="1:35" ht="30">
      <c r="A339" s="656" t="s">
        <v>2505</v>
      </c>
      <c r="B339" s="656" t="s">
        <v>14936</v>
      </c>
      <c r="C339" s="656" t="s">
        <v>200</v>
      </c>
      <c r="D339" s="1665">
        <v>45560</v>
      </c>
      <c r="E339" s="1665">
        <v>45581</v>
      </c>
      <c r="F339" s="656" t="s">
        <v>10309</v>
      </c>
      <c r="G339" s="656" t="s">
        <v>14937</v>
      </c>
      <c r="H339" s="656"/>
      <c r="I339" s="656"/>
      <c r="J339" s="656" t="s">
        <v>4896</v>
      </c>
      <c r="K339" s="1151" t="s">
        <v>14938</v>
      </c>
      <c r="L339" s="656"/>
      <c r="M339" s="1665"/>
      <c r="N339" s="656"/>
      <c r="O339" s="656"/>
      <c r="P339" s="656" t="s">
        <v>14939</v>
      </c>
      <c r="Q339" s="656" t="s">
        <v>9226</v>
      </c>
      <c r="R339" s="656"/>
      <c r="S339" s="656" t="s">
        <v>10279</v>
      </c>
      <c r="T339" s="656"/>
      <c r="U339" s="656"/>
      <c r="V339" s="656"/>
      <c r="W339" s="656"/>
      <c r="X339" s="656"/>
      <c r="Y339" s="656"/>
      <c r="Z339" s="656"/>
      <c r="AA339" s="26"/>
    </row>
    <row r="340" spans="1:35" ht="30">
      <c r="A340" s="4025" t="s">
        <v>11128</v>
      </c>
      <c r="B340" s="1138" t="s">
        <v>14940</v>
      </c>
      <c r="C340" s="1138" t="s">
        <v>200</v>
      </c>
      <c r="D340" s="4026">
        <v>45591</v>
      </c>
      <c r="E340" s="4026">
        <v>45607</v>
      </c>
      <c r="F340" s="1138" t="s">
        <v>29</v>
      </c>
      <c r="G340" s="1138" t="s">
        <v>11626</v>
      </c>
      <c r="H340" s="3021" t="s">
        <v>810</v>
      </c>
      <c r="I340" s="3021" t="s">
        <v>810</v>
      </c>
      <c r="J340" s="1138" t="s">
        <v>14941</v>
      </c>
      <c r="K340" s="1138" t="s">
        <v>5744</v>
      </c>
      <c r="L340" s="3021" t="s">
        <v>810</v>
      </c>
      <c r="M340" s="3021" t="s">
        <v>810</v>
      </c>
      <c r="N340" s="3021" t="s">
        <v>810</v>
      </c>
      <c r="O340" s="3021" t="s">
        <v>810</v>
      </c>
      <c r="P340" s="3188" t="s">
        <v>14942</v>
      </c>
      <c r="Q340" s="4025" t="s">
        <v>75</v>
      </c>
      <c r="R340" s="1219" t="s">
        <v>14943</v>
      </c>
      <c r="S340" s="1219" t="s">
        <v>67</v>
      </c>
      <c r="T340" s="1138"/>
      <c r="U340" s="1138"/>
      <c r="V340" s="1138"/>
      <c r="W340" s="1138"/>
      <c r="X340" s="2251"/>
      <c r="Y340" s="1138"/>
      <c r="Z340" s="2253"/>
      <c r="AA340" s="52"/>
    </row>
    <row r="341" spans="1:35" ht="30">
      <c r="A341" s="4027" t="s">
        <v>11128</v>
      </c>
      <c r="B341" s="4028" t="s">
        <v>14944</v>
      </c>
      <c r="C341" s="36" t="s">
        <v>200</v>
      </c>
      <c r="D341" s="1307">
        <v>45596</v>
      </c>
      <c r="E341" s="1307">
        <v>45607</v>
      </c>
      <c r="F341" s="36" t="s">
        <v>29</v>
      </c>
      <c r="G341" s="4029" t="s">
        <v>14945</v>
      </c>
      <c r="H341" s="2984" t="s">
        <v>810</v>
      </c>
      <c r="I341" s="2984" t="s">
        <v>810</v>
      </c>
      <c r="J341" s="2984" t="s">
        <v>810</v>
      </c>
      <c r="K341" s="36" t="s">
        <v>6656</v>
      </c>
      <c r="L341" s="2984" t="s">
        <v>810</v>
      </c>
      <c r="M341" s="2984" t="s">
        <v>810</v>
      </c>
      <c r="N341" s="2984" t="s">
        <v>810</v>
      </c>
      <c r="O341" s="2984" t="s">
        <v>810</v>
      </c>
      <c r="P341" s="760" t="s">
        <v>14946</v>
      </c>
      <c r="Q341" s="4027" t="s">
        <v>75</v>
      </c>
      <c r="R341" s="745" t="s">
        <v>14947</v>
      </c>
      <c r="S341" s="745" t="s">
        <v>67</v>
      </c>
      <c r="T341" s="36"/>
      <c r="U341" s="36"/>
      <c r="V341" s="36"/>
      <c r="W341" s="36"/>
      <c r="X341" s="4030"/>
      <c r="Y341" s="36"/>
      <c r="Z341" s="36"/>
    </row>
    <row r="342" spans="1:35">
      <c r="A342" s="681" t="s">
        <v>14948</v>
      </c>
      <c r="B342" s="681" t="s">
        <v>14949</v>
      </c>
      <c r="C342" s="93" t="s">
        <v>28</v>
      </c>
      <c r="D342" s="818">
        <v>45597</v>
      </c>
      <c r="E342" s="818">
        <v>45597</v>
      </c>
      <c r="F342" s="681" t="s">
        <v>14950</v>
      </c>
      <c r="G342" s="681" t="s">
        <v>14951</v>
      </c>
      <c r="H342" s="732"/>
      <c r="I342" s="3066"/>
      <c r="J342" s="3233" t="s">
        <v>14952</v>
      </c>
      <c r="K342" s="681" t="s">
        <v>14953</v>
      </c>
      <c r="L342" s="681"/>
      <c r="M342" s="732">
        <v>45603</v>
      </c>
      <c r="N342" s="818">
        <v>45602</v>
      </c>
      <c r="O342" s="732"/>
      <c r="P342" s="681" t="s">
        <v>14954</v>
      </c>
      <c r="Q342" s="93" t="s">
        <v>9226</v>
      </c>
      <c r="R342" s="93"/>
      <c r="S342" s="93" t="s">
        <v>10279</v>
      </c>
      <c r="T342" s="681"/>
      <c r="U342" s="681"/>
      <c r="V342" s="681"/>
      <c r="W342" s="681"/>
      <c r="X342" s="681"/>
      <c r="Y342" s="681"/>
      <c r="Z342" s="681"/>
    </row>
  </sheetData>
  <conditionalFormatting sqref="B1">
    <cfRule type="duplicateValues" dxfId="57" priority="60"/>
  </conditionalFormatting>
  <conditionalFormatting sqref="B2">
    <cfRule type="duplicateValues" dxfId="56" priority="59"/>
  </conditionalFormatting>
  <conditionalFormatting sqref="B39:B40">
    <cfRule type="duplicateValues" dxfId="55" priority="58"/>
  </conditionalFormatting>
  <conditionalFormatting sqref="B41">
    <cfRule type="duplicateValues" dxfId="54" priority="57"/>
  </conditionalFormatting>
  <conditionalFormatting sqref="B59">
    <cfRule type="duplicateValues" dxfId="53" priority="56"/>
  </conditionalFormatting>
  <conditionalFormatting sqref="B71">
    <cfRule type="duplicateValues" dxfId="52" priority="54"/>
    <cfRule type="duplicateValues" dxfId="51" priority="55"/>
  </conditionalFormatting>
  <conditionalFormatting sqref="B73">
    <cfRule type="duplicateValues" dxfId="50" priority="53"/>
  </conditionalFormatting>
  <conditionalFormatting sqref="B74 B78">
    <cfRule type="duplicateValues" dxfId="49" priority="52"/>
  </conditionalFormatting>
  <conditionalFormatting sqref="B79">
    <cfRule type="duplicateValues" dxfId="48" priority="51"/>
  </conditionalFormatting>
  <conditionalFormatting sqref="B79:B85">
    <cfRule type="duplicateValues" dxfId="47" priority="50"/>
  </conditionalFormatting>
  <conditionalFormatting sqref="B80">
    <cfRule type="duplicateValues" dxfId="46" priority="49"/>
  </conditionalFormatting>
  <conditionalFormatting sqref="B80:B81">
    <cfRule type="duplicateValues" dxfId="45" priority="42"/>
  </conditionalFormatting>
  <conditionalFormatting sqref="B82">
    <cfRule type="duplicateValues" dxfId="44" priority="48"/>
  </conditionalFormatting>
  <conditionalFormatting sqref="B83">
    <cfRule type="duplicateValues" dxfId="43" priority="47"/>
  </conditionalFormatting>
  <conditionalFormatting sqref="B84">
    <cfRule type="duplicateValues" dxfId="42" priority="46"/>
  </conditionalFormatting>
  <conditionalFormatting sqref="B85">
    <cfRule type="duplicateValues" dxfId="41" priority="45"/>
  </conditionalFormatting>
  <conditionalFormatting sqref="B86">
    <cfRule type="duplicateValues" dxfId="40" priority="44"/>
  </conditionalFormatting>
  <conditionalFormatting sqref="B90">
    <cfRule type="duplicateValues" dxfId="39" priority="41"/>
  </conditionalFormatting>
  <conditionalFormatting sqref="B91">
    <cfRule type="duplicateValues" dxfId="38" priority="38"/>
  </conditionalFormatting>
  <conditionalFormatting sqref="B92">
    <cfRule type="duplicateValues" dxfId="37" priority="39"/>
  </conditionalFormatting>
  <conditionalFormatting sqref="B93">
    <cfRule type="duplicateValues" dxfId="36" priority="37"/>
  </conditionalFormatting>
  <conditionalFormatting sqref="B95">
    <cfRule type="duplicateValues" dxfId="35" priority="36"/>
  </conditionalFormatting>
  <conditionalFormatting sqref="B96">
    <cfRule type="duplicateValues" dxfId="34" priority="34"/>
  </conditionalFormatting>
  <conditionalFormatting sqref="B106">
    <cfRule type="duplicateValues" dxfId="33" priority="33"/>
  </conditionalFormatting>
  <conditionalFormatting sqref="B107">
    <cfRule type="duplicateValues" dxfId="32" priority="32"/>
  </conditionalFormatting>
  <conditionalFormatting sqref="B112">
    <cfRule type="duplicateValues" dxfId="31" priority="30"/>
  </conditionalFormatting>
  <conditionalFormatting sqref="B116">
    <cfRule type="duplicateValues" dxfId="30" priority="28"/>
    <cfRule type="duplicateValues" dxfId="29" priority="29"/>
  </conditionalFormatting>
  <conditionalFormatting sqref="B117:B118">
    <cfRule type="duplicateValues" dxfId="28" priority="27"/>
  </conditionalFormatting>
  <conditionalFormatting sqref="B119">
    <cfRule type="duplicateValues" dxfId="27" priority="26"/>
  </conditionalFormatting>
  <conditionalFormatting sqref="B122">
    <cfRule type="duplicateValues" dxfId="26" priority="25"/>
  </conditionalFormatting>
  <conditionalFormatting sqref="B124">
    <cfRule type="duplicateValues" dxfId="25" priority="24"/>
  </conditionalFormatting>
  <conditionalFormatting sqref="B125:B126">
    <cfRule type="duplicateValues" dxfId="24" priority="23"/>
  </conditionalFormatting>
  <conditionalFormatting sqref="B127:B129">
    <cfRule type="duplicateValues" dxfId="23" priority="21"/>
  </conditionalFormatting>
  <conditionalFormatting sqref="B130:B131">
    <cfRule type="duplicateValues" dxfId="22" priority="20"/>
  </conditionalFormatting>
  <conditionalFormatting sqref="B132">
    <cfRule type="duplicateValues" dxfId="21" priority="19"/>
  </conditionalFormatting>
  <conditionalFormatting sqref="B133:B136">
    <cfRule type="duplicateValues" dxfId="20" priority="17"/>
    <cfRule type="duplicateValues" dxfId="19" priority="18"/>
  </conditionalFormatting>
  <conditionalFormatting sqref="B137">
    <cfRule type="duplicateValues" dxfId="18" priority="16"/>
  </conditionalFormatting>
  <conditionalFormatting sqref="B138">
    <cfRule type="duplicateValues" dxfId="17" priority="15"/>
  </conditionalFormatting>
  <conditionalFormatting sqref="B141">
    <cfRule type="duplicateValues" dxfId="16" priority="14"/>
  </conditionalFormatting>
  <conditionalFormatting sqref="B142">
    <cfRule type="duplicateValues" dxfId="15" priority="13"/>
  </conditionalFormatting>
  <conditionalFormatting sqref="B143">
    <cfRule type="duplicateValues" dxfId="14" priority="11"/>
    <cfRule type="duplicateValues" dxfId="13" priority="12"/>
  </conditionalFormatting>
  <conditionalFormatting sqref="B144:B148">
    <cfRule type="duplicateValues" dxfId="12" priority="10"/>
  </conditionalFormatting>
  <conditionalFormatting sqref="B149:B152">
    <cfRule type="duplicateValues" dxfId="11" priority="9"/>
  </conditionalFormatting>
  <conditionalFormatting sqref="B153:B154">
    <cfRule type="duplicateValues" dxfId="10" priority="8"/>
  </conditionalFormatting>
  <conditionalFormatting sqref="B155">
    <cfRule type="duplicateValues" dxfId="9" priority="6"/>
  </conditionalFormatting>
  <conditionalFormatting sqref="B155:B158">
    <cfRule type="duplicateValues" dxfId="8" priority="7"/>
  </conditionalFormatting>
  <conditionalFormatting sqref="B159:B160">
    <cfRule type="duplicateValues" dxfId="7" priority="5"/>
  </conditionalFormatting>
  <conditionalFormatting sqref="B161">
    <cfRule type="duplicateValues" dxfId="6" priority="4"/>
  </conditionalFormatting>
  <conditionalFormatting sqref="B178">
    <cfRule type="duplicateValues" dxfId="5" priority="3"/>
  </conditionalFormatting>
  <conditionalFormatting sqref="B180:B181">
    <cfRule type="duplicateValues" dxfId="4" priority="2"/>
  </conditionalFormatting>
  <conditionalFormatting sqref="B182">
    <cfRule type="duplicateValues" dxfId="3" priority="1"/>
  </conditionalFormatting>
  <conditionalFormatting sqref="C108:C111">
    <cfRule type="duplicateValues" dxfId="2" priority="31"/>
  </conditionalFormatting>
  <conditionalFormatting sqref="K127">
    <cfRule type="containsText" dxfId="1" priority="22" operator="containsText" text="Castle">
      <formula>NOT(ISERROR(SEARCH("Castle",K127)))</formula>
    </cfRule>
  </conditionalFormatting>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F23CA346B936D4B838D7CC93D2440BE" ma:contentTypeVersion="15" ma:contentTypeDescription="Create a new document." ma:contentTypeScope="" ma:versionID="18feb3147c8b092cacce63cc66223012">
  <xsd:schema xmlns:xsd="http://www.w3.org/2001/XMLSchema" xmlns:xs="http://www.w3.org/2001/XMLSchema" xmlns:p="http://schemas.microsoft.com/office/2006/metadata/properties" xmlns:ns2="1ff58a28-dec3-408f-b32b-bdb0fe0e686b" xmlns:ns3="5dd4ecd6-9d0f-4cd8-98b6-b0150f65e164" targetNamespace="http://schemas.microsoft.com/office/2006/metadata/properties" ma:root="true" ma:fieldsID="56b2ba284f190fea2e870443379c9dde" ns2:_="" ns3:_="">
    <xsd:import namespace="1ff58a28-dec3-408f-b32b-bdb0fe0e686b"/>
    <xsd:import namespace="5dd4ecd6-9d0f-4cd8-98b6-b0150f65e16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Department" minOccurs="0"/>
                <xsd:element ref="ns3:SharedWithUsers" minOccurs="0"/>
                <xsd:element ref="ns3:SharedWithDetails" minOccurs="0"/>
                <xsd:element ref="ns2:MediaServiceGenerationTime" minOccurs="0"/>
                <xsd:element ref="ns2:MediaServiceEventHashCode" minOccurs="0"/>
                <xsd:element ref="ns2:MediaLengthInSeconds" minOccurs="0"/>
                <xsd:element ref="ns2:MediaServiceDateTaken"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ff58a28-dec3-408f-b32b-bdb0fe0e686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Department" ma:index="12" nillable="true" ma:displayName="Department" ma:format="Dropdown" ma:internalName="Department">
      <xsd:simpleType>
        <xsd:restriction base="dms:Text">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28d5df26-b179-4b77-8878-465e3ba388f3" ma:termSetId="09814cd3-568e-fe90-9814-8d621ff8fb84" ma:anchorId="fba54fb3-c3e1-fe81-a776-ca4b69148c4d" ma:open="true" ma:isKeyword="false">
      <xsd:complexType>
        <xsd:sequence>
          <xsd:element ref="pc:Terms" minOccurs="0" maxOccurs="1"/>
        </xsd:sequence>
      </xsd:complexType>
    </xsd:element>
    <xsd:element name="MediaServiceOCR" ma:index="22"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dd4ecd6-9d0f-4cd8-98b6-b0150f65e16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a11906bc-0562-456c-a80e-059bdadc434a}" ma:internalName="TaxCatchAll" ma:showField="CatchAllData" ma:web="5dd4ecd6-9d0f-4cd8-98b6-b0150f65e16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5dd4ecd6-9d0f-4cd8-98b6-b0150f65e164" xsi:nil="true"/>
    <lcf76f155ced4ddcb4097134ff3c332f xmlns="1ff58a28-dec3-408f-b32b-bdb0fe0e686b">
      <Terms xmlns="http://schemas.microsoft.com/office/infopath/2007/PartnerControls"/>
    </lcf76f155ced4ddcb4097134ff3c332f>
    <SharedWithUsers xmlns="5dd4ecd6-9d0f-4cd8-98b6-b0150f65e164">
      <UserInfo>
        <DisplayName>Hailey Park</DisplayName>
        <AccountId>13</AccountId>
        <AccountType/>
      </UserInfo>
    </SharedWithUsers>
    <Department xmlns="1ff58a28-dec3-408f-b32b-bdb0fe0e686b"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E29771F-4C25-4CF2-B84F-A93A51CE670F}"/>
</file>

<file path=customXml/itemProps2.xml><?xml version="1.0" encoding="utf-8"?>
<ds:datastoreItem xmlns:ds="http://schemas.openxmlformats.org/officeDocument/2006/customXml" ds:itemID="{637220B8-C2D5-416F-84F2-3FF3EB05B375}"/>
</file>

<file path=customXml/itemProps3.xml><?xml version="1.0" encoding="utf-8"?>
<ds:datastoreItem xmlns:ds="http://schemas.openxmlformats.org/officeDocument/2006/customXml" ds:itemID="{ED5A28B7-8161-4835-ADE9-75A7DC2CA40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trudy</dc:creator>
  <cp:keywords/>
  <dc:description/>
  <cp:lastModifiedBy>Jay Seo</cp:lastModifiedBy>
  <cp:revision/>
  <dcterms:created xsi:type="dcterms:W3CDTF">2015-06-05T18:17:00Z</dcterms:created>
  <dcterms:modified xsi:type="dcterms:W3CDTF">2024-11-12T21:27:36Z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2052-10.1.0.7346</vt:lpwstr>
  </property>
  <property fmtid="{D5CDD505-2E9C-101B-9397-08002B2CF9AE}" pid="3" name="ContentTypeId">
    <vt:lpwstr>0x0101007F23CA346B936D4B838D7CC93D2440BE</vt:lpwstr>
  </property>
  <property fmtid="{D5CDD505-2E9C-101B-9397-08002B2CF9AE}" pid="4" name="MediaServiceImageTags">
    <vt:lpwstr/>
  </property>
</Properties>
</file>